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4115" windowHeight="8670" activeTab="6"/>
  </bookViews>
  <sheets>
    <sheet name="Movie Analysis" sheetId="1" r:id="rId1"/>
    <sheet name="2010" sheetId="2" r:id="rId2"/>
    <sheet name="2009" sheetId="3" r:id="rId3"/>
    <sheet name="2008" sheetId="4" r:id="rId4"/>
    <sheet name="2007" sheetId="8" r:id="rId5"/>
    <sheet name="2006" sheetId="9" r:id="rId6"/>
    <sheet name="Summary World" sheetId="5" r:id="rId7"/>
    <sheet name="Summary USA" sheetId="10" r:id="rId8"/>
  </sheets>
  <definedNames>
    <definedName name="_xlnm._FilterDatabase" localSheetId="5" hidden="1">'2006'!$A$1:$I$809</definedName>
    <definedName name="_xlnm._FilterDatabase" localSheetId="4" hidden="1">'2007'!$A$1:$I$1020</definedName>
    <definedName name="_xlnm._FilterDatabase" localSheetId="3" hidden="1">'2008'!$A$1:$I$1048</definedName>
    <definedName name="_xlnm._FilterDatabase" localSheetId="2" hidden="1">'2009'!$A$1:$I$1147</definedName>
    <definedName name="_xlnm._FilterDatabase" localSheetId="1" hidden="1">'2010'!$A$1:$I$882</definedName>
    <definedName name="budget.2006">'2006'!$D$2:$D$810</definedName>
    <definedName name="budget.2007">'2007'!$D$2:$D$1021</definedName>
    <definedName name="budget.2008">'2008'!$D$2:$D$1049</definedName>
    <definedName name="budget.2010">'2010'!$D$2:$D$883</definedName>
    <definedName name="date.2006">'2006'!$A$2:$A$810</definedName>
    <definedName name="date.2007">'2007'!$A$2:$A$1021</definedName>
    <definedName name="date.2008">'2008'!$A$2:$A$1049</definedName>
    <definedName name="date.2009">'2009'!$A$2:$A$1147</definedName>
    <definedName name="date.2010">'2010'!$A$2:$A$883</definedName>
    <definedName name="gross.us.2006">'2006'!$E$2:$E$810</definedName>
    <definedName name="gross.us.2007">'2007'!$E$2:$E$1021</definedName>
    <definedName name="gross.us.2008">'2008'!$E$2:$E$1049</definedName>
    <definedName name="gross.us.2009">'2009'!$E$2:$E$1147</definedName>
    <definedName name="gross.us.2010">'2010'!$E$2:$E$883</definedName>
    <definedName name="gross.world.2006">'2006'!$F$2:$F$810</definedName>
    <definedName name="gross.world.2007">'2007'!$F$2:$F$1021</definedName>
    <definedName name="gross.world.2008">'2008'!$F$2:$F$1049</definedName>
    <definedName name="gross.world.2009">'2009'!$F$2:$F$1147</definedName>
    <definedName name="gross.world.2010">'2010'!$F$2:$F$883</definedName>
  </definedNames>
  <calcPr calcId="144525"/>
</workbook>
</file>

<file path=xl/calcChain.xml><?xml version="1.0" encoding="utf-8"?>
<calcChain xmlns="http://schemas.openxmlformats.org/spreadsheetml/2006/main">
  <c r="AT145" i="5" l="1"/>
  <c r="AT146" i="5"/>
  <c r="AT147" i="5"/>
  <c r="AT148" i="5"/>
  <c r="AT149" i="5"/>
  <c r="AT150" i="5"/>
  <c r="AT151" i="5"/>
  <c r="AT152" i="5"/>
  <c r="AT153" i="5"/>
  <c r="AT154" i="5"/>
  <c r="AT155" i="5"/>
  <c r="AT144" i="5"/>
  <c r="AA82" i="5" a="1"/>
  <c r="AA82" i="5" s="1"/>
  <c r="Z82" i="5" a="1"/>
  <c r="Z82" i="5" s="1"/>
  <c r="Y82" i="5" a="1"/>
  <c r="Y82" i="5" s="1"/>
  <c r="X82" i="5" a="1"/>
  <c r="X82" i="5" s="1"/>
  <c r="W82" i="5" a="1"/>
  <c r="W82" i="5" s="1"/>
  <c r="AA70" i="5" a="1"/>
  <c r="AA70" i="5" s="1"/>
  <c r="AF70" i="5" s="1"/>
  <c r="Z70" i="5" a="1"/>
  <c r="Z70" i="5" s="1"/>
  <c r="AE70" i="5" s="1"/>
  <c r="Y70" i="5" a="1"/>
  <c r="Y70" i="5" s="1"/>
  <c r="AD70" i="5" s="1"/>
  <c r="X70" i="5" a="1"/>
  <c r="X70" i="5" s="1"/>
  <c r="AC70" i="5" s="1"/>
  <c r="W70" i="5" a="1"/>
  <c r="W70" i="5" s="1"/>
  <c r="AB70" i="5" s="1"/>
  <c r="AA66" i="5" a="1"/>
  <c r="AA66" i="5" s="1"/>
  <c r="Z66" i="5" a="1"/>
  <c r="Z66" i="5" s="1"/>
  <c r="Y66" i="5" a="1"/>
  <c r="Y66" i="5" s="1"/>
  <c r="X66" i="5" a="1"/>
  <c r="X66" i="5" s="1"/>
  <c r="W66" i="5" a="1"/>
  <c r="W66" i="5" s="1"/>
  <c r="AA54" i="5" a="1"/>
  <c r="AA54" i="5" s="1"/>
  <c r="AF54" i="5" s="1"/>
  <c r="Z54" i="5" a="1"/>
  <c r="Z54" i="5" s="1"/>
  <c r="AE54" i="5" s="1"/>
  <c r="AJ54" i="5" s="1"/>
  <c r="Y54" i="5" a="1"/>
  <c r="Y54" i="5" s="1"/>
  <c r="AD54" i="5" s="1"/>
  <c r="X54" i="5" a="1"/>
  <c r="X54" i="5" s="1"/>
  <c r="AC54" i="5" s="1"/>
  <c r="AH54" i="5" s="1"/>
  <c r="W54" i="5" a="1"/>
  <c r="W54" i="5" s="1"/>
  <c r="AB54" i="5" s="1"/>
  <c r="AA70" i="10" a="1"/>
  <c r="AA70" i="10" s="1"/>
  <c r="Z70" i="10" a="1"/>
  <c r="Z70" i="10" s="1"/>
  <c r="Y70" i="10" a="1"/>
  <c r="Y70" i="10" s="1"/>
  <c r="X70" i="10" a="1"/>
  <c r="X70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W70" i="10" a="1"/>
  <c r="W70" i="10" s="1"/>
  <c r="AB70" i="10" s="1"/>
  <c r="AA98" i="10" a="1"/>
  <c r="AA98" i="10" s="1"/>
  <c r="Z98" i="10" a="1"/>
  <c r="Z98" i="10" s="1"/>
  <c r="Y98" i="10" a="1"/>
  <c r="Y98" i="10" s="1"/>
  <c r="X98" i="10" a="1"/>
  <c r="X98" i="10" s="1"/>
  <c r="W98" i="10" a="1"/>
  <c r="W98" i="10" s="1"/>
  <c r="AA86" i="10" a="1"/>
  <c r="AA86" i="10" s="1"/>
  <c r="Z86" i="10" a="1"/>
  <c r="Z86" i="10" s="1"/>
  <c r="AE86" i="10" s="1"/>
  <c r="Y86" i="10" a="1"/>
  <c r="Y86" i="10" s="1"/>
  <c r="X86" i="10" a="1"/>
  <c r="X86" i="10" s="1"/>
  <c r="AC86" i="10" s="1"/>
  <c r="W86" i="10" a="1"/>
  <c r="W86" i="10" s="1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108" i="10"/>
  <c r="A109" i="10" s="1"/>
  <c r="G107" i="10" a="1"/>
  <c r="G107" i="10" s="1"/>
  <c r="F107" i="10" a="1"/>
  <c r="F107" i="10" s="1"/>
  <c r="E107" i="10" a="1"/>
  <c r="E107" i="10" s="1"/>
  <c r="D107" i="10" a="1"/>
  <c r="D107" i="10" s="1"/>
  <c r="C107" i="10" a="1"/>
  <c r="C107" i="10" s="1"/>
  <c r="G86" i="10" a="1"/>
  <c r="G86" i="10" s="1"/>
  <c r="E86" i="10" a="1"/>
  <c r="E86" i="10" s="1"/>
  <c r="D86" i="10" a="1"/>
  <c r="D86" i="10" s="1"/>
  <c r="C86" i="10" a="1"/>
  <c r="C86" i="10" s="1"/>
  <c r="F86" i="10" a="1"/>
  <c r="F86" i="10" s="1"/>
  <c r="G98" i="10" a="1"/>
  <c r="G98" i="10" s="1"/>
  <c r="F98" i="10" a="1"/>
  <c r="F98" i="10" s="1"/>
  <c r="E98" i="10" a="1"/>
  <c r="E98" i="10" s="1"/>
  <c r="D98" i="10" a="1"/>
  <c r="D98" i="10" s="1"/>
  <c r="C98" i="10" a="1"/>
  <c r="C98" i="10" s="1"/>
  <c r="G83" i="10" a="1"/>
  <c r="G83" i="10" s="1"/>
  <c r="F83" i="10" a="1"/>
  <c r="F83" i="10" s="1"/>
  <c r="E83" i="10" a="1"/>
  <c r="E83" i="10" s="1"/>
  <c r="D83" i="10" a="1"/>
  <c r="D83" i="10" s="1"/>
  <c r="C83" i="10" a="1"/>
  <c r="C83" i="10" s="1"/>
  <c r="G70" i="10" a="1"/>
  <c r="G70" i="10" s="1"/>
  <c r="F70" i="10" a="1"/>
  <c r="F70" i="10" s="1"/>
  <c r="E70" i="10" a="1"/>
  <c r="E70" i="10" s="1"/>
  <c r="D70" i="10" a="1"/>
  <c r="D70" i="10" s="1"/>
  <c r="C70" i="10" a="1"/>
  <c r="C70" i="10" s="1"/>
  <c r="Q66" i="10" a="1"/>
  <c r="Q66" i="10" s="1"/>
  <c r="P66" i="10" a="1"/>
  <c r="P66" i="10" s="1"/>
  <c r="O66" i="10" a="1"/>
  <c r="O66" i="10" s="1"/>
  <c r="N66" i="10" a="1"/>
  <c r="N66" i="10" s="1"/>
  <c r="M66" i="10" a="1"/>
  <c r="M66" i="10" s="1"/>
  <c r="G66" i="10" a="1"/>
  <c r="G66" i="10" s="1"/>
  <c r="F66" i="10" a="1"/>
  <c r="F66" i="10" s="1"/>
  <c r="E66" i="10" a="1"/>
  <c r="E66" i="10" s="1"/>
  <c r="D66" i="10" a="1"/>
  <c r="D66" i="10" s="1"/>
  <c r="C66" i="10" a="1"/>
  <c r="C66" i="10" s="1"/>
  <c r="Q3" i="10" a="1"/>
  <c r="Q3" i="10" s="1"/>
  <c r="P3" i="10" a="1"/>
  <c r="P3" i="10" s="1"/>
  <c r="O3" i="10" a="1"/>
  <c r="O3" i="10" s="1"/>
  <c r="N3" i="10" a="1"/>
  <c r="N3" i="10" s="1"/>
  <c r="M3" i="10" a="1"/>
  <c r="M3" i="10" s="1"/>
  <c r="G3" i="10" a="1"/>
  <c r="G3" i="10" s="1"/>
  <c r="F3" i="10" a="1"/>
  <c r="F3" i="10" s="1"/>
  <c r="E3" i="10" a="1"/>
  <c r="E3" i="10" s="1"/>
  <c r="D3" i="10" a="1"/>
  <c r="D3" i="10" s="1"/>
  <c r="C3" i="10" a="1"/>
  <c r="C3" i="10" s="1"/>
  <c r="U99" i="10"/>
  <c r="A87" i="10"/>
  <c r="A71" i="10"/>
  <c r="B3" i="10"/>
  <c r="B47" i="5"/>
  <c r="U83" i="5"/>
  <c r="G67" i="5" a="1"/>
  <c r="G67" i="5" s="1"/>
  <c r="F67" i="5" a="1"/>
  <c r="F67" i="5" s="1"/>
  <c r="E67" i="5" a="1"/>
  <c r="E67" i="5" s="1"/>
  <c r="D67" i="5" a="1"/>
  <c r="D67" i="5" s="1"/>
  <c r="C67" i="5" a="1"/>
  <c r="C67" i="5"/>
  <c r="D54" i="5" a="1"/>
  <c r="D54" i="5" s="1"/>
  <c r="C54" i="5" a="1"/>
  <c r="C54" i="5" s="1"/>
  <c r="D70" i="5" a="1"/>
  <c r="D70" i="5" s="1"/>
  <c r="C70" i="5" a="1"/>
  <c r="C70" i="5" s="1"/>
  <c r="F70" i="5" a="1"/>
  <c r="F70" i="5" s="1"/>
  <c r="D82" i="5" a="1"/>
  <c r="D82" i="5"/>
  <c r="C82" i="5" a="1"/>
  <c r="C82" i="5"/>
  <c r="G82" i="5" a="1"/>
  <c r="G82" i="5"/>
  <c r="E82" i="5" a="1"/>
  <c r="E82" i="5"/>
  <c r="F82" i="5" a="1"/>
  <c r="F82" i="5"/>
  <c r="G50" i="5" a="1"/>
  <c r="G50" i="5"/>
  <c r="N50" i="5" a="1"/>
  <c r="N50" i="5"/>
  <c r="Q50" i="5" a="1"/>
  <c r="Q50" i="5" s="1"/>
  <c r="P50" i="5" a="1"/>
  <c r="P50" i="5" s="1"/>
  <c r="O50" i="5" a="1"/>
  <c r="O50" i="5" s="1"/>
  <c r="M50" i="5" a="1"/>
  <c r="M50" i="5" s="1"/>
  <c r="M48" i="5" a="1"/>
  <c r="M48" i="5" s="1"/>
  <c r="N48" i="5" a="1"/>
  <c r="N48" i="5" s="1"/>
  <c r="F50" i="5" a="1"/>
  <c r="F50" i="5" s="1"/>
  <c r="E50" i="5" a="1"/>
  <c r="E50" i="5" s="1"/>
  <c r="C48" i="5" a="1"/>
  <c r="C48" i="5" s="1"/>
  <c r="D48" i="5" a="1"/>
  <c r="D48" i="5" s="1"/>
  <c r="D50" i="5" a="1"/>
  <c r="D50" i="5" s="1"/>
  <c r="C50" i="5" a="1"/>
  <c r="C50" i="5" s="1"/>
  <c r="G2" i="9"/>
  <c r="H2" i="9"/>
  <c r="I2" i="9"/>
  <c r="G3" i="9"/>
  <c r="H3" i="9"/>
  <c r="I3" i="9"/>
  <c r="G4" i="9"/>
  <c r="H4" i="9"/>
  <c r="I4" i="9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G33" i="9"/>
  <c r="H33" i="9"/>
  <c r="I33" i="9"/>
  <c r="G34" i="9"/>
  <c r="H34" i="9"/>
  <c r="I34" i="9"/>
  <c r="G35" i="9"/>
  <c r="H35" i="9"/>
  <c r="I35" i="9"/>
  <c r="G36" i="9"/>
  <c r="H36" i="9"/>
  <c r="I36" i="9"/>
  <c r="G37" i="9"/>
  <c r="H37" i="9"/>
  <c r="I37" i="9"/>
  <c r="G38" i="9"/>
  <c r="H38" i="9"/>
  <c r="I38" i="9"/>
  <c r="G39" i="9"/>
  <c r="H39" i="9"/>
  <c r="I39" i="9"/>
  <c r="G40" i="9"/>
  <c r="H40" i="9"/>
  <c r="I40" i="9"/>
  <c r="G41" i="9"/>
  <c r="H41" i="9"/>
  <c r="I41" i="9"/>
  <c r="G42" i="9"/>
  <c r="H42" i="9"/>
  <c r="I42" i="9"/>
  <c r="G43" i="9"/>
  <c r="H43" i="9"/>
  <c r="I43" i="9"/>
  <c r="G44" i="9"/>
  <c r="H44" i="9"/>
  <c r="I44" i="9"/>
  <c r="G45" i="9"/>
  <c r="H45" i="9"/>
  <c r="I45" i="9"/>
  <c r="G46" i="9"/>
  <c r="H46" i="9"/>
  <c r="I46" i="9"/>
  <c r="G47" i="9"/>
  <c r="H47" i="9"/>
  <c r="I47" i="9"/>
  <c r="G48" i="9"/>
  <c r="H48" i="9"/>
  <c r="I48" i="9"/>
  <c r="G49" i="9"/>
  <c r="H49" i="9"/>
  <c r="I49" i="9"/>
  <c r="G50" i="9"/>
  <c r="H50" i="9"/>
  <c r="I50" i="9"/>
  <c r="G51" i="9"/>
  <c r="H51" i="9"/>
  <c r="I51" i="9"/>
  <c r="G52" i="9"/>
  <c r="H52" i="9"/>
  <c r="I52" i="9"/>
  <c r="G53" i="9"/>
  <c r="H53" i="9"/>
  <c r="I53" i="9"/>
  <c r="G54" i="9"/>
  <c r="H54" i="9"/>
  <c r="I54" i="9"/>
  <c r="G55" i="9"/>
  <c r="H55" i="9"/>
  <c r="I55" i="9"/>
  <c r="G56" i="9"/>
  <c r="H56" i="9"/>
  <c r="I56" i="9"/>
  <c r="G57" i="9"/>
  <c r="H57" i="9"/>
  <c r="I57" i="9"/>
  <c r="G58" i="9"/>
  <c r="H58" i="9"/>
  <c r="I58" i="9"/>
  <c r="G59" i="9"/>
  <c r="H59" i="9"/>
  <c r="I59" i="9"/>
  <c r="G60" i="9"/>
  <c r="H60" i="9"/>
  <c r="I60" i="9"/>
  <c r="G61" i="9"/>
  <c r="H61" i="9"/>
  <c r="I61" i="9"/>
  <c r="G62" i="9"/>
  <c r="H62" i="9"/>
  <c r="I62" i="9"/>
  <c r="G63" i="9"/>
  <c r="H63" i="9"/>
  <c r="I63" i="9"/>
  <c r="G64" i="9"/>
  <c r="H64" i="9"/>
  <c r="I64" i="9"/>
  <c r="G65" i="9"/>
  <c r="H65" i="9"/>
  <c r="I65" i="9"/>
  <c r="G66" i="9"/>
  <c r="H66" i="9"/>
  <c r="I66" i="9"/>
  <c r="G67" i="9"/>
  <c r="H67" i="9"/>
  <c r="I67" i="9"/>
  <c r="G68" i="9"/>
  <c r="H68" i="9"/>
  <c r="I68" i="9"/>
  <c r="G69" i="9"/>
  <c r="H69" i="9"/>
  <c r="I69" i="9"/>
  <c r="G70" i="9"/>
  <c r="H70" i="9"/>
  <c r="I70" i="9"/>
  <c r="G71" i="9"/>
  <c r="H71" i="9"/>
  <c r="I71" i="9"/>
  <c r="G72" i="9"/>
  <c r="H72" i="9"/>
  <c r="I72" i="9"/>
  <c r="G73" i="9"/>
  <c r="H73" i="9"/>
  <c r="I73" i="9"/>
  <c r="G74" i="9"/>
  <c r="H74" i="9"/>
  <c r="I74" i="9"/>
  <c r="G75" i="9"/>
  <c r="H75" i="9"/>
  <c r="I75" i="9"/>
  <c r="G76" i="9"/>
  <c r="H76" i="9"/>
  <c r="I76" i="9"/>
  <c r="G77" i="9"/>
  <c r="H77" i="9"/>
  <c r="I77" i="9"/>
  <c r="G78" i="9"/>
  <c r="H78" i="9"/>
  <c r="I78" i="9"/>
  <c r="G79" i="9"/>
  <c r="H79" i="9"/>
  <c r="I79" i="9"/>
  <c r="G80" i="9"/>
  <c r="H80" i="9"/>
  <c r="I80" i="9"/>
  <c r="G81" i="9"/>
  <c r="H81" i="9"/>
  <c r="I81" i="9"/>
  <c r="G82" i="9"/>
  <c r="H82" i="9"/>
  <c r="I82" i="9"/>
  <c r="G83" i="9"/>
  <c r="H83" i="9"/>
  <c r="I83" i="9"/>
  <c r="G84" i="9"/>
  <c r="H84" i="9"/>
  <c r="I84" i="9"/>
  <c r="G85" i="9"/>
  <c r="H85" i="9"/>
  <c r="I85" i="9"/>
  <c r="G86" i="9"/>
  <c r="H86" i="9"/>
  <c r="I86" i="9"/>
  <c r="G87" i="9"/>
  <c r="H87" i="9"/>
  <c r="I87" i="9"/>
  <c r="G88" i="9"/>
  <c r="H88" i="9"/>
  <c r="I88" i="9"/>
  <c r="G89" i="9"/>
  <c r="H89" i="9"/>
  <c r="I89" i="9"/>
  <c r="G90" i="9"/>
  <c r="H90" i="9"/>
  <c r="I90" i="9"/>
  <c r="G91" i="9"/>
  <c r="H91" i="9"/>
  <c r="I91" i="9"/>
  <c r="G92" i="9"/>
  <c r="H92" i="9"/>
  <c r="I92" i="9"/>
  <c r="G93" i="9"/>
  <c r="H93" i="9"/>
  <c r="I93" i="9"/>
  <c r="G94" i="9"/>
  <c r="H94" i="9"/>
  <c r="I94" i="9"/>
  <c r="G95" i="9"/>
  <c r="H95" i="9"/>
  <c r="I95" i="9"/>
  <c r="G96" i="9"/>
  <c r="H96" i="9"/>
  <c r="I96" i="9"/>
  <c r="G97" i="9"/>
  <c r="H97" i="9"/>
  <c r="I97" i="9"/>
  <c r="G98" i="9"/>
  <c r="H98" i="9"/>
  <c r="I98" i="9"/>
  <c r="G99" i="9"/>
  <c r="H99" i="9"/>
  <c r="I99" i="9"/>
  <c r="G100" i="9"/>
  <c r="H100" i="9"/>
  <c r="I100" i="9"/>
  <c r="G101" i="9"/>
  <c r="H101" i="9"/>
  <c r="I101" i="9"/>
  <c r="G102" i="9"/>
  <c r="H102" i="9"/>
  <c r="I102" i="9"/>
  <c r="G103" i="9"/>
  <c r="H103" i="9"/>
  <c r="I103" i="9"/>
  <c r="G104" i="9"/>
  <c r="H104" i="9"/>
  <c r="I104" i="9"/>
  <c r="G105" i="9"/>
  <c r="H105" i="9"/>
  <c r="I105" i="9"/>
  <c r="G106" i="9"/>
  <c r="H106" i="9"/>
  <c r="I106" i="9"/>
  <c r="G107" i="9"/>
  <c r="H107" i="9"/>
  <c r="I107" i="9"/>
  <c r="G108" i="9"/>
  <c r="H108" i="9"/>
  <c r="I108" i="9"/>
  <c r="G109" i="9"/>
  <c r="H109" i="9"/>
  <c r="I109" i="9"/>
  <c r="G110" i="9"/>
  <c r="H110" i="9"/>
  <c r="I110" i="9"/>
  <c r="G111" i="9"/>
  <c r="H111" i="9"/>
  <c r="I111" i="9"/>
  <c r="G112" i="9"/>
  <c r="H112" i="9"/>
  <c r="I112" i="9"/>
  <c r="G113" i="9"/>
  <c r="H113" i="9"/>
  <c r="I113" i="9"/>
  <c r="G114" i="9"/>
  <c r="H114" i="9"/>
  <c r="I114" i="9"/>
  <c r="G115" i="9"/>
  <c r="H115" i="9"/>
  <c r="I115" i="9"/>
  <c r="G116" i="9"/>
  <c r="H116" i="9"/>
  <c r="I116" i="9"/>
  <c r="G117" i="9"/>
  <c r="H117" i="9"/>
  <c r="I117" i="9"/>
  <c r="G118" i="9"/>
  <c r="H118" i="9"/>
  <c r="I118" i="9"/>
  <c r="G119" i="9"/>
  <c r="H119" i="9"/>
  <c r="I119" i="9"/>
  <c r="G120" i="9"/>
  <c r="H120" i="9"/>
  <c r="I120" i="9"/>
  <c r="G121" i="9"/>
  <c r="H121" i="9"/>
  <c r="I121" i="9"/>
  <c r="G122" i="9"/>
  <c r="H122" i="9"/>
  <c r="I122" i="9"/>
  <c r="G123" i="9"/>
  <c r="H123" i="9"/>
  <c r="I123" i="9"/>
  <c r="G124" i="9"/>
  <c r="H124" i="9"/>
  <c r="I124" i="9"/>
  <c r="G125" i="9"/>
  <c r="H125" i="9"/>
  <c r="I125" i="9"/>
  <c r="G126" i="9"/>
  <c r="H126" i="9"/>
  <c r="I126" i="9"/>
  <c r="G127" i="9"/>
  <c r="H127" i="9"/>
  <c r="I127" i="9"/>
  <c r="G128" i="9"/>
  <c r="H128" i="9"/>
  <c r="I128" i="9"/>
  <c r="G129" i="9"/>
  <c r="H129" i="9"/>
  <c r="I129" i="9"/>
  <c r="G130" i="9"/>
  <c r="H130" i="9"/>
  <c r="I130" i="9"/>
  <c r="G131" i="9"/>
  <c r="H131" i="9"/>
  <c r="I131" i="9"/>
  <c r="G132" i="9"/>
  <c r="H132" i="9"/>
  <c r="I132" i="9"/>
  <c r="G133" i="9"/>
  <c r="H133" i="9"/>
  <c r="I133" i="9"/>
  <c r="G134" i="9"/>
  <c r="H134" i="9"/>
  <c r="I134" i="9"/>
  <c r="G135" i="9"/>
  <c r="H135" i="9"/>
  <c r="I135" i="9"/>
  <c r="G136" i="9"/>
  <c r="H136" i="9"/>
  <c r="I136" i="9"/>
  <c r="G137" i="9"/>
  <c r="H137" i="9"/>
  <c r="I137" i="9"/>
  <c r="G138" i="9"/>
  <c r="H138" i="9"/>
  <c r="I138" i="9"/>
  <c r="G139" i="9"/>
  <c r="H139" i="9"/>
  <c r="I139" i="9"/>
  <c r="G140" i="9"/>
  <c r="H140" i="9"/>
  <c r="I140" i="9"/>
  <c r="G141" i="9"/>
  <c r="H141" i="9"/>
  <c r="I141" i="9"/>
  <c r="G142" i="9"/>
  <c r="H142" i="9"/>
  <c r="I142" i="9"/>
  <c r="G143" i="9"/>
  <c r="H143" i="9"/>
  <c r="I143" i="9"/>
  <c r="G144" i="9"/>
  <c r="H144" i="9"/>
  <c r="I144" i="9"/>
  <c r="G145" i="9"/>
  <c r="H145" i="9"/>
  <c r="I145" i="9"/>
  <c r="G146" i="9"/>
  <c r="H146" i="9"/>
  <c r="I146" i="9"/>
  <c r="G147" i="9"/>
  <c r="H147" i="9"/>
  <c r="I147" i="9"/>
  <c r="G148" i="9"/>
  <c r="H148" i="9"/>
  <c r="I148" i="9"/>
  <c r="G149" i="9"/>
  <c r="H149" i="9"/>
  <c r="I149" i="9"/>
  <c r="G150" i="9"/>
  <c r="H150" i="9"/>
  <c r="I150" i="9"/>
  <c r="G151" i="9"/>
  <c r="H151" i="9"/>
  <c r="I151" i="9"/>
  <c r="G152" i="9"/>
  <c r="H152" i="9"/>
  <c r="I152" i="9"/>
  <c r="G153" i="9"/>
  <c r="H153" i="9"/>
  <c r="I153" i="9"/>
  <c r="G154" i="9"/>
  <c r="H154" i="9"/>
  <c r="I154" i="9"/>
  <c r="G155" i="9"/>
  <c r="H155" i="9"/>
  <c r="I155" i="9"/>
  <c r="G156" i="9"/>
  <c r="H156" i="9"/>
  <c r="I156" i="9"/>
  <c r="G157" i="9"/>
  <c r="H157" i="9"/>
  <c r="I157" i="9"/>
  <c r="G158" i="9"/>
  <c r="H158" i="9"/>
  <c r="I158" i="9"/>
  <c r="G159" i="9"/>
  <c r="H159" i="9"/>
  <c r="I159" i="9"/>
  <c r="G160" i="9"/>
  <c r="H160" i="9"/>
  <c r="I160" i="9"/>
  <c r="G161" i="9"/>
  <c r="H161" i="9"/>
  <c r="I161" i="9"/>
  <c r="G162" i="9"/>
  <c r="H162" i="9"/>
  <c r="I162" i="9"/>
  <c r="G163" i="9"/>
  <c r="H163" i="9"/>
  <c r="I163" i="9"/>
  <c r="G164" i="9"/>
  <c r="H164" i="9"/>
  <c r="I164" i="9"/>
  <c r="G165" i="9"/>
  <c r="H165" i="9"/>
  <c r="I165" i="9"/>
  <c r="G166" i="9"/>
  <c r="H166" i="9"/>
  <c r="I166" i="9"/>
  <c r="G167" i="9"/>
  <c r="H167" i="9"/>
  <c r="I167" i="9"/>
  <c r="G168" i="9"/>
  <c r="H168" i="9"/>
  <c r="I168" i="9"/>
  <c r="G169" i="9"/>
  <c r="H169" i="9"/>
  <c r="I169" i="9"/>
  <c r="G170" i="9"/>
  <c r="H170" i="9"/>
  <c r="I170" i="9"/>
  <c r="G171" i="9"/>
  <c r="H171" i="9"/>
  <c r="I171" i="9"/>
  <c r="G172" i="9"/>
  <c r="H172" i="9"/>
  <c r="I172" i="9"/>
  <c r="G173" i="9"/>
  <c r="H173" i="9"/>
  <c r="I173" i="9"/>
  <c r="G174" i="9"/>
  <c r="H174" i="9"/>
  <c r="I174" i="9"/>
  <c r="G175" i="9"/>
  <c r="H175" i="9"/>
  <c r="I175" i="9"/>
  <c r="G176" i="9"/>
  <c r="H176" i="9"/>
  <c r="I176" i="9"/>
  <c r="G177" i="9"/>
  <c r="H177" i="9"/>
  <c r="I177" i="9"/>
  <c r="G178" i="9"/>
  <c r="H178" i="9"/>
  <c r="I178" i="9"/>
  <c r="G179" i="9"/>
  <c r="H179" i="9"/>
  <c r="I179" i="9"/>
  <c r="G180" i="9"/>
  <c r="H180" i="9"/>
  <c r="I180" i="9"/>
  <c r="G181" i="9"/>
  <c r="H181" i="9"/>
  <c r="I181" i="9"/>
  <c r="G182" i="9"/>
  <c r="H182" i="9"/>
  <c r="I182" i="9"/>
  <c r="G183" i="9"/>
  <c r="H183" i="9"/>
  <c r="I183" i="9"/>
  <c r="G184" i="9"/>
  <c r="H184" i="9"/>
  <c r="I184" i="9"/>
  <c r="G185" i="9"/>
  <c r="H185" i="9"/>
  <c r="I185" i="9"/>
  <c r="G186" i="9"/>
  <c r="H186" i="9"/>
  <c r="I186" i="9"/>
  <c r="G187" i="9"/>
  <c r="H187" i="9"/>
  <c r="I187" i="9"/>
  <c r="G188" i="9"/>
  <c r="H188" i="9"/>
  <c r="I188" i="9"/>
  <c r="G189" i="9"/>
  <c r="H189" i="9"/>
  <c r="I189" i="9"/>
  <c r="G190" i="9"/>
  <c r="H190" i="9"/>
  <c r="I190" i="9"/>
  <c r="G191" i="9"/>
  <c r="H191" i="9"/>
  <c r="I191" i="9"/>
  <c r="G192" i="9"/>
  <c r="H192" i="9"/>
  <c r="I192" i="9"/>
  <c r="G193" i="9"/>
  <c r="H193" i="9"/>
  <c r="I193" i="9"/>
  <c r="G194" i="9"/>
  <c r="H194" i="9"/>
  <c r="I194" i="9"/>
  <c r="G195" i="9"/>
  <c r="H195" i="9"/>
  <c r="I195" i="9"/>
  <c r="G196" i="9"/>
  <c r="H196" i="9"/>
  <c r="I196" i="9"/>
  <c r="G197" i="9"/>
  <c r="H197" i="9"/>
  <c r="I197" i="9"/>
  <c r="G198" i="9"/>
  <c r="H198" i="9"/>
  <c r="I198" i="9"/>
  <c r="G199" i="9"/>
  <c r="H199" i="9"/>
  <c r="I199" i="9"/>
  <c r="G200" i="9"/>
  <c r="H200" i="9"/>
  <c r="I200" i="9"/>
  <c r="G201" i="9"/>
  <c r="H201" i="9"/>
  <c r="I201" i="9"/>
  <c r="G202" i="9"/>
  <c r="H202" i="9"/>
  <c r="I202" i="9"/>
  <c r="G203" i="9"/>
  <c r="H203" i="9"/>
  <c r="I203" i="9"/>
  <c r="G204" i="9"/>
  <c r="H204" i="9"/>
  <c r="I204" i="9"/>
  <c r="G205" i="9"/>
  <c r="H205" i="9"/>
  <c r="I205" i="9"/>
  <c r="G206" i="9"/>
  <c r="H206" i="9"/>
  <c r="I206" i="9"/>
  <c r="G207" i="9"/>
  <c r="H207" i="9"/>
  <c r="I207" i="9"/>
  <c r="G208" i="9"/>
  <c r="H208" i="9"/>
  <c r="I208" i="9"/>
  <c r="G209" i="9"/>
  <c r="H209" i="9"/>
  <c r="I209" i="9"/>
  <c r="G210" i="9"/>
  <c r="H210" i="9"/>
  <c r="I210" i="9"/>
  <c r="G211" i="9"/>
  <c r="H211" i="9"/>
  <c r="I211" i="9"/>
  <c r="G212" i="9"/>
  <c r="H212" i="9"/>
  <c r="I212" i="9"/>
  <c r="G213" i="9"/>
  <c r="H213" i="9"/>
  <c r="I213" i="9"/>
  <c r="G214" i="9"/>
  <c r="H214" i="9"/>
  <c r="I214" i="9"/>
  <c r="G215" i="9"/>
  <c r="H215" i="9"/>
  <c r="I215" i="9"/>
  <c r="G216" i="9"/>
  <c r="H216" i="9"/>
  <c r="I216" i="9"/>
  <c r="G217" i="9"/>
  <c r="H217" i="9"/>
  <c r="I217" i="9"/>
  <c r="G218" i="9"/>
  <c r="H218" i="9"/>
  <c r="I218" i="9"/>
  <c r="G219" i="9"/>
  <c r="H219" i="9"/>
  <c r="I219" i="9"/>
  <c r="G220" i="9"/>
  <c r="H220" i="9"/>
  <c r="I220" i="9"/>
  <c r="G221" i="9"/>
  <c r="H221" i="9"/>
  <c r="I221" i="9"/>
  <c r="G222" i="9"/>
  <c r="H222" i="9"/>
  <c r="I222" i="9"/>
  <c r="G223" i="9"/>
  <c r="H223" i="9"/>
  <c r="I223" i="9"/>
  <c r="G224" i="9"/>
  <c r="H224" i="9"/>
  <c r="I224" i="9"/>
  <c r="G225" i="9"/>
  <c r="H225" i="9"/>
  <c r="I225" i="9"/>
  <c r="G226" i="9"/>
  <c r="H226" i="9"/>
  <c r="I226" i="9"/>
  <c r="G227" i="9"/>
  <c r="H227" i="9"/>
  <c r="I227" i="9"/>
  <c r="G228" i="9"/>
  <c r="H228" i="9"/>
  <c r="I228" i="9"/>
  <c r="G229" i="9"/>
  <c r="H229" i="9"/>
  <c r="I229" i="9"/>
  <c r="G230" i="9"/>
  <c r="H230" i="9"/>
  <c r="I230" i="9"/>
  <c r="G231" i="9"/>
  <c r="H231" i="9"/>
  <c r="I231" i="9"/>
  <c r="G232" i="9"/>
  <c r="H232" i="9"/>
  <c r="I232" i="9"/>
  <c r="G233" i="9"/>
  <c r="H233" i="9"/>
  <c r="I233" i="9"/>
  <c r="G234" i="9"/>
  <c r="H234" i="9"/>
  <c r="I234" i="9"/>
  <c r="G235" i="9"/>
  <c r="H235" i="9"/>
  <c r="I235" i="9"/>
  <c r="G236" i="9"/>
  <c r="H236" i="9"/>
  <c r="I236" i="9"/>
  <c r="G237" i="9"/>
  <c r="H237" i="9"/>
  <c r="I237" i="9"/>
  <c r="G238" i="9"/>
  <c r="H238" i="9"/>
  <c r="I238" i="9"/>
  <c r="G239" i="9"/>
  <c r="H239" i="9"/>
  <c r="I239" i="9"/>
  <c r="G240" i="9"/>
  <c r="H240" i="9"/>
  <c r="I240" i="9"/>
  <c r="G241" i="9"/>
  <c r="H241" i="9"/>
  <c r="I241" i="9"/>
  <c r="G242" i="9"/>
  <c r="H242" i="9"/>
  <c r="I242" i="9"/>
  <c r="G243" i="9"/>
  <c r="H243" i="9"/>
  <c r="I243" i="9"/>
  <c r="G244" i="9"/>
  <c r="H244" i="9"/>
  <c r="I244" i="9"/>
  <c r="G245" i="9"/>
  <c r="H245" i="9"/>
  <c r="I245" i="9"/>
  <c r="G246" i="9"/>
  <c r="H246" i="9"/>
  <c r="I246" i="9"/>
  <c r="G247" i="9"/>
  <c r="H247" i="9"/>
  <c r="I247" i="9"/>
  <c r="G248" i="9"/>
  <c r="H248" i="9"/>
  <c r="I248" i="9"/>
  <c r="G249" i="9"/>
  <c r="H249" i="9"/>
  <c r="I249" i="9"/>
  <c r="G250" i="9"/>
  <c r="H250" i="9"/>
  <c r="I250" i="9"/>
  <c r="G251" i="9"/>
  <c r="H251" i="9"/>
  <c r="I251" i="9"/>
  <c r="G252" i="9"/>
  <c r="H252" i="9"/>
  <c r="I252" i="9"/>
  <c r="G253" i="9"/>
  <c r="H253" i="9"/>
  <c r="I253" i="9"/>
  <c r="G254" i="9"/>
  <c r="H254" i="9"/>
  <c r="I254" i="9"/>
  <c r="G255" i="9"/>
  <c r="H255" i="9"/>
  <c r="I255" i="9"/>
  <c r="G256" i="9"/>
  <c r="H256" i="9"/>
  <c r="I256" i="9"/>
  <c r="G257" i="9"/>
  <c r="H257" i="9"/>
  <c r="I257" i="9"/>
  <c r="G258" i="9"/>
  <c r="H258" i="9"/>
  <c r="I258" i="9"/>
  <c r="G259" i="9"/>
  <c r="H259" i="9"/>
  <c r="I259" i="9"/>
  <c r="G260" i="9"/>
  <c r="H260" i="9"/>
  <c r="I260" i="9"/>
  <c r="G261" i="9"/>
  <c r="H261" i="9"/>
  <c r="I261" i="9"/>
  <c r="G262" i="9"/>
  <c r="H262" i="9"/>
  <c r="I262" i="9"/>
  <c r="G263" i="9"/>
  <c r="H263" i="9"/>
  <c r="I263" i="9"/>
  <c r="G264" i="9"/>
  <c r="H264" i="9"/>
  <c r="I264" i="9"/>
  <c r="G265" i="9"/>
  <c r="H265" i="9"/>
  <c r="I265" i="9"/>
  <c r="G266" i="9"/>
  <c r="H266" i="9"/>
  <c r="I266" i="9"/>
  <c r="G267" i="9"/>
  <c r="H267" i="9"/>
  <c r="I267" i="9"/>
  <c r="G268" i="9"/>
  <c r="H268" i="9"/>
  <c r="I268" i="9"/>
  <c r="G269" i="9"/>
  <c r="H269" i="9"/>
  <c r="I269" i="9"/>
  <c r="G270" i="9"/>
  <c r="H270" i="9"/>
  <c r="I270" i="9"/>
  <c r="G271" i="9"/>
  <c r="H271" i="9"/>
  <c r="I271" i="9"/>
  <c r="G272" i="9"/>
  <c r="H272" i="9"/>
  <c r="I272" i="9"/>
  <c r="G273" i="9"/>
  <c r="H273" i="9"/>
  <c r="I273" i="9"/>
  <c r="G274" i="9"/>
  <c r="H274" i="9"/>
  <c r="I274" i="9"/>
  <c r="G275" i="9"/>
  <c r="H275" i="9"/>
  <c r="I275" i="9"/>
  <c r="G276" i="9"/>
  <c r="H276" i="9"/>
  <c r="I276" i="9"/>
  <c r="G277" i="9"/>
  <c r="H277" i="9"/>
  <c r="I277" i="9"/>
  <c r="G278" i="9"/>
  <c r="H278" i="9"/>
  <c r="I278" i="9"/>
  <c r="G279" i="9"/>
  <c r="H279" i="9"/>
  <c r="I279" i="9"/>
  <c r="G280" i="9"/>
  <c r="H280" i="9"/>
  <c r="I280" i="9"/>
  <c r="G281" i="9"/>
  <c r="H281" i="9"/>
  <c r="I281" i="9"/>
  <c r="G282" i="9"/>
  <c r="H282" i="9"/>
  <c r="I282" i="9"/>
  <c r="G283" i="9"/>
  <c r="H283" i="9"/>
  <c r="I283" i="9"/>
  <c r="G284" i="9"/>
  <c r="H284" i="9"/>
  <c r="I284" i="9"/>
  <c r="G285" i="9"/>
  <c r="H285" i="9"/>
  <c r="I285" i="9"/>
  <c r="G286" i="9"/>
  <c r="H286" i="9"/>
  <c r="I286" i="9"/>
  <c r="G287" i="9"/>
  <c r="H287" i="9"/>
  <c r="I287" i="9"/>
  <c r="G288" i="9"/>
  <c r="H288" i="9"/>
  <c r="I288" i="9"/>
  <c r="G289" i="9"/>
  <c r="H289" i="9"/>
  <c r="I289" i="9"/>
  <c r="G290" i="9"/>
  <c r="H290" i="9"/>
  <c r="I290" i="9"/>
  <c r="G291" i="9"/>
  <c r="H291" i="9"/>
  <c r="I291" i="9"/>
  <c r="G292" i="9"/>
  <c r="H292" i="9"/>
  <c r="I292" i="9"/>
  <c r="G293" i="9"/>
  <c r="H293" i="9"/>
  <c r="I293" i="9"/>
  <c r="G294" i="9"/>
  <c r="H294" i="9"/>
  <c r="I294" i="9"/>
  <c r="G295" i="9"/>
  <c r="H295" i="9"/>
  <c r="I295" i="9"/>
  <c r="G296" i="9"/>
  <c r="H296" i="9"/>
  <c r="I296" i="9"/>
  <c r="G297" i="9"/>
  <c r="H297" i="9"/>
  <c r="I297" i="9"/>
  <c r="G298" i="9"/>
  <c r="H298" i="9"/>
  <c r="I298" i="9"/>
  <c r="G299" i="9"/>
  <c r="H299" i="9"/>
  <c r="I299" i="9"/>
  <c r="G300" i="9"/>
  <c r="H300" i="9"/>
  <c r="I300" i="9"/>
  <c r="G301" i="9"/>
  <c r="H301" i="9"/>
  <c r="I301" i="9"/>
  <c r="G302" i="9"/>
  <c r="H302" i="9"/>
  <c r="I302" i="9"/>
  <c r="G303" i="9"/>
  <c r="H303" i="9"/>
  <c r="I303" i="9"/>
  <c r="G304" i="9"/>
  <c r="H304" i="9"/>
  <c r="I304" i="9"/>
  <c r="G305" i="9"/>
  <c r="H305" i="9"/>
  <c r="I305" i="9"/>
  <c r="G306" i="9"/>
  <c r="H306" i="9"/>
  <c r="I306" i="9"/>
  <c r="G307" i="9"/>
  <c r="H307" i="9"/>
  <c r="I307" i="9"/>
  <c r="G308" i="9"/>
  <c r="H308" i="9"/>
  <c r="I308" i="9"/>
  <c r="G309" i="9"/>
  <c r="H309" i="9"/>
  <c r="I309" i="9"/>
  <c r="G310" i="9"/>
  <c r="H310" i="9"/>
  <c r="I310" i="9"/>
  <c r="G311" i="9"/>
  <c r="H311" i="9"/>
  <c r="I311" i="9"/>
  <c r="G312" i="9"/>
  <c r="H312" i="9"/>
  <c r="I312" i="9"/>
  <c r="G313" i="9"/>
  <c r="H313" i="9"/>
  <c r="I313" i="9"/>
  <c r="G314" i="9"/>
  <c r="H314" i="9"/>
  <c r="I314" i="9"/>
  <c r="G315" i="9"/>
  <c r="H315" i="9"/>
  <c r="I315" i="9"/>
  <c r="G316" i="9"/>
  <c r="H316" i="9"/>
  <c r="I316" i="9"/>
  <c r="G317" i="9"/>
  <c r="H317" i="9"/>
  <c r="I317" i="9"/>
  <c r="G318" i="9"/>
  <c r="H318" i="9"/>
  <c r="I318" i="9"/>
  <c r="G319" i="9"/>
  <c r="H319" i="9"/>
  <c r="I319" i="9"/>
  <c r="G320" i="9"/>
  <c r="H320" i="9"/>
  <c r="I320" i="9"/>
  <c r="G321" i="9"/>
  <c r="H321" i="9"/>
  <c r="I321" i="9"/>
  <c r="G322" i="9"/>
  <c r="H322" i="9"/>
  <c r="I322" i="9"/>
  <c r="G323" i="9"/>
  <c r="H323" i="9"/>
  <c r="I323" i="9"/>
  <c r="G324" i="9"/>
  <c r="H324" i="9"/>
  <c r="I324" i="9"/>
  <c r="G325" i="9"/>
  <c r="H325" i="9"/>
  <c r="I325" i="9"/>
  <c r="G326" i="9"/>
  <c r="H326" i="9"/>
  <c r="I326" i="9"/>
  <c r="G327" i="9"/>
  <c r="H327" i="9"/>
  <c r="I327" i="9"/>
  <c r="G328" i="9"/>
  <c r="H328" i="9"/>
  <c r="I328" i="9"/>
  <c r="G329" i="9"/>
  <c r="H329" i="9"/>
  <c r="I329" i="9"/>
  <c r="G330" i="9"/>
  <c r="H330" i="9"/>
  <c r="I330" i="9"/>
  <c r="G331" i="9"/>
  <c r="H331" i="9"/>
  <c r="I331" i="9"/>
  <c r="G332" i="9"/>
  <c r="H332" i="9"/>
  <c r="I332" i="9"/>
  <c r="G333" i="9"/>
  <c r="H333" i="9"/>
  <c r="I333" i="9"/>
  <c r="G334" i="9"/>
  <c r="H334" i="9"/>
  <c r="I334" i="9"/>
  <c r="G335" i="9"/>
  <c r="H335" i="9"/>
  <c r="I335" i="9"/>
  <c r="G336" i="9"/>
  <c r="H336" i="9"/>
  <c r="I336" i="9"/>
  <c r="G337" i="9"/>
  <c r="H337" i="9"/>
  <c r="I337" i="9"/>
  <c r="G338" i="9"/>
  <c r="H338" i="9"/>
  <c r="I338" i="9"/>
  <c r="G339" i="9"/>
  <c r="H339" i="9"/>
  <c r="I339" i="9"/>
  <c r="G340" i="9"/>
  <c r="H340" i="9"/>
  <c r="I340" i="9"/>
  <c r="G341" i="9"/>
  <c r="H341" i="9"/>
  <c r="I341" i="9"/>
  <c r="G342" i="9"/>
  <c r="H342" i="9"/>
  <c r="I342" i="9"/>
  <c r="G343" i="9"/>
  <c r="H343" i="9"/>
  <c r="I343" i="9"/>
  <c r="G344" i="9"/>
  <c r="H344" i="9"/>
  <c r="I344" i="9"/>
  <c r="G345" i="9"/>
  <c r="H345" i="9"/>
  <c r="I345" i="9"/>
  <c r="G346" i="9"/>
  <c r="H346" i="9"/>
  <c r="I346" i="9"/>
  <c r="G347" i="9"/>
  <c r="H347" i="9"/>
  <c r="I347" i="9"/>
  <c r="G348" i="9"/>
  <c r="H348" i="9"/>
  <c r="I348" i="9"/>
  <c r="G349" i="9"/>
  <c r="H349" i="9"/>
  <c r="I349" i="9"/>
  <c r="G350" i="9"/>
  <c r="H350" i="9"/>
  <c r="I350" i="9"/>
  <c r="G351" i="9"/>
  <c r="H351" i="9"/>
  <c r="I351" i="9"/>
  <c r="G352" i="9"/>
  <c r="H352" i="9"/>
  <c r="I352" i="9"/>
  <c r="G353" i="9"/>
  <c r="H353" i="9"/>
  <c r="I353" i="9"/>
  <c r="G354" i="9"/>
  <c r="H354" i="9"/>
  <c r="I354" i="9"/>
  <c r="G355" i="9"/>
  <c r="H355" i="9"/>
  <c r="I355" i="9"/>
  <c r="G356" i="9"/>
  <c r="H356" i="9"/>
  <c r="I356" i="9"/>
  <c r="G357" i="9"/>
  <c r="H357" i="9"/>
  <c r="I357" i="9"/>
  <c r="G358" i="9"/>
  <c r="H358" i="9"/>
  <c r="I358" i="9"/>
  <c r="G359" i="9"/>
  <c r="H359" i="9"/>
  <c r="I359" i="9"/>
  <c r="G360" i="9"/>
  <c r="H360" i="9"/>
  <c r="I360" i="9"/>
  <c r="G361" i="9"/>
  <c r="H361" i="9"/>
  <c r="I361" i="9"/>
  <c r="G362" i="9"/>
  <c r="H362" i="9"/>
  <c r="I362" i="9"/>
  <c r="G363" i="9"/>
  <c r="H363" i="9"/>
  <c r="I363" i="9"/>
  <c r="G364" i="9"/>
  <c r="H364" i="9"/>
  <c r="I364" i="9"/>
  <c r="G365" i="9"/>
  <c r="H365" i="9"/>
  <c r="I365" i="9"/>
  <c r="G366" i="9"/>
  <c r="H366" i="9"/>
  <c r="I366" i="9"/>
  <c r="G367" i="9"/>
  <c r="H367" i="9"/>
  <c r="I367" i="9"/>
  <c r="G368" i="9"/>
  <c r="H368" i="9"/>
  <c r="I368" i="9"/>
  <c r="G369" i="9"/>
  <c r="H369" i="9"/>
  <c r="I369" i="9"/>
  <c r="G370" i="9"/>
  <c r="H370" i="9"/>
  <c r="I370" i="9"/>
  <c r="G371" i="9"/>
  <c r="H371" i="9"/>
  <c r="I371" i="9"/>
  <c r="G372" i="9"/>
  <c r="H372" i="9"/>
  <c r="I372" i="9"/>
  <c r="G373" i="9"/>
  <c r="H373" i="9"/>
  <c r="I373" i="9"/>
  <c r="G374" i="9"/>
  <c r="H374" i="9"/>
  <c r="I374" i="9"/>
  <c r="G375" i="9"/>
  <c r="H375" i="9"/>
  <c r="I375" i="9"/>
  <c r="G376" i="9"/>
  <c r="H376" i="9"/>
  <c r="I376" i="9"/>
  <c r="G377" i="9"/>
  <c r="H377" i="9"/>
  <c r="I377" i="9"/>
  <c r="G378" i="9"/>
  <c r="H378" i="9"/>
  <c r="I378" i="9"/>
  <c r="G379" i="9"/>
  <c r="H379" i="9"/>
  <c r="I379" i="9"/>
  <c r="G380" i="9"/>
  <c r="H380" i="9"/>
  <c r="I380" i="9"/>
  <c r="G381" i="9"/>
  <c r="H381" i="9"/>
  <c r="I381" i="9"/>
  <c r="G382" i="9"/>
  <c r="H382" i="9"/>
  <c r="I382" i="9"/>
  <c r="G383" i="9"/>
  <c r="H383" i="9"/>
  <c r="I383" i="9"/>
  <c r="G384" i="9"/>
  <c r="H384" i="9"/>
  <c r="I384" i="9"/>
  <c r="G385" i="9"/>
  <c r="H385" i="9"/>
  <c r="I385" i="9"/>
  <c r="G386" i="9"/>
  <c r="H386" i="9"/>
  <c r="I386" i="9"/>
  <c r="G387" i="9"/>
  <c r="H387" i="9"/>
  <c r="I387" i="9"/>
  <c r="G388" i="9"/>
  <c r="H388" i="9"/>
  <c r="I388" i="9"/>
  <c r="G389" i="9"/>
  <c r="H389" i="9"/>
  <c r="I389" i="9"/>
  <c r="G390" i="9"/>
  <c r="H390" i="9"/>
  <c r="I390" i="9"/>
  <c r="G391" i="9"/>
  <c r="H391" i="9"/>
  <c r="I391" i="9"/>
  <c r="G392" i="9"/>
  <c r="H392" i="9"/>
  <c r="I392" i="9"/>
  <c r="G393" i="9"/>
  <c r="H393" i="9"/>
  <c r="I393" i="9"/>
  <c r="G394" i="9"/>
  <c r="H394" i="9"/>
  <c r="I394" i="9"/>
  <c r="G395" i="9"/>
  <c r="H395" i="9"/>
  <c r="I395" i="9"/>
  <c r="G396" i="9"/>
  <c r="H396" i="9"/>
  <c r="I396" i="9"/>
  <c r="G397" i="9"/>
  <c r="H397" i="9"/>
  <c r="I397" i="9"/>
  <c r="G398" i="9"/>
  <c r="H398" i="9"/>
  <c r="I398" i="9"/>
  <c r="G399" i="9"/>
  <c r="H399" i="9"/>
  <c r="I399" i="9"/>
  <c r="G400" i="9"/>
  <c r="H400" i="9"/>
  <c r="I400" i="9"/>
  <c r="G401" i="9"/>
  <c r="H401" i="9"/>
  <c r="I401" i="9"/>
  <c r="G402" i="9"/>
  <c r="H402" i="9"/>
  <c r="I402" i="9"/>
  <c r="G403" i="9"/>
  <c r="H403" i="9"/>
  <c r="I403" i="9"/>
  <c r="G404" i="9"/>
  <c r="H404" i="9"/>
  <c r="I404" i="9"/>
  <c r="G405" i="9"/>
  <c r="H405" i="9"/>
  <c r="I405" i="9"/>
  <c r="G406" i="9"/>
  <c r="H406" i="9"/>
  <c r="I406" i="9"/>
  <c r="G407" i="9"/>
  <c r="H407" i="9"/>
  <c r="I407" i="9"/>
  <c r="G408" i="9"/>
  <c r="H408" i="9"/>
  <c r="I408" i="9"/>
  <c r="G409" i="9"/>
  <c r="H409" i="9"/>
  <c r="I409" i="9"/>
  <c r="G410" i="9"/>
  <c r="H410" i="9"/>
  <c r="I410" i="9"/>
  <c r="G411" i="9"/>
  <c r="H411" i="9"/>
  <c r="I411" i="9"/>
  <c r="G412" i="9"/>
  <c r="H412" i="9"/>
  <c r="I412" i="9"/>
  <c r="G413" i="9"/>
  <c r="H413" i="9"/>
  <c r="I413" i="9"/>
  <c r="G414" i="9"/>
  <c r="H414" i="9"/>
  <c r="I414" i="9"/>
  <c r="G415" i="9"/>
  <c r="H415" i="9"/>
  <c r="I415" i="9"/>
  <c r="G416" i="9"/>
  <c r="H416" i="9"/>
  <c r="I416" i="9"/>
  <c r="G417" i="9"/>
  <c r="H417" i="9"/>
  <c r="I417" i="9"/>
  <c r="G418" i="9"/>
  <c r="H418" i="9"/>
  <c r="I418" i="9"/>
  <c r="G419" i="9"/>
  <c r="H419" i="9"/>
  <c r="I419" i="9"/>
  <c r="G420" i="9"/>
  <c r="H420" i="9"/>
  <c r="I420" i="9"/>
  <c r="G421" i="9"/>
  <c r="H421" i="9"/>
  <c r="I421" i="9"/>
  <c r="G422" i="9"/>
  <c r="H422" i="9"/>
  <c r="I422" i="9"/>
  <c r="G423" i="9"/>
  <c r="H423" i="9"/>
  <c r="I423" i="9"/>
  <c r="G424" i="9"/>
  <c r="H424" i="9"/>
  <c r="I424" i="9"/>
  <c r="G425" i="9"/>
  <c r="H425" i="9"/>
  <c r="I425" i="9"/>
  <c r="G426" i="9"/>
  <c r="H426" i="9"/>
  <c r="I426" i="9"/>
  <c r="G427" i="9"/>
  <c r="H427" i="9"/>
  <c r="I427" i="9"/>
  <c r="G428" i="9"/>
  <c r="H428" i="9"/>
  <c r="I428" i="9"/>
  <c r="G429" i="9"/>
  <c r="H429" i="9"/>
  <c r="I429" i="9"/>
  <c r="G430" i="9"/>
  <c r="H430" i="9"/>
  <c r="I430" i="9"/>
  <c r="G431" i="9"/>
  <c r="H431" i="9"/>
  <c r="I431" i="9"/>
  <c r="G432" i="9"/>
  <c r="H432" i="9"/>
  <c r="I432" i="9"/>
  <c r="G433" i="9"/>
  <c r="H433" i="9"/>
  <c r="I433" i="9"/>
  <c r="G434" i="9"/>
  <c r="H434" i="9"/>
  <c r="I434" i="9"/>
  <c r="G435" i="9"/>
  <c r="H435" i="9"/>
  <c r="I435" i="9"/>
  <c r="G436" i="9"/>
  <c r="H436" i="9"/>
  <c r="I436" i="9"/>
  <c r="G437" i="9"/>
  <c r="H437" i="9"/>
  <c r="I437" i="9"/>
  <c r="G438" i="9"/>
  <c r="H438" i="9"/>
  <c r="I438" i="9"/>
  <c r="G439" i="9"/>
  <c r="H439" i="9"/>
  <c r="I439" i="9"/>
  <c r="G440" i="9"/>
  <c r="H440" i="9"/>
  <c r="I440" i="9"/>
  <c r="G441" i="9"/>
  <c r="H441" i="9"/>
  <c r="I441" i="9"/>
  <c r="G442" i="9"/>
  <c r="H442" i="9"/>
  <c r="I442" i="9"/>
  <c r="G443" i="9"/>
  <c r="H443" i="9"/>
  <c r="I443" i="9"/>
  <c r="G444" i="9"/>
  <c r="H444" i="9"/>
  <c r="I444" i="9"/>
  <c r="G445" i="9"/>
  <c r="H445" i="9"/>
  <c r="I445" i="9"/>
  <c r="G446" i="9"/>
  <c r="H446" i="9"/>
  <c r="I446" i="9"/>
  <c r="G447" i="9"/>
  <c r="H447" i="9"/>
  <c r="I447" i="9"/>
  <c r="G448" i="9"/>
  <c r="H448" i="9"/>
  <c r="I448" i="9"/>
  <c r="G449" i="9"/>
  <c r="H449" i="9"/>
  <c r="I449" i="9"/>
  <c r="G450" i="9"/>
  <c r="H450" i="9"/>
  <c r="I450" i="9"/>
  <c r="G451" i="9"/>
  <c r="H451" i="9"/>
  <c r="I451" i="9"/>
  <c r="G452" i="9"/>
  <c r="H452" i="9"/>
  <c r="I452" i="9"/>
  <c r="G453" i="9"/>
  <c r="H453" i="9"/>
  <c r="I453" i="9"/>
  <c r="G454" i="9"/>
  <c r="H454" i="9"/>
  <c r="I454" i="9"/>
  <c r="G455" i="9"/>
  <c r="H455" i="9"/>
  <c r="I455" i="9"/>
  <c r="G456" i="9"/>
  <c r="H456" i="9"/>
  <c r="I456" i="9"/>
  <c r="G457" i="9"/>
  <c r="H457" i="9"/>
  <c r="I457" i="9"/>
  <c r="G458" i="9"/>
  <c r="H458" i="9"/>
  <c r="I458" i="9"/>
  <c r="G459" i="9"/>
  <c r="H459" i="9"/>
  <c r="I459" i="9"/>
  <c r="G460" i="9"/>
  <c r="H460" i="9"/>
  <c r="I460" i="9"/>
  <c r="G461" i="9"/>
  <c r="H461" i="9"/>
  <c r="I461" i="9"/>
  <c r="G462" i="9"/>
  <c r="H462" i="9"/>
  <c r="I462" i="9"/>
  <c r="G463" i="9"/>
  <c r="H463" i="9"/>
  <c r="I463" i="9"/>
  <c r="G464" i="9"/>
  <c r="H464" i="9"/>
  <c r="I464" i="9"/>
  <c r="G465" i="9"/>
  <c r="H465" i="9"/>
  <c r="I465" i="9"/>
  <c r="G466" i="9"/>
  <c r="H466" i="9"/>
  <c r="I466" i="9"/>
  <c r="G467" i="9"/>
  <c r="H467" i="9"/>
  <c r="I467" i="9"/>
  <c r="G468" i="9"/>
  <c r="H468" i="9"/>
  <c r="I468" i="9"/>
  <c r="G469" i="9"/>
  <c r="H469" i="9"/>
  <c r="I469" i="9"/>
  <c r="G470" i="9"/>
  <c r="H470" i="9"/>
  <c r="I470" i="9"/>
  <c r="G471" i="9"/>
  <c r="H471" i="9"/>
  <c r="I471" i="9"/>
  <c r="G472" i="9"/>
  <c r="H472" i="9"/>
  <c r="I472" i="9"/>
  <c r="G473" i="9"/>
  <c r="H473" i="9"/>
  <c r="I473" i="9"/>
  <c r="G474" i="9"/>
  <c r="H474" i="9"/>
  <c r="I474" i="9"/>
  <c r="G475" i="9"/>
  <c r="H475" i="9"/>
  <c r="I475" i="9"/>
  <c r="G476" i="9"/>
  <c r="H476" i="9"/>
  <c r="I476" i="9"/>
  <c r="G477" i="9"/>
  <c r="H477" i="9"/>
  <c r="I477" i="9"/>
  <c r="G478" i="9"/>
  <c r="H478" i="9"/>
  <c r="I478" i="9"/>
  <c r="G479" i="9"/>
  <c r="H479" i="9"/>
  <c r="I479" i="9"/>
  <c r="G480" i="9"/>
  <c r="H480" i="9"/>
  <c r="I480" i="9"/>
  <c r="G481" i="9"/>
  <c r="H481" i="9"/>
  <c r="I481" i="9"/>
  <c r="G482" i="9"/>
  <c r="H482" i="9"/>
  <c r="I482" i="9"/>
  <c r="G483" i="9"/>
  <c r="H483" i="9"/>
  <c r="I483" i="9"/>
  <c r="G484" i="9"/>
  <c r="H484" i="9"/>
  <c r="I484" i="9"/>
  <c r="G485" i="9"/>
  <c r="H485" i="9"/>
  <c r="I485" i="9"/>
  <c r="G486" i="9"/>
  <c r="H486" i="9"/>
  <c r="I486" i="9"/>
  <c r="G487" i="9"/>
  <c r="H487" i="9"/>
  <c r="I487" i="9"/>
  <c r="G488" i="9"/>
  <c r="H488" i="9"/>
  <c r="I488" i="9"/>
  <c r="G489" i="9"/>
  <c r="H489" i="9"/>
  <c r="I489" i="9"/>
  <c r="G490" i="9"/>
  <c r="H490" i="9"/>
  <c r="I490" i="9"/>
  <c r="G491" i="9"/>
  <c r="H491" i="9"/>
  <c r="I491" i="9"/>
  <c r="G492" i="9"/>
  <c r="H492" i="9"/>
  <c r="I492" i="9"/>
  <c r="G493" i="9"/>
  <c r="H493" i="9"/>
  <c r="I493" i="9"/>
  <c r="G494" i="9"/>
  <c r="H494" i="9"/>
  <c r="I494" i="9"/>
  <c r="G495" i="9"/>
  <c r="H495" i="9"/>
  <c r="I495" i="9"/>
  <c r="G496" i="9"/>
  <c r="H496" i="9"/>
  <c r="I496" i="9"/>
  <c r="G497" i="9"/>
  <c r="H497" i="9"/>
  <c r="I497" i="9"/>
  <c r="G498" i="9"/>
  <c r="H498" i="9"/>
  <c r="I498" i="9"/>
  <c r="G499" i="9"/>
  <c r="H499" i="9"/>
  <c r="I499" i="9"/>
  <c r="G500" i="9"/>
  <c r="H500" i="9"/>
  <c r="I500" i="9"/>
  <c r="G501" i="9"/>
  <c r="H501" i="9"/>
  <c r="I501" i="9"/>
  <c r="G502" i="9"/>
  <c r="H502" i="9"/>
  <c r="I502" i="9"/>
  <c r="G503" i="9"/>
  <c r="H503" i="9"/>
  <c r="I503" i="9"/>
  <c r="G504" i="9"/>
  <c r="H504" i="9"/>
  <c r="I504" i="9"/>
  <c r="G505" i="9"/>
  <c r="H505" i="9"/>
  <c r="I505" i="9"/>
  <c r="G506" i="9"/>
  <c r="H506" i="9"/>
  <c r="I506" i="9"/>
  <c r="G507" i="9"/>
  <c r="H507" i="9"/>
  <c r="I507" i="9"/>
  <c r="G508" i="9"/>
  <c r="H508" i="9"/>
  <c r="I508" i="9"/>
  <c r="G509" i="9"/>
  <c r="H509" i="9"/>
  <c r="I509" i="9"/>
  <c r="G510" i="9"/>
  <c r="H510" i="9"/>
  <c r="I510" i="9"/>
  <c r="G511" i="9"/>
  <c r="H511" i="9"/>
  <c r="I511" i="9"/>
  <c r="G512" i="9"/>
  <c r="H512" i="9"/>
  <c r="I512" i="9"/>
  <c r="G513" i="9"/>
  <c r="H513" i="9"/>
  <c r="I513" i="9"/>
  <c r="G514" i="9"/>
  <c r="H514" i="9"/>
  <c r="I514" i="9"/>
  <c r="G515" i="9"/>
  <c r="H515" i="9"/>
  <c r="I515" i="9"/>
  <c r="G516" i="9"/>
  <c r="H516" i="9"/>
  <c r="I516" i="9"/>
  <c r="G517" i="9"/>
  <c r="H517" i="9"/>
  <c r="I517" i="9"/>
  <c r="G518" i="9"/>
  <c r="H518" i="9"/>
  <c r="I518" i="9"/>
  <c r="G519" i="9"/>
  <c r="H519" i="9"/>
  <c r="I519" i="9"/>
  <c r="G520" i="9"/>
  <c r="H520" i="9"/>
  <c r="I520" i="9"/>
  <c r="G521" i="9"/>
  <c r="H521" i="9"/>
  <c r="I521" i="9"/>
  <c r="G522" i="9"/>
  <c r="H522" i="9"/>
  <c r="I522" i="9"/>
  <c r="G523" i="9"/>
  <c r="H523" i="9"/>
  <c r="I523" i="9"/>
  <c r="G524" i="9"/>
  <c r="H524" i="9"/>
  <c r="I524" i="9"/>
  <c r="G525" i="9"/>
  <c r="H525" i="9"/>
  <c r="I525" i="9"/>
  <c r="G526" i="9"/>
  <c r="H526" i="9"/>
  <c r="I526" i="9"/>
  <c r="G527" i="9"/>
  <c r="H527" i="9"/>
  <c r="I527" i="9"/>
  <c r="G528" i="9"/>
  <c r="H528" i="9"/>
  <c r="I528" i="9"/>
  <c r="G529" i="9"/>
  <c r="H529" i="9"/>
  <c r="I529" i="9"/>
  <c r="G530" i="9"/>
  <c r="H530" i="9"/>
  <c r="I530" i="9"/>
  <c r="G531" i="9"/>
  <c r="H531" i="9"/>
  <c r="I531" i="9"/>
  <c r="G532" i="9"/>
  <c r="H532" i="9"/>
  <c r="I532" i="9"/>
  <c r="G533" i="9"/>
  <c r="H533" i="9"/>
  <c r="I533" i="9"/>
  <c r="G534" i="9"/>
  <c r="H534" i="9"/>
  <c r="I534" i="9"/>
  <c r="G535" i="9"/>
  <c r="H535" i="9"/>
  <c r="I535" i="9"/>
  <c r="G536" i="9"/>
  <c r="H536" i="9"/>
  <c r="I536" i="9"/>
  <c r="G537" i="9"/>
  <c r="H537" i="9"/>
  <c r="I537" i="9"/>
  <c r="G538" i="9"/>
  <c r="H538" i="9"/>
  <c r="I538" i="9"/>
  <c r="G539" i="9"/>
  <c r="H539" i="9"/>
  <c r="I539" i="9"/>
  <c r="G540" i="9"/>
  <c r="H540" i="9"/>
  <c r="I540" i="9"/>
  <c r="G541" i="9"/>
  <c r="H541" i="9"/>
  <c r="I541" i="9"/>
  <c r="G542" i="9"/>
  <c r="H542" i="9"/>
  <c r="I542" i="9"/>
  <c r="G543" i="9"/>
  <c r="H543" i="9"/>
  <c r="I543" i="9"/>
  <c r="G544" i="9"/>
  <c r="H544" i="9"/>
  <c r="I544" i="9"/>
  <c r="G545" i="9"/>
  <c r="H545" i="9"/>
  <c r="I545" i="9"/>
  <c r="G546" i="9"/>
  <c r="H546" i="9"/>
  <c r="I546" i="9"/>
  <c r="G547" i="9"/>
  <c r="H547" i="9"/>
  <c r="I547" i="9"/>
  <c r="G548" i="9"/>
  <c r="H548" i="9"/>
  <c r="I548" i="9"/>
  <c r="G549" i="9"/>
  <c r="H549" i="9"/>
  <c r="I549" i="9"/>
  <c r="G550" i="9"/>
  <c r="H550" i="9"/>
  <c r="I550" i="9"/>
  <c r="G551" i="9"/>
  <c r="H551" i="9"/>
  <c r="I551" i="9"/>
  <c r="G552" i="9"/>
  <c r="H552" i="9"/>
  <c r="I552" i="9"/>
  <c r="G553" i="9"/>
  <c r="H553" i="9"/>
  <c r="I553" i="9"/>
  <c r="G554" i="9"/>
  <c r="H554" i="9"/>
  <c r="I554" i="9"/>
  <c r="G555" i="9"/>
  <c r="H555" i="9"/>
  <c r="I555" i="9"/>
  <c r="G556" i="9"/>
  <c r="H556" i="9"/>
  <c r="I556" i="9"/>
  <c r="G557" i="9"/>
  <c r="H557" i="9"/>
  <c r="I557" i="9"/>
  <c r="G558" i="9"/>
  <c r="H558" i="9"/>
  <c r="I558" i="9"/>
  <c r="G559" i="9"/>
  <c r="H559" i="9"/>
  <c r="I559" i="9"/>
  <c r="G560" i="9"/>
  <c r="H560" i="9"/>
  <c r="I560" i="9"/>
  <c r="G561" i="9"/>
  <c r="H561" i="9"/>
  <c r="I561" i="9"/>
  <c r="G562" i="9"/>
  <c r="H562" i="9"/>
  <c r="I562" i="9"/>
  <c r="G563" i="9"/>
  <c r="H563" i="9"/>
  <c r="I563" i="9"/>
  <c r="G564" i="9"/>
  <c r="H564" i="9"/>
  <c r="I564" i="9"/>
  <c r="G565" i="9"/>
  <c r="H565" i="9"/>
  <c r="I565" i="9"/>
  <c r="G566" i="9"/>
  <c r="H566" i="9"/>
  <c r="I566" i="9"/>
  <c r="G567" i="9"/>
  <c r="H567" i="9"/>
  <c r="I567" i="9"/>
  <c r="G568" i="9"/>
  <c r="H568" i="9"/>
  <c r="I568" i="9"/>
  <c r="G569" i="9"/>
  <c r="H569" i="9"/>
  <c r="I569" i="9"/>
  <c r="G570" i="9"/>
  <c r="H570" i="9"/>
  <c r="I570" i="9"/>
  <c r="G571" i="9"/>
  <c r="H571" i="9"/>
  <c r="I571" i="9"/>
  <c r="G572" i="9"/>
  <c r="H572" i="9"/>
  <c r="I572" i="9"/>
  <c r="G573" i="9"/>
  <c r="H573" i="9"/>
  <c r="I573" i="9"/>
  <c r="G574" i="9"/>
  <c r="H574" i="9"/>
  <c r="I574" i="9"/>
  <c r="G575" i="9"/>
  <c r="H575" i="9"/>
  <c r="I575" i="9"/>
  <c r="G576" i="9"/>
  <c r="H576" i="9"/>
  <c r="I576" i="9"/>
  <c r="G577" i="9"/>
  <c r="H577" i="9"/>
  <c r="I577" i="9"/>
  <c r="G578" i="9"/>
  <c r="H578" i="9"/>
  <c r="I578" i="9"/>
  <c r="G579" i="9"/>
  <c r="H579" i="9"/>
  <c r="I579" i="9"/>
  <c r="G580" i="9"/>
  <c r="H580" i="9"/>
  <c r="I580" i="9"/>
  <c r="G581" i="9"/>
  <c r="H581" i="9"/>
  <c r="I581" i="9"/>
  <c r="G582" i="9"/>
  <c r="H582" i="9"/>
  <c r="I582" i="9"/>
  <c r="G583" i="9"/>
  <c r="H583" i="9"/>
  <c r="I583" i="9"/>
  <c r="G584" i="9"/>
  <c r="H584" i="9"/>
  <c r="I584" i="9"/>
  <c r="G585" i="9"/>
  <c r="H585" i="9"/>
  <c r="I585" i="9"/>
  <c r="G586" i="9"/>
  <c r="H586" i="9"/>
  <c r="I586" i="9"/>
  <c r="G587" i="9"/>
  <c r="H587" i="9"/>
  <c r="I587" i="9"/>
  <c r="G588" i="9"/>
  <c r="H588" i="9"/>
  <c r="I588" i="9"/>
  <c r="G589" i="9"/>
  <c r="H589" i="9"/>
  <c r="I589" i="9"/>
  <c r="G590" i="9"/>
  <c r="H590" i="9"/>
  <c r="I590" i="9"/>
  <c r="G591" i="9"/>
  <c r="H591" i="9"/>
  <c r="I591" i="9"/>
  <c r="G592" i="9"/>
  <c r="H592" i="9"/>
  <c r="I592" i="9"/>
  <c r="G593" i="9"/>
  <c r="H593" i="9"/>
  <c r="I593" i="9"/>
  <c r="G594" i="9"/>
  <c r="H594" i="9"/>
  <c r="I594" i="9"/>
  <c r="G595" i="9"/>
  <c r="H595" i="9"/>
  <c r="I595" i="9"/>
  <c r="G596" i="9"/>
  <c r="H596" i="9"/>
  <c r="I596" i="9"/>
  <c r="G597" i="9"/>
  <c r="H597" i="9"/>
  <c r="I597" i="9"/>
  <c r="G598" i="9"/>
  <c r="H598" i="9"/>
  <c r="I598" i="9"/>
  <c r="G599" i="9"/>
  <c r="H599" i="9"/>
  <c r="I599" i="9"/>
  <c r="G600" i="9"/>
  <c r="H600" i="9"/>
  <c r="I600" i="9"/>
  <c r="G601" i="9"/>
  <c r="H601" i="9"/>
  <c r="I601" i="9"/>
  <c r="G602" i="9"/>
  <c r="H602" i="9"/>
  <c r="I602" i="9"/>
  <c r="G603" i="9"/>
  <c r="H603" i="9"/>
  <c r="I603" i="9"/>
  <c r="G604" i="9"/>
  <c r="H604" i="9"/>
  <c r="I604" i="9"/>
  <c r="G605" i="9"/>
  <c r="H605" i="9"/>
  <c r="I605" i="9"/>
  <c r="G606" i="9"/>
  <c r="H606" i="9"/>
  <c r="I606" i="9"/>
  <c r="G607" i="9"/>
  <c r="H607" i="9"/>
  <c r="I607" i="9"/>
  <c r="G608" i="9"/>
  <c r="H608" i="9"/>
  <c r="I608" i="9"/>
  <c r="G609" i="9"/>
  <c r="H609" i="9"/>
  <c r="I609" i="9"/>
  <c r="G610" i="9"/>
  <c r="H610" i="9"/>
  <c r="I610" i="9"/>
  <c r="G611" i="9"/>
  <c r="H611" i="9"/>
  <c r="I611" i="9"/>
  <c r="G612" i="9"/>
  <c r="H612" i="9"/>
  <c r="I612" i="9"/>
  <c r="G613" i="9"/>
  <c r="H613" i="9"/>
  <c r="I613" i="9"/>
  <c r="G614" i="9"/>
  <c r="H614" i="9"/>
  <c r="I614" i="9"/>
  <c r="G615" i="9"/>
  <c r="H615" i="9"/>
  <c r="I615" i="9"/>
  <c r="G616" i="9"/>
  <c r="H616" i="9"/>
  <c r="I616" i="9"/>
  <c r="G617" i="9"/>
  <c r="H617" i="9"/>
  <c r="I617" i="9"/>
  <c r="G618" i="9"/>
  <c r="H618" i="9"/>
  <c r="I618" i="9"/>
  <c r="G619" i="9"/>
  <c r="H619" i="9"/>
  <c r="I619" i="9"/>
  <c r="G620" i="9"/>
  <c r="H620" i="9"/>
  <c r="I620" i="9"/>
  <c r="G621" i="9"/>
  <c r="H621" i="9"/>
  <c r="I621" i="9"/>
  <c r="G622" i="9"/>
  <c r="H622" i="9"/>
  <c r="I622" i="9"/>
  <c r="G623" i="9"/>
  <c r="H623" i="9"/>
  <c r="I623" i="9"/>
  <c r="G624" i="9"/>
  <c r="H624" i="9"/>
  <c r="I624" i="9"/>
  <c r="G625" i="9"/>
  <c r="H625" i="9"/>
  <c r="I625" i="9"/>
  <c r="G626" i="9"/>
  <c r="H626" i="9"/>
  <c r="I626" i="9"/>
  <c r="G627" i="9"/>
  <c r="H627" i="9"/>
  <c r="I627" i="9"/>
  <c r="G628" i="9"/>
  <c r="H628" i="9"/>
  <c r="I628" i="9"/>
  <c r="G629" i="9"/>
  <c r="H629" i="9"/>
  <c r="I629" i="9"/>
  <c r="G630" i="9"/>
  <c r="H630" i="9"/>
  <c r="I630" i="9"/>
  <c r="G631" i="9"/>
  <c r="H631" i="9"/>
  <c r="I631" i="9"/>
  <c r="G632" i="9"/>
  <c r="H632" i="9"/>
  <c r="I632" i="9"/>
  <c r="G633" i="9"/>
  <c r="H633" i="9"/>
  <c r="I633" i="9"/>
  <c r="G634" i="9"/>
  <c r="H634" i="9"/>
  <c r="I634" i="9"/>
  <c r="G635" i="9"/>
  <c r="H635" i="9"/>
  <c r="I635" i="9"/>
  <c r="G636" i="9"/>
  <c r="H636" i="9"/>
  <c r="I636" i="9"/>
  <c r="G637" i="9"/>
  <c r="H637" i="9"/>
  <c r="I637" i="9"/>
  <c r="G638" i="9"/>
  <c r="H638" i="9"/>
  <c r="I638" i="9"/>
  <c r="G639" i="9"/>
  <c r="H639" i="9"/>
  <c r="I639" i="9"/>
  <c r="G640" i="9"/>
  <c r="H640" i="9"/>
  <c r="I640" i="9"/>
  <c r="G641" i="9"/>
  <c r="H641" i="9"/>
  <c r="I641" i="9"/>
  <c r="G642" i="9"/>
  <c r="H642" i="9"/>
  <c r="I642" i="9"/>
  <c r="G643" i="9"/>
  <c r="H643" i="9"/>
  <c r="I643" i="9"/>
  <c r="G644" i="9"/>
  <c r="H644" i="9"/>
  <c r="I644" i="9"/>
  <c r="G645" i="9"/>
  <c r="H645" i="9"/>
  <c r="I645" i="9"/>
  <c r="G646" i="9"/>
  <c r="H646" i="9"/>
  <c r="I646" i="9"/>
  <c r="G647" i="9"/>
  <c r="H647" i="9"/>
  <c r="I647" i="9"/>
  <c r="G648" i="9"/>
  <c r="H648" i="9"/>
  <c r="I648" i="9"/>
  <c r="G649" i="9"/>
  <c r="H649" i="9"/>
  <c r="I649" i="9"/>
  <c r="G650" i="9"/>
  <c r="H650" i="9"/>
  <c r="I650" i="9"/>
  <c r="G651" i="9"/>
  <c r="H651" i="9"/>
  <c r="I651" i="9"/>
  <c r="G652" i="9"/>
  <c r="H652" i="9"/>
  <c r="I652" i="9"/>
  <c r="G653" i="9"/>
  <c r="H653" i="9"/>
  <c r="I653" i="9"/>
  <c r="G654" i="9"/>
  <c r="H654" i="9"/>
  <c r="I654" i="9"/>
  <c r="G655" i="9"/>
  <c r="H655" i="9"/>
  <c r="I655" i="9"/>
  <c r="G656" i="9"/>
  <c r="H656" i="9"/>
  <c r="I656" i="9"/>
  <c r="G657" i="9"/>
  <c r="H657" i="9"/>
  <c r="I657" i="9"/>
  <c r="G658" i="9"/>
  <c r="H658" i="9"/>
  <c r="I658" i="9"/>
  <c r="G659" i="9"/>
  <c r="H659" i="9"/>
  <c r="I659" i="9"/>
  <c r="G660" i="9"/>
  <c r="H660" i="9"/>
  <c r="I660" i="9"/>
  <c r="G661" i="9"/>
  <c r="H661" i="9"/>
  <c r="I661" i="9"/>
  <c r="G662" i="9"/>
  <c r="H662" i="9"/>
  <c r="I662" i="9"/>
  <c r="G663" i="9"/>
  <c r="H663" i="9"/>
  <c r="I663" i="9"/>
  <c r="G664" i="9"/>
  <c r="H664" i="9"/>
  <c r="I664" i="9"/>
  <c r="G665" i="9"/>
  <c r="H665" i="9"/>
  <c r="I665" i="9"/>
  <c r="G666" i="9"/>
  <c r="H666" i="9"/>
  <c r="I666" i="9"/>
  <c r="G667" i="9"/>
  <c r="H667" i="9"/>
  <c r="I667" i="9"/>
  <c r="G668" i="9"/>
  <c r="H668" i="9"/>
  <c r="I668" i="9"/>
  <c r="G669" i="9"/>
  <c r="H669" i="9"/>
  <c r="I669" i="9"/>
  <c r="G670" i="9"/>
  <c r="H670" i="9"/>
  <c r="I670" i="9"/>
  <c r="G671" i="9"/>
  <c r="H671" i="9"/>
  <c r="I671" i="9"/>
  <c r="G672" i="9"/>
  <c r="H672" i="9"/>
  <c r="I672" i="9"/>
  <c r="G673" i="9"/>
  <c r="H673" i="9"/>
  <c r="I673" i="9"/>
  <c r="G674" i="9"/>
  <c r="H674" i="9"/>
  <c r="I674" i="9"/>
  <c r="G675" i="9"/>
  <c r="H675" i="9"/>
  <c r="I675" i="9"/>
  <c r="G676" i="9"/>
  <c r="H676" i="9"/>
  <c r="I676" i="9"/>
  <c r="G677" i="9"/>
  <c r="H677" i="9"/>
  <c r="I677" i="9"/>
  <c r="G678" i="9"/>
  <c r="H678" i="9"/>
  <c r="I678" i="9"/>
  <c r="G679" i="9"/>
  <c r="H679" i="9"/>
  <c r="I679" i="9"/>
  <c r="G680" i="9"/>
  <c r="H680" i="9"/>
  <c r="I680" i="9"/>
  <c r="G681" i="9"/>
  <c r="H681" i="9"/>
  <c r="I681" i="9"/>
  <c r="G682" i="9"/>
  <c r="H682" i="9"/>
  <c r="I682" i="9"/>
  <c r="G683" i="9"/>
  <c r="H683" i="9"/>
  <c r="I683" i="9"/>
  <c r="G684" i="9"/>
  <c r="H684" i="9"/>
  <c r="I684" i="9"/>
  <c r="G685" i="9"/>
  <c r="H685" i="9"/>
  <c r="I685" i="9"/>
  <c r="G686" i="9"/>
  <c r="H686" i="9"/>
  <c r="I686" i="9"/>
  <c r="G687" i="9"/>
  <c r="H687" i="9"/>
  <c r="I687" i="9"/>
  <c r="G688" i="9"/>
  <c r="H688" i="9"/>
  <c r="I688" i="9"/>
  <c r="G689" i="9"/>
  <c r="H689" i="9"/>
  <c r="I689" i="9"/>
  <c r="G690" i="9"/>
  <c r="H690" i="9"/>
  <c r="I690" i="9"/>
  <c r="G691" i="9"/>
  <c r="H691" i="9"/>
  <c r="I691" i="9"/>
  <c r="G692" i="9"/>
  <c r="H692" i="9"/>
  <c r="I692" i="9"/>
  <c r="G693" i="9"/>
  <c r="H693" i="9"/>
  <c r="I693" i="9"/>
  <c r="G694" i="9"/>
  <c r="H694" i="9"/>
  <c r="I694" i="9"/>
  <c r="G695" i="9"/>
  <c r="H695" i="9"/>
  <c r="I695" i="9"/>
  <c r="G696" i="9"/>
  <c r="H696" i="9"/>
  <c r="I696" i="9"/>
  <c r="G697" i="9"/>
  <c r="H697" i="9"/>
  <c r="I697" i="9"/>
  <c r="G698" i="9"/>
  <c r="H698" i="9"/>
  <c r="I698" i="9"/>
  <c r="G699" i="9"/>
  <c r="H699" i="9"/>
  <c r="I699" i="9"/>
  <c r="G700" i="9"/>
  <c r="H700" i="9"/>
  <c r="I700" i="9"/>
  <c r="G701" i="9"/>
  <c r="H701" i="9"/>
  <c r="I701" i="9"/>
  <c r="G702" i="9"/>
  <c r="H702" i="9"/>
  <c r="I702" i="9"/>
  <c r="G703" i="9"/>
  <c r="H703" i="9"/>
  <c r="I703" i="9"/>
  <c r="G704" i="9"/>
  <c r="H704" i="9"/>
  <c r="I704" i="9"/>
  <c r="G705" i="9"/>
  <c r="H705" i="9"/>
  <c r="I705" i="9"/>
  <c r="G706" i="9"/>
  <c r="H706" i="9"/>
  <c r="I706" i="9"/>
  <c r="G707" i="9"/>
  <c r="H707" i="9"/>
  <c r="I707" i="9"/>
  <c r="G708" i="9"/>
  <c r="H708" i="9"/>
  <c r="I708" i="9"/>
  <c r="G709" i="9"/>
  <c r="H709" i="9"/>
  <c r="I709" i="9"/>
  <c r="G710" i="9"/>
  <c r="H710" i="9"/>
  <c r="I710" i="9"/>
  <c r="G711" i="9"/>
  <c r="H711" i="9"/>
  <c r="I711" i="9"/>
  <c r="G712" i="9"/>
  <c r="H712" i="9"/>
  <c r="I712" i="9"/>
  <c r="G713" i="9"/>
  <c r="H713" i="9"/>
  <c r="I713" i="9"/>
  <c r="G714" i="9"/>
  <c r="H714" i="9"/>
  <c r="I714" i="9"/>
  <c r="G715" i="9"/>
  <c r="H715" i="9"/>
  <c r="I715" i="9"/>
  <c r="G716" i="9"/>
  <c r="H716" i="9"/>
  <c r="I716" i="9"/>
  <c r="G717" i="9"/>
  <c r="H717" i="9"/>
  <c r="I717" i="9"/>
  <c r="G718" i="9"/>
  <c r="H718" i="9"/>
  <c r="I718" i="9"/>
  <c r="G719" i="9"/>
  <c r="H719" i="9"/>
  <c r="I719" i="9"/>
  <c r="G720" i="9"/>
  <c r="H720" i="9"/>
  <c r="I720" i="9"/>
  <c r="G721" i="9"/>
  <c r="H721" i="9"/>
  <c r="I721" i="9"/>
  <c r="G722" i="9"/>
  <c r="H722" i="9"/>
  <c r="I722" i="9"/>
  <c r="G723" i="9"/>
  <c r="H723" i="9"/>
  <c r="I723" i="9"/>
  <c r="G724" i="9"/>
  <c r="H724" i="9"/>
  <c r="I724" i="9"/>
  <c r="G725" i="9"/>
  <c r="H725" i="9"/>
  <c r="I725" i="9"/>
  <c r="G726" i="9"/>
  <c r="H726" i="9"/>
  <c r="I726" i="9"/>
  <c r="G727" i="9"/>
  <c r="H727" i="9"/>
  <c r="I727" i="9"/>
  <c r="G728" i="9"/>
  <c r="H728" i="9"/>
  <c r="I728" i="9"/>
  <c r="G729" i="9"/>
  <c r="H729" i="9"/>
  <c r="I729" i="9"/>
  <c r="G730" i="9"/>
  <c r="H730" i="9"/>
  <c r="I730" i="9"/>
  <c r="G731" i="9"/>
  <c r="H731" i="9"/>
  <c r="I731" i="9"/>
  <c r="G732" i="9"/>
  <c r="H732" i="9"/>
  <c r="I732" i="9"/>
  <c r="G733" i="9"/>
  <c r="H733" i="9"/>
  <c r="I733" i="9"/>
  <c r="G734" i="9"/>
  <c r="H734" i="9"/>
  <c r="I734" i="9"/>
  <c r="G735" i="9"/>
  <c r="H735" i="9"/>
  <c r="I735" i="9"/>
  <c r="G736" i="9"/>
  <c r="H736" i="9"/>
  <c r="I736" i="9"/>
  <c r="G737" i="9"/>
  <c r="H737" i="9"/>
  <c r="I737" i="9"/>
  <c r="G738" i="9"/>
  <c r="H738" i="9"/>
  <c r="I738" i="9"/>
  <c r="G739" i="9"/>
  <c r="H739" i="9"/>
  <c r="I739" i="9"/>
  <c r="G740" i="9"/>
  <c r="H740" i="9"/>
  <c r="I740" i="9"/>
  <c r="G741" i="9"/>
  <c r="H741" i="9"/>
  <c r="I741" i="9"/>
  <c r="G742" i="9"/>
  <c r="H742" i="9"/>
  <c r="I742" i="9"/>
  <c r="G743" i="9"/>
  <c r="H743" i="9"/>
  <c r="I743" i="9"/>
  <c r="G744" i="9"/>
  <c r="H744" i="9"/>
  <c r="I744" i="9"/>
  <c r="G745" i="9"/>
  <c r="H745" i="9"/>
  <c r="I745" i="9"/>
  <c r="G746" i="9"/>
  <c r="H746" i="9"/>
  <c r="I746" i="9"/>
  <c r="G747" i="9"/>
  <c r="H747" i="9"/>
  <c r="I747" i="9"/>
  <c r="G748" i="9"/>
  <c r="H748" i="9"/>
  <c r="I748" i="9"/>
  <c r="G749" i="9"/>
  <c r="H749" i="9"/>
  <c r="I749" i="9"/>
  <c r="G750" i="9"/>
  <c r="H750" i="9"/>
  <c r="I750" i="9"/>
  <c r="G751" i="9"/>
  <c r="H751" i="9"/>
  <c r="I751" i="9"/>
  <c r="G752" i="9"/>
  <c r="H752" i="9"/>
  <c r="I752" i="9"/>
  <c r="G753" i="9"/>
  <c r="H753" i="9"/>
  <c r="I753" i="9"/>
  <c r="G754" i="9"/>
  <c r="H754" i="9"/>
  <c r="I754" i="9"/>
  <c r="G755" i="9"/>
  <c r="H755" i="9"/>
  <c r="I755" i="9"/>
  <c r="G756" i="9"/>
  <c r="H756" i="9"/>
  <c r="I756" i="9"/>
  <c r="G757" i="9"/>
  <c r="H757" i="9"/>
  <c r="I757" i="9"/>
  <c r="G758" i="9"/>
  <c r="H758" i="9"/>
  <c r="I758" i="9"/>
  <c r="G759" i="9"/>
  <c r="H759" i="9"/>
  <c r="I759" i="9"/>
  <c r="G760" i="9"/>
  <c r="H760" i="9"/>
  <c r="I760" i="9"/>
  <c r="G761" i="9"/>
  <c r="H761" i="9"/>
  <c r="I761" i="9"/>
  <c r="G762" i="9"/>
  <c r="H762" i="9"/>
  <c r="I762" i="9"/>
  <c r="G763" i="9"/>
  <c r="H763" i="9"/>
  <c r="I763" i="9"/>
  <c r="G764" i="9"/>
  <c r="H764" i="9"/>
  <c r="I764" i="9"/>
  <c r="G765" i="9"/>
  <c r="H765" i="9"/>
  <c r="I765" i="9"/>
  <c r="G766" i="9"/>
  <c r="H766" i="9"/>
  <c r="I766" i="9"/>
  <c r="G767" i="9"/>
  <c r="H767" i="9"/>
  <c r="I767" i="9"/>
  <c r="G768" i="9"/>
  <c r="H768" i="9"/>
  <c r="I768" i="9"/>
  <c r="G769" i="9"/>
  <c r="H769" i="9"/>
  <c r="I769" i="9"/>
  <c r="G770" i="9"/>
  <c r="H770" i="9"/>
  <c r="I770" i="9"/>
  <c r="G771" i="9"/>
  <c r="H771" i="9"/>
  <c r="I771" i="9"/>
  <c r="G772" i="9"/>
  <c r="H772" i="9"/>
  <c r="I772" i="9"/>
  <c r="G773" i="9"/>
  <c r="H773" i="9"/>
  <c r="I773" i="9"/>
  <c r="G774" i="9"/>
  <c r="H774" i="9"/>
  <c r="I774" i="9"/>
  <c r="G775" i="9"/>
  <c r="H775" i="9"/>
  <c r="I775" i="9"/>
  <c r="G776" i="9"/>
  <c r="H776" i="9"/>
  <c r="I776" i="9"/>
  <c r="G777" i="9"/>
  <c r="H777" i="9"/>
  <c r="I777" i="9"/>
  <c r="G778" i="9"/>
  <c r="H778" i="9"/>
  <c r="I778" i="9"/>
  <c r="G779" i="9"/>
  <c r="H779" i="9"/>
  <c r="I779" i="9"/>
  <c r="G780" i="9"/>
  <c r="H780" i="9"/>
  <c r="I780" i="9"/>
  <c r="G781" i="9"/>
  <c r="H781" i="9"/>
  <c r="I781" i="9"/>
  <c r="G782" i="9"/>
  <c r="H782" i="9"/>
  <c r="I782" i="9"/>
  <c r="G783" i="9"/>
  <c r="H783" i="9"/>
  <c r="I783" i="9"/>
  <c r="G784" i="9"/>
  <c r="H784" i="9"/>
  <c r="I784" i="9"/>
  <c r="G785" i="9"/>
  <c r="H785" i="9"/>
  <c r="I785" i="9"/>
  <c r="G786" i="9"/>
  <c r="H786" i="9"/>
  <c r="I786" i="9"/>
  <c r="G787" i="9"/>
  <c r="H787" i="9"/>
  <c r="I787" i="9"/>
  <c r="G788" i="9"/>
  <c r="H788" i="9"/>
  <c r="I788" i="9"/>
  <c r="G789" i="9"/>
  <c r="H789" i="9"/>
  <c r="I789" i="9"/>
  <c r="G790" i="9"/>
  <c r="H790" i="9"/>
  <c r="I790" i="9"/>
  <c r="G791" i="9"/>
  <c r="H791" i="9"/>
  <c r="I791" i="9"/>
  <c r="G792" i="9"/>
  <c r="H792" i="9"/>
  <c r="I792" i="9"/>
  <c r="G793" i="9"/>
  <c r="H793" i="9"/>
  <c r="I793" i="9"/>
  <c r="G794" i="9"/>
  <c r="H794" i="9"/>
  <c r="I794" i="9"/>
  <c r="G795" i="9"/>
  <c r="H795" i="9"/>
  <c r="I795" i="9"/>
  <c r="G796" i="9"/>
  <c r="H796" i="9"/>
  <c r="I796" i="9"/>
  <c r="G797" i="9"/>
  <c r="H797" i="9"/>
  <c r="I797" i="9"/>
  <c r="G798" i="9"/>
  <c r="H798" i="9"/>
  <c r="I798" i="9"/>
  <c r="G799" i="9"/>
  <c r="H799" i="9"/>
  <c r="I799" i="9"/>
  <c r="G800" i="9"/>
  <c r="H800" i="9"/>
  <c r="I800" i="9"/>
  <c r="G801" i="9"/>
  <c r="H801" i="9"/>
  <c r="I801" i="9"/>
  <c r="G802" i="9"/>
  <c r="H802" i="9"/>
  <c r="I802" i="9"/>
  <c r="G803" i="9"/>
  <c r="H803" i="9"/>
  <c r="I803" i="9"/>
  <c r="G804" i="9"/>
  <c r="H804" i="9"/>
  <c r="I804" i="9"/>
  <c r="G805" i="9"/>
  <c r="H805" i="9"/>
  <c r="I805" i="9"/>
  <c r="G806" i="9"/>
  <c r="H806" i="9"/>
  <c r="I806" i="9"/>
  <c r="G807" i="9"/>
  <c r="H807" i="9"/>
  <c r="I807" i="9"/>
  <c r="G808" i="9"/>
  <c r="H808" i="9"/>
  <c r="I808" i="9"/>
  <c r="G809" i="9"/>
  <c r="H809" i="9"/>
  <c r="I809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2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G45" i="8"/>
  <c r="H45" i="8"/>
  <c r="G46" i="8"/>
  <c r="H46" i="8"/>
  <c r="G47" i="8"/>
  <c r="H47" i="8"/>
  <c r="G48" i="8"/>
  <c r="H48" i="8"/>
  <c r="G49" i="8"/>
  <c r="H49" i="8"/>
  <c r="G50" i="8"/>
  <c r="H50" i="8"/>
  <c r="G51" i="8"/>
  <c r="H51" i="8"/>
  <c r="G52" i="8"/>
  <c r="H52" i="8"/>
  <c r="G53" i="8"/>
  <c r="H53" i="8"/>
  <c r="G54" i="8"/>
  <c r="H54" i="8"/>
  <c r="G55" i="8"/>
  <c r="H55" i="8"/>
  <c r="G56" i="8"/>
  <c r="H56" i="8"/>
  <c r="G57" i="8"/>
  <c r="H57" i="8"/>
  <c r="G58" i="8"/>
  <c r="H58" i="8"/>
  <c r="G59" i="8"/>
  <c r="H59" i="8"/>
  <c r="G60" i="8"/>
  <c r="H60" i="8"/>
  <c r="G61" i="8"/>
  <c r="H61" i="8"/>
  <c r="G62" i="8"/>
  <c r="H62" i="8"/>
  <c r="G63" i="8"/>
  <c r="H63" i="8"/>
  <c r="G64" i="8"/>
  <c r="H64" i="8"/>
  <c r="G65" i="8"/>
  <c r="H65" i="8"/>
  <c r="G66" i="8"/>
  <c r="H66" i="8"/>
  <c r="G67" i="8"/>
  <c r="H67" i="8"/>
  <c r="G68" i="8"/>
  <c r="H68" i="8"/>
  <c r="G69" i="8"/>
  <c r="H69" i="8"/>
  <c r="G70" i="8"/>
  <c r="H70" i="8"/>
  <c r="G71" i="8"/>
  <c r="H71" i="8"/>
  <c r="G72" i="8"/>
  <c r="H72" i="8"/>
  <c r="G73" i="8"/>
  <c r="H73" i="8"/>
  <c r="G74" i="8"/>
  <c r="H74" i="8"/>
  <c r="G75" i="8"/>
  <c r="H75" i="8"/>
  <c r="G76" i="8"/>
  <c r="H76" i="8"/>
  <c r="G77" i="8"/>
  <c r="H77" i="8"/>
  <c r="G78" i="8"/>
  <c r="H78" i="8"/>
  <c r="G79" i="8"/>
  <c r="H79" i="8"/>
  <c r="G80" i="8"/>
  <c r="H80" i="8"/>
  <c r="G81" i="8"/>
  <c r="H81" i="8"/>
  <c r="G82" i="8"/>
  <c r="H82" i="8"/>
  <c r="G83" i="8"/>
  <c r="H83" i="8"/>
  <c r="G84" i="8"/>
  <c r="H84" i="8"/>
  <c r="G85" i="8"/>
  <c r="H85" i="8"/>
  <c r="G86" i="8"/>
  <c r="H86" i="8"/>
  <c r="G87" i="8"/>
  <c r="H87" i="8"/>
  <c r="G88" i="8"/>
  <c r="H88" i="8"/>
  <c r="G89" i="8"/>
  <c r="H89" i="8"/>
  <c r="G90" i="8"/>
  <c r="H90" i="8"/>
  <c r="G91" i="8"/>
  <c r="H91" i="8"/>
  <c r="G92" i="8"/>
  <c r="H92" i="8"/>
  <c r="G93" i="8"/>
  <c r="H93" i="8"/>
  <c r="G94" i="8"/>
  <c r="H94" i="8"/>
  <c r="G95" i="8"/>
  <c r="H95" i="8"/>
  <c r="G96" i="8"/>
  <c r="H96" i="8"/>
  <c r="G97" i="8"/>
  <c r="H97" i="8"/>
  <c r="G98" i="8"/>
  <c r="H98" i="8"/>
  <c r="G99" i="8"/>
  <c r="H99" i="8"/>
  <c r="G100" i="8"/>
  <c r="H100" i="8"/>
  <c r="G101" i="8"/>
  <c r="H101" i="8"/>
  <c r="G102" i="8"/>
  <c r="H102" i="8"/>
  <c r="G103" i="8"/>
  <c r="H103" i="8"/>
  <c r="G104" i="8"/>
  <c r="H104" i="8"/>
  <c r="G105" i="8"/>
  <c r="H105" i="8"/>
  <c r="G106" i="8"/>
  <c r="H106" i="8"/>
  <c r="G107" i="8"/>
  <c r="H107" i="8"/>
  <c r="G108" i="8"/>
  <c r="H108" i="8"/>
  <c r="G109" i="8"/>
  <c r="H109" i="8"/>
  <c r="G110" i="8"/>
  <c r="H110" i="8"/>
  <c r="G111" i="8"/>
  <c r="H111" i="8"/>
  <c r="G112" i="8"/>
  <c r="H112" i="8"/>
  <c r="G113" i="8"/>
  <c r="H113" i="8"/>
  <c r="G114" i="8"/>
  <c r="H114" i="8"/>
  <c r="G115" i="8"/>
  <c r="H115" i="8"/>
  <c r="G116" i="8"/>
  <c r="H116" i="8"/>
  <c r="G117" i="8"/>
  <c r="H117" i="8"/>
  <c r="G118" i="8"/>
  <c r="H118" i="8"/>
  <c r="G119" i="8"/>
  <c r="H119" i="8"/>
  <c r="G120" i="8"/>
  <c r="H120" i="8"/>
  <c r="G121" i="8"/>
  <c r="H121" i="8"/>
  <c r="G122" i="8"/>
  <c r="H122" i="8"/>
  <c r="G123" i="8"/>
  <c r="H123" i="8"/>
  <c r="G124" i="8"/>
  <c r="H124" i="8"/>
  <c r="G125" i="8"/>
  <c r="H125" i="8"/>
  <c r="G126" i="8"/>
  <c r="H126" i="8"/>
  <c r="G127" i="8"/>
  <c r="H127" i="8"/>
  <c r="G128" i="8"/>
  <c r="H128" i="8"/>
  <c r="G129" i="8"/>
  <c r="H129" i="8"/>
  <c r="G130" i="8"/>
  <c r="H130" i="8"/>
  <c r="G131" i="8"/>
  <c r="H131" i="8"/>
  <c r="G132" i="8"/>
  <c r="H132" i="8"/>
  <c r="G133" i="8"/>
  <c r="H133" i="8"/>
  <c r="G134" i="8"/>
  <c r="H134" i="8"/>
  <c r="G135" i="8"/>
  <c r="H135" i="8"/>
  <c r="G136" i="8"/>
  <c r="H136" i="8"/>
  <c r="G137" i="8"/>
  <c r="H137" i="8"/>
  <c r="G138" i="8"/>
  <c r="H138" i="8"/>
  <c r="G139" i="8"/>
  <c r="H139" i="8"/>
  <c r="G140" i="8"/>
  <c r="H140" i="8"/>
  <c r="G141" i="8"/>
  <c r="H141" i="8"/>
  <c r="G142" i="8"/>
  <c r="H142" i="8"/>
  <c r="G143" i="8"/>
  <c r="H143" i="8"/>
  <c r="G144" i="8"/>
  <c r="H144" i="8"/>
  <c r="G145" i="8"/>
  <c r="H145" i="8"/>
  <c r="G146" i="8"/>
  <c r="H146" i="8"/>
  <c r="G147" i="8"/>
  <c r="H147" i="8"/>
  <c r="G148" i="8"/>
  <c r="H148" i="8"/>
  <c r="G149" i="8"/>
  <c r="H149" i="8"/>
  <c r="G150" i="8"/>
  <c r="H150" i="8"/>
  <c r="G151" i="8"/>
  <c r="H151" i="8"/>
  <c r="G152" i="8"/>
  <c r="H152" i="8"/>
  <c r="G153" i="8"/>
  <c r="H153" i="8"/>
  <c r="G154" i="8"/>
  <c r="H154" i="8"/>
  <c r="G155" i="8"/>
  <c r="H155" i="8"/>
  <c r="G156" i="8"/>
  <c r="H156" i="8"/>
  <c r="G157" i="8"/>
  <c r="H157" i="8"/>
  <c r="G158" i="8"/>
  <c r="H158" i="8"/>
  <c r="G159" i="8"/>
  <c r="H159" i="8"/>
  <c r="G160" i="8"/>
  <c r="H160" i="8"/>
  <c r="G161" i="8"/>
  <c r="H161" i="8"/>
  <c r="G162" i="8"/>
  <c r="H162" i="8"/>
  <c r="G163" i="8"/>
  <c r="H163" i="8"/>
  <c r="G164" i="8"/>
  <c r="H164" i="8"/>
  <c r="G165" i="8"/>
  <c r="H165" i="8"/>
  <c r="G166" i="8"/>
  <c r="H166" i="8"/>
  <c r="G167" i="8"/>
  <c r="H167" i="8"/>
  <c r="G168" i="8"/>
  <c r="H168" i="8"/>
  <c r="G169" i="8"/>
  <c r="H169" i="8"/>
  <c r="G170" i="8"/>
  <c r="H170" i="8"/>
  <c r="G171" i="8"/>
  <c r="H171" i="8"/>
  <c r="G172" i="8"/>
  <c r="H172" i="8"/>
  <c r="G173" i="8"/>
  <c r="H173" i="8"/>
  <c r="G174" i="8"/>
  <c r="H174" i="8"/>
  <c r="G175" i="8"/>
  <c r="H175" i="8"/>
  <c r="G176" i="8"/>
  <c r="H176" i="8"/>
  <c r="G177" i="8"/>
  <c r="H177" i="8"/>
  <c r="G178" i="8"/>
  <c r="H178" i="8"/>
  <c r="G179" i="8"/>
  <c r="H179" i="8"/>
  <c r="G180" i="8"/>
  <c r="H180" i="8"/>
  <c r="G181" i="8"/>
  <c r="H181" i="8"/>
  <c r="G182" i="8"/>
  <c r="H182" i="8"/>
  <c r="G183" i="8"/>
  <c r="H183" i="8"/>
  <c r="G184" i="8"/>
  <c r="H184" i="8"/>
  <c r="G185" i="8"/>
  <c r="H185" i="8"/>
  <c r="G186" i="8"/>
  <c r="H186" i="8"/>
  <c r="G187" i="8"/>
  <c r="H187" i="8"/>
  <c r="G188" i="8"/>
  <c r="H188" i="8"/>
  <c r="G189" i="8"/>
  <c r="H189" i="8"/>
  <c r="G190" i="8"/>
  <c r="H190" i="8"/>
  <c r="G191" i="8"/>
  <c r="H191" i="8"/>
  <c r="G192" i="8"/>
  <c r="H192" i="8"/>
  <c r="G193" i="8"/>
  <c r="H193" i="8"/>
  <c r="G194" i="8"/>
  <c r="H194" i="8"/>
  <c r="G195" i="8"/>
  <c r="H195" i="8"/>
  <c r="G196" i="8"/>
  <c r="H196" i="8"/>
  <c r="G197" i="8"/>
  <c r="H197" i="8"/>
  <c r="G198" i="8"/>
  <c r="H198" i="8"/>
  <c r="G199" i="8"/>
  <c r="H199" i="8"/>
  <c r="G200" i="8"/>
  <c r="H200" i="8"/>
  <c r="G201" i="8"/>
  <c r="H201" i="8"/>
  <c r="G202" i="8"/>
  <c r="H202" i="8"/>
  <c r="G203" i="8"/>
  <c r="H203" i="8"/>
  <c r="G204" i="8"/>
  <c r="H204" i="8"/>
  <c r="G205" i="8"/>
  <c r="H205" i="8"/>
  <c r="G206" i="8"/>
  <c r="H206" i="8"/>
  <c r="G207" i="8"/>
  <c r="H207" i="8"/>
  <c r="G208" i="8"/>
  <c r="H208" i="8"/>
  <c r="G209" i="8"/>
  <c r="H209" i="8"/>
  <c r="G210" i="8"/>
  <c r="H210" i="8"/>
  <c r="G211" i="8"/>
  <c r="H211" i="8"/>
  <c r="G212" i="8"/>
  <c r="H212" i="8"/>
  <c r="G213" i="8"/>
  <c r="H213" i="8"/>
  <c r="G214" i="8"/>
  <c r="H214" i="8"/>
  <c r="G215" i="8"/>
  <c r="H215" i="8"/>
  <c r="G216" i="8"/>
  <c r="H216" i="8"/>
  <c r="G217" i="8"/>
  <c r="H217" i="8"/>
  <c r="G218" i="8"/>
  <c r="H218" i="8"/>
  <c r="G219" i="8"/>
  <c r="H219" i="8"/>
  <c r="G220" i="8"/>
  <c r="H220" i="8"/>
  <c r="G221" i="8"/>
  <c r="H221" i="8"/>
  <c r="G222" i="8"/>
  <c r="H222" i="8"/>
  <c r="G223" i="8"/>
  <c r="H223" i="8"/>
  <c r="G224" i="8"/>
  <c r="H224" i="8"/>
  <c r="G225" i="8"/>
  <c r="H225" i="8"/>
  <c r="G226" i="8"/>
  <c r="H226" i="8"/>
  <c r="G227" i="8"/>
  <c r="H227" i="8"/>
  <c r="G228" i="8"/>
  <c r="H228" i="8"/>
  <c r="G229" i="8"/>
  <c r="H229" i="8"/>
  <c r="G230" i="8"/>
  <c r="H230" i="8"/>
  <c r="G231" i="8"/>
  <c r="H231" i="8"/>
  <c r="G232" i="8"/>
  <c r="H232" i="8"/>
  <c r="G233" i="8"/>
  <c r="H233" i="8"/>
  <c r="G234" i="8"/>
  <c r="H234" i="8"/>
  <c r="G235" i="8"/>
  <c r="H235" i="8"/>
  <c r="G236" i="8"/>
  <c r="H236" i="8"/>
  <c r="G237" i="8"/>
  <c r="H237" i="8"/>
  <c r="G238" i="8"/>
  <c r="H238" i="8"/>
  <c r="G239" i="8"/>
  <c r="H239" i="8"/>
  <c r="G240" i="8"/>
  <c r="H240" i="8"/>
  <c r="G241" i="8"/>
  <c r="H241" i="8"/>
  <c r="G242" i="8"/>
  <c r="H242" i="8"/>
  <c r="G243" i="8"/>
  <c r="H243" i="8"/>
  <c r="G244" i="8"/>
  <c r="H244" i="8"/>
  <c r="G245" i="8"/>
  <c r="H245" i="8"/>
  <c r="G246" i="8"/>
  <c r="H246" i="8"/>
  <c r="G247" i="8"/>
  <c r="H247" i="8"/>
  <c r="G248" i="8"/>
  <c r="H248" i="8"/>
  <c r="G249" i="8"/>
  <c r="H249" i="8"/>
  <c r="G250" i="8"/>
  <c r="H250" i="8"/>
  <c r="G251" i="8"/>
  <c r="H251" i="8"/>
  <c r="G252" i="8"/>
  <c r="H252" i="8"/>
  <c r="G253" i="8"/>
  <c r="H253" i="8"/>
  <c r="G254" i="8"/>
  <c r="H254" i="8"/>
  <c r="G255" i="8"/>
  <c r="H255" i="8"/>
  <c r="G256" i="8"/>
  <c r="H256" i="8"/>
  <c r="G257" i="8"/>
  <c r="H257" i="8"/>
  <c r="G258" i="8"/>
  <c r="H258" i="8"/>
  <c r="G259" i="8"/>
  <c r="H259" i="8"/>
  <c r="G260" i="8"/>
  <c r="H260" i="8"/>
  <c r="G261" i="8"/>
  <c r="H261" i="8"/>
  <c r="G262" i="8"/>
  <c r="H262" i="8"/>
  <c r="G263" i="8"/>
  <c r="H263" i="8"/>
  <c r="G264" i="8"/>
  <c r="H264" i="8"/>
  <c r="G265" i="8"/>
  <c r="H265" i="8"/>
  <c r="G266" i="8"/>
  <c r="H266" i="8"/>
  <c r="G267" i="8"/>
  <c r="H267" i="8"/>
  <c r="G268" i="8"/>
  <c r="H268" i="8"/>
  <c r="G269" i="8"/>
  <c r="H269" i="8"/>
  <c r="G270" i="8"/>
  <c r="H270" i="8"/>
  <c r="G271" i="8"/>
  <c r="H271" i="8"/>
  <c r="G272" i="8"/>
  <c r="H272" i="8"/>
  <c r="G273" i="8"/>
  <c r="H273" i="8"/>
  <c r="G274" i="8"/>
  <c r="H274" i="8"/>
  <c r="G275" i="8"/>
  <c r="H275" i="8"/>
  <c r="G276" i="8"/>
  <c r="H276" i="8"/>
  <c r="G277" i="8"/>
  <c r="H277" i="8"/>
  <c r="G278" i="8"/>
  <c r="H278" i="8"/>
  <c r="G279" i="8"/>
  <c r="H279" i="8"/>
  <c r="G280" i="8"/>
  <c r="H280" i="8"/>
  <c r="G281" i="8"/>
  <c r="H281" i="8"/>
  <c r="G282" i="8"/>
  <c r="H282" i="8"/>
  <c r="G283" i="8"/>
  <c r="H283" i="8"/>
  <c r="G284" i="8"/>
  <c r="H284" i="8"/>
  <c r="G285" i="8"/>
  <c r="H285" i="8"/>
  <c r="G286" i="8"/>
  <c r="H286" i="8"/>
  <c r="G287" i="8"/>
  <c r="H287" i="8"/>
  <c r="G288" i="8"/>
  <c r="H288" i="8"/>
  <c r="G289" i="8"/>
  <c r="H289" i="8"/>
  <c r="G290" i="8"/>
  <c r="H290" i="8"/>
  <c r="G291" i="8"/>
  <c r="H291" i="8"/>
  <c r="G292" i="8"/>
  <c r="H292" i="8"/>
  <c r="G293" i="8"/>
  <c r="H293" i="8"/>
  <c r="G294" i="8"/>
  <c r="H294" i="8"/>
  <c r="G295" i="8"/>
  <c r="H295" i="8"/>
  <c r="G296" i="8"/>
  <c r="H296" i="8"/>
  <c r="G297" i="8"/>
  <c r="H297" i="8"/>
  <c r="G298" i="8"/>
  <c r="H298" i="8"/>
  <c r="G299" i="8"/>
  <c r="H299" i="8"/>
  <c r="G300" i="8"/>
  <c r="H300" i="8"/>
  <c r="G301" i="8"/>
  <c r="H301" i="8"/>
  <c r="G302" i="8"/>
  <c r="H302" i="8"/>
  <c r="G303" i="8"/>
  <c r="H303" i="8"/>
  <c r="G304" i="8"/>
  <c r="H304" i="8"/>
  <c r="G305" i="8"/>
  <c r="H305" i="8"/>
  <c r="G306" i="8"/>
  <c r="H306" i="8"/>
  <c r="G307" i="8"/>
  <c r="H307" i="8"/>
  <c r="G308" i="8"/>
  <c r="H308" i="8"/>
  <c r="G309" i="8"/>
  <c r="H309" i="8"/>
  <c r="G310" i="8"/>
  <c r="H310" i="8"/>
  <c r="G311" i="8"/>
  <c r="H311" i="8"/>
  <c r="G312" i="8"/>
  <c r="H312" i="8"/>
  <c r="G313" i="8"/>
  <c r="H313" i="8"/>
  <c r="G314" i="8"/>
  <c r="H314" i="8"/>
  <c r="G315" i="8"/>
  <c r="H315" i="8"/>
  <c r="G316" i="8"/>
  <c r="H316" i="8"/>
  <c r="G317" i="8"/>
  <c r="H317" i="8"/>
  <c r="G318" i="8"/>
  <c r="H318" i="8"/>
  <c r="G319" i="8"/>
  <c r="H319" i="8"/>
  <c r="G320" i="8"/>
  <c r="H320" i="8"/>
  <c r="G321" i="8"/>
  <c r="H321" i="8"/>
  <c r="G322" i="8"/>
  <c r="H322" i="8"/>
  <c r="G323" i="8"/>
  <c r="H323" i="8"/>
  <c r="G324" i="8"/>
  <c r="H324" i="8"/>
  <c r="G325" i="8"/>
  <c r="H325" i="8"/>
  <c r="G326" i="8"/>
  <c r="H326" i="8"/>
  <c r="G327" i="8"/>
  <c r="H327" i="8"/>
  <c r="G328" i="8"/>
  <c r="H328" i="8"/>
  <c r="G329" i="8"/>
  <c r="H329" i="8"/>
  <c r="G330" i="8"/>
  <c r="H330" i="8"/>
  <c r="G331" i="8"/>
  <c r="H331" i="8"/>
  <c r="G332" i="8"/>
  <c r="H332" i="8"/>
  <c r="G333" i="8"/>
  <c r="H333" i="8"/>
  <c r="G334" i="8"/>
  <c r="H334" i="8"/>
  <c r="G335" i="8"/>
  <c r="H335" i="8"/>
  <c r="G336" i="8"/>
  <c r="H336" i="8"/>
  <c r="G337" i="8"/>
  <c r="H337" i="8"/>
  <c r="G338" i="8"/>
  <c r="H338" i="8"/>
  <c r="G339" i="8"/>
  <c r="H339" i="8"/>
  <c r="G340" i="8"/>
  <c r="H340" i="8"/>
  <c r="G341" i="8"/>
  <c r="H341" i="8"/>
  <c r="G342" i="8"/>
  <c r="H342" i="8"/>
  <c r="G343" i="8"/>
  <c r="H343" i="8"/>
  <c r="G344" i="8"/>
  <c r="H344" i="8"/>
  <c r="G345" i="8"/>
  <c r="H345" i="8"/>
  <c r="G346" i="8"/>
  <c r="H346" i="8"/>
  <c r="G347" i="8"/>
  <c r="H347" i="8"/>
  <c r="G348" i="8"/>
  <c r="H348" i="8"/>
  <c r="G349" i="8"/>
  <c r="H349" i="8"/>
  <c r="G350" i="8"/>
  <c r="H350" i="8"/>
  <c r="G351" i="8"/>
  <c r="H351" i="8"/>
  <c r="G352" i="8"/>
  <c r="H352" i="8"/>
  <c r="G353" i="8"/>
  <c r="H353" i="8"/>
  <c r="G354" i="8"/>
  <c r="H354" i="8"/>
  <c r="G355" i="8"/>
  <c r="H355" i="8"/>
  <c r="G356" i="8"/>
  <c r="H356" i="8"/>
  <c r="G357" i="8"/>
  <c r="H357" i="8"/>
  <c r="G358" i="8"/>
  <c r="H358" i="8"/>
  <c r="G359" i="8"/>
  <c r="H359" i="8"/>
  <c r="G360" i="8"/>
  <c r="H360" i="8"/>
  <c r="G361" i="8"/>
  <c r="H361" i="8"/>
  <c r="G362" i="8"/>
  <c r="H362" i="8"/>
  <c r="G363" i="8"/>
  <c r="H363" i="8"/>
  <c r="G364" i="8"/>
  <c r="H364" i="8"/>
  <c r="G365" i="8"/>
  <c r="H365" i="8"/>
  <c r="G366" i="8"/>
  <c r="H366" i="8"/>
  <c r="G367" i="8"/>
  <c r="H367" i="8"/>
  <c r="G368" i="8"/>
  <c r="H368" i="8"/>
  <c r="G369" i="8"/>
  <c r="H369" i="8"/>
  <c r="G370" i="8"/>
  <c r="H370" i="8"/>
  <c r="G371" i="8"/>
  <c r="H371" i="8"/>
  <c r="G372" i="8"/>
  <c r="H372" i="8"/>
  <c r="G373" i="8"/>
  <c r="H373" i="8"/>
  <c r="G374" i="8"/>
  <c r="H374" i="8"/>
  <c r="G375" i="8"/>
  <c r="H375" i="8"/>
  <c r="G376" i="8"/>
  <c r="H376" i="8"/>
  <c r="G377" i="8"/>
  <c r="H377" i="8"/>
  <c r="G378" i="8"/>
  <c r="H378" i="8"/>
  <c r="G379" i="8"/>
  <c r="H379" i="8"/>
  <c r="G380" i="8"/>
  <c r="H380" i="8"/>
  <c r="G381" i="8"/>
  <c r="H381" i="8"/>
  <c r="G382" i="8"/>
  <c r="H382" i="8"/>
  <c r="G383" i="8"/>
  <c r="H383" i="8"/>
  <c r="G384" i="8"/>
  <c r="H384" i="8"/>
  <c r="G385" i="8"/>
  <c r="H385" i="8"/>
  <c r="G386" i="8"/>
  <c r="H386" i="8"/>
  <c r="G387" i="8"/>
  <c r="H387" i="8"/>
  <c r="G388" i="8"/>
  <c r="H388" i="8"/>
  <c r="G389" i="8"/>
  <c r="H389" i="8"/>
  <c r="G390" i="8"/>
  <c r="H390" i="8"/>
  <c r="G391" i="8"/>
  <c r="H391" i="8"/>
  <c r="G392" i="8"/>
  <c r="H392" i="8"/>
  <c r="G393" i="8"/>
  <c r="H393" i="8"/>
  <c r="G394" i="8"/>
  <c r="H394" i="8"/>
  <c r="G395" i="8"/>
  <c r="H395" i="8"/>
  <c r="G396" i="8"/>
  <c r="H396" i="8"/>
  <c r="G397" i="8"/>
  <c r="H397" i="8"/>
  <c r="G398" i="8"/>
  <c r="H398" i="8"/>
  <c r="G399" i="8"/>
  <c r="H399" i="8"/>
  <c r="G400" i="8"/>
  <c r="H400" i="8"/>
  <c r="G401" i="8"/>
  <c r="H401" i="8"/>
  <c r="G402" i="8"/>
  <c r="H402" i="8"/>
  <c r="G403" i="8"/>
  <c r="H403" i="8"/>
  <c r="G404" i="8"/>
  <c r="H404" i="8"/>
  <c r="G405" i="8"/>
  <c r="H405" i="8"/>
  <c r="G406" i="8"/>
  <c r="H406" i="8"/>
  <c r="G407" i="8"/>
  <c r="H407" i="8"/>
  <c r="G408" i="8"/>
  <c r="H408" i="8"/>
  <c r="G409" i="8"/>
  <c r="H409" i="8"/>
  <c r="G410" i="8"/>
  <c r="H410" i="8"/>
  <c r="G411" i="8"/>
  <c r="H411" i="8"/>
  <c r="G412" i="8"/>
  <c r="H412" i="8"/>
  <c r="G413" i="8"/>
  <c r="H413" i="8"/>
  <c r="G414" i="8"/>
  <c r="H414" i="8"/>
  <c r="G415" i="8"/>
  <c r="H415" i="8"/>
  <c r="G416" i="8"/>
  <c r="H416" i="8"/>
  <c r="G417" i="8"/>
  <c r="H417" i="8"/>
  <c r="G418" i="8"/>
  <c r="H418" i="8"/>
  <c r="G419" i="8"/>
  <c r="H419" i="8"/>
  <c r="G420" i="8"/>
  <c r="H420" i="8"/>
  <c r="G421" i="8"/>
  <c r="H421" i="8"/>
  <c r="G422" i="8"/>
  <c r="H422" i="8"/>
  <c r="G423" i="8"/>
  <c r="H423" i="8"/>
  <c r="G424" i="8"/>
  <c r="H424" i="8"/>
  <c r="G425" i="8"/>
  <c r="H425" i="8"/>
  <c r="G426" i="8"/>
  <c r="H426" i="8"/>
  <c r="G427" i="8"/>
  <c r="H427" i="8"/>
  <c r="G428" i="8"/>
  <c r="H428" i="8"/>
  <c r="G429" i="8"/>
  <c r="H429" i="8"/>
  <c r="G430" i="8"/>
  <c r="H430" i="8"/>
  <c r="G431" i="8"/>
  <c r="H431" i="8"/>
  <c r="G432" i="8"/>
  <c r="H432" i="8"/>
  <c r="G433" i="8"/>
  <c r="H433" i="8"/>
  <c r="G434" i="8"/>
  <c r="H434" i="8"/>
  <c r="G435" i="8"/>
  <c r="H435" i="8"/>
  <c r="G436" i="8"/>
  <c r="H436" i="8"/>
  <c r="G437" i="8"/>
  <c r="H437" i="8"/>
  <c r="G438" i="8"/>
  <c r="H438" i="8"/>
  <c r="G439" i="8"/>
  <c r="H439" i="8"/>
  <c r="G440" i="8"/>
  <c r="H440" i="8"/>
  <c r="G441" i="8"/>
  <c r="H441" i="8"/>
  <c r="G442" i="8"/>
  <c r="H442" i="8"/>
  <c r="G443" i="8"/>
  <c r="H443" i="8"/>
  <c r="G444" i="8"/>
  <c r="H444" i="8"/>
  <c r="G445" i="8"/>
  <c r="H445" i="8"/>
  <c r="G446" i="8"/>
  <c r="H446" i="8"/>
  <c r="G447" i="8"/>
  <c r="H447" i="8"/>
  <c r="G448" i="8"/>
  <c r="H448" i="8"/>
  <c r="G449" i="8"/>
  <c r="H449" i="8"/>
  <c r="G450" i="8"/>
  <c r="H450" i="8"/>
  <c r="G451" i="8"/>
  <c r="H451" i="8"/>
  <c r="G452" i="8"/>
  <c r="H452" i="8"/>
  <c r="G453" i="8"/>
  <c r="H453" i="8"/>
  <c r="G454" i="8"/>
  <c r="H454" i="8"/>
  <c r="G455" i="8"/>
  <c r="H455" i="8"/>
  <c r="G456" i="8"/>
  <c r="H456" i="8"/>
  <c r="G457" i="8"/>
  <c r="H457" i="8"/>
  <c r="G458" i="8"/>
  <c r="H458" i="8"/>
  <c r="G459" i="8"/>
  <c r="H459" i="8"/>
  <c r="G460" i="8"/>
  <c r="H460" i="8"/>
  <c r="G461" i="8"/>
  <c r="H461" i="8"/>
  <c r="G462" i="8"/>
  <c r="H462" i="8"/>
  <c r="G463" i="8"/>
  <c r="H463" i="8"/>
  <c r="G464" i="8"/>
  <c r="H464" i="8"/>
  <c r="G465" i="8"/>
  <c r="H465" i="8"/>
  <c r="G466" i="8"/>
  <c r="H466" i="8"/>
  <c r="G467" i="8"/>
  <c r="H467" i="8"/>
  <c r="G468" i="8"/>
  <c r="H468" i="8"/>
  <c r="G469" i="8"/>
  <c r="H469" i="8"/>
  <c r="G470" i="8"/>
  <c r="H470" i="8"/>
  <c r="G471" i="8"/>
  <c r="H471" i="8"/>
  <c r="G472" i="8"/>
  <c r="H472" i="8"/>
  <c r="G473" i="8"/>
  <c r="H473" i="8"/>
  <c r="G474" i="8"/>
  <c r="H474" i="8"/>
  <c r="G475" i="8"/>
  <c r="H475" i="8"/>
  <c r="G476" i="8"/>
  <c r="H476" i="8"/>
  <c r="G477" i="8"/>
  <c r="H477" i="8"/>
  <c r="G478" i="8"/>
  <c r="H478" i="8"/>
  <c r="G479" i="8"/>
  <c r="H479" i="8"/>
  <c r="G480" i="8"/>
  <c r="H480" i="8"/>
  <c r="G481" i="8"/>
  <c r="H481" i="8"/>
  <c r="G482" i="8"/>
  <c r="H482" i="8"/>
  <c r="G483" i="8"/>
  <c r="H483" i="8"/>
  <c r="G484" i="8"/>
  <c r="H484" i="8"/>
  <c r="G485" i="8"/>
  <c r="H485" i="8"/>
  <c r="G486" i="8"/>
  <c r="H486" i="8"/>
  <c r="G487" i="8"/>
  <c r="H487" i="8"/>
  <c r="G488" i="8"/>
  <c r="H488" i="8"/>
  <c r="G489" i="8"/>
  <c r="H489" i="8"/>
  <c r="G490" i="8"/>
  <c r="H490" i="8"/>
  <c r="G491" i="8"/>
  <c r="H491" i="8"/>
  <c r="G492" i="8"/>
  <c r="H492" i="8"/>
  <c r="G493" i="8"/>
  <c r="H493" i="8"/>
  <c r="G494" i="8"/>
  <c r="H494" i="8"/>
  <c r="G495" i="8"/>
  <c r="H495" i="8"/>
  <c r="G496" i="8"/>
  <c r="H496" i="8"/>
  <c r="G497" i="8"/>
  <c r="H497" i="8"/>
  <c r="G498" i="8"/>
  <c r="H498" i="8"/>
  <c r="G499" i="8"/>
  <c r="H499" i="8"/>
  <c r="G500" i="8"/>
  <c r="H500" i="8"/>
  <c r="G501" i="8"/>
  <c r="H501" i="8"/>
  <c r="G502" i="8"/>
  <c r="H502" i="8"/>
  <c r="G503" i="8"/>
  <c r="H503" i="8"/>
  <c r="G504" i="8"/>
  <c r="H504" i="8"/>
  <c r="G505" i="8"/>
  <c r="H505" i="8"/>
  <c r="G506" i="8"/>
  <c r="H506" i="8"/>
  <c r="G507" i="8"/>
  <c r="H507" i="8"/>
  <c r="G508" i="8"/>
  <c r="H508" i="8"/>
  <c r="G509" i="8"/>
  <c r="H509" i="8"/>
  <c r="G510" i="8"/>
  <c r="H510" i="8"/>
  <c r="G511" i="8"/>
  <c r="H511" i="8"/>
  <c r="G512" i="8"/>
  <c r="H512" i="8"/>
  <c r="G513" i="8"/>
  <c r="H513" i="8"/>
  <c r="G514" i="8"/>
  <c r="H514" i="8"/>
  <c r="G515" i="8"/>
  <c r="H515" i="8"/>
  <c r="G516" i="8"/>
  <c r="H516" i="8"/>
  <c r="G517" i="8"/>
  <c r="H517" i="8"/>
  <c r="G518" i="8"/>
  <c r="H518" i="8"/>
  <c r="G519" i="8"/>
  <c r="H519" i="8"/>
  <c r="G520" i="8"/>
  <c r="H520" i="8"/>
  <c r="G521" i="8"/>
  <c r="H521" i="8"/>
  <c r="G522" i="8"/>
  <c r="H522" i="8"/>
  <c r="G523" i="8"/>
  <c r="H523" i="8"/>
  <c r="G524" i="8"/>
  <c r="H524" i="8"/>
  <c r="G525" i="8"/>
  <c r="H525" i="8"/>
  <c r="G526" i="8"/>
  <c r="H526" i="8"/>
  <c r="G527" i="8"/>
  <c r="H527" i="8"/>
  <c r="G528" i="8"/>
  <c r="H528" i="8"/>
  <c r="G529" i="8"/>
  <c r="H529" i="8"/>
  <c r="G530" i="8"/>
  <c r="H530" i="8"/>
  <c r="G531" i="8"/>
  <c r="H531" i="8"/>
  <c r="G532" i="8"/>
  <c r="H532" i="8"/>
  <c r="G533" i="8"/>
  <c r="H533" i="8"/>
  <c r="G534" i="8"/>
  <c r="H534" i="8"/>
  <c r="G535" i="8"/>
  <c r="H535" i="8"/>
  <c r="G536" i="8"/>
  <c r="H536" i="8"/>
  <c r="G537" i="8"/>
  <c r="H537" i="8"/>
  <c r="G538" i="8"/>
  <c r="H538" i="8"/>
  <c r="G539" i="8"/>
  <c r="H539" i="8"/>
  <c r="G540" i="8"/>
  <c r="H540" i="8"/>
  <c r="G541" i="8"/>
  <c r="H541" i="8"/>
  <c r="G542" i="8"/>
  <c r="H542" i="8"/>
  <c r="G543" i="8"/>
  <c r="H543" i="8"/>
  <c r="G544" i="8"/>
  <c r="H544" i="8"/>
  <c r="G545" i="8"/>
  <c r="H545" i="8"/>
  <c r="G546" i="8"/>
  <c r="H546" i="8"/>
  <c r="G547" i="8"/>
  <c r="H547" i="8"/>
  <c r="G548" i="8"/>
  <c r="H548" i="8"/>
  <c r="G549" i="8"/>
  <c r="H549" i="8"/>
  <c r="G550" i="8"/>
  <c r="H550" i="8"/>
  <c r="G551" i="8"/>
  <c r="H551" i="8"/>
  <c r="G552" i="8"/>
  <c r="H552" i="8"/>
  <c r="G553" i="8"/>
  <c r="H553" i="8"/>
  <c r="G554" i="8"/>
  <c r="H554" i="8"/>
  <c r="G555" i="8"/>
  <c r="H555" i="8"/>
  <c r="G556" i="8"/>
  <c r="H556" i="8"/>
  <c r="G557" i="8"/>
  <c r="H557" i="8"/>
  <c r="G558" i="8"/>
  <c r="H558" i="8"/>
  <c r="G559" i="8"/>
  <c r="H559" i="8"/>
  <c r="G560" i="8"/>
  <c r="H560" i="8"/>
  <c r="G561" i="8"/>
  <c r="H561" i="8"/>
  <c r="G562" i="8"/>
  <c r="H562" i="8"/>
  <c r="G563" i="8"/>
  <c r="H563" i="8"/>
  <c r="G564" i="8"/>
  <c r="H564" i="8"/>
  <c r="G565" i="8"/>
  <c r="H565" i="8"/>
  <c r="G566" i="8"/>
  <c r="H566" i="8"/>
  <c r="G567" i="8"/>
  <c r="H567" i="8"/>
  <c r="G568" i="8"/>
  <c r="H568" i="8"/>
  <c r="G569" i="8"/>
  <c r="H569" i="8"/>
  <c r="G570" i="8"/>
  <c r="H570" i="8"/>
  <c r="G571" i="8"/>
  <c r="H571" i="8"/>
  <c r="G572" i="8"/>
  <c r="H572" i="8"/>
  <c r="G573" i="8"/>
  <c r="H573" i="8"/>
  <c r="G574" i="8"/>
  <c r="H574" i="8"/>
  <c r="G575" i="8"/>
  <c r="H575" i="8"/>
  <c r="G576" i="8"/>
  <c r="H576" i="8"/>
  <c r="G577" i="8"/>
  <c r="H577" i="8"/>
  <c r="G578" i="8"/>
  <c r="H578" i="8"/>
  <c r="G579" i="8"/>
  <c r="H579" i="8"/>
  <c r="G580" i="8"/>
  <c r="H580" i="8"/>
  <c r="G581" i="8"/>
  <c r="H581" i="8"/>
  <c r="G582" i="8"/>
  <c r="H582" i="8"/>
  <c r="G583" i="8"/>
  <c r="H583" i="8"/>
  <c r="G584" i="8"/>
  <c r="H584" i="8"/>
  <c r="G585" i="8"/>
  <c r="H585" i="8"/>
  <c r="G586" i="8"/>
  <c r="H586" i="8"/>
  <c r="G587" i="8"/>
  <c r="H587" i="8"/>
  <c r="G588" i="8"/>
  <c r="H588" i="8"/>
  <c r="G589" i="8"/>
  <c r="H589" i="8"/>
  <c r="G590" i="8"/>
  <c r="H590" i="8"/>
  <c r="G591" i="8"/>
  <c r="H591" i="8"/>
  <c r="G592" i="8"/>
  <c r="H592" i="8"/>
  <c r="G593" i="8"/>
  <c r="H593" i="8"/>
  <c r="G594" i="8"/>
  <c r="H594" i="8"/>
  <c r="G595" i="8"/>
  <c r="H595" i="8"/>
  <c r="G596" i="8"/>
  <c r="H596" i="8"/>
  <c r="G597" i="8"/>
  <c r="H597" i="8"/>
  <c r="G598" i="8"/>
  <c r="H598" i="8"/>
  <c r="G599" i="8"/>
  <c r="H599" i="8"/>
  <c r="G600" i="8"/>
  <c r="H600" i="8"/>
  <c r="G601" i="8"/>
  <c r="H601" i="8"/>
  <c r="G602" i="8"/>
  <c r="H602" i="8"/>
  <c r="G603" i="8"/>
  <c r="H603" i="8"/>
  <c r="G604" i="8"/>
  <c r="H604" i="8"/>
  <c r="G605" i="8"/>
  <c r="H605" i="8"/>
  <c r="G606" i="8"/>
  <c r="H606" i="8"/>
  <c r="G607" i="8"/>
  <c r="H607" i="8"/>
  <c r="G608" i="8"/>
  <c r="H608" i="8"/>
  <c r="G609" i="8"/>
  <c r="H609" i="8"/>
  <c r="G610" i="8"/>
  <c r="H610" i="8"/>
  <c r="G611" i="8"/>
  <c r="H611" i="8"/>
  <c r="G612" i="8"/>
  <c r="H612" i="8"/>
  <c r="G613" i="8"/>
  <c r="H613" i="8"/>
  <c r="G614" i="8"/>
  <c r="H614" i="8"/>
  <c r="G615" i="8"/>
  <c r="H615" i="8"/>
  <c r="G616" i="8"/>
  <c r="H616" i="8"/>
  <c r="G617" i="8"/>
  <c r="H617" i="8"/>
  <c r="G618" i="8"/>
  <c r="H618" i="8"/>
  <c r="G619" i="8"/>
  <c r="H619" i="8"/>
  <c r="G620" i="8"/>
  <c r="H620" i="8"/>
  <c r="G621" i="8"/>
  <c r="H621" i="8"/>
  <c r="G622" i="8"/>
  <c r="H622" i="8"/>
  <c r="G623" i="8"/>
  <c r="H623" i="8"/>
  <c r="G624" i="8"/>
  <c r="H624" i="8"/>
  <c r="G625" i="8"/>
  <c r="H625" i="8"/>
  <c r="G626" i="8"/>
  <c r="H626" i="8"/>
  <c r="G627" i="8"/>
  <c r="H627" i="8"/>
  <c r="G628" i="8"/>
  <c r="H628" i="8"/>
  <c r="G629" i="8"/>
  <c r="H629" i="8"/>
  <c r="G630" i="8"/>
  <c r="H630" i="8"/>
  <c r="G631" i="8"/>
  <c r="H631" i="8"/>
  <c r="G632" i="8"/>
  <c r="H632" i="8"/>
  <c r="G633" i="8"/>
  <c r="H633" i="8"/>
  <c r="G634" i="8"/>
  <c r="H634" i="8"/>
  <c r="G635" i="8"/>
  <c r="H635" i="8"/>
  <c r="G636" i="8"/>
  <c r="H636" i="8"/>
  <c r="G637" i="8"/>
  <c r="H637" i="8"/>
  <c r="G638" i="8"/>
  <c r="H638" i="8"/>
  <c r="G639" i="8"/>
  <c r="H639" i="8"/>
  <c r="G640" i="8"/>
  <c r="H640" i="8"/>
  <c r="G641" i="8"/>
  <c r="H641" i="8"/>
  <c r="G642" i="8"/>
  <c r="H642" i="8"/>
  <c r="G643" i="8"/>
  <c r="H643" i="8"/>
  <c r="G644" i="8"/>
  <c r="H644" i="8"/>
  <c r="G645" i="8"/>
  <c r="H645" i="8"/>
  <c r="G646" i="8"/>
  <c r="H646" i="8"/>
  <c r="G647" i="8"/>
  <c r="H647" i="8"/>
  <c r="G648" i="8"/>
  <c r="H648" i="8"/>
  <c r="G649" i="8"/>
  <c r="H649" i="8"/>
  <c r="G650" i="8"/>
  <c r="H650" i="8"/>
  <c r="G651" i="8"/>
  <c r="H651" i="8"/>
  <c r="G652" i="8"/>
  <c r="H652" i="8"/>
  <c r="G653" i="8"/>
  <c r="H653" i="8"/>
  <c r="G654" i="8"/>
  <c r="H654" i="8"/>
  <c r="G655" i="8"/>
  <c r="H655" i="8"/>
  <c r="G656" i="8"/>
  <c r="H656" i="8"/>
  <c r="G657" i="8"/>
  <c r="H657" i="8"/>
  <c r="G658" i="8"/>
  <c r="H658" i="8"/>
  <c r="G659" i="8"/>
  <c r="H659" i="8"/>
  <c r="G660" i="8"/>
  <c r="H660" i="8"/>
  <c r="G661" i="8"/>
  <c r="H661" i="8"/>
  <c r="G662" i="8"/>
  <c r="H662" i="8"/>
  <c r="G663" i="8"/>
  <c r="H663" i="8"/>
  <c r="G664" i="8"/>
  <c r="H664" i="8"/>
  <c r="G665" i="8"/>
  <c r="H665" i="8"/>
  <c r="G666" i="8"/>
  <c r="H666" i="8"/>
  <c r="G667" i="8"/>
  <c r="H667" i="8"/>
  <c r="G668" i="8"/>
  <c r="H668" i="8"/>
  <c r="G669" i="8"/>
  <c r="H669" i="8"/>
  <c r="G670" i="8"/>
  <c r="H670" i="8"/>
  <c r="G671" i="8"/>
  <c r="H671" i="8"/>
  <c r="G672" i="8"/>
  <c r="H672" i="8"/>
  <c r="G673" i="8"/>
  <c r="H673" i="8"/>
  <c r="G674" i="8"/>
  <c r="H674" i="8"/>
  <c r="G675" i="8"/>
  <c r="H675" i="8"/>
  <c r="G676" i="8"/>
  <c r="H676" i="8"/>
  <c r="G677" i="8"/>
  <c r="H677" i="8"/>
  <c r="G678" i="8"/>
  <c r="H678" i="8"/>
  <c r="G679" i="8"/>
  <c r="H679" i="8"/>
  <c r="G680" i="8"/>
  <c r="H680" i="8"/>
  <c r="G681" i="8"/>
  <c r="H681" i="8"/>
  <c r="G682" i="8"/>
  <c r="H682" i="8"/>
  <c r="G683" i="8"/>
  <c r="H683" i="8"/>
  <c r="G684" i="8"/>
  <c r="H684" i="8"/>
  <c r="G685" i="8"/>
  <c r="H685" i="8"/>
  <c r="G686" i="8"/>
  <c r="H686" i="8"/>
  <c r="G687" i="8"/>
  <c r="H687" i="8"/>
  <c r="G688" i="8"/>
  <c r="H688" i="8"/>
  <c r="G689" i="8"/>
  <c r="H689" i="8"/>
  <c r="G690" i="8"/>
  <c r="H690" i="8"/>
  <c r="G691" i="8"/>
  <c r="H691" i="8"/>
  <c r="G692" i="8"/>
  <c r="H692" i="8"/>
  <c r="G693" i="8"/>
  <c r="H693" i="8"/>
  <c r="G694" i="8"/>
  <c r="H694" i="8"/>
  <c r="G695" i="8"/>
  <c r="H695" i="8"/>
  <c r="G696" i="8"/>
  <c r="H696" i="8"/>
  <c r="G697" i="8"/>
  <c r="H697" i="8"/>
  <c r="G698" i="8"/>
  <c r="H698" i="8"/>
  <c r="G699" i="8"/>
  <c r="H699" i="8"/>
  <c r="G700" i="8"/>
  <c r="H700" i="8"/>
  <c r="G701" i="8"/>
  <c r="H701" i="8"/>
  <c r="G702" i="8"/>
  <c r="H702" i="8"/>
  <c r="G703" i="8"/>
  <c r="H703" i="8"/>
  <c r="G704" i="8"/>
  <c r="H704" i="8"/>
  <c r="G705" i="8"/>
  <c r="H705" i="8"/>
  <c r="G706" i="8"/>
  <c r="H706" i="8"/>
  <c r="G707" i="8"/>
  <c r="H707" i="8"/>
  <c r="G708" i="8"/>
  <c r="H708" i="8"/>
  <c r="G709" i="8"/>
  <c r="H709" i="8"/>
  <c r="G710" i="8"/>
  <c r="H710" i="8"/>
  <c r="G711" i="8"/>
  <c r="H711" i="8"/>
  <c r="G712" i="8"/>
  <c r="H712" i="8"/>
  <c r="G713" i="8"/>
  <c r="H713" i="8"/>
  <c r="G714" i="8"/>
  <c r="H714" i="8"/>
  <c r="G715" i="8"/>
  <c r="H715" i="8"/>
  <c r="G716" i="8"/>
  <c r="H716" i="8"/>
  <c r="G717" i="8"/>
  <c r="H717" i="8"/>
  <c r="G718" i="8"/>
  <c r="H718" i="8"/>
  <c r="G719" i="8"/>
  <c r="H719" i="8"/>
  <c r="G720" i="8"/>
  <c r="H720" i="8"/>
  <c r="G721" i="8"/>
  <c r="H721" i="8"/>
  <c r="G722" i="8"/>
  <c r="H722" i="8"/>
  <c r="G723" i="8"/>
  <c r="H723" i="8"/>
  <c r="G724" i="8"/>
  <c r="H724" i="8"/>
  <c r="G725" i="8"/>
  <c r="H725" i="8"/>
  <c r="G726" i="8"/>
  <c r="H726" i="8"/>
  <c r="G727" i="8"/>
  <c r="H727" i="8"/>
  <c r="G728" i="8"/>
  <c r="H728" i="8"/>
  <c r="G729" i="8"/>
  <c r="H729" i="8"/>
  <c r="G730" i="8"/>
  <c r="H730" i="8"/>
  <c r="G731" i="8"/>
  <c r="H731" i="8"/>
  <c r="G732" i="8"/>
  <c r="H732" i="8"/>
  <c r="G733" i="8"/>
  <c r="H733" i="8"/>
  <c r="G734" i="8"/>
  <c r="H734" i="8"/>
  <c r="G735" i="8"/>
  <c r="H735" i="8"/>
  <c r="G736" i="8"/>
  <c r="H736" i="8"/>
  <c r="G737" i="8"/>
  <c r="H737" i="8"/>
  <c r="G738" i="8"/>
  <c r="H738" i="8"/>
  <c r="G739" i="8"/>
  <c r="H739" i="8"/>
  <c r="G740" i="8"/>
  <c r="H740" i="8"/>
  <c r="G741" i="8"/>
  <c r="H741" i="8"/>
  <c r="G742" i="8"/>
  <c r="H742" i="8"/>
  <c r="G743" i="8"/>
  <c r="H743" i="8"/>
  <c r="G744" i="8"/>
  <c r="H744" i="8"/>
  <c r="G745" i="8"/>
  <c r="H745" i="8"/>
  <c r="G746" i="8"/>
  <c r="H746" i="8"/>
  <c r="G747" i="8"/>
  <c r="H747" i="8"/>
  <c r="G748" i="8"/>
  <c r="H748" i="8"/>
  <c r="G749" i="8"/>
  <c r="H749" i="8"/>
  <c r="G750" i="8"/>
  <c r="H750" i="8"/>
  <c r="G751" i="8"/>
  <c r="H751" i="8"/>
  <c r="G752" i="8"/>
  <c r="H752" i="8"/>
  <c r="G753" i="8"/>
  <c r="H753" i="8"/>
  <c r="G754" i="8"/>
  <c r="H754" i="8"/>
  <c r="G755" i="8"/>
  <c r="H755" i="8"/>
  <c r="G756" i="8"/>
  <c r="H756" i="8"/>
  <c r="G757" i="8"/>
  <c r="H757" i="8"/>
  <c r="G758" i="8"/>
  <c r="H758" i="8"/>
  <c r="G759" i="8"/>
  <c r="H759" i="8"/>
  <c r="G760" i="8"/>
  <c r="H760" i="8"/>
  <c r="G761" i="8"/>
  <c r="H761" i="8"/>
  <c r="G762" i="8"/>
  <c r="H762" i="8"/>
  <c r="G763" i="8"/>
  <c r="H763" i="8"/>
  <c r="G764" i="8"/>
  <c r="H764" i="8"/>
  <c r="G765" i="8"/>
  <c r="H765" i="8"/>
  <c r="G766" i="8"/>
  <c r="H766" i="8"/>
  <c r="G767" i="8"/>
  <c r="H767" i="8"/>
  <c r="G768" i="8"/>
  <c r="H768" i="8"/>
  <c r="G769" i="8"/>
  <c r="H769" i="8"/>
  <c r="G770" i="8"/>
  <c r="H770" i="8"/>
  <c r="G771" i="8"/>
  <c r="H771" i="8"/>
  <c r="G772" i="8"/>
  <c r="H772" i="8"/>
  <c r="G773" i="8"/>
  <c r="H773" i="8"/>
  <c r="G774" i="8"/>
  <c r="H774" i="8"/>
  <c r="G775" i="8"/>
  <c r="H775" i="8"/>
  <c r="G776" i="8"/>
  <c r="H776" i="8"/>
  <c r="G777" i="8"/>
  <c r="H777" i="8"/>
  <c r="G778" i="8"/>
  <c r="H778" i="8"/>
  <c r="G779" i="8"/>
  <c r="H779" i="8"/>
  <c r="G780" i="8"/>
  <c r="H780" i="8"/>
  <c r="G781" i="8"/>
  <c r="H781" i="8"/>
  <c r="G782" i="8"/>
  <c r="H782" i="8"/>
  <c r="G783" i="8"/>
  <c r="H783" i="8"/>
  <c r="G784" i="8"/>
  <c r="H784" i="8"/>
  <c r="G785" i="8"/>
  <c r="H785" i="8"/>
  <c r="G786" i="8"/>
  <c r="H786" i="8"/>
  <c r="G787" i="8"/>
  <c r="H787" i="8"/>
  <c r="G788" i="8"/>
  <c r="H788" i="8"/>
  <c r="G789" i="8"/>
  <c r="H789" i="8"/>
  <c r="G790" i="8"/>
  <c r="H790" i="8"/>
  <c r="G791" i="8"/>
  <c r="H791" i="8"/>
  <c r="G792" i="8"/>
  <c r="H792" i="8"/>
  <c r="G793" i="8"/>
  <c r="H793" i="8"/>
  <c r="G794" i="8"/>
  <c r="H794" i="8"/>
  <c r="G795" i="8"/>
  <c r="H795" i="8"/>
  <c r="G796" i="8"/>
  <c r="H796" i="8"/>
  <c r="G797" i="8"/>
  <c r="H797" i="8"/>
  <c r="G798" i="8"/>
  <c r="H798" i="8"/>
  <c r="G799" i="8"/>
  <c r="H799" i="8"/>
  <c r="G800" i="8"/>
  <c r="H800" i="8"/>
  <c r="G801" i="8"/>
  <c r="H801" i="8"/>
  <c r="G802" i="8"/>
  <c r="H802" i="8"/>
  <c r="G803" i="8"/>
  <c r="H803" i="8"/>
  <c r="G804" i="8"/>
  <c r="H804" i="8"/>
  <c r="G805" i="8"/>
  <c r="H805" i="8"/>
  <c r="G806" i="8"/>
  <c r="H806" i="8"/>
  <c r="G807" i="8"/>
  <c r="H807" i="8"/>
  <c r="G808" i="8"/>
  <c r="H808" i="8"/>
  <c r="G809" i="8"/>
  <c r="H809" i="8"/>
  <c r="G810" i="8"/>
  <c r="H810" i="8"/>
  <c r="G811" i="8"/>
  <c r="H811" i="8"/>
  <c r="G812" i="8"/>
  <c r="H812" i="8"/>
  <c r="G813" i="8"/>
  <c r="H813" i="8"/>
  <c r="G814" i="8"/>
  <c r="H814" i="8"/>
  <c r="G815" i="8"/>
  <c r="H815" i="8"/>
  <c r="G816" i="8"/>
  <c r="H816" i="8"/>
  <c r="G817" i="8"/>
  <c r="H817" i="8"/>
  <c r="G818" i="8"/>
  <c r="H818" i="8"/>
  <c r="G819" i="8"/>
  <c r="H819" i="8"/>
  <c r="G820" i="8"/>
  <c r="H820" i="8"/>
  <c r="G821" i="8"/>
  <c r="H821" i="8"/>
  <c r="G822" i="8"/>
  <c r="H822" i="8"/>
  <c r="G823" i="8"/>
  <c r="H823" i="8"/>
  <c r="G824" i="8"/>
  <c r="H824" i="8"/>
  <c r="G825" i="8"/>
  <c r="H825" i="8"/>
  <c r="G826" i="8"/>
  <c r="H826" i="8"/>
  <c r="G827" i="8"/>
  <c r="H827" i="8"/>
  <c r="G828" i="8"/>
  <c r="H828" i="8"/>
  <c r="G829" i="8"/>
  <c r="H829" i="8"/>
  <c r="G830" i="8"/>
  <c r="H830" i="8"/>
  <c r="G831" i="8"/>
  <c r="H831" i="8"/>
  <c r="G832" i="8"/>
  <c r="H832" i="8"/>
  <c r="G833" i="8"/>
  <c r="H833" i="8"/>
  <c r="G834" i="8"/>
  <c r="H834" i="8"/>
  <c r="G835" i="8"/>
  <c r="H835" i="8"/>
  <c r="G836" i="8"/>
  <c r="H836" i="8"/>
  <c r="G837" i="8"/>
  <c r="H837" i="8"/>
  <c r="G838" i="8"/>
  <c r="H838" i="8"/>
  <c r="G839" i="8"/>
  <c r="H839" i="8"/>
  <c r="G840" i="8"/>
  <c r="H840" i="8"/>
  <c r="G841" i="8"/>
  <c r="H841" i="8"/>
  <c r="G842" i="8"/>
  <c r="H842" i="8"/>
  <c r="G843" i="8"/>
  <c r="H843" i="8"/>
  <c r="G844" i="8"/>
  <c r="H844" i="8"/>
  <c r="G845" i="8"/>
  <c r="H845" i="8"/>
  <c r="G846" i="8"/>
  <c r="H846" i="8"/>
  <c r="G847" i="8"/>
  <c r="H847" i="8"/>
  <c r="G848" i="8"/>
  <c r="H848" i="8"/>
  <c r="G849" i="8"/>
  <c r="H849" i="8"/>
  <c r="G850" i="8"/>
  <c r="H850" i="8"/>
  <c r="G851" i="8"/>
  <c r="H851" i="8"/>
  <c r="G852" i="8"/>
  <c r="H852" i="8"/>
  <c r="G853" i="8"/>
  <c r="H853" i="8"/>
  <c r="G854" i="8"/>
  <c r="H854" i="8"/>
  <c r="G855" i="8"/>
  <c r="H855" i="8"/>
  <c r="G856" i="8"/>
  <c r="H856" i="8"/>
  <c r="G857" i="8"/>
  <c r="H857" i="8"/>
  <c r="G858" i="8"/>
  <c r="H858" i="8"/>
  <c r="G859" i="8"/>
  <c r="H859" i="8"/>
  <c r="G860" i="8"/>
  <c r="H860" i="8"/>
  <c r="G861" i="8"/>
  <c r="H861" i="8"/>
  <c r="G862" i="8"/>
  <c r="H862" i="8"/>
  <c r="G863" i="8"/>
  <c r="H863" i="8"/>
  <c r="G864" i="8"/>
  <c r="H864" i="8"/>
  <c r="G865" i="8"/>
  <c r="H865" i="8"/>
  <c r="G866" i="8"/>
  <c r="H866" i="8"/>
  <c r="G867" i="8"/>
  <c r="H867" i="8"/>
  <c r="G868" i="8"/>
  <c r="H868" i="8"/>
  <c r="G869" i="8"/>
  <c r="H869" i="8"/>
  <c r="G870" i="8"/>
  <c r="H870" i="8"/>
  <c r="G871" i="8"/>
  <c r="H871" i="8"/>
  <c r="G872" i="8"/>
  <c r="H872" i="8"/>
  <c r="G873" i="8"/>
  <c r="H873" i="8"/>
  <c r="G874" i="8"/>
  <c r="H874" i="8"/>
  <c r="G875" i="8"/>
  <c r="H875" i="8"/>
  <c r="G876" i="8"/>
  <c r="H876" i="8"/>
  <c r="G877" i="8"/>
  <c r="H877" i="8"/>
  <c r="G878" i="8"/>
  <c r="H878" i="8"/>
  <c r="G879" i="8"/>
  <c r="H879" i="8"/>
  <c r="G880" i="8"/>
  <c r="H880" i="8"/>
  <c r="G881" i="8"/>
  <c r="H881" i="8"/>
  <c r="G882" i="8"/>
  <c r="H882" i="8"/>
  <c r="G883" i="8"/>
  <c r="H883" i="8"/>
  <c r="G884" i="8"/>
  <c r="H884" i="8"/>
  <c r="G885" i="8"/>
  <c r="H885" i="8"/>
  <c r="G886" i="8"/>
  <c r="H886" i="8"/>
  <c r="G887" i="8"/>
  <c r="H887" i="8"/>
  <c r="G888" i="8"/>
  <c r="H888" i="8"/>
  <c r="G889" i="8"/>
  <c r="H889" i="8"/>
  <c r="G890" i="8"/>
  <c r="H890" i="8"/>
  <c r="G891" i="8"/>
  <c r="H891" i="8"/>
  <c r="G892" i="8"/>
  <c r="H892" i="8"/>
  <c r="G893" i="8"/>
  <c r="H893" i="8"/>
  <c r="G894" i="8"/>
  <c r="H894" i="8"/>
  <c r="G895" i="8"/>
  <c r="H895" i="8"/>
  <c r="G896" i="8"/>
  <c r="H896" i="8"/>
  <c r="G897" i="8"/>
  <c r="H897" i="8"/>
  <c r="G898" i="8"/>
  <c r="H898" i="8"/>
  <c r="G899" i="8"/>
  <c r="H899" i="8"/>
  <c r="G900" i="8"/>
  <c r="H900" i="8"/>
  <c r="G901" i="8"/>
  <c r="H901" i="8"/>
  <c r="G902" i="8"/>
  <c r="H902" i="8"/>
  <c r="G903" i="8"/>
  <c r="H903" i="8"/>
  <c r="G904" i="8"/>
  <c r="H904" i="8"/>
  <c r="G905" i="8"/>
  <c r="H905" i="8"/>
  <c r="G906" i="8"/>
  <c r="H906" i="8"/>
  <c r="G907" i="8"/>
  <c r="H907" i="8"/>
  <c r="G908" i="8"/>
  <c r="H908" i="8"/>
  <c r="G909" i="8"/>
  <c r="H909" i="8"/>
  <c r="G910" i="8"/>
  <c r="H910" i="8"/>
  <c r="G911" i="8"/>
  <c r="H911" i="8"/>
  <c r="G912" i="8"/>
  <c r="H912" i="8"/>
  <c r="G913" i="8"/>
  <c r="H913" i="8"/>
  <c r="G914" i="8"/>
  <c r="H914" i="8"/>
  <c r="G915" i="8"/>
  <c r="H915" i="8"/>
  <c r="G916" i="8"/>
  <c r="H916" i="8"/>
  <c r="G917" i="8"/>
  <c r="H917" i="8"/>
  <c r="G918" i="8"/>
  <c r="H918" i="8"/>
  <c r="G919" i="8"/>
  <c r="H919" i="8"/>
  <c r="G920" i="8"/>
  <c r="H920" i="8"/>
  <c r="G921" i="8"/>
  <c r="H921" i="8"/>
  <c r="G922" i="8"/>
  <c r="H922" i="8"/>
  <c r="G923" i="8"/>
  <c r="H923" i="8"/>
  <c r="G924" i="8"/>
  <c r="H924" i="8"/>
  <c r="G925" i="8"/>
  <c r="H925" i="8"/>
  <c r="G926" i="8"/>
  <c r="H926" i="8"/>
  <c r="G927" i="8"/>
  <c r="H927" i="8"/>
  <c r="G928" i="8"/>
  <c r="H928" i="8"/>
  <c r="G929" i="8"/>
  <c r="H929" i="8"/>
  <c r="G930" i="8"/>
  <c r="H930" i="8"/>
  <c r="G931" i="8"/>
  <c r="H931" i="8"/>
  <c r="G932" i="8"/>
  <c r="H932" i="8"/>
  <c r="G933" i="8"/>
  <c r="H933" i="8"/>
  <c r="G934" i="8"/>
  <c r="H934" i="8"/>
  <c r="G935" i="8"/>
  <c r="H935" i="8"/>
  <c r="G936" i="8"/>
  <c r="H936" i="8"/>
  <c r="G937" i="8"/>
  <c r="H937" i="8"/>
  <c r="G938" i="8"/>
  <c r="H938" i="8"/>
  <c r="G939" i="8"/>
  <c r="H939" i="8"/>
  <c r="G940" i="8"/>
  <c r="H940" i="8"/>
  <c r="G941" i="8"/>
  <c r="H941" i="8"/>
  <c r="G942" i="8"/>
  <c r="H942" i="8"/>
  <c r="G943" i="8"/>
  <c r="H943" i="8"/>
  <c r="G944" i="8"/>
  <c r="H944" i="8"/>
  <c r="G945" i="8"/>
  <c r="H945" i="8"/>
  <c r="G946" i="8"/>
  <c r="H946" i="8"/>
  <c r="G947" i="8"/>
  <c r="H947" i="8"/>
  <c r="G948" i="8"/>
  <c r="H948" i="8"/>
  <c r="G949" i="8"/>
  <c r="H949" i="8"/>
  <c r="G950" i="8"/>
  <c r="H950" i="8"/>
  <c r="G951" i="8"/>
  <c r="H951" i="8"/>
  <c r="G952" i="8"/>
  <c r="H952" i="8"/>
  <c r="G953" i="8"/>
  <c r="H953" i="8"/>
  <c r="G954" i="8"/>
  <c r="H954" i="8"/>
  <c r="G955" i="8"/>
  <c r="H955" i="8"/>
  <c r="G956" i="8"/>
  <c r="H956" i="8"/>
  <c r="G957" i="8"/>
  <c r="H957" i="8"/>
  <c r="G958" i="8"/>
  <c r="H958" i="8"/>
  <c r="G959" i="8"/>
  <c r="H959" i="8"/>
  <c r="G960" i="8"/>
  <c r="H960" i="8"/>
  <c r="G961" i="8"/>
  <c r="H961" i="8"/>
  <c r="G962" i="8"/>
  <c r="H962" i="8"/>
  <c r="G963" i="8"/>
  <c r="H963" i="8"/>
  <c r="G964" i="8"/>
  <c r="H964" i="8"/>
  <c r="G965" i="8"/>
  <c r="H965" i="8"/>
  <c r="G966" i="8"/>
  <c r="H966" i="8"/>
  <c r="G967" i="8"/>
  <c r="H967" i="8"/>
  <c r="G968" i="8"/>
  <c r="H968" i="8"/>
  <c r="G969" i="8"/>
  <c r="H969" i="8"/>
  <c r="G970" i="8"/>
  <c r="H970" i="8"/>
  <c r="G971" i="8"/>
  <c r="H971" i="8"/>
  <c r="G972" i="8"/>
  <c r="H972" i="8"/>
  <c r="G973" i="8"/>
  <c r="H973" i="8"/>
  <c r="G974" i="8"/>
  <c r="H974" i="8"/>
  <c r="G975" i="8"/>
  <c r="H975" i="8"/>
  <c r="G976" i="8"/>
  <c r="H976" i="8"/>
  <c r="G977" i="8"/>
  <c r="H977" i="8"/>
  <c r="G978" i="8"/>
  <c r="H978" i="8"/>
  <c r="G979" i="8"/>
  <c r="H979" i="8"/>
  <c r="G980" i="8"/>
  <c r="H980" i="8"/>
  <c r="G981" i="8"/>
  <c r="H981" i="8"/>
  <c r="G982" i="8"/>
  <c r="H982" i="8"/>
  <c r="G983" i="8"/>
  <c r="H983" i="8"/>
  <c r="G984" i="8"/>
  <c r="H984" i="8"/>
  <c r="G985" i="8"/>
  <c r="H985" i="8"/>
  <c r="G986" i="8"/>
  <c r="H986" i="8"/>
  <c r="G987" i="8"/>
  <c r="H987" i="8"/>
  <c r="G988" i="8"/>
  <c r="H988" i="8"/>
  <c r="G989" i="8"/>
  <c r="H989" i="8"/>
  <c r="G990" i="8"/>
  <c r="H990" i="8"/>
  <c r="G991" i="8"/>
  <c r="H991" i="8"/>
  <c r="G992" i="8"/>
  <c r="H992" i="8"/>
  <c r="G993" i="8"/>
  <c r="H993" i="8"/>
  <c r="G994" i="8"/>
  <c r="H994" i="8"/>
  <c r="G995" i="8"/>
  <c r="H995" i="8"/>
  <c r="G996" i="8"/>
  <c r="H996" i="8"/>
  <c r="G997" i="8"/>
  <c r="H997" i="8"/>
  <c r="G998" i="8"/>
  <c r="H998" i="8"/>
  <c r="G999" i="8"/>
  <c r="H999" i="8"/>
  <c r="G1000" i="8"/>
  <c r="H1000" i="8"/>
  <c r="G1001" i="8"/>
  <c r="H1001" i="8"/>
  <c r="G1002" i="8"/>
  <c r="H1002" i="8"/>
  <c r="G1003" i="8"/>
  <c r="H1003" i="8"/>
  <c r="G1004" i="8"/>
  <c r="H1004" i="8"/>
  <c r="G1005" i="8"/>
  <c r="H1005" i="8"/>
  <c r="G1006" i="8"/>
  <c r="H1006" i="8"/>
  <c r="G1007" i="8"/>
  <c r="H1007" i="8"/>
  <c r="G1008" i="8"/>
  <c r="H1008" i="8"/>
  <c r="G1009" i="8"/>
  <c r="H1009" i="8"/>
  <c r="G1010" i="8"/>
  <c r="H1010" i="8"/>
  <c r="G1011" i="8"/>
  <c r="H1011" i="8"/>
  <c r="G1012" i="8"/>
  <c r="H1012" i="8"/>
  <c r="G1013" i="8"/>
  <c r="H1013" i="8"/>
  <c r="G1014" i="8"/>
  <c r="H1014" i="8"/>
  <c r="G1015" i="8"/>
  <c r="H1015" i="8"/>
  <c r="G1016" i="8"/>
  <c r="H1016" i="8"/>
  <c r="G1017" i="8"/>
  <c r="H1017" i="8"/>
  <c r="G1018" i="8"/>
  <c r="H1018" i="8"/>
  <c r="G1019" i="8"/>
  <c r="H1019" i="8"/>
  <c r="G1020" i="8"/>
  <c r="H1020" i="8"/>
  <c r="G2" i="8"/>
  <c r="H2" i="8"/>
  <c r="G3" i="8"/>
  <c r="H3" i="8"/>
  <c r="G4" i="8"/>
  <c r="H4" i="8"/>
  <c r="G54" i="5" a="1"/>
  <c r="G54" i="5" s="1"/>
  <c r="F54" i="5" a="1"/>
  <c r="F54" i="5" s="1"/>
  <c r="E54" i="5" a="1"/>
  <c r="E54" i="5"/>
  <c r="G70" i="5" a="1"/>
  <c r="G70" i="5" s="1"/>
  <c r="L70" i="5" s="1"/>
  <c r="E70" i="5" a="1"/>
  <c r="E70" i="5" s="1"/>
  <c r="J70" i="5" s="1"/>
  <c r="O48" i="5" a="1"/>
  <c r="O48" i="5" s="1"/>
  <c r="E48" i="5" a="1"/>
  <c r="E48" i="5" s="1"/>
  <c r="A71" i="5"/>
  <c r="A55" i="5"/>
  <c r="Q48" i="5" a="1"/>
  <c r="Q48" i="5" s="1"/>
  <c r="P48" i="5" a="1"/>
  <c r="P48" i="5" s="1"/>
  <c r="F48" i="5" a="1"/>
  <c r="F48" i="5" s="1"/>
  <c r="G48" i="5" a="1"/>
  <c r="G48" i="5" s="1"/>
  <c r="A4" i="5"/>
  <c r="B3" i="5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2" i="4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G210" i="3"/>
  <c r="H210" i="3"/>
  <c r="G211" i="3"/>
  <c r="H211" i="3"/>
  <c r="G212" i="3"/>
  <c r="H212" i="3"/>
  <c r="G213" i="3"/>
  <c r="H213" i="3"/>
  <c r="G214" i="3"/>
  <c r="H214" i="3"/>
  <c r="G215" i="3"/>
  <c r="H215" i="3"/>
  <c r="G216" i="3"/>
  <c r="H216" i="3"/>
  <c r="G217" i="3"/>
  <c r="H217" i="3"/>
  <c r="G218" i="3"/>
  <c r="H218" i="3"/>
  <c r="G219" i="3"/>
  <c r="H219" i="3"/>
  <c r="G220" i="3"/>
  <c r="H220" i="3"/>
  <c r="G221" i="3"/>
  <c r="H221" i="3"/>
  <c r="G222" i="3"/>
  <c r="H222" i="3"/>
  <c r="G223" i="3"/>
  <c r="H223" i="3"/>
  <c r="G224" i="3"/>
  <c r="H224" i="3"/>
  <c r="G225" i="3"/>
  <c r="H225" i="3"/>
  <c r="G226" i="3"/>
  <c r="H226" i="3"/>
  <c r="G227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G234" i="3"/>
  <c r="H234" i="3"/>
  <c r="G235" i="3"/>
  <c r="H235" i="3"/>
  <c r="G236" i="3"/>
  <c r="H236" i="3"/>
  <c r="G237" i="3"/>
  <c r="H237" i="3"/>
  <c r="G238" i="3"/>
  <c r="H238" i="3"/>
  <c r="G239" i="3"/>
  <c r="H239" i="3"/>
  <c r="G240" i="3"/>
  <c r="H240" i="3"/>
  <c r="G241" i="3"/>
  <c r="H241" i="3"/>
  <c r="G242" i="3"/>
  <c r="H242" i="3"/>
  <c r="G243" i="3"/>
  <c r="H243" i="3"/>
  <c r="G244" i="3"/>
  <c r="H244" i="3"/>
  <c r="G245" i="3"/>
  <c r="H245" i="3"/>
  <c r="G246" i="3"/>
  <c r="H246" i="3"/>
  <c r="G247" i="3"/>
  <c r="H247" i="3"/>
  <c r="G248" i="3"/>
  <c r="H248" i="3"/>
  <c r="G249" i="3"/>
  <c r="H249" i="3"/>
  <c r="G250" i="3"/>
  <c r="H250" i="3"/>
  <c r="G251" i="3"/>
  <c r="H251" i="3"/>
  <c r="G252" i="3"/>
  <c r="H252" i="3"/>
  <c r="G253" i="3"/>
  <c r="H253" i="3"/>
  <c r="G254" i="3"/>
  <c r="H254" i="3"/>
  <c r="G255" i="3"/>
  <c r="H255" i="3"/>
  <c r="G256" i="3"/>
  <c r="H256" i="3"/>
  <c r="G257" i="3"/>
  <c r="H257" i="3"/>
  <c r="G258" i="3"/>
  <c r="H258" i="3"/>
  <c r="G259" i="3"/>
  <c r="H259" i="3"/>
  <c r="G260" i="3"/>
  <c r="H260" i="3"/>
  <c r="G261" i="3"/>
  <c r="H261" i="3"/>
  <c r="G262" i="3"/>
  <c r="H262" i="3"/>
  <c r="G263" i="3"/>
  <c r="H263" i="3"/>
  <c r="G264" i="3"/>
  <c r="H264" i="3"/>
  <c r="G265" i="3"/>
  <c r="H265" i="3"/>
  <c r="G266" i="3"/>
  <c r="H266" i="3"/>
  <c r="G267" i="3"/>
  <c r="H267" i="3"/>
  <c r="G268" i="3"/>
  <c r="H268" i="3"/>
  <c r="G269" i="3"/>
  <c r="H269" i="3"/>
  <c r="G270" i="3"/>
  <c r="H270" i="3"/>
  <c r="G271" i="3"/>
  <c r="H271" i="3"/>
  <c r="G272" i="3"/>
  <c r="H272" i="3"/>
  <c r="G273" i="3"/>
  <c r="H273" i="3"/>
  <c r="G274" i="3"/>
  <c r="H274" i="3"/>
  <c r="G275" i="3"/>
  <c r="H275" i="3"/>
  <c r="G276" i="3"/>
  <c r="H276" i="3"/>
  <c r="G277" i="3"/>
  <c r="H277" i="3"/>
  <c r="G278" i="3"/>
  <c r="H278" i="3"/>
  <c r="G279" i="3"/>
  <c r="H279" i="3"/>
  <c r="G280" i="3"/>
  <c r="H280" i="3"/>
  <c r="G281" i="3"/>
  <c r="H281" i="3"/>
  <c r="G282" i="3"/>
  <c r="H282" i="3"/>
  <c r="G283" i="3"/>
  <c r="H283" i="3"/>
  <c r="G284" i="3"/>
  <c r="H284" i="3"/>
  <c r="G285" i="3"/>
  <c r="H285" i="3"/>
  <c r="G286" i="3"/>
  <c r="H286" i="3"/>
  <c r="G287" i="3"/>
  <c r="H287" i="3"/>
  <c r="G288" i="3"/>
  <c r="H288" i="3"/>
  <c r="G289" i="3"/>
  <c r="H289" i="3"/>
  <c r="G290" i="3"/>
  <c r="H290" i="3"/>
  <c r="G291" i="3"/>
  <c r="H291" i="3"/>
  <c r="G292" i="3"/>
  <c r="H292" i="3"/>
  <c r="G293" i="3"/>
  <c r="H293" i="3"/>
  <c r="G294" i="3"/>
  <c r="H294" i="3"/>
  <c r="G295" i="3"/>
  <c r="H295" i="3"/>
  <c r="G296" i="3"/>
  <c r="H296" i="3"/>
  <c r="G297" i="3"/>
  <c r="H297" i="3"/>
  <c r="G298" i="3"/>
  <c r="H298" i="3"/>
  <c r="G299" i="3"/>
  <c r="H299" i="3"/>
  <c r="G300" i="3"/>
  <c r="H300" i="3"/>
  <c r="G301" i="3"/>
  <c r="H301" i="3"/>
  <c r="G302" i="3"/>
  <c r="H302" i="3"/>
  <c r="G303" i="3"/>
  <c r="H303" i="3"/>
  <c r="G304" i="3"/>
  <c r="H304" i="3"/>
  <c r="G305" i="3"/>
  <c r="H305" i="3"/>
  <c r="G306" i="3"/>
  <c r="H306" i="3"/>
  <c r="G307" i="3"/>
  <c r="H307" i="3"/>
  <c r="G308" i="3"/>
  <c r="H308" i="3"/>
  <c r="G309" i="3"/>
  <c r="H309" i="3"/>
  <c r="G310" i="3"/>
  <c r="H310" i="3"/>
  <c r="G311" i="3"/>
  <c r="H311" i="3"/>
  <c r="G312" i="3"/>
  <c r="H312" i="3"/>
  <c r="G313" i="3"/>
  <c r="H313" i="3"/>
  <c r="G314" i="3"/>
  <c r="H314" i="3"/>
  <c r="G315" i="3"/>
  <c r="H315" i="3"/>
  <c r="G316" i="3"/>
  <c r="H316" i="3"/>
  <c r="G317" i="3"/>
  <c r="H317" i="3"/>
  <c r="G318" i="3"/>
  <c r="H318" i="3"/>
  <c r="G319" i="3"/>
  <c r="H319" i="3"/>
  <c r="G320" i="3"/>
  <c r="H320" i="3"/>
  <c r="G321" i="3"/>
  <c r="H321" i="3"/>
  <c r="G322" i="3"/>
  <c r="H322" i="3"/>
  <c r="G323" i="3"/>
  <c r="H323" i="3"/>
  <c r="G324" i="3"/>
  <c r="H324" i="3"/>
  <c r="G325" i="3"/>
  <c r="H325" i="3"/>
  <c r="G326" i="3"/>
  <c r="H326" i="3"/>
  <c r="G327" i="3"/>
  <c r="H327" i="3"/>
  <c r="G328" i="3"/>
  <c r="H328" i="3"/>
  <c r="G329" i="3"/>
  <c r="H329" i="3"/>
  <c r="G330" i="3"/>
  <c r="H330" i="3"/>
  <c r="G331" i="3"/>
  <c r="H331" i="3"/>
  <c r="G332" i="3"/>
  <c r="H332" i="3"/>
  <c r="G333" i="3"/>
  <c r="H333" i="3"/>
  <c r="G334" i="3"/>
  <c r="H334" i="3"/>
  <c r="G335" i="3"/>
  <c r="H335" i="3"/>
  <c r="G336" i="3"/>
  <c r="H336" i="3"/>
  <c r="G337" i="3"/>
  <c r="H337" i="3"/>
  <c r="G338" i="3"/>
  <c r="H338" i="3"/>
  <c r="G339" i="3"/>
  <c r="H339" i="3"/>
  <c r="G340" i="3"/>
  <c r="H340" i="3"/>
  <c r="G341" i="3"/>
  <c r="H341" i="3"/>
  <c r="G342" i="3"/>
  <c r="H342" i="3"/>
  <c r="G343" i="3"/>
  <c r="H343" i="3"/>
  <c r="G344" i="3"/>
  <c r="H344" i="3"/>
  <c r="G345" i="3"/>
  <c r="H345" i="3"/>
  <c r="G346" i="3"/>
  <c r="H346" i="3"/>
  <c r="G347" i="3"/>
  <c r="H347" i="3"/>
  <c r="G348" i="3"/>
  <c r="H348" i="3"/>
  <c r="G349" i="3"/>
  <c r="H349" i="3"/>
  <c r="G350" i="3"/>
  <c r="H350" i="3"/>
  <c r="G351" i="3"/>
  <c r="H351" i="3"/>
  <c r="G352" i="3"/>
  <c r="H352" i="3"/>
  <c r="G353" i="3"/>
  <c r="H353" i="3"/>
  <c r="G354" i="3"/>
  <c r="H354" i="3"/>
  <c r="G355" i="3"/>
  <c r="H355" i="3"/>
  <c r="G356" i="3"/>
  <c r="H356" i="3"/>
  <c r="G357" i="3"/>
  <c r="H357" i="3"/>
  <c r="G358" i="3"/>
  <c r="H358" i="3"/>
  <c r="G359" i="3"/>
  <c r="H359" i="3"/>
  <c r="G360" i="3"/>
  <c r="H360" i="3"/>
  <c r="G361" i="3"/>
  <c r="H361" i="3"/>
  <c r="G362" i="3"/>
  <c r="H362" i="3"/>
  <c r="G363" i="3"/>
  <c r="H363" i="3"/>
  <c r="G364" i="3"/>
  <c r="H364" i="3"/>
  <c r="G365" i="3"/>
  <c r="H365" i="3"/>
  <c r="G366" i="3"/>
  <c r="H366" i="3"/>
  <c r="G367" i="3"/>
  <c r="H367" i="3"/>
  <c r="G368" i="3"/>
  <c r="H368" i="3"/>
  <c r="G369" i="3"/>
  <c r="H369" i="3"/>
  <c r="G370" i="3"/>
  <c r="H370" i="3"/>
  <c r="G371" i="3"/>
  <c r="H371" i="3"/>
  <c r="G372" i="3"/>
  <c r="H372" i="3"/>
  <c r="G373" i="3"/>
  <c r="H373" i="3"/>
  <c r="G374" i="3"/>
  <c r="H374" i="3"/>
  <c r="G375" i="3"/>
  <c r="H375" i="3"/>
  <c r="G376" i="3"/>
  <c r="H376" i="3"/>
  <c r="G377" i="3"/>
  <c r="H377" i="3"/>
  <c r="G378" i="3"/>
  <c r="H378" i="3"/>
  <c r="G379" i="3"/>
  <c r="H379" i="3"/>
  <c r="G380" i="3"/>
  <c r="H380" i="3"/>
  <c r="G381" i="3"/>
  <c r="H381" i="3"/>
  <c r="G382" i="3"/>
  <c r="H382" i="3"/>
  <c r="G383" i="3"/>
  <c r="H383" i="3"/>
  <c r="G384" i="3"/>
  <c r="H384" i="3"/>
  <c r="G385" i="3"/>
  <c r="H385" i="3"/>
  <c r="G386" i="3"/>
  <c r="H386" i="3"/>
  <c r="G387" i="3"/>
  <c r="H387" i="3"/>
  <c r="G388" i="3"/>
  <c r="H388" i="3"/>
  <c r="G389" i="3"/>
  <c r="H389" i="3"/>
  <c r="G390" i="3"/>
  <c r="H390" i="3"/>
  <c r="G391" i="3"/>
  <c r="H391" i="3"/>
  <c r="G392" i="3"/>
  <c r="H392" i="3"/>
  <c r="G393" i="3"/>
  <c r="H393" i="3"/>
  <c r="G394" i="3"/>
  <c r="H394" i="3"/>
  <c r="G395" i="3"/>
  <c r="H395" i="3"/>
  <c r="G396" i="3"/>
  <c r="H396" i="3"/>
  <c r="G397" i="3"/>
  <c r="H397" i="3"/>
  <c r="G398" i="3"/>
  <c r="H398" i="3"/>
  <c r="G399" i="3"/>
  <c r="H399" i="3"/>
  <c r="G400" i="3"/>
  <c r="H400" i="3"/>
  <c r="G401" i="3"/>
  <c r="H401" i="3"/>
  <c r="G402" i="3"/>
  <c r="H402" i="3"/>
  <c r="G403" i="3"/>
  <c r="H403" i="3"/>
  <c r="G404" i="3"/>
  <c r="H404" i="3"/>
  <c r="G405" i="3"/>
  <c r="H405" i="3"/>
  <c r="G406" i="3"/>
  <c r="H406" i="3"/>
  <c r="G407" i="3"/>
  <c r="H407" i="3"/>
  <c r="G408" i="3"/>
  <c r="H408" i="3"/>
  <c r="G409" i="3"/>
  <c r="H409" i="3"/>
  <c r="G410" i="3"/>
  <c r="H410" i="3"/>
  <c r="G411" i="3"/>
  <c r="H411" i="3"/>
  <c r="G412" i="3"/>
  <c r="H412" i="3"/>
  <c r="G413" i="3"/>
  <c r="H413" i="3"/>
  <c r="G414" i="3"/>
  <c r="H414" i="3"/>
  <c r="G415" i="3"/>
  <c r="H415" i="3"/>
  <c r="G416" i="3"/>
  <c r="H416" i="3"/>
  <c r="G417" i="3"/>
  <c r="H417" i="3"/>
  <c r="G418" i="3"/>
  <c r="H418" i="3"/>
  <c r="G419" i="3"/>
  <c r="H419" i="3"/>
  <c r="G420" i="3"/>
  <c r="H420" i="3"/>
  <c r="G421" i="3"/>
  <c r="H421" i="3"/>
  <c r="G422" i="3"/>
  <c r="H422" i="3"/>
  <c r="G423" i="3"/>
  <c r="H423" i="3"/>
  <c r="G424" i="3"/>
  <c r="H424" i="3"/>
  <c r="G425" i="3"/>
  <c r="H425" i="3"/>
  <c r="G426" i="3"/>
  <c r="H426" i="3"/>
  <c r="G427" i="3"/>
  <c r="H427" i="3"/>
  <c r="G428" i="3"/>
  <c r="H428" i="3"/>
  <c r="G429" i="3"/>
  <c r="H429" i="3"/>
  <c r="G430" i="3"/>
  <c r="H430" i="3"/>
  <c r="G431" i="3"/>
  <c r="H431" i="3"/>
  <c r="G432" i="3"/>
  <c r="H432" i="3"/>
  <c r="G433" i="3"/>
  <c r="H433" i="3"/>
  <c r="G434" i="3"/>
  <c r="H434" i="3"/>
  <c r="G435" i="3"/>
  <c r="H435" i="3"/>
  <c r="G436" i="3"/>
  <c r="H436" i="3"/>
  <c r="G437" i="3"/>
  <c r="H437" i="3"/>
  <c r="G438" i="3"/>
  <c r="H438" i="3"/>
  <c r="G439" i="3"/>
  <c r="H439" i="3"/>
  <c r="G440" i="3"/>
  <c r="H440" i="3"/>
  <c r="G441" i="3"/>
  <c r="H441" i="3"/>
  <c r="G442" i="3"/>
  <c r="H442" i="3"/>
  <c r="G443" i="3"/>
  <c r="H443" i="3"/>
  <c r="G444" i="3"/>
  <c r="H444" i="3"/>
  <c r="G445" i="3"/>
  <c r="H445" i="3"/>
  <c r="G446" i="3"/>
  <c r="H446" i="3"/>
  <c r="G447" i="3"/>
  <c r="H447" i="3"/>
  <c r="G448" i="3"/>
  <c r="H448" i="3"/>
  <c r="G449" i="3"/>
  <c r="H449" i="3"/>
  <c r="G450" i="3"/>
  <c r="H450" i="3"/>
  <c r="G451" i="3"/>
  <c r="H451" i="3"/>
  <c r="G452" i="3"/>
  <c r="H452" i="3"/>
  <c r="G453" i="3"/>
  <c r="H453" i="3"/>
  <c r="G454" i="3"/>
  <c r="H454" i="3"/>
  <c r="G455" i="3"/>
  <c r="H455" i="3"/>
  <c r="G456" i="3"/>
  <c r="H456" i="3"/>
  <c r="G457" i="3"/>
  <c r="H457" i="3"/>
  <c r="G458" i="3"/>
  <c r="H458" i="3"/>
  <c r="G459" i="3"/>
  <c r="H459" i="3"/>
  <c r="G460" i="3"/>
  <c r="H460" i="3"/>
  <c r="G461" i="3"/>
  <c r="H461" i="3"/>
  <c r="G462" i="3"/>
  <c r="H462" i="3"/>
  <c r="G463" i="3"/>
  <c r="H463" i="3"/>
  <c r="G464" i="3"/>
  <c r="H464" i="3"/>
  <c r="G465" i="3"/>
  <c r="H465" i="3"/>
  <c r="G466" i="3"/>
  <c r="H466" i="3"/>
  <c r="G467" i="3"/>
  <c r="H467" i="3"/>
  <c r="G468" i="3"/>
  <c r="H468" i="3"/>
  <c r="G469" i="3"/>
  <c r="H469" i="3"/>
  <c r="G470" i="3"/>
  <c r="H470" i="3"/>
  <c r="G471" i="3"/>
  <c r="H471" i="3"/>
  <c r="G472" i="3"/>
  <c r="H472" i="3"/>
  <c r="G473" i="3"/>
  <c r="H473" i="3"/>
  <c r="G474" i="3"/>
  <c r="H474" i="3"/>
  <c r="G475" i="3"/>
  <c r="H475" i="3"/>
  <c r="G476" i="3"/>
  <c r="H476" i="3"/>
  <c r="G477" i="3"/>
  <c r="H477" i="3"/>
  <c r="G478" i="3"/>
  <c r="H478" i="3"/>
  <c r="G479" i="3"/>
  <c r="H479" i="3"/>
  <c r="G480" i="3"/>
  <c r="H480" i="3"/>
  <c r="G481" i="3"/>
  <c r="H481" i="3"/>
  <c r="G482" i="3"/>
  <c r="H482" i="3"/>
  <c r="G483" i="3"/>
  <c r="H483" i="3"/>
  <c r="G484" i="3"/>
  <c r="H484" i="3"/>
  <c r="G485" i="3"/>
  <c r="H485" i="3"/>
  <c r="G486" i="3"/>
  <c r="H486" i="3"/>
  <c r="G487" i="3"/>
  <c r="H487" i="3"/>
  <c r="G488" i="3"/>
  <c r="H488" i="3"/>
  <c r="G489" i="3"/>
  <c r="H489" i="3"/>
  <c r="G490" i="3"/>
  <c r="H490" i="3"/>
  <c r="G491" i="3"/>
  <c r="H491" i="3"/>
  <c r="G492" i="3"/>
  <c r="H492" i="3"/>
  <c r="G493" i="3"/>
  <c r="H493" i="3"/>
  <c r="G494" i="3"/>
  <c r="H494" i="3"/>
  <c r="G495" i="3"/>
  <c r="H495" i="3"/>
  <c r="G496" i="3"/>
  <c r="H496" i="3"/>
  <c r="G497" i="3"/>
  <c r="H497" i="3"/>
  <c r="G498" i="3"/>
  <c r="H498" i="3"/>
  <c r="G499" i="3"/>
  <c r="H499" i="3"/>
  <c r="G500" i="3"/>
  <c r="H500" i="3"/>
  <c r="G501" i="3"/>
  <c r="H501" i="3"/>
  <c r="G502" i="3"/>
  <c r="H502" i="3"/>
  <c r="G503" i="3"/>
  <c r="H503" i="3"/>
  <c r="G504" i="3"/>
  <c r="H504" i="3"/>
  <c r="G505" i="3"/>
  <c r="H505" i="3"/>
  <c r="G506" i="3"/>
  <c r="H506" i="3"/>
  <c r="G507" i="3"/>
  <c r="H507" i="3"/>
  <c r="G508" i="3"/>
  <c r="H508" i="3"/>
  <c r="G509" i="3"/>
  <c r="H509" i="3"/>
  <c r="G510" i="3"/>
  <c r="H510" i="3"/>
  <c r="G511" i="3"/>
  <c r="H511" i="3"/>
  <c r="G512" i="3"/>
  <c r="H512" i="3"/>
  <c r="G513" i="3"/>
  <c r="H513" i="3"/>
  <c r="G514" i="3"/>
  <c r="H514" i="3"/>
  <c r="G515" i="3"/>
  <c r="H515" i="3"/>
  <c r="G516" i="3"/>
  <c r="H516" i="3"/>
  <c r="G517" i="3"/>
  <c r="H517" i="3"/>
  <c r="G518" i="3"/>
  <c r="H518" i="3"/>
  <c r="G519" i="3"/>
  <c r="H519" i="3"/>
  <c r="G520" i="3"/>
  <c r="H520" i="3"/>
  <c r="G521" i="3"/>
  <c r="H521" i="3"/>
  <c r="G522" i="3"/>
  <c r="H522" i="3"/>
  <c r="G523" i="3"/>
  <c r="H523" i="3"/>
  <c r="G524" i="3"/>
  <c r="H524" i="3"/>
  <c r="G525" i="3"/>
  <c r="H525" i="3"/>
  <c r="G526" i="3"/>
  <c r="H526" i="3"/>
  <c r="G527" i="3"/>
  <c r="H527" i="3"/>
  <c r="G528" i="3"/>
  <c r="H528" i="3"/>
  <c r="G529" i="3"/>
  <c r="H529" i="3"/>
  <c r="G530" i="3"/>
  <c r="H530" i="3"/>
  <c r="G531" i="3"/>
  <c r="H531" i="3"/>
  <c r="G532" i="3"/>
  <c r="H532" i="3"/>
  <c r="G533" i="3"/>
  <c r="H533" i="3"/>
  <c r="G534" i="3"/>
  <c r="H534" i="3"/>
  <c r="G535" i="3"/>
  <c r="H535" i="3"/>
  <c r="G536" i="3"/>
  <c r="H536" i="3"/>
  <c r="G537" i="3"/>
  <c r="H537" i="3"/>
  <c r="G538" i="3"/>
  <c r="H538" i="3"/>
  <c r="G539" i="3"/>
  <c r="H539" i="3"/>
  <c r="G540" i="3"/>
  <c r="H540" i="3"/>
  <c r="G541" i="3"/>
  <c r="H541" i="3"/>
  <c r="G542" i="3"/>
  <c r="H542" i="3"/>
  <c r="G543" i="3"/>
  <c r="H543" i="3"/>
  <c r="G544" i="3"/>
  <c r="H544" i="3"/>
  <c r="G545" i="3"/>
  <c r="H545" i="3"/>
  <c r="G546" i="3"/>
  <c r="H546" i="3"/>
  <c r="G547" i="3"/>
  <c r="H547" i="3"/>
  <c r="G548" i="3"/>
  <c r="H548" i="3"/>
  <c r="G549" i="3"/>
  <c r="H549" i="3"/>
  <c r="G550" i="3"/>
  <c r="H550" i="3"/>
  <c r="G551" i="3"/>
  <c r="H551" i="3"/>
  <c r="G552" i="3"/>
  <c r="H552" i="3"/>
  <c r="G553" i="3"/>
  <c r="H553" i="3"/>
  <c r="G554" i="3"/>
  <c r="H554" i="3"/>
  <c r="G555" i="3"/>
  <c r="H555" i="3"/>
  <c r="G556" i="3"/>
  <c r="H556" i="3"/>
  <c r="G557" i="3"/>
  <c r="H557" i="3"/>
  <c r="G558" i="3"/>
  <c r="H558" i="3"/>
  <c r="G559" i="3"/>
  <c r="H559" i="3"/>
  <c r="G560" i="3"/>
  <c r="H560" i="3"/>
  <c r="G561" i="3"/>
  <c r="H561" i="3"/>
  <c r="G562" i="3"/>
  <c r="H562" i="3"/>
  <c r="G563" i="3"/>
  <c r="H563" i="3"/>
  <c r="G564" i="3"/>
  <c r="H564" i="3"/>
  <c r="G565" i="3"/>
  <c r="H565" i="3"/>
  <c r="G566" i="3"/>
  <c r="H566" i="3"/>
  <c r="G567" i="3"/>
  <c r="H567" i="3"/>
  <c r="G568" i="3"/>
  <c r="H568" i="3"/>
  <c r="G569" i="3"/>
  <c r="H569" i="3"/>
  <c r="G570" i="3"/>
  <c r="H570" i="3"/>
  <c r="G571" i="3"/>
  <c r="H571" i="3"/>
  <c r="G572" i="3"/>
  <c r="H572" i="3"/>
  <c r="G573" i="3"/>
  <c r="H573" i="3"/>
  <c r="G574" i="3"/>
  <c r="H574" i="3"/>
  <c r="G575" i="3"/>
  <c r="H575" i="3"/>
  <c r="G576" i="3"/>
  <c r="H576" i="3"/>
  <c r="G577" i="3"/>
  <c r="H577" i="3"/>
  <c r="G578" i="3"/>
  <c r="H578" i="3"/>
  <c r="G579" i="3"/>
  <c r="H579" i="3"/>
  <c r="G580" i="3"/>
  <c r="H580" i="3"/>
  <c r="G581" i="3"/>
  <c r="H581" i="3"/>
  <c r="G582" i="3"/>
  <c r="H582" i="3"/>
  <c r="G583" i="3"/>
  <c r="H583" i="3"/>
  <c r="G584" i="3"/>
  <c r="H584" i="3"/>
  <c r="G585" i="3"/>
  <c r="H585" i="3"/>
  <c r="G586" i="3"/>
  <c r="H586" i="3"/>
  <c r="G587" i="3"/>
  <c r="H587" i="3"/>
  <c r="G588" i="3"/>
  <c r="H588" i="3"/>
  <c r="G589" i="3"/>
  <c r="H589" i="3"/>
  <c r="G590" i="3"/>
  <c r="H590" i="3"/>
  <c r="G591" i="3"/>
  <c r="H591" i="3"/>
  <c r="G592" i="3"/>
  <c r="H592" i="3"/>
  <c r="G593" i="3"/>
  <c r="H593" i="3"/>
  <c r="G594" i="3"/>
  <c r="H594" i="3"/>
  <c r="G595" i="3"/>
  <c r="H595" i="3"/>
  <c r="G596" i="3"/>
  <c r="H596" i="3"/>
  <c r="G597" i="3"/>
  <c r="H597" i="3"/>
  <c r="G598" i="3"/>
  <c r="H598" i="3"/>
  <c r="G599" i="3"/>
  <c r="H599" i="3"/>
  <c r="G600" i="3"/>
  <c r="H600" i="3"/>
  <c r="G601" i="3"/>
  <c r="H601" i="3"/>
  <c r="G602" i="3"/>
  <c r="H602" i="3"/>
  <c r="G603" i="3"/>
  <c r="H603" i="3"/>
  <c r="G604" i="3"/>
  <c r="H604" i="3"/>
  <c r="G605" i="3"/>
  <c r="H605" i="3"/>
  <c r="G606" i="3"/>
  <c r="H606" i="3"/>
  <c r="G607" i="3"/>
  <c r="H607" i="3"/>
  <c r="G608" i="3"/>
  <c r="H608" i="3"/>
  <c r="G609" i="3"/>
  <c r="H609" i="3"/>
  <c r="G610" i="3"/>
  <c r="H610" i="3"/>
  <c r="G611" i="3"/>
  <c r="H611" i="3"/>
  <c r="G612" i="3"/>
  <c r="H612" i="3"/>
  <c r="G613" i="3"/>
  <c r="H613" i="3"/>
  <c r="G614" i="3"/>
  <c r="H614" i="3"/>
  <c r="G615" i="3"/>
  <c r="H615" i="3"/>
  <c r="G616" i="3"/>
  <c r="H616" i="3"/>
  <c r="G617" i="3"/>
  <c r="H617" i="3"/>
  <c r="G618" i="3"/>
  <c r="H618" i="3"/>
  <c r="G619" i="3"/>
  <c r="H619" i="3"/>
  <c r="G620" i="3"/>
  <c r="H620" i="3"/>
  <c r="G621" i="3"/>
  <c r="H621" i="3"/>
  <c r="G622" i="3"/>
  <c r="H622" i="3"/>
  <c r="G623" i="3"/>
  <c r="H623" i="3"/>
  <c r="G624" i="3"/>
  <c r="H624" i="3"/>
  <c r="G625" i="3"/>
  <c r="H625" i="3"/>
  <c r="G626" i="3"/>
  <c r="H626" i="3"/>
  <c r="G627" i="3"/>
  <c r="H627" i="3"/>
  <c r="G628" i="3"/>
  <c r="H628" i="3"/>
  <c r="G629" i="3"/>
  <c r="H629" i="3"/>
  <c r="G630" i="3"/>
  <c r="H630" i="3"/>
  <c r="G631" i="3"/>
  <c r="H631" i="3"/>
  <c r="G632" i="3"/>
  <c r="H632" i="3"/>
  <c r="G633" i="3"/>
  <c r="H633" i="3"/>
  <c r="G634" i="3"/>
  <c r="H634" i="3"/>
  <c r="G635" i="3"/>
  <c r="H635" i="3"/>
  <c r="G636" i="3"/>
  <c r="H636" i="3"/>
  <c r="G637" i="3"/>
  <c r="H637" i="3"/>
  <c r="G638" i="3"/>
  <c r="H638" i="3"/>
  <c r="G639" i="3"/>
  <c r="H639" i="3"/>
  <c r="G640" i="3"/>
  <c r="H640" i="3"/>
  <c r="G641" i="3"/>
  <c r="H641" i="3"/>
  <c r="G642" i="3"/>
  <c r="H642" i="3"/>
  <c r="G643" i="3"/>
  <c r="H643" i="3"/>
  <c r="G644" i="3"/>
  <c r="H644" i="3"/>
  <c r="G645" i="3"/>
  <c r="H645" i="3"/>
  <c r="G646" i="3"/>
  <c r="H646" i="3"/>
  <c r="G647" i="3"/>
  <c r="H647" i="3"/>
  <c r="G648" i="3"/>
  <c r="H648" i="3"/>
  <c r="G649" i="3"/>
  <c r="H649" i="3"/>
  <c r="G650" i="3"/>
  <c r="H650" i="3"/>
  <c r="G651" i="3"/>
  <c r="H651" i="3"/>
  <c r="G652" i="3"/>
  <c r="H652" i="3"/>
  <c r="G653" i="3"/>
  <c r="H653" i="3"/>
  <c r="G654" i="3"/>
  <c r="H654" i="3"/>
  <c r="G655" i="3"/>
  <c r="H655" i="3"/>
  <c r="G656" i="3"/>
  <c r="H656" i="3"/>
  <c r="G657" i="3"/>
  <c r="H657" i="3"/>
  <c r="G658" i="3"/>
  <c r="H658" i="3"/>
  <c r="G659" i="3"/>
  <c r="H659" i="3"/>
  <c r="G660" i="3"/>
  <c r="H660" i="3"/>
  <c r="G661" i="3"/>
  <c r="H661" i="3"/>
  <c r="G662" i="3"/>
  <c r="H662" i="3"/>
  <c r="G663" i="3"/>
  <c r="H663" i="3"/>
  <c r="G664" i="3"/>
  <c r="H664" i="3"/>
  <c r="G665" i="3"/>
  <c r="H665" i="3"/>
  <c r="G666" i="3"/>
  <c r="H666" i="3"/>
  <c r="G667" i="3"/>
  <c r="H667" i="3"/>
  <c r="G668" i="3"/>
  <c r="H668" i="3"/>
  <c r="G669" i="3"/>
  <c r="H669" i="3"/>
  <c r="G670" i="3"/>
  <c r="H670" i="3"/>
  <c r="G671" i="3"/>
  <c r="H671" i="3"/>
  <c r="G672" i="3"/>
  <c r="H672" i="3"/>
  <c r="G673" i="3"/>
  <c r="H673" i="3"/>
  <c r="G674" i="3"/>
  <c r="H674" i="3"/>
  <c r="G675" i="3"/>
  <c r="H675" i="3"/>
  <c r="G676" i="3"/>
  <c r="H676" i="3"/>
  <c r="G677" i="3"/>
  <c r="H677" i="3"/>
  <c r="G678" i="3"/>
  <c r="H678" i="3"/>
  <c r="G679" i="3"/>
  <c r="H679" i="3"/>
  <c r="G680" i="3"/>
  <c r="H680" i="3"/>
  <c r="G681" i="3"/>
  <c r="H681" i="3"/>
  <c r="G682" i="3"/>
  <c r="H682" i="3"/>
  <c r="G683" i="3"/>
  <c r="H683" i="3"/>
  <c r="G684" i="3"/>
  <c r="H684" i="3"/>
  <c r="G685" i="3"/>
  <c r="H685" i="3"/>
  <c r="G686" i="3"/>
  <c r="H686" i="3"/>
  <c r="G687" i="3"/>
  <c r="H687" i="3"/>
  <c r="G688" i="3"/>
  <c r="H688" i="3"/>
  <c r="G689" i="3"/>
  <c r="H689" i="3"/>
  <c r="G690" i="3"/>
  <c r="H690" i="3"/>
  <c r="G691" i="3"/>
  <c r="H691" i="3"/>
  <c r="G692" i="3"/>
  <c r="H692" i="3"/>
  <c r="G693" i="3"/>
  <c r="H693" i="3"/>
  <c r="G694" i="3"/>
  <c r="H694" i="3"/>
  <c r="G695" i="3"/>
  <c r="H695" i="3"/>
  <c r="G696" i="3"/>
  <c r="H696" i="3"/>
  <c r="G697" i="3"/>
  <c r="H697" i="3"/>
  <c r="G698" i="3"/>
  <c r="H698" i="3"/>
  <c r="G699" i="3"/>
  <c r="H699" i="3"/>
  <c r="G700" i="3"/>
  <c r="H700" i="3"/>
  <c r="G701" i="3"/>
  <c r="H701" i="3"/>
  <c r="G702" i="3"/>
  <c r="H702" i="3"/>
  <c r="G703" i="3"/>
  <c r="H703" i="3"/>
  <c r="G704" i="3"/>
  <c r="H704" i="3"/>
  <c r="G705" i="3"/>
  <c r="H705" i="3"/>
  <c r="G706" i="3"/>
  <c r="H706" i="3"/>
  <c r="G707" i="3"/>
  <c r="H707" i="3"/>
  <c r="G708" i="3"/>
  <c r="H708" i="3"/>
  <c r="G709" i="3"/>
  <c r="H709" i="3"/>
  <c r="G710" i="3"/>
  <c r="H710" i="3"/>
  <c r="G711" i="3"/>
  <c r="H711" i="3"/>
  <c r="G712" i="3"/>
  <c r="H712" i="3"/>
  <c r="G713" i="3"/>
  <c r="H713" i="3"/>
  <c r="G714" i="3"/>
  <c r="H714" i="3"/>
  <c r="G715" i="3"/>
  <c r="H715" i="3"/>
  <c r="G716" i="3"/>
  <c r="H716" i="3"/>
  <c r="G717" i="3"/>
  <c r="H717" i="3"/>
  <c r="G718" i="3"/>
  <c r="H718" i="3"/>
  <c r="G719" i="3"/>
  <c r="H719" i="3"/>
  <c r="G720" i="3"/>
  <c r="H720" i="3"/>
  <c r="G721" i="3"/>
  <c r="H721" i="3"/>
  <c r="G722" i="3"/>
  <c r="H722" i="3"/>
  <c r="G723" i="3"/>
  <c r="H723" i="3"/>
  <c r="G724" i="3"/>
  <c r="H724" i="3"/>
  <c r="G725" i="3"/>
  <c r="H725" i="3"/>
  <c r="G726" i="3"/>
  <c r="H726" i="3"/>
  <c r="G727" i="3"/>
  <c r="H727" i="3"/>
  <c r="G728" i="3"/>
  <c r="H728" i="3"/>
  <c r="G729" i="3"/>
  <c r="H729" i="3"/>
  <c r="G730" i="3"/>
  <c r="H730" i="3"/>
  <c r="G731" i="3"/>
  <c r="H731" i="3"/>
  <c r="G732" i="3"/>
  <c r="H732" i="3"/>
  <c r="G733" i="3"/>
  <c r="H733" i="3"/>
  <c r="G734" i="3"/>
  <c r="H734" i="3"/>
  <c r="G735" i="3"/>
  <c r="H735" i="3"/>
  <c r="G736" i="3"/>
  <c r="H736" i="3"/>
  <c r="G737" i="3"/>
  <c r="H737" i="3"/>
  <c r="G738" i="3"/>
  <c r="H738" i="3"/>
  <c r="G739" i="3"/>
  <c r="H739" i="3"/>
  <c r="G740" i="3"/>
  <c r="H740" i="3"/>
  <c r="G741" i="3"/>
  <c r="H741" i="3"/>
  <c r="G742" i="3"/>
  <c r="H742" i="3"/>
  <c r="G743" i="3"/>
  <c r="H743" i="3"/>
  <c r="G744" i="3"/>
  <c r="H744" i="3"/>
  <c r="G745" i="3"/>
  <c r="H745" i="3"/>
  <c r="G746" i="3"/>
  <c r="H746" i="3"/>
  <c r="G747" i="3"/>
  <c r="H747" i="3"/>
  <c r="G748" i="3"/>
  <c r="H748" i="3"/>
  <c r="G749" i="3"/>
  <c r="H749" i="3"/>
  <c r="G750" i="3"/>
  <c r="H750" i="3"/>
  <c r="G751" i="3"/>
  <c r="H751" i="3"/>
  <c r="G752" i="3"/>
  <c r="H752" i="3"/>
  <c r="G753" i="3"/>
  <c r="H753" i="3"/>
  <c r="G754" i="3"/>
  <c r="H754" i="3"/>
  <c r="G755" i="3"/>
  <c r="H755" i="3"/>
  <c r="G756" i="3"/>
  <c r="H756" i="3"/>
  <c r="G757" i="3"/>
  <c r="H757" i="3"/>
  <c r="G758" i="3"/>
  <c r="H758" i="3"/>
  <c r="G759" i="3"/>
  <c r="H759" i="3"/>
  <c r="G760" i="3"/>
  <c r="H760" i="3"/>
  <c r="G761" i="3"/>
  <c r="H761" i="3"/>
  <c r="G762" i="3"/>
  <c r="H762" i="3"/>
  <c r="G763" i="3"/>
  <c r="H763" i="3"/>
  <c r="G764" i="3"/>
  <c r="H764" i="3"/>
  <c r="G765" i="3"/>
  <c r="H765" i="3"/>
  <c r="G766" i="3"/>
  <c r="H766" i="3"/>
  <c r="G767" i="3"/>
  <c r="H767" i="3"/>
  <c r="G768" i="3"/>
  <c r="H768" i="3"/>
  <c r="G769" i="3"/>
  <c r="H769" i="3"/>
  <c r="G770" i="3"/>
  <c r="H770" i="3"/>
  <c r="G771" i="3"/>
  <c r="H771" i="3"/>
  <c r="G772" i="3"/>
  <c r="H772" i="3"/>
  <c r="G773" i="3"/>
  <c r="H773" i="3"/>
  <c r="G774" i="3"/>
  <c r="H774" i="3"/>
  <c r="G775" i="3"/>
  <c r="H775" i="3"/>
  <c r="G776" i="3"/>
  <c r="H776" i="3"/>
  <c r="G777" i="3"/>
  <c r="H777" i="3"/>
  <c r="G778" i="3"/>
  <c r="H778" i="3"/>
  <c r="G779" i="3"/>
  <c r="H779" i="3"/>
  <c r="G780" i="3"/>
  <c r="H780" i="3"/>
  <c r="G781" i="3"/>
  <c r="H781" i="3"/>
  <c r="G782" i="3"/>
  <c r="H782" i="3"/>
  <c r="G783" i="3"/>
  <c r="H783" i="3"/>
  <c r="G784" i="3"/>
  <c r="H784" i="3"/>
  <c r="G785" i="3"/>
  <c r="H785" i="3"/>
  <c r="G786" i="3"/>
  <c r="H786" i="3"/>
  <c r="G787" i="3"/>
  <c r="H787" i="3"/>
  <c r="G788" i="3"/>
  <c r="H788" i="3"/>
  <c r="G789" i="3"/>
  <c r="H789" i="3"/>
  <c r="G790" i="3"/>
  <c r="H790" i="3"/>
  <c r="G791" i="3"/>
  <c r="H791" i="3"/>
  <c r="G792" i="3"/>
  <c r="H792" i="3"/>
  <c r="G793" i="3"/>
  <c r="H793" i="3"/>
  <c r="G794" i="3"/>
  <c r="H794" i="3"/>
  <c r="G795" i="3"/>
  <c r="H795" i="3"/>
  <c r="G796" i="3"/>
  <c r="H796" i="3"/>
  <c r="G797" i="3"/>
  <c r="H797" i="3"/>
  <c r="G798" i="3"/>
  <c r="H798" i="3"/>
  <c r="G799" i="3"/>
  <c r="H799" i="3"/>
  <c r="G800" i="3"/>
  <c r="H800" i="3"/>
  <c r="G801" i="3"/>
  <c r="H801" i="3"/>
  <c r="G802" i="3"/>
  <c r="H802" i="3"/>
  <c r="G803" i="3"/>
  <c r="H803" i="3"/>
  <c r="G804" i="3"/>
  <c r="H804" i="3"/>
  <c r="G805" i="3"/>
  <c r="H805" i="3"/>
  <c r="G806" i="3"/>
  <c r="H806" i="3"/>
  <c r="G807" i="3"/>
  <c r="H807" i="3"/>
  <c r="G808" i="3"/>
  <c r="H808" i="3"/>
  <c r="G809" i="3"/>
  <c r="H809" i="3"/>
  <c r="G810" i="3"/>
  <c r="H810" i="3"/>
  <c r="G811" i="3"/>
  <c r="H811" i="3"/>
  <c r="G812" i="3"/>
  <c r="H812" i="3"/>
  <c r="G813" i="3"/>
  <c r="H813" i="3"/>
  <c r="G814" i="3"/>
  <c r="H814" i="3"/>
  <c r="G815" i="3"/>
  <c r="H815" i="3"/>
  <c r="G816" i="3"/>
  <c r="H816" i="3"/>
  <c r="G817" i="3"/>
  <c r="H817" i="3"/>
  <c r="G818" i="3"/>
  <c r="H818" i="3"/>
  <c r="G819" i="3"/>
  <c r="H819" i="3"/>
  <c r="G820" i="3"/>
  <c r="H820" i="3"/>
  <c r="G821" i="3"/>
  <c r="H821" i="3"/>
  <c r="G822" i="3"/>
  <c r="H822" i="3"/>
  <c r="G823" i="3"/>
  <c r="H823" i="3"/>
  <c r="G824" i="3"/>
  <c r="H824" i="3"/>
  <c r="G825" i="3"/>
  <c r="H825" i="3"/>
  <c r="G826" i="3"/>
  <c r="H826" i="3"/>
  <c r="G827" i="3"/>
  <c r="H827" i="3"/>
  <c r="G828" i="3"/>
  <c r="H828" i="3"/>
  <c r="G829" i="3"/>
  <c r="H829" i="3"/>
  <c r="G830" i="3"/>
  <c r="H830" i="3"/>
  <c r="G831" i="3"/>
  <c r="H831" i="3"/>
  <c r="G832" i="3"/>
  <c r="H832" i="3"/>
  <c r="G833" i="3"/>
  <c r="H833" i="3"/>
  <c r="G834" i="3"/>
  <c r="H834" i="3"/>
  <c r="G835" i="3"/>
  <c r="H835" i="3"/>
  <c r="G836" i="3"/>
  <c r="H836" i="3"/>
  <c r="G837" i="3"/>
  <c r="H837" i="3"/>
  <c r="G838" i="3"/>
  <c r="H838" i="3"/>
  <c r="G839" i="3"/>
  <c r="H839" i="3"/>
  <c r="G840" i="3"/>
  <c r="H840" i="3"/>
  <c r="G841" i="3"/>
  <c r="H841" i="3"/>
  <c r="G842" i="3"/>
  <c r="H842" i="3"/>
  <c r="G843" i="3"/>
  <c r="H843" i="3"/>
  <c r="G844" i="3"/>
  <c r="H844" i="3"/>
  <c r="G845" i="3"/>
  <c r="H845" i="3"/>
  <c r="G846" i="3"/>
  <c r="H846" i="3"/>
  <c r="G847" i="3"/>
  <c r="H847" i="3"/>
  <c r="G848" i="3"/>
  <c r="H848" i="3"/>
  <c r="G849" i="3"/>
  <c r="H849" i="3"/>
  <c r="G850" i="3"/>
  <c r="H850" i="3"/>
  <c r="G851" i="3"/>
  <c r="H851" i="3"/>
  <c r="G852" i="3"/>
  <c r="H852" i="3"/>
  <c r="G853" i="3"/>
  <c r="H853" i="3"/>
  <c r="G854" i="3"/>
  <c r="H854" i="3"/>
  <c r="G855" i="3"/>
  <c r="H855" i="3"/>
  <c r="G856" i="3"/>
  <c r="H856" i="3"/>
  <c r="G857" i="3"/>
  <c r="H857" i="3"/>
  <c r="G858" i="3"/>
  <c r="H858" i="3"/>
  <c r="G859" i="3"/>
  <c r="H859" i="3"/>
  <c r="G860" i="3"/>
  <c r="H860" i="3"/>
  <c r="G861" i="3"/>
  <c r="H861" i="3"/>
  <c r="G862" i="3"/>
  <c r="H862" i="3"/>
  <c r="G863" i="3"/>
  <c r="H863" i="3"/>
  <c r="G864" i="3"/>
  <c r="H864" i="3"/>
  <c r="G865" i="3"/>
  <c r="H865" i="3"/>
  <c r="G866" i="3"/>
  <c r="H866" i="3"/>
  <c r="G867" i="3"/>
  <c r="H867" i="3"/>
  <c r="G868" i="3"/>
  <c r="H868" i="3"/>
  <c r="G869" i="3"/>
  <c r="H869" i="3"/>
  <c r="G870" i="3"/>
  <c r="H870" i="3"/>
  <c r="G871" i="3"/>
  <c r="H871" i="3"/>
  <c r="G872" i="3"/>
  <c r="H872" i="3"/>
  <c r="G873" i="3"/>
  <c r="H873" i="3"/>
  <c r="G874" i="3"/>
  <c r="H874" i="3"/>
  <c r="G875" i="3"/>
  <c r="H875" i="3"/>
  <c r="G876" i="3"/>
  <c r="H876" i="3"/>
  <c r="G877" i="3"/>
  <c r="H877" i="3"/>
  <c r="G878" i="3"/>
  <c r="H878" i="3"/>
  <c r="G879" i="3"/>
  <c r="H879" i="3"/>
  <c r="G880" i="3"/>
  <c r="H880" i="3"/>
  <c r="G881" i="3"/>
  <c r="H881" i="3"/>
  <c r="G882" i="3"/>
  <c r="H882" i="3"/>
  <c r="G883" i="3"/>
  <c r="H883" i="3"/>
  <c r="G884" i="3"/>
  <c r="H884" i="3"/>
  <c r="G885" i="3"/>
  <c r="H885" i="3"/>
  <c r="G886" i="3"/>
  <c r="H886" i="3"/>
  <c r="G887" i="3"/>
  <c r="H887" i="3"/>
  <c r="G888" i="3"/>
  <c r="H888" i="3"/>
  <c r="G889" i="3"/>
  <c r="H889" i="3"/>
  <c r="G890" i="3"/>
  <c r="H890" i="3"/>
  <c r="G891" i="3"/>
  <c r="H891" i="3"/>
  <c r="G892" i="3"/>
  <c r="H892" i="3"/>
  <c r="G893" i="3"/>
  <c r="H893" i="3"/>
  <c r="G894" i="3"/>
  <c r="H894" i="3"/>
  <c r="G895" i="3"/>
  <c r="H895" i="3"/>
  <c r="G896" i="3"/>
  <c r="H896" i="3"/>
  <c r="G897" i="3"/>
  <c r="H897" i="3"/>
  <c r="G898" i="3"/>
  <c r="H898" i="3"/>
  <c r="G899" i="3"/>
  <c r="H899" i="3"/>
  <c r="G900" i="3"/>
  <c r="H900" i="3"/>
  <c r="G901" i="3"/>
  <c r="H901" i="3"/>
  <c r="G902" i="3"/>
  <c r="H902" i="3"/>
  <c r="G903" i="3"/>
  <c r="H903" i="3"/>
  <c r="G904" i="3"/>
  <c r="H904" i="3"/>
  <c r="G905" i="3"/>
  <c r="H905" i="3"/>
  <c r="G906" i="3"/>
  <c r="H906" i="3"/>
  <c r="G907" i="3"/>
  <c r="H907" i="3"/>
  <c r="G908" i="3"/>
  <c r="H908" i="3"/>
  <c r="G909" i="3"/>
  <c r="H909" i="3"/>
  <c r="G910" i="3"/>
  <c r="H910" i="3"/>
  <c r="G911" i="3"/>
  <c r="H911" i="3"/>
  <c r="G912" i="3"/>
  <c r="H912" i="3"/>
  <c r="G913" i="3"/>
  <c r="H913" i="3"/>
  <c r="G914" i="3"/>
  <c r="H914" i="3"/>
  <c r="G915" i="3"/>
  <c r="H915" i="3"/>
  <c r="G916" i="3"/>
  <c r="H916" i="3"/>
  <c r="G917" i="3"/>
  <c r="H917" i="3"/>
  <c r="G918" i="3"/>
  <c r="H918" i="3"/>
  <c r="G919" i="3"/>
  <c r="H919" i="3"/>
  <c r="G920" i="3"/>
  <c r="H920" i="3"/>
  <c r="G921" i="3"/>
  <c r="H921" i="3"/>
  <c r="G922" i="3"/>
  <c r="H922" i="3"/>
  <c r="G923" i="3"/>
  <c r="H923" i="3"/>
  <c r="G924" i="3"/>
  <c r="H924" i="3"/>
  <c r="G925" i="3"/>
  <c r="H925" i="3"/>
  <c r="G926" i="3"/>
  <c r="H926" i="3"/>
  <c r="G927" i="3"/>
  <c r="H927" i="3"/>
  <c r="G928" i="3"/>
  <c r="H928" i="3"/>
  <c r="G929" i="3"/>
  <c r="H929" i="3"/>
  <c r="G930" i="3"/>
  <c r="H930" i="3"/>
  <c r="G931" i="3"/>
  <c r="H931" i="3"/>
  <c r="G932" i="3"/>
  <c r="H932" i="3"/>
  <c r="G933" i="3"/>
  <c r="H933" i="3"/>
  <c r="G934" i="3"/>
  <c r="H934" i="3"/>
  <c r="G935" i="3"/>
  <c r="H935" i="3"/>
  <c r="G936" i="3"/>
  <c r="H936" i="3"/>
  <c r="G937" i="3"/>
  <c r="H937" i="3"/>
  <c r="G938" i="3"/>
  <c r="H938" i="3"/>
  <c r="G939" i="3"/>
  <c r="H939" i="3"/>
  <c r="G940" i="3"/>
  <c r="H940" i="3"/>
  <c r="G941" i="3"/>
  <c r="H941" i="3"/>
  <c r="G942" i="3"/>
  <c r="H942" i="3"/>
  <c r="G943" i="3"/>
  <c r="H943" i="3"/>
  <c r="G944" i="3"/>
  <c r="H944" i="3"/>
  <c r="G945" i="3"/>
  <c r="H945" i="3"/>
  <c r="G946" i="3"/>
  <c r="H946" i="3"/>
  <c r="G947" i="3"/>
  <c r="H947" i="3"/>
  <c r="G948" i="3"/>
  <c r="H948" i="3"/>
  <c r="G949" i="3"/>
  <c r="H949" i="3"/>
  <c r="G950" i="3"/>
  <c r="H950" i="3"/>
  <c r="G951" i="3"/>
  <c r="H951" i="3"/>
  <c r="G952" i="3"/>
  <c r="H952" i="3"/>
  <c r="G953" i="3"/>
  <c r="H953" i="3"/>
  <c r="G954" i="3"/>
  <c r="H954" i="3"/>
  <c r="G955" i="3"/>
  <c r="H955" i="3"/>
  <c r="G956" i="3"/>
  <c r="H956" i="3"/>
  <c r="G957" i="3"/>
  <c r="H957" i="3"/>
  <c r="G958" i="3"/>
  <c r="H958" i="3"/>
  <c r="G959" i="3"/>
  <c r="H959" i="3"/>
  <c r="G960" i="3"/>
  <c r="H960" i="3"/>
  <c r="G961" i="3"/>
  <c r="H961" i="3"/>
  <c r="G962" i="3"/>
  <c r="H962" i="3"/>
  <c r="G963" i="3"/>
  <c r="H963" i="3"/>
  <c r="G964" i="3"/>
  <c r="H964" i="3"/>
  <c r="G965" i="3"/>
  <c r="H965" i="3"/>
  <c r="G966" i="3"/>
  <c r="H966" i="3"/>
  <c r="G967" i="3"/>
  <c r="H967" i="3"/>
  <c r="G968" i="3"/>
  <c r="H968" i="3"/>
  <c r="G969" i="3"/>
  <c r="H969" i="3"/>
  <c r="G970" i="3"/>
  <c r="H970" i="3"/>
  <c r="G971" i="3"/>
  <c r="H971" i="3"/>
  <c r="G972" i="3"/>
  <c r="H972" i="3"/>
  <c r="G973" i="3"/>
  <c r="H973" i="3"/>
  <c r="G974" i="3"/>
  <c r="H974" i="3"/>
  <c r="G975" i="3"/>
  <c r="H975" i="3"/>
  <c r="G976" i="3"/>
  <c r="H976" i="3"/>
  <c r="G977" i="3"/>
  <c r="H977" i="3"/>
  <c r="G978" i="3"/>
  <c r="H978" i="3"/>
  <c r="G979" i="3"/>
  <c r="H979" i="3"/>
  <c r="G980" i="3"/>
  <c r="H980" i="3"/>
  <c r="G981" i="3"/>
  <c r="H981" i="3"/>
  <c r="G982" i="3"/>
  <c r="H982" i="3"/>
  <c r="G983" i="3"/>
  <c r="H983" i="3"/>
  <c r="G984" i="3"/>
  <c r="H984" i="3"/>
  <c r="G985" i="3"/>
  <c r="H985" i="3"/>
  <c r="G986" i="3"/>
  <c r="H986" i="3"/>
  <c r="G987" i="3"/>
  <c r="H987" i="3"/>
  <c r="G988" i="3"/>
  <c r="H988" i="3"/>
  <c r="G989" i="3"/>
  <c r="H989" i="3"/>
  <c r="G990" i="3"/>
  <c r="H990" i="3"/>
  <c r="G991" i="3"/>
  <c r="H991" i="3"/>
  <c r="G992" i="3"/>
  <c r="H992" i="3"/>
  <c r="G993" i="3"/>
  <c r="H993" i="3"/>
  <c r="G994" i="3"/>
  <c r="H994" i="3"/>
  <c r="G995" i="3"/>
  <c r="H995" i="3"/>
  <c r="G996" i="3"/>
  <c r="H996" i="3"/>
  <c r="G997" i="3"/>
  <c r="H997" i="3"/>
  <c r="G998" i="3"/>
  <c r="H998" i="3"/>
  <c r="G999" i="3"/>
  <c r="H999" i="3"/>
  <c r="G1000" i="3"/>
  <c r="H1000" i="3"/>
  <c r="G1001" i="3"/>
  <c r="H1001" i="3"/>
  <c r="G1002" i="3"/>
  <c r="H1002" i="3"/>
  <c r="G1003" i="3"/>
  <c r="H1003" i="3"/>
  <c r="G1004" i="3"/>
  <c r="H1004" i="3"/>
  <c r="G1005" i="3"/>
  <c r="H1005" i="3"/>
  <c r="G1006" i="3"/>
  <c r="H1006" i="3"/>
  <c r="G1007" i="3"/>
  <c r="H1007" i="3"/>
  <c r="G1008" i="3"/>
  <c r="H1008" i="3"/>
  <c r="G1009" i="3"/>
  <c r="H1009" i="3"/>
  <c r="G1010" i="3"/>
  <c r="H1010" i="3"/>
  <c r="G1011" i="3"/>
  <c r="H1011" i="3"/>
  <c r="G1012" i="3"/>
  <c r="H1012" i="3"/>
  <c r="G1013" i="3"/>
  <c r="H1013" i="3"/>
  <c r="G1014" i="3"/>
  <c r="H1014" i="3"/>
  <c r="G1015" i="3"/>
  <c r="H1015" i="3"/>
  <c r="G1016" i="3"/>
  <c r="H1016" i="3"/>
  <c r="G1017" i="3"/>
  <c r="H1017" i="3"/>
  <c r="G1018" i="3"/>
  <c r="H1018" i="3"/>
  <c r="G1019" i="3"/>
  <c r="H1019" i="3"/>
  <c r="G1020" i="3"/>
  <c r="H1020" i="3"/>
  <c r="G1021" i="3"/>
  <c r="H1021" i="3"/>
  <c r="G1022" i="3"/>
  <c r="H1022" i="3"/>
  <c r="G1023" i="3"/>
  <c r="H1023" i="3"/>
  <c r="G1024" i="3"/>
  <c r="H1024" i="3"/>
  <c r="G1025" i="3"/>
  <c r="H1025" i="3"/>
  <c r="G1026" i="3"/>
  <c r="H1026" i="3"/>
  <c r="G1027" i="3"/>
  <c r="H1027" i="3"/>
  <c r="G1028" i="3"/>
  <c r="H1028" i="3"/>
  <c r="G1029" i="3"/>
  <c r="H1029" i="3"/>
  <c r="G1030" i="3"/>
  <c r="H1030" i="3"/>
  <c r="G1031" i="3"/>
  <c r="H1031" i="3"/>
  <c r="G1032" i="3"/>
  <c r="H1032" i="3"/>
  <c r="G1033" i="3"/>
  <c r="H1033" i="3"/>
  <c r="G1034" i="3"/>
  <c r="H1034" i="3"/>
  <c r="G1035" i="3"/>
  <c r="H1035" i="3"/>
  <c r="G1036" i="3"/>
  <c r="H1036" i="3"/>
  <c r="G1037" i="3"/>
  <c r="H1037" i="3"/>
  <c r="G1038" i="3"/>
  <c r="H1038" i="3"/>
  <c r="G1039" i="3"/>
  <c r="H1039" i="3"/>
  <c r="G1040" i="3"/>
  <c r="H1040" i="3"/>
  <c r="G1041" i="3"/>
  <c r="H1041" i="3"/>
  <c r="G1042" i="3"/>
  <c r="H1042" i="3"/>
  <c r="G1043" i="3"/>
  <c r="H1043" i="3"/>
  <c r="G1044" i="3"/>
  <c r="H1044" i="3"/>
  <c r="G1045" i="3"/>
  <c r="H1045" i="3"/>
  <c r="G1046" i="3"/>
  <c r="H1046" i="3"/>
  <c r="G1047" i="3"/>
  <c r="H1047" i="3"/>
  <c r="G1048" i="3"/>
  <c r="H1048" i="3"/>
  <c r="G1049" i="3"/>
  <c r="H1049" i="3"/>
  <c r="G1050" i="3"/>
  <c r="H1050" i="3"/>
  <c r="G1051" i="3"/>
  <c r="H1051" i="3"/>
  <c r="G1052" i="3"/>
  <c r="H1052" i="3"/>
  <c r="G1053" i="3"/>
  <c r="H1053" i="3"/>
  <c r="G1054" i="3"/>
  <c r="H1054" i="3"/>
  <c r="G1055" i="3"/>
  <c r="H1055" i="3"/>
  <c r="G1056" i="3"/>
  <c r="H1056" i="3"/>
  <c r="G1057" i="3"/>
  <c r="H1057" i="3"/>
  <c r="G1058" i="3"/>
  <c r="H1058" i="3"/>
  <c r="G1059" i="3"/>
  <c r="H1059" i="3"/>
  <c r="G1060" i="3"/>
  <c r="H1060" i="3"/>
  <c r="G1061" i="3"/>
  <c r="H1061" i="3"/>
  <c r="G1062" i="3"/>
  <c r="H1062" i="3"/>
  <c r="G1063" i="3"/>
  <c r="H1063" i="3"/>
  <c r="G1064" i="3"/>
  <c r="H1064" i="3"/>
  <c r="G1065" i="3"/>
  <c r="H1065" i="3"/>
  <c r="G1066" i="3"/>
  <c r="H1066" i="3"/>
  <c r="G1067" i="3"/>
  <c r="H1067" i="3"/>
  <c r="G1068" i="3"/>
  <c r="H1068" i="3"/>
  <c r="G1069" i="3"/>
  <c r="H1069" i="3"/>
  <c r="G1070" i="3"/>
  <c r="H1070" i="3"/>
  <c r="G1071" i="3"/>
  <c r="H1071" i="3"/>
  <c r="G1072" i="3"/>
  <c r="H1072" i="3"/>
  <c r="G1073" i="3"/>
  <c r="H1073" i="3"/>
  <c r="G1074" i="3"/>
  <c r="H1074" i="3"/>
  <c r="G1075" i="3"/>
  <c r="H1075" i="3"/>
  <c r="G1076" i="3"/>
  <c r="H1076" i="3"/>
  <c r="G1077" i="3"/>
  <c r="H1077" i="3"/>
  <c r="G1078" i="3"/>
  <c r="H1078" i="3"/>
  <c r="G1079" i="3"/>
  <c r="H1079" i="3"/>
  <c r="G1080" i="3"/>
  <c r="H1080" i="3"/>
  <c r="G1081" i="3"/>
  <c r="H1081" i="3"/>
  <c r="G1082" i="3"/>
  <c r="H1082" i="3"/>
  <c r="G1083" i="3"/>
  <c r="H1083" i="3"/>
  <c r="G1084" i="3"/>
  <c r="H1084" i="3"/>
  <c r="G1085" i="3"/>
  <c r="H1085" i="3"/>
  <c r="G1086" i="3"/>
  <c r="H1086" i="3"/>
  <c r="G1087" i="3"/>
  <c r="H1087" i="3"/>
  <c r="G1088" i="3"/>
  <c r="H1088" i="3"/>
  <c r="G1089" i="3"/>
  <c r="H1089" i="3"/>
  <c r="G1090" i="3"/>
  <c r="H1090" i="3"/>
  <c r="G1091" i="3"/>
  <c r="H1091" i="3"/>
  <c r="G1092" i="3"/>
  <c r="H1092" i="3"/>
  <c r="G1093" i="3"/>
  <c r="H1093" i="3"/>
  <c r="G1094" i="3"/>
  <c r="H1094" i="3"/>
  <c r="G1095" i="3"/>
  <c r="H1095" i="3"/>
  <c r="G1096" i="3"/>
  <c r="H1096" i="3"/>
  <c r="G1097" i="3"/>
  <c r="H1097" i="3"/>
  <c r="G1098" i="3"/>
  <c r="H1098" i="3"/>
  <c r="G1099" i="3"/>
  <c r="H1099" i="3"/>
  <c r="G1100" i="3"/>
  <c r="H1100" i="3"/>
  <c r="G1101" i="3"/>
  <c r="H1101" i="3"/>
  <c r="G1102" i="3"/>
  <c r="H1102" i="3"/>
  <c r="G1103" i="3"/>
  <c r="H1103" i="3"/>
  <c r="G1104" i="3"/>
  <c r="H1104" i="3"/>
  <c r="G1105" i="3"/>
  <c r="H1105" i="3"/>
  <c r="G1106" i="3"/>
  <c r="H1106" i="3"/>
  <c r="G1107" i="3"/>
  <c r="H1107" i="3"/>
  <c r="G1108" i="3"/>
  <c r="H1108" i="3"/>
  <c r="G1109" i="3"/>
  <c r="H1109" i="3"/>
  <c r="G1110" i="3"/>
  <c r="H1110" i="3"/>
  <c r="G1111" i="3"/>
  <c r="H1111" i="3"/>
  <c r="G1112" i="3"/>
  <c r="H1112" i="3"/>
  <c r="G1113" i="3"/>
  <c r="H1113" i="3"/>
  <c r="G1114" i="3"/>
  <c r="H1114" i="3"/>
  <c r="G1115" i="3"/>
  <c r="H1115" i="3"/>
  <c r="G1116" i="3"/>
  <c r="H1116" i="3"/>
  <c r="G1117" i="3"/>
  <c r="H1117" i="3"/>
  <c r="G1118" i="3"/>
  <c r="H1118" i="3"/>
  <c r="G1119" i="3"/>
  <c r="H1119" i="3"/>
  <c r="G1120" i="3"/>
  <c r="H1120" i="3"/>
  <c r="G1121" i="3"/>
  <c r="H1121" i="3"/>
  <c r="G1122" i="3"/>
  <c r="H1122" i="3"/>
  <c r="G1123" i="3"/>
  <c r="H1123" i="3"/>
  <c r="G1124" i="3"/>
  <c r="H1124" i="3"/>
  <c r="G1125" i="3"/>
  <c r="H1125" i="3"/>
  <c r="G1126" i="3"/>
  <c r="H1126" i="3"/>
  <c r="G1127" i="3"/>
  <c r="H1127" i="3"/>
  <c r="G1128" i="3"/>
  <c r="H1128" i="3"/>
  <c r="G1129" i="3"/>
  <c r="H1129" i="3"/>
  <c r="G1130" i="3"/>
  <c r="H1130" i="3"/>
  <c r="G1131" i="3"/>
  <c r="H1131" i="3"/>
  <c r="G1132" i="3"/>
  <c r="H1132" i="3"/>
  <c r="G1133" i="3"/>
  <c r="H1133" i="3"/>
  <c r="G1134" i="3"/>
  <c r="H1134" i="3"/>
  <c r="G1135" i="3"/>
  <c r="H1135" i="3"/>
  <c r="G1136" i="3"/>
  <c r="H1136" i="3"/>
  <c r="G1137" i="3"/>
  <c r="H1137" i="3"/>
  <c r="G1138" i="3"/>
  <c r="H1138" i="3"/>
  <c r="G1139" i="3"/>
  <c r="H1139" i="3"/>
  <c r="G1140" i="3"/>
  <c r="H1140" i="3"/>
  <c r="G1141" i="3"/>
  <c r="H1141" i="3"/>
  <c r="G1142" i="3"/>
  <c r="H1142" i="3"/>
  <c r="G1143" i="3"/>
  <c r="H1143" i="3"/>
  <c r="G1144" i="3"/>
  <c r="H1144" i="3"/>
  <c r="G1145" i="3"/>
  <c r="H1145" i="3"/>
  <c r="G1146" i="3"/>
  <c r="H1146" i="3"/>
  <c r="G1147" i="3"/>
  <c r="H1147" i="3"/>
  <c r="G174" i="4"/>
  <c r="H174" i="4"/>
  <c r="G175" i="4"/>
  <c r="H175" i="4"/>
  <c r="G176" i="4"/>
  <c r="H176" i="4"/>
  <c r="G177" i="4"/>
  <c r="H177" i="4"/>
  <c r="G178" i="4"/>
  <c r="H178" i="4"/>
  <c r="G179" i="4"/>
  <c r="H179" i="4"/>
  <c r="G180" i="4"/>
  <c r="H180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G231" i="4"/>
  <c r="H231" i="4"/>
  <c r="G232" i="4"/>
  <c r="H232" i="4"/>
  <c r="G233" i="4"/>
  <c r="H233" i="4"/>
  <c r="G234" i="4"/>
  <c r="H234" i="4"/>
  <c r="G235" i="4"/>
  <c r="H235" i="4"/>
  <c r="G236" i="4"/>
  <c r="H236" i="4"/>
  <c r="G237" i="4"/>
  <c r="H237" i="4"/>
  <c r="G238" i="4"/>
  <c r="H238" i="4"/>
  <c r="G239" i="4"/>
  <c r="H239" i="4"/>
  <c r="G240" i="4"/>
  <c r="H240" i="4"/>
  <c r="G241" i="4"/>
  <c r="H241" i="4"/>
  <c r="G242" i="4"/>
  <c r="H242" i="4"/>
  <c r="G243" i="4"/>
  <c r="H243" i="4"/>
  <c r="G244" i="4"/>
  <c r="H244" i="4"/>
  <c r="G245" i="4"/>
  <c r="H245" i="4"/>
  <c r="G246" i="4"/>
  <c r="H246" i="4"/>
  <c r="G247" i="4"/>
  <c r="H247" i="4"/>
  <c r="G248" i="4"/>
  <c r="H248" i="4"/>
  <c r="G249" i="4"/>
  <c r="H249" i="4"/>
  <c r="G250" i="4"/>
  <c r="H250" i="4"/>
  <c r="G251" i="4"/>
  <c r="H251" i="4"/>
  <c r="G252" i="4"/>
  <c r="H252" i="4"/>
  <c r="G253" i="4"/>
  <c r="H253" i="4"/>
  <c r="G254" i="4"/>
  <c r="H254" i="4"/>
  <c r="G255" i="4"/>
  <c r="H255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G263" i="4"/>
  <c r="H263" i="4"/>
  <c r="G264" i="4"/>
  <c r="H264" i="4"/>
  <c r="G265" i="4"/>
  <c r="H265" i="4"/>
  <c r="G266" i="4"/>
  <c r="H266" i="4"/>
  <c r="G267" i="4"/>
  <c r="H267" i="4"/>
  <c r="G268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23" i="4"/>
  <c r="H323" i="4"/>
  <c r="G324" i="4"/>
  <c r="H324" i="4"/>
  <c r="G325" i="4"/>
  <c r="H325" i="4"/>
  <c r="G326" i="4"/>
  <c r="H326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35" i="4"/>
  <c r="H335" i="4"/>
  <c r="G336" i="4"/>
  <c r="H336" i="4"/>
  <c r="G337" i="4"/>
  <c r="H337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46" i="4"/>
  <c r="H346" i="4"/>
  <c r="G347" i="4"/>
  <c r="H347" i="4"/>
  <c r="G348" i="4"/>
  <c r="H348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57" i="4"/>
  <c r="H357" i="4"/>
  <c r="G358" i="4"/>
  <c r="H358" i="4"/>
  <c r="G359" i="4"/>
  <c r="H359" i="4"/>
  <c r="G360" i="4"/>
  <c r="H360" i="4"/>
  <c r="G361" i="4"/>
  <c r="H361" i="4"/>
  <c r="G362" i="4"/>
  <c r="H362" i="4"/>
  <c r="G363" i="4"/>
  <c r="H363" i="4"/>
  <c r="G364" i="4"/>
  <c r="H364" i="4"/>
  <c r="G365" i="4"/>
  <c r="H365" i="4"/>
  <c r="G366" i="4"/>
  <c r="H366" i="4"/>
  <c r="G367" i="4"/>
  <c r="H367" i="4"/>
  <c r="G368" i="4"/>
  <c r="H368" i="4"/>
  <c r="G369" i="4"/>
  <c r="H369" i="4"/>
  <c r="G370" i="4"/>
  <c r="H370" i="4"/>
  <c r="G371" i="4"/>
  <c r="H371" i="4"/>
  <c r="G372" i="4"/>
  <c r="H372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81" i="4"/>
  <c r="H381" i="4"/>
  <c r="G382" i="4"/>
  <c r="H382" i="4"/>
  <c r="G383" i="4"/>
  <c r="H383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92" i="4"/>
  <c r="H392" i="4"/>
  <c r="G393" i="4"/>
  <c r="H393" i="4"/>
  <c r="G394" i="4"/>
  <c r="H394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403" i="4"/>
  <c r="H403" i="4"/>
  <c r="G404" i="4"/>
  <c r="H404" i="4"/>
  <c r="G405" i="4"/>
  <c r="H405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14" i="4"/>
  <c r="H414" i="4"/>
  <c r="G415" i="4"/>
  <c r="H415" i="4"/>
  <c r="G416" i="4"/>
  <c r="H416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436" i="4"/>
  <c r="H436" i="4"/>
  <c r="G437" i="4"/>
  <c r="H437" i="4"/>
  <c r="G438" i="4"/>
  <c r="H438" i="4"/>
  <c r="G439" i="4"/>
  <c r="H439" i="4"/>
  <c r="G440" i="4"/>
  <c r="H440" i="4"/>
  <c r="G441" i="4"/>
  <c r="H441" i="4"/>
  <c r="G442" i="4"/>
  <c r="H442" i="4"/>
  <c r="G443" i="4"/>
  <c r="H443" i="4"/>
  <c r="G444" i="4"/>
  <c r="H444" i="4"/>
  <c r="G445" i="4"/>
  <c r="H445" i="4"/>
  <c r="G446" i="4"/>
  <c r="H446" i="4"/>
  <c r="G447" i="4"/>
  <c r="H447" i="4"/>
  <c r="G448" i="4"/>
  <c r="H448" i="4"/>
  <c r="G449" i="4"/>
  <c r="H449" i="4"/>
  <c r="G450" i="4"/>
  <c r="H450" i="4"/>
  <c r="G451" i="4"/>
  <c r="H451" i="4"/>
  <c r="G452" i="4"/>
  <c r="H452" i="4"/>
  <c r="G453" i="4"/>
  <c r="H453" i="4"/>
  <c r="G454" i="4"/>
  <c r="H454" i="4"/>
  <c r="G455" i="4"/>
  <c r="H455" i="4"/>
  <c r="G456" i="4"/>
  <c r="H456" i="4"/>
  <c r="G457" i="4"/>
  <c r="H457" i="4"/>
  <c r="G458" i="4"/>
  <c r="H458" i="4"/>
  <c r="G459" i="4"/>
  <c r="H459" i="4"/>
  <c r="G460" i="4"/>
  <c r="H460" i="4"/>
  <c r="G461" i="4"/>
  <c r="H461" i="4"/>
  <c r="G462" i="4"/>
  <c r="H462" i="4"/>
  <c r="G463" i="4"/>
  <c r="H463" i="4"/>
  <c r="G464" i="4"/>
  <c r="H464" i="4"/>
  <c r="G465" i="4"/>
  <c r="H465" i="4"/>
  <c r="G466" i="4"/>
  <c r="H466" i="4"/>
  <c r="G467" i="4"/>
  <c r="H467" i="4"/>
  <c r="G468" i="4"/>
  <c r="H468" i="4"/>
  <c r="G469" i="4"/>
  <c r="H469" i="4"/>
  <c r="G470" i="4"/>
  <c r="H470" i="4"/>
  <c r="G471" i="4"/>
  <c r="H471" i="4"/>
  <c r="G472" i="4"/>
  <c r="H472" i="4"/>
  <c r="G473" i="4"/>
  <c r="H473" i="4"/>
  <c r="G474" i="4"/>
  <c r="H474" i="4"/>
  <c r="G475" i="4"/>
  <c r="H475" i="4"/>
  <c r="G476" i="4"/>
  <c r="H476" i="4"/>
  <c r="G477" i="4"/>
  <c r="H477" i="4"/>
  <c r="G478" i="4"/>
  <c r="H478" i="4"/>
  <c r="G479" i="4"/>
  <c r="H479" i="4"/>
  <c r="G480" i="4"/>
  <c r="H480" i="4"/>
  <c r="G481" i="4"/>
  <c r="H481" i="4"/>
  <c r="G482" i="4"/>
  <c r="H482" i="4"/>
  <c r="G483" i="4"/>
  <c r="H483" i="4"/>
  <c r="G484" i="4"/>
  <c r="H484" i="4"/>
  <c r="G485" i="4"/>
  <c r="H485" i="4"/>
  <c r="G486" i="4"/>
  <c r="H486" i="4"/>
  <c r="G487" i="4"/>
  <c r="H487" i="4"/>
  <c r="G488" i="4"/>
  <c r="H488" i="4"/>
  <c r="G489" i="4"/>
  <c r="H489" i="4"/>
  <c r="G490" i="4"/>
  <c r="H490" i="4"/>
  <c r="G491" i="4"/>
  <c r="H491" i="4"/>
  <c r="G492" i="4"/>
  <c r="H492" i="4"/>
  <c r="G493" i="4"/>
  <c r="H493" i="4"/>
  <c r="G494" i="4"/>
  <c r="H494" i="4"/>
  <c r="G495" i="4"/>
  <c r="H495" i="4"/>
  <c r="G496" i="4"/>
  <c r="H496" i="4"/>
  <c r="G497" i="4"/>
  <c r="H497" i="4"/>
  <c r="G498" i="4"/>
  <c r="H498" i="4"/>
  <c r="G499" i="4"/>
  <c r="H499" i="4"/>
  <c r="G500" i="4"/>
  <c r="H500" i="4"/>
  <c r="G501" i="4"/>
  <c r="H501" i="4"/>
  <c r="G502" i="4"/>
  <c r="H502" i="4"/>
  <c r="G503" i="4"/>
  <c r="H503" i="4"/>
  <c r="G504" i="4"/>
  <c r="H504" i="4"/>
  <c r="G505" i="4"/>
  <c r="H505" i="4"/>
  <c r="G506" i="4"/>
  <c r="H506" i="4"/>
  <c r="G507" i="4"/>
  <c r="H507" i="4"/>
  <c r="G508" i="4"/>
  <c r="H508" i="4"/>
  <c r="G509" i="4"/>
  <c r="H509" i="4"/>
  <c r="G510" i="4"/>
  <c r="H510" i="4"/>
  <c r="G511" i="4"/>
  <c r="H511" i="4"/>
  <c r="G512" i="4"/>
  <c r="H512" i="4"/>
  <c r="G513" i="4"/>
  <c r="H513" i="4"/>
  <c r="G514" i="4"/>
  <c r="H514" i="4"/>
  <c r="G515" i="4"/>
  <c r="H515" i="4"/>
  <c r="G516" i="4"/>
  <c r="H516" i="4"/>
  <c r="G517" i="4"/>
  <c r="H517" i="4"/>
  <c r="G518" i="4"/>
  <c r="H518" i="4"/>
  <c r="G519" i="4"/>
  <c r="H519" i="4"/>
  <c r="G520" i="4"/>
  <c r="H520" i="4"/>
  <c r="G521" i="4"/>
  <c r="H521" i="4"/>
  <c r="G522" i="4"/>
  <c r="H522" i="4"/>
  <c r="G523" i="4"/>
  <c r="H523" i="4"/>
  <c r="G524" i="4"/>
  <c r="H524" i="4"/>
  <c r="G525" i="4"/>
  <c r="H525" i="4"/>
  <c r="G526" i="4"/>
  <c r="H526" i="4"/>
  <c r="G527" i="4"/>
  <c r="H527" i="4"/>
  <c r="G528" i="4"/>
  <c r="H528" i="4"/>
  <c r="G529" i="4"/>
  <c r="H529" i="4"/>
  <c r="G530" i="4"/>
  <c r="H530" i="4"/>
  <c r="G531" i="4"/>
  <c r="H531" i="4"/>
  <c r="G532" i="4"/>
  <c r="H532" i="4"/>
  <c r="G533" i="4"/>
  <c r="H533" i="4"/>
  <c r="G534" i="4"/>
  <c r="H534" i="4"/>
  <c r="G535" i="4"/>
  <c r="H535" i="4"/>
  <c r="G536" i="4"/>
  <c r="H536" i="4"/>
  <c r="G537" i="4"/>
  <c r="H537" i="4"/>
  <c r="G538" i="4"/>
  <c r="H538" i="4"/>
  <c r="G539" i="4"/>
  <c r="H539" i="4"/>
  <c r="G540" i="4"/>
  <c r="H540" i="4"/>
  <c r="G541" i="4"/>
  <c r="H541" i="4"/>
  <c r="G542" i="4"/>
  <c r="H542" i="4"/>
  <c r="G543" i="4"/>
  <c r="H543" i="4"/>
  <c r="G544" i="4"/>
  <c r="H544" i="4"/>
  <c r="G545" i="4"/>
  <c r="H545" i="4"/>
  <c r="G546" i="4"/>
  <c r="H546" i="4"/>
  <c r="G547" i="4"/>
  <c r="H547" i="4"/>
  <c r="G548" i="4"/>
  <c r="H548" i="4"/>
  <c r="G549" i="4"/>
  <c r="H549" i="4"/>
  <c r="G550" i="4"/>
  <c r="H550" i="4"/>
  <c r="G551" i="4"/>
  <c r="H551" i="4"/>
  <c r="G552" i="4"/>
  <c r="H552" i="4"/>
  <c r="G553" i="4"/>
  <c r="H553" i="4"/>
  <c r="G554" i="4"/>
  <c r="H554" i="4"/>
  <c r="G555" i="4"/>
  <c r="H555" i="4"/>
  <c r="G556" i="4"/>
  <c r="H556" i="4"/>
  <c r="G557" i="4"/>
  <c r="H557" i="4"/>
  <c r="G558" i="4"/>
  <c r="H558" i="4"/>
  <c r="G559" i="4"/>
  <c r="H559" i="4"/>
  <c r="G560" i="4"/>
  <c r="H560" i="4"/>
  <c r="G561" i="4"/>
  <c r="H561" i="4"/>
  <c r="G562" i="4"/>
  <c r="H562" i="4"/>
  <c r="G563" i="4"/>
  <c r="H563" i="4"/>
  <c r="G564" i="4"/>
  <c r="H564" i="4"/>
  <c r="G565" i="4"/>
  <c r="H565" i="4"/>
  <c r="G566" i="4"/>
  <c r="H566" i="4"/>
  <c r="G567" i="4"/>
  <c r="H567" i="4"/>
  <c r="G568" i="4"/>
  <c r="H568" i="4"/>
  <c r="G569" i="4"/>
  <c r="H569" i="4"/>
  <c r="G570" i="4"/>
  <c r="H570" i="4"/>
  <c r="G571" i="4"/>
  <c r="H571" i="4"/>
  <c r="G572" i="4"/>
  <c r="H572" i="4"/>
  <c r="G573" i="4"/>
  <c r="H573" i="4"/>
  <c r="G574" i="4"/>
  <c r="H574" i="4"/>
  <c r="G575" i="4"/>
  <c r="H575" i="4"/>
  <c r="G576" i="4"/>
  <c r="H576" i="4"/>
  <c r="G577" i="4"/>
  <c r="H577" i="4"/>
  <c r="G578" i="4"/>
  <c r="H578" i="4"/>
  <c r="G579" i="4"/>
  <c r="H579" i="4"/>
  <c r="G580" i="4"/>
  <c r="H580" i="4"/>
  <c r="G581" i="4"/>
  <c r="H581" i="4"/>
  <c r="G582" i="4"/>
  <c r="H582" i="4"/>
  <c r="G583" i="4"/>
  <c r="H583" i="4"/>
  <c r="G584" i="4"/>
  <c r="H584" i="4"/>
  <c r="G585" i="4"/>
  <c r="H585" i="4"/>
  <c r="G586" i="4"/>
  <c r="H586" i="4"/>
  <c r="G587" i="4"/>
  <c r="H587" i="4"/>
  <c r="G588" i="4"/>
  <c r="H588" i="4"/>
  <c r="G589" i="4"/>
  <c r="H589" i="4"/>
  <c r="G590" i="4"/>
  <c r="H590" i="4"/>
  <c r="G591" i="4"/>
  <c r="H591" i="4"/>
  <c r="G592" i="4"/>
  <c r="H592" i="4"/>
  <c r="G593" i="4"/>
  <c r="H593" i="4"/>
  <c r="G594" i="4"/>
  <c r="H594" i="4"/>
  <c r="G595" i="4"/>
  <c r="H595" i="4"/>
  <c r="G596" i="4"/>
  <c r="H596" i="4"/>
  <c r="G597" i="4"/>
  <c r="H597" i="4"/>
  <c r="G598" i="4"/>
  <c r="H598" i="4"/>
  <c r="G599" i="4"/>
  <c r="H599" i="4"/>
  <c r="G600" i="4"/>
  <c r="H600" i="4"/>
  <c r="G601" i="4"/>
  <c r="H601" i="4"/>
  <c r="G602" i="4"/>
  <c r="H602" i="4"/>
  <c r="G603" i="4"/>
  <c r="H603" i="4"/>
  <c r="G604" i="4"/>
  <c r="H604" i="4"/>
  <c r="G605" i="4"/>
  <c r="H605" i="4"/>
  <c r="G606" i="4"/>
  <c r="H606" i="4"/>
  <c r="G607" i="4"/>
  <c r="H607" i="4"/>
  <c r="G608" i="4"/>
  <c r="H608" i="4"/>
  <c r="G609" i="4"/>
  <c r="H609" i="4"/>
  <c r="G610" i="4"/>
  <c r="H610" i="4"/>
  <c r="G611" i="4"/>
  <c r="H611" i="4"/>
  <c r="G612" i="4"/>
  <c r="H612" i="4"/>
  <c r="G613" i="4"/>
  <c r="H613" i="4"/>
  <c r="G614" i="4"/>
  <c r="H614" i="4"/>
  <c r="G615" i="4"/>
  <c r="H615" i="4"/>
  <c r="G616" i="4"/>
  <c r="H616" i="4"/>
  <c r="G617" i="4"/>
  <c r="H617" i="4"/>
  <c r="G618" i="4"/>
  <c r="H618" i="4"/>
  <c r="G619" i="4"/>
  <c r="H619" i="4"/>
  <c r="G620" i="4"/>
  <c r="H620" i="4"/>
  <c r="G621" i="4"/>
  <c r="H621" i="4"/>
  <c r="G622" i="4"/>
  <c r="H622" i="4"/>
  <c r="G623" i="4"/>
  <c r="H623" i="4"/>
  <c r="G624" i="4"/>
  <c r="H624" i="4"/>
  <c r="G625" i="4"/>
  <c r="H625" i="4"/>
  <c r="G626" i="4"/>
  <c r="H626" i="4"/>
  <c r="G627" i="4"/>
  <c r="H627" i="4"/>
  <c r="G628" i="4"/>
  <c r="H628" i="4"/>
  <c r="G629" i="4"/>
  <c r="H629" i="4"/>
  <c r="G630" i="4"/>
  <c r="H630" i="4"/>
  <c r="G631" i="4"/>
  <c r="H631" i="4"/>
  <c r="G632" i="4"/>
  <c r="H632" i="4"/>
  <c r="G633" i="4"/>
  <c r="H633" i="4"/>
  <c r="G634" i="4"/>
  <c r="H634" i="4"/>
  <c r="G635" i="4"/>
  <c r="H635" i="4"/>
  <c r="G636" i="4"/>
  <c r="H636" i="4"/>
  <c r="G637" i="4"/>
  <c r="H637" i="4"/>
  <c r="G638" i="4"/>
  <c r="H638" i="4"/>
  <c r="G639" i="4"/>
  <c r="H639" i="4"/>
  <c r="G640" i="4"/>
  <c r="H640" i="4"/>
  <c r="G641" i="4"/>
  <c r="H641" i="4"/>
  <c r="G642" i="4"/>
  <c r="H642" i="4"/>
  <c r="G643" i="4"/>
  <c r="H643" i="4"/>
  <c r="G644" i="4"/>
  <c r="H644" i="4"/>
  <c r="G645" i="4"/>
  <c r="H645" i="4"/>
  <c r="G646" i="4"/>
  <c r="H646" i="4"/>
  <c r="G647" i="4"/>
  <c r="H647" i="4"/>
  <c r="G648" i="4"/>
  <c r="H648" i="4"/>
  <c r="G649" i="4"/>
  <c r="H649" i="4"/>
  <c r="G650" i="4"/>
  <c r="H650" i="4"/>
  <c r="G651" i="4"/>
  <c r="H651" i="4"/>
  <c r="G652" i="4"/>
  <c r="H652" i="4"/>
  <c r="G653" i="4"/>
  <c r="H653" i="4"/>
  <c r="G654" i="4"/>
  <c r="H654" i="4"/>
  <c r="G655" i="4"/>
  <c r="H655" i="4"/>
  <c r="G656" i="4"/>
  <c r="H656" i="4"/>
  <c r="G657" i="4"/>
  <c r="H657" i="4"/>
  <c r="G658" i="4"/>
  <c r="H658" i="4"/>
  <c r="G659" i="4"/>
  <c r="H659" i="4"/>
  <c r="G660" i="4"/>
  <c r="H660" i="4"/>
  <c r="G661" i="4"/>
  <c r="H661" i="4"/>
  <c r="G662" i="4"/>
  <c r="H662" i="4"/>
  <c r="G663" i="4"/>
  <c r="H663" i="4"/>
  <c r="G664" i="4"/>
  <c r="H664" i="4"/>
  <c r="G665" i="4"/>
  <c r="H665" i="4"/>
  <c r="G666" i="4"/>
  <c r="H666" i="4"/>
  <c r="G667" i="4"/>
  <c r="H667" i="4"/>
  <c r="G668" i="4"/>
  <c r="H668" i="4"/>
  <c r="G669" i="4"/>
  <c r="H669" i="4"/>
  <c r="G670" i="4"/>
  <c r="H670" i="4"/>
  <c r="G671" i="4"/>
  <c r="H671" i="4"/>
  <c r="G672" i="4"/>
  <c r="H672" i="4"/>
  <c r="G673" i="4"/>
  <c r="H673" i="4"/>
  <c r="G674" i="4"/>
  <c r="H674" i="4"/>
  <c r="G675" i="4"/>
  <c r="H675" i="4"/>
  <c r="G676" i="4"/>
  <c r="H676" i="4"/>
  <c r="G677" i="4"/>
  <c r="H677" i="4"/>
  <c r="G678" i="4"/>
  <c r="H678" i="4"/>
  <c r="G679" i="4"/>
  <c r="H679" i="4"/>
  <c r="G680" i="4"/>
  <c r="H680" i="4"/>
  <c r="G681" i="4"/>
  <c r="H681" i="4"/>
  <c r="G682" i="4"/>
  <c r="H682" i="4"/>
  <c r="G683" i="4"/>
  <c r="H683" i="4"/>
  <c r="G684" i="4"/>
  <c r="H684" i="4"/>
  <c r="G685" i="4"/>
  <c r="H685" i="4"/>
  <c r="G686" i="4"/>
  <c r="H686" i="4"/>
  <c r="G687" i="4"/>
  <c r="H687" i="4"/>
  <c r="G688" i="4"/>
  <c r="H688" i="4"/>
  <c r="G689" i="4"/>
  <c r="H689" i="4"/>
  <c r="G690" i="4"/>
  <c r="H690" i="4"/>
  <c r="G691" i="4"/>
  <c r="H691" i="4"/>
  <c r="G692" i="4"/>
  <c r="H692" i="4"/>
  <c r="G693" i="4"/>
  <c r="H693" i="4"/>
  <c r="G694" i="4"/>
  <c r="H694" i="4"/>
  <c r="G695" i="4"/>
  <c r="H695" i="4"/>
  <c r="G696" i="4"/>
  <c r="H696" i="4"/>
  <c r="G697" i="4"/>
  <c r="H697" i="4"/>
  <c r="G698" i="4"/>
  <c r="H698" i="4"/>
  <c r="G699" i="4"/>
  <c r="H699" i="4"/>
  <c r="G700" i="4"/>
  <c r="H700" i="4"/>
  <c r="G701" i="4"/>
  <c r="H701" i="4"/>
  <c r="G702" i="4"/>
  <c r="H702" i="4"/>
  <c r="G703" i="4"/>
  <c r="H703" i="4"/>
  <c r="G704" i="4"/>
  <c r="H704" i="4"/>
  <c r="G705" i="4"/>
  <c r="H705" i="4"/>
  <c r="G706" i="4"/>
  <c r="H706" i="4"/>
  <c r="G707" i="4"/>
  <c r="H707" i="4"/>
  <c r="G708" i="4"/>
  <c r="H708" i="4"/>
  <c r="G709" i="4"/>
  <c r="H709" i="4"/>
  <c r="G710" i="4"/>
  <c r="H710" i="4"/>
  <c r="G711" i="4"/>
  <c r="H711" i="4"/>
  <c r="G712" i="4"/>
  <c r="H712" i="4"/>
  <c r="G713" i="4"/>
  <c r="H713" i="4"/>
  <c r="G714" i="4"/>
  <c r="H714" i="4"/>
  <c r="G715" i="4"/>
  <c r="H715" i="4"/>
  <c r="G716" i="4"/>
  <c r="H716" i="4"/>
  <c r="G717" i="4"/>
  <c r="H717" i="4"/>
  <c r="G718" i="4"/>
  <c r="H718" i="4"/>
  <c r="G719" i="4"/>
  <c r="H719" i="4"/>
  <c r="G720" i="4"/>
  <c r="H720" i="4"/>
  <c r="G721" i="4"/>
  <c r="H721" i="4"/>
  <c r="G722" i="4"/>
  <c r="H722" i="4"/>
  <c r="G723" i="4"/>
  <c r="H723" i="4"/>
  <c r="G724" i="4"/>
  <c r="H724" i="4"/>
  <c r="G725" i="4"/>
  <c r="H725" i="4"/>
  <c r="G726" i="4"/>
  <c r="H726" i="4"/>
  <c r="G727" i="4"/>
  <c r="H727" i="4"/>
  <c r="G728" i="4"/>
  <c r="H728" i="4"/>
  <c r="G729" i="4"/>
  <c r="H729" i="4"/>
  <c r="G730" i="4"/>
  <c r="H730" i="4"/>
  <c r="G731" i="4"/>
  <c r="H731" i="4"/>
  <c r="G732" i="4"/>
  <c r="H732" i="4"/>
  <c r="G733" i="4"/>
  <c r="H733" i="4"/>
  <c r="G734" i="4"/>
  <c r="H734" i="4"/>
  <c r="G735" i="4"/>
  <c r="H735" i="4"/>
  <c r="G736" i="4"/>
  <c r="H736" i="4"/>
  <c r="G737" i="4"/>
  <c r="H737" i="4"/>
  <c r="G738" i="4"/>
  <c r="H738" i="4"/>
  <c r="G739" i="4"/>
  <c r="H739" i="4"/>
  <c r="G740" i="4"/>
  <c r="H740" i="4"/>
  <c r="G741" i="4"/>
  <c r="H741" i="4"/>
  <c r="G742" i="4"/>
  <c r="H742" i="4"/>
  <c r="G743" i="4"/>
  <c r="H743" i="4"/>
  <c r="G744" i="4"/>
  <c r="H744" i="4"/>
  <c r="G745" i="4"/>
  <c r="H745" i="4"/>
  <c r="G746" i="4"/>
  <c r="H746" i="4"/>
  <c r="G747" i="4"/>
  <c r="H747" i="4"/>
  <c r="G748" i="4"/>
  <c r="H748" i="4"/>
  <c r="G749" i="4"/>
  <c r="H749" i="4"/>
  <c r="G750" i="4"/>
  <c r="H750" i="4"/>
  <c r="G751" i="4"/>
  <c r="H751" i="4"/>
  <c r="G752" i="4"/>
  <c r="H752" i="4"/>
  <c r="G753" i="4"/>
  <c r="H753" i="4"/>
  <c r="G754" i="4"/>
  <c r="H754" i="4"/>
  <c r="G755" i="4"/>
  <c r="H755" i="4"/>
  <c r="G756" i="4"/>
  <c r="H756" i="4"/>
  <c r="G757" i="4"/>
  <c r="H757" i="4"/>
  <c r="G758" i="4"/>
  <c r="H758" i="4"/>
  <c r="G759" i="4"/>
  <c r="H759" i="4"/>
  <c r="G760" i="4"/>
  <c r="H760" i="4"/>
  <c r="G761" i="4"/>
  <c r="H761" i="4"/>
  <c r="G762" i="4"/>
  <c r="H762" i="4"/>
  <c r="G763" i="4"/>
  <c r="H763" i="4"/>
  <c r="G764" i="4"/>
  <c r="H764" i="4"/>
  <c r="G765" i="4"/>
  <c r="H765" i="4"/>
  <c r="G766" i="4"/>
  <c r="H766" i="4"/>
  <c r="G767" i="4"/>
  <c r="H767" i="4"/>
  <c r="G768" i="4"/>
  <c r="H768" i="4"/>
  <c r="G769" i="4"/>
  <c r="H769" i="4"/>
  <c r="G770" i="4"/>
  <c r="H770" i="4"/>
  <c r="G771" i="4"/>
  <c r="H771" i="4"/>
  <c r="G772" i="4"/>
  <c r="H772" i="4"/>
  <c r="G773" i="4"/>
  <c r="H773" i="4"/>
  <c r="G774" i="4"/>
  <c r="H774" i="4"/>
  <c r="G775" i="4"/>
  <c r="H775" i="4"/>
  <c r="G776" i="4"/>
  <c r="H776" i="4"/>
  <c r="G777" i="4"/>
  <c r="H777" i="4"/>
  <c r="G778" i="4"/>
  <c r="H778" i="4"/>
  <c r="G779" i="4"/>
  <c r="H779" i="4"/>
  <c r="G780" i="4"/>
  <c r="H780" i="4"/>
  <c r="G781" i="4"/>
  <c r="H781" i="4"/>
  <c r="G782" i="4"/>
  <c r="H782" i="4"/>
  <c r="G783" i="4"/>
  <c r="H783" i="4"/>
  <c r="G784" i="4"/>
  <c r="H784" i="4"/>
  <c r="G785" i="4"/>
  <c r="H785" i="4"/>
  <c r="G786" i="4"/>
  <c r="H786" i="4"/>
  <c r="G787" i="4"/>
  <c r="H787" i="4"/>
  <c r="G788" i="4"/>
  <c r="H788" i="4"/>
  <c r="G789" i="4"/>
  <c r="H789" i="4"/>
  <c r="G790" i="4"/>
  <c r="H790" i="4"/>
  <c r="G791" i="4"/>
  <c r="H791" i="4"/>
  <c r="G792" i="4"/>
  <c r="H792" i="4"/>
  <c r="G793" i="4"/>
  <c r="H793" i="4"/>
  <c r="G794" i="4"/>
  <c r="H794" i="4"/>
  <c r="G795" i="4"/>
  <c r="H795" i="4"/>
  <c r="G796" i="4"/>
  <c r="H796" i="4"/>
  <c r="G797" i="4"/>
  <c r="H797" i="4"/>
  <c r="G798" i="4"/>
  <c r="H798" i="4"/>
  <c r="G799" i="4"/>
  <c r="H799" i="4"/>
  <c r="G800" i="4"/>
  <c r="H800" i="4"/>
  <c r="G801" i="4"/>
  <c r="H801" i="4"/>
  <c r="G802" i="4"/>
  <c r="H802" i="4"/>
  <c r="G803" i="4"/>
  <c r="H803" i="4"/>
  <c r="G804" i="4"/>
  <c r="H804" i="4"/>
  <c r="G805" i="4"/>
  <c r="H805" i="4"/>
  <c r="G806" i="4"/>
  <c r="H806" i="4"/>
  <c r="G807" i="4"/>
  <c r="H807" i="4"/>
  <c r="G808" i="4"/>
  <c r="H808" i="4"/>
  <c r="G809" i="4"/>
  <c r="H809" i="4"/>
  <c r="G810" i="4"/>
  <c r="H810" i="4"/>
  <c r="G811" i="4"/>
  <c r="H811" i="4"/>
  <c r="G812" i="4"/>
  <c r="H812" i="4"/>
  <c r="G813" i="4"/>
  <c r="H813" i="4"/>
  <c r="G814" i="4"/>
  <c r="H814" i="4"/>
  <c r="G815" i="4"/>
  <c r="H815" i="4"/>
  <c r="G816" i="4"/>
  <c r="H816" i="4"/>
  <c r="G817" i="4"/>
  <c r="H817" i="4"/>
  <c r="G818" i="4"/>
  <c r="H818" i="4"/>
  <c r="G819" i="4"/>
  <c r="H819" i="4"/>
  <c r="G820" i="4"/>
  <c r="H820" i="4"/>
  <c r="G821" i="4"/>
  <c r="H821" i="4"/>
  <c r="G822" i="4"/>
  <c r="H822" i="4"/>
  <c r="G823" i="4"/>
  <c r="H823" i="4"/>
  <c r="G824" i="4"/>
  <c r="H824" i="4"/>
  <c r="G825" i="4"/>
  <c r="H825" i="4"/>
  <c r="G826" i="4"/>
  <c r="H826" i="4"/>
  <c r="G827" i="4"/>
  <c r="H827" i="4"/>
  <c r="G828" i="4"/>
  <c r="H828" i="4"/>
  <c r="G829" i="4"/>
  <c r="H829" i="4"/>
  <c r="G830" i="4"/>
  <c r="H830" i="4"/>
  <c r="G831" i="4"/>
  <c r="H831" i="4"/>
  <c r="G832" i="4"/>
  <c r="H832" i="4"/>
  <c r="G833" i="4"/>
  <c r="H833" i="4"/>
  <c r="G834" i="4"/>
  <c r="H834" i="4"/>
  <c r="G835" i="4"/>
  <c r="H835" i="4"/>
  <c r="G836" i="4"/>
  <c r="H836" i="4"/>
  <c r="G837" i="4"/>
  <c r="H837" i="4"/>
  <c r="G838" i="4"/>
  <c r="H838" i="4"/>
  <c r="G839" i="4"/>
  <c r="H839" i="4"/>
  <c r="G840" i="4"/>
  <c r="H840" i="4"/>
  <c r="G841" i="4"/>
  <c r="H841" i="4"/>
  <c r="G842" i="4"/>
  <c r="H842" i="4"/>
  <c r="G843" i="4"/>
  <c r="H843" i="4"/>
  <c r="G844" i="4"/>
  <c r="H844" i="4"/>
  <c r="G845" i="4"/>
  <c r="H845" i="4"/>
  <c r="G846" i="4"/>
  <c r="H846" i="4"/>
  <c r="G847" i="4"/>
  <c r="H847" i="4"/>
  <c r="G848" i="4"/>
  <c r="H848" i="4"/>
  <c r="G849" i="4"/>
  <c r="H849" i="4"/>
  <c r="G850" i="4"/>
  <c r="H850" i="4"/>
  <c r="G851" i="4"/>
  <c r="H851" i="4"/>
  <c r="G852" i="4"/>
  <c r="H852" i="4"/>
  <c r="G853" i="4"/>
  <c r="H853" i="4"/>
  <c r="G854" i="4"/>
  <c r="H854" i="4"/>
  <c r="G855" i="4"/>
  <c r="H855" i="4"/>
  <c r="G856" i="4"/>
  <c r="H856" i="4"/>
  <c r="G857" i="4"/>
  <c r="H857" i="4"/>
  <c r="G858" i="4"/>
  <c r="H858" i="4"/>
  <c r="G859" i="4"/>
  <c r="H859" i="4"/>
  <c r="G860" i="4"/>
  <c r="H860" i="4"/>
  <c r="G861" i="4"/>
  <c r="H861" i="4"/>
  <c r="G862" i="4"/>
  <c r="H862" i="4"/>
  <c r="G863" i="4"/>
  <c r="H863" i="4"/>
  <c r="G864" i="4"/>
  <c r="H864" i="4"/>
  <c r="G865" i="4"/>
  <c r="H865" i="4"/>
  <c r="G866" i="4"/>
  <c r="H866" i="4"/>
  <c r="G867" i="4"/>
  <c r="H867" i="4"/>
  <c r="G868" i="4"/>
  <c r="H868" i="4"/>
  <c r="G869" i="4"/>
  <c r="H869" i="4"/>
  <c r="G870" i="4"/>
  <c r="H870" i="4"/>
  <c r="G871" i="4"/>
  <c r="H871" i="4"/>
  <c r="G872" i="4"/>
  <c r="H872" i="4"/>
  <c r="G873" i="4"/>
  <c r="H873" i="4"/>
  <c r="G874" i="4"/>
  <c r="H874" i="4"/>
  <c r="G875" i="4"/>
  <c r="H875" i="4"/>
  <c r="G876" i="4"/>
  <c r="H876" i="4"/>
  <c r="G877" i="4"/>
  <c r="H877" i="4"/>
  <c r="G878" i="4"/>
  <c r="H878" i="4"/>
  <c r="G879" i="4"/>
  <c r="H879" i="4"/>
  <c r="G880" i="4"/>
  <c r="H880" i="4"/>
  <c r="G881" i="4"/>
  <c r="H881" i="4"/>
  <c r="G882" i="4"/>
  <c r="H882" i="4"/>
  <c r="G883" i="4"/>
  <c r="H883" i="4"/>
  <c r="G884" i="4"/>
  <c r="H884" i="4"/>
  <c r="G885" i="4"/>
  <c r="H885" i="4"/>
  <c r="G886" i="4"/>
  <c r="H886" i="4"/>
  <c r="G887" i="4"/>
  <c r="H887" i="4"/>
  <c r="G888" i="4"/>
  <c r="H888" i="4"/>
  <c r="G889" i="4"/>
  <c r="H889" i="4"/>
  <c r="G890" i="4"/>
  <c r="H890" i="4"/>
  <c r="G891" i="4"/>
  <c r="H891" i="4"/>
  <c r="G892" i="4"/>
  <c r="H892" i="4"/>
  <c r="G893" i="4"/>
  <c r="H893" i="4"/>
  <c r="G894" i="4"/>
  <c r="H894" i="4"/>
  <c r="G895" i="4"/>
  <c r="H895" i="4"/>
  <c r="G896" i="4"/>
  <c r="H896" i="4"/>
  <c r="G897" i="4"/>
  <c r="H897" i="4"/>
  <c r="G898" i="4"/>
  <c r="H898" i="4"/>
  <c r="G899" i="4"/>
  <c r="H899" i="4"/>
  <c r="G900" i="4"/>
  <c r="H900" i="4"/>
  <c r="G901" i="4"/>
  <c r="H901" i="4"/>
  <c r="G902" i="4"/>
  <c r="H902" i="4"/>
  <c r="G903" i="4"/>
  <c r="H903" i="4"/>
  <c r="G904" i="4"/>
  <c r="H904" i="4"/>
  <c r="G905" i="4"/>
  <c r="H905" i="4"/>
  <c r="G906" i="4"/>
  <c r="H906" i="4"/>
  <c r="G907" i="4"/>
  <c r="H907" i="4"/>
  <c r="G908" i="4"/>
  <c r="H908" i="4"/>
  <c r="G909" i="4"/>
  <c r="H909" i="4"/>
  <c r="G910" i="4"/>
  <c r="H910" i="4"/>
  <c r="G911" i="4"/>
  <c r="H911" i="4"/>
  <c r="G912" i="4"/>
  <c r="H912" i="4"/>
  <c r="G913" i="4"/>
  <c r="H913" i="4"/>
  <c r="G914" i="4"/>
  <c r="H914" i="4"/>
  <c r="G915" i="4"/>
  <c r="H915" i="4"/>
  <c r="G916" i="4"/>
  <c r="H916" i="4"/>
  <c r="G917" i="4"/>
  <c r="H917" i="4"/>
  <c r="G918" i="4"/>
  <c r="H918" i="4"/>
  <c r="G919" i="4"/>
  <c r="H919" i="4"/>
  <c r="G920" i="4"/>
  <c r="H920" i="4"/>
  <c r="G921" i="4"/>
  <c r="H921" i="4"/>
  <c r="G922" i="4"/>
  <c r="H922" i="4"/>
  <c r="G923" i="4"/>
  <c r="H923" i="4"/>
  <c r="G924" i="4"/>
  <c r="H924" i="4"/>
  <c r="G925" i="4"/>
  <c r="H925" i="4"/>
  <c r="G926" i="4"/>
  <c r="H926" i="4"/>
  <c r="G927" i="4"/>
  <c r="H927" i="4"/>
  <c r="G928" i="4"/>
  <c r="H928" i="4"/>
  <c r="G929" i="4"/>
  <c r="H929" i="4"/>
  <c r="G930" i="4"/>
  <c r="H930" i="4"/>
  <c r="G931" i="4"/>
  <c r="H931" i="4"/>
  <c r="G932" i="4"/>
  <c r="H932" i="4"/>
  <c r="G933" i="4"/>
  <c r="H933" i="4"/>
  <c r="G934" i="4"/>
  <c r="H934" i="4"/>
  <c r="G935" i="4"/>
  <c r="H935" i="4"/>
  <c r="G936" i="4"/>
  <c r="H936" i="4"/>
  <c r="G937" i="4"/>
  <c r="H937" i="4"/>
  <c r="G938" i="4"/>
  <c r="H938" i="4"/>
  <c r="G939" i="4"/>
  <c r="H939" i="4"/>
  <c r="G940" i="4"/>
  <c r="H940" i="4"/>
  <c r="G941" i="4"/>
  <c r="H941" i="4"/>
  <c r="G942" i="4"/>
  <c r="H942" i="4"/>
  <c r="G943" i="4"/>
  <c r="H943" i="4"/>
  <c r="G944" i="4"/>
  <c r="H944" i="4"/>
  <c r="G945" i="4"/>
  <c r="H945" i="4"/>
  <c r="G946" i="4"/>
  <c r="H946" i="4"/>
  <c r="G947" i="4"/>
  <c r="H947" i="4"/>
  <c r="G948" i="4"/>
  <c r="H948" i="4"/>
  <c r="G949" i="4"/>
  <c r="H949" i="4"/>
  <c r="G950" i="4"/>
  <c r="H950" i="4"/>
  <c r="G951" i="4"/>
  <c r="H951" i="4"/>
  <c r="G952" i="4"/>
  <c r="H952" i="4"/>
  <c r="G953" i="4"/>
  <c r="H953" i="4"/>
  <c r="G954" i="4"/>
  <c r="H954" i="4"/>
  <c r="G955" i="4"/>
  <c r="H955" i="4"/>
  <c r="G956" i="4"/>
  <c r="H956" i="4"/>
  <c r="G957" i="4"/>
  <c r="H957" i="4"/>
  <c r="G958" i="4"/>
  <c r="H958" i="4"/>
  <c r="G959" i="4"/>
  <c r="H959" i="4"/>
  <c r="G960" i="4"/>
  <c r="H960" i="4"/>
  <c r="G961" i="4"/>
  <c r="H961" i="4"/>
  <c r="G962" i="4"/>
  <c r="H962" i="4"/>
  <c r="G963" i="4"/>
  <c r="H963" i="4"/>
  <c r="G964" i="4"/>
  <c r="H964" i="4"/>
  <c r="G965" i="4"/>
  <c r="H965" i="4"/>
  <c r="G966" i="4"/>
  <c r="H966" i="4"/>
  <c r="G967" i="4"/>
  <c r="H967" i="4"/>
  <c r="G968" i="4"/>
  <c r="H968" i="4"/>
  <c r="G969" i="4"/>
  <c r="H969" i="4"/>
  <c r="G970" i="4"/>
  <c r="H970" i="4"/>
  <c r="G971" i="4"/>
  <c r="H971" i="4"/>
  <c r="G972" i="4"/>
  <c r="H972" i="4"/>
  <c r="G973" i="4"/>
  <c r="H973" i="4"/>
  <c r="G974" i="4"/>
  <c r="H974" i="4"/>
  <c r="G975" i="4"/>
  <c r="H975" i="4"/>
  <c r="G976" i="4"/>
  <c r="H976" i="4"/>
  <c r="G977" i="4"/>
  <c r="H977" i="4"/>
  <c r="G978" i="4"/>
  <c r="H978" i="4"/>
  <c r="G979" i="4"/>
  <c r="H979" i="4"/>
  <c r="G980" i="4"/>
  <c r="H980" i="4"/>
  <c r="G981" i="4"/>
  <c r="H981" i="4"/>
  <c r="G982" i="4"/>
  <c r="H982" i="4"/>
  <c r="G983" i="4"/>
  <c r="H983" i="4"/>
  <c r="G984" i="4"/>
  <c r="H984" i="4"/>
  <c r="G985" i="4"/>
  <c r="H985" i="4"/>
  <c r="G986" i="4"/>
  <c r="H986" i="4"/>
  <c r="G987" i="4"/>
  <c r="H987" i="4"/>
  <c r="G988" i="4"/>
  <c r="H988" i="4"/>
  <c r="G989" i="4"/>
  <c r="H989" i="4"/>
  <c r="G990" i="4"/>
  <c r="H990" i="4"/>
  <c r="G991" i="4"/>
  <c r="H991" i="4"/>
  <c r="G992" i="4"/>
  <c r="H992" i="4"/>
  <c r="G993" i="4"/>
  <c r="H993" i="4"/>
  <c r="G994" i="4"/>
  <c r="H994" i="4"/>
  <c r="G995" i="4"/>
  <c r="H995" i="4"/>
  <c r="G996" i="4"/>
  <c r="H996" i="4"/>
  <c r="G997" i="4"/>
  <c r="H997" i="4"/>
  <c r="G998" i="4"/>
  <c r="H998" i="4"/>
  <c r="G999" i="4"/>
  <c r="H999" i="4"/>
  <c r="G1000" i="4"/>
  <c r="H1000" i="4"/>
  <c r="G1001" i="4"/>
  <c r="H1001" i="4"/>
  <c r="G1002" i="4"/>
  <c r="H1002" i="4"/>
  <c r="G1003" i="4"/>
  <c r="H1003" i="4"/>
  <c r="G1004" i="4"/>
  <c r="H1004" i="4"/>
  <c r="G1005" i="4"/>
  <c r="H1005" i="4"/>
  <c r="G1006" i="4"/>
  <c r="H1006" i="4"/>
  <c r="G1007" i="4"/>
  <c r="H1007" i="4"/>
  <c r="G1008" i="4"/>
  <c r="H1008" i="4"/>
  <c r="G1009" i="4"/>
  <c r="H1009" i="4"/>
  <c r="G1010" i="4"/>
  <c r="H1010" i="4"/>
  <c r="G1011" i="4"/>
  <c r="H1011" i="4"/>
  <c r="G1012" i="4"/>
  <c r="H1012" i="4"/>
  <c r="G1013" i="4"/>
  <c r="H1013" i="4"/>
  <c r="G1014" i="4"/>
  <c r="H1014" i="4"/>
  <c r="G1015" i="4"/>
  <c r="H1015" i="4"/>
  <c r="G1016" i="4"/>
  <c r="H1016" i="4"/>
  <c r="G1017" i="4"/>
  <c r="H1017" i="4"/>
  <c r="G1018" i="4"/>
  <c r="H1018" i="4"/>
  <c r="G1019" i="4"/>
  <c r="H1019" i="4"/>
  <c r="G1020" i="4"/>
  <c r="H1020" i="4"/>
  <c r="G1021" i="4"/>
  <c r="H1021" i="4"/>
  <c r="G1022" i="4"/>
  <c r="H1022" i="4"/>
  <c r="G1023" i="4"/>
  <c r="H1023" i="4"/>
  <c r="G1024" i="4"/>
  <c r="H1024" i="4"/>
  <c r="G1025" i="4"/>
  <c r="H1025" i="4"/>
  <c r="G1026" i="4"/>
  <c r="H1026" i="4"/>
  <c r="G1027" i="4"/>
  <c r="H1027" i="4"/>
  <c r="G1028" i="4"/>
  <c r="H1028" i="4"/>
  <c r="G1029" i="4"/>
  <c r="H1029" i="4"/>
  <c r="G1030" i="4"/>
  <c r="H1030" i="4"/>
  <c r="G1031" i="4"/>
  <c r="H1031" i="4"/>
  <c r="G1032" i="4"/>
  <c r="H1032" i="4"/>
  <c r="G1033" i="4"/>
  <c r="H1033" i="4"/>
  <c r="G1034" i="4"/>
  <c r="H1034" i="4"/>
  <c r="G1035" i="4"/>
  <c r="H1035" i="4"/>
  <c r="G1036" i="4"/>
  <c r="H1036" i="4"/>
  <c r="G1037" i="4"/>
  <c r="H1037" i="4"/>
  <c r="G1038" i="4"/>
  <c r="H1038" i="4"/>
  <c r="G1039" i="4"/>
  <c r="H1039" i="4"/>
  <c r="G1040" i="4"/>
  <c r="H1040" i="4"/>
  <c r="G1041" i="4"/>
  <c r="H1041" i="4"/>
  <c r="G1042" i="4"/>
  <c r="H1042" i="4"/>
  <c r="G1043" i="4"/>
  <c r="H1043" i="4"/>
  <c r="G1044" i="4"/>
  <c r="H1044" i="4"/>
  <c r="G1045" i="4"/>
  <c r="H1045" i="4"/>
  <c r="G1046" i="4"/>
  <c r="H1046" i="4"/>
  <c r="G1047" i="4"/>
  <c r="H1047" i="4"/>
  <c r="G1048" i="4"/>
  <c r="H1048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5" i="4"/>
  <c r="H165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173" i="4"/>
  <c r="H173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H2" i="4"/>
  <c r="G2" i="4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227" i="2"/>
  <c r="H227" i="2"/>
  <c r="I227" i="2"/>
  <c r="G228" i="2"/>
  <c r="H228" i="2"/>
  <c r="I228" i="2"/>
  <c r="G229" i="2"/>
  <c r="H229" i="2"/>
  <c r="I229" i="2"/>
  <c r="G230" i="2"/>
  <c r="H230" i="2"/>
  <c r="I230" i="2"/>
  <c r="G231" i="2"/>
  <c r="H231" i="2"/>
  <c r="I231" i="2"/>
  <c r="G232" i="2"/>
  <c r="H232" i="2"/>
  <c r="I232" i="2"/>
  <c r="G233" i="2"/>
  <c r="H233" i="2"/>
  <c r="I233" i="2"/>
  <c r="G234" i="2"/>
  <c r="H234" i="2"/>
  <c r="I234" i="2"/>
  <c r="G235" i="2"/>
  <c r="H235" i="2"/>
  <c r="I235" i="2"/>
  <c r="G236" i="2"/>
  <c r="H236" i="2"/>
  <c r="I236" i="2"/>
  <c r="G237" i="2"/>
  <c r="H237" i="2"/>
  <c r="I237" i="2"/>
  <c r="G238" i="2"/>
  <c r="H238" i="2"/>
  <c r="I238" i="2"/>
  <c r="G239" i="2"/>
  <c r="H239" i="2"/>
  <c r="I239" i="2"/>
  <c r="G240" i="2"/>
  <c r="H240" i="2"/>
  <c r="I240" i="2"/>
  <c r="G241" i="2"/>
  <c r="H241" i="2"/>
  <c r="I241" i="2"/>
  <c r="G242" i="2"/>
  <c r="H242" i="2"/>
  <c r="I242" i="2"/>
  <c r="G243" i="2"/>
  <c r="H243" i="2"/>
  <c r="I243" i="2"/>
  <c r="G244" i="2"/>
  <c r="H244" i="2"/>
  <c r="I244" i="2"/>
  <c r="G245" i="2"/>
  <c r="H245" i="2"/>
  <c r="I245" i="2"/>
  <c r="G246" i="2"/>
  <c r="H246" i="2"/>
  <c r="I246" i="2"/>
  <c r="G247" i="2"/>
  <c r="H247" i="2"/>
  <c r="I247" i="2"/>
  <c r="G248" i="2"/>
  <c r="H248" i="2"/>
  <c r="I248" i="2"/>
  <c r="G249" i="2"/>
  <c r="H249" i="2"/>
  <c r="I249" i="2"/>
  <c r="G250" i="2"/>
  <c r="H250" i="2"/>
  <c r="I250" i="2"/>
  <c r="G251" i="2"/>
  <c r="H251" i="2"/>
  <c r="I251" i="2"/>
  <c r="G252" i="2"/>
  <c r="H252" i="2"/>
  <c r="I252" i="2"/>
  <c r="G253" i="2"/>
  <c r="H253" i="2"/>
  <c r="I253" i="2"/>
  <c r="G254" i="2"/>
  <c r="H254" i="2"/>
  <c r="I254" i="2"/>
  <c r="G255" i="2"/>
  <c r="H255" i="2"/>
  <c r="I255" i="2"/>
  <c r="G256" i="2"/>
  <c r="H256" i="2"/>
  <c r="I256" i="2"/>
  <c r="G257" i="2"/>
  <c r="H257" i="2"/>
  <c r="I257" i="2"/>
  <c r="G258" i="2"/>
  <c r="H258" i="2"/>
  <c r="I258" i="2"/>
  <c r="G259" i="2"/>
  <c r="H259" i="2"/>
  <c r="I259" i="2"/>
  <c r="G260" i="2"/>
  <c r="H260" i="2"/>
  <c r="I260" i="2"/>
  <c r="G261" i="2"/>
  <c r="H261" i="2"/>
  <c r="I261" i="2"/>
  <c r="G262" i="2"/>
  <c r="H262" i="2"/>
  <c r="I262" i="2"/>
  <c r="G263" i="2"/>
  <c r="H263" i="2"/>
  <c r="I263" i="2"/>
  <c r="G264" i="2"/>
  <c r="H264" i="2"/>
  <c r="I264" i="2"/>
  <c r="G265" i="2"/>
  <c r="H265" i="2"/>
  <c r="I265" i="2"/>
  <c r="G266" i="2"/>
  <c r="H266" i="2"/>
  <c r="I266" i="2"/>
  <c r="G267" i="2"/>
  <c r="H267" i="2"/>
  <c r="I267" i="2"/>
  <c r="G268" i="2"/>
  <c r="H268" i="2"/>
  <c r="I268" i="2"/>
  <c r="G269" i="2"/>
  <c r="H269" i="2"/>
  <c r="I269" i="2"/>
  <c r="G270" i="2"/>
  <c r="H270" i="2"/>
  <c r="I270" i="2"/>
  <c r="G271" i="2"/>
  <c r="H271" i="2"/>
  <c r="I271" i="2"/>
  <c r="G272" i="2"/>
  <c r="H272" i="2"/>
  <c r="I272" i="2"/>
  <c r="G273" i="2"/>
  <c r="H273" i="2"/>
  <c r="I273" i="2"/>
  <c r="G274" i="2"/>
  <c r="H274" i="2"/>
  <c r="I274" i="2"/>
  <c r="G275" i="2"/>
  <c r="H275" i="2"/>
  <c r="I275" i="2"/>
  <c r="G276" i="2"/>
  <c r="H276" i="2"/>
  <c r="I276" i="2"/>
  <c r="G277" i="2"/>
  <c r="H277" i="2"/>
  <c r="I277" i="2"/>
  <c r="G278" i="2"/>
  <c r="H278" i="2"/>
  <c r="I278" i="2"/>
  <c r="G279" i="2"/>
  <c r="H279" i="2"/>
  <c r="I279" i="2"/>
  <c r="G280" i="2"/>
  <c r="H280" i="2"/>
  <c r="I280" i="2"/>
  <c r="G281" i="2"/>
  <c r="H281" i="2"/>
  <c r="I281" i="2"/>
  <c r="G282" i="2"/>
  <c r="H282" i="2"/>
  <c r="I282" i="2"/>
  <c r="G283" i="2"/>
  <c r="H283" i="2"/>
  <c r="I283" i="2"/>
  <c r="G284" i="2"/>
  <c r="H284" i="2"/>
  <c r="I284" i="2"/>
  <c r="G285" i="2"/>
  <c r="H285" i="2"/>
  <c r="I285" i="2"/>
  <c r="G286" i="2"/>
  <c r="H286" i="2"/>
  <c r="I286" i="2"/>
  <c r="G287" i="2"/>
  <c r="H287" i="2"/>
  <c r="I287" i="2"/>
  <c r="G288" i="2"/>
  <c r="H288" i="2"/>
  <c r="I288" i="2"/>
  <c r="G289" i="2"/>
  <c r="H289" i="2"/>
  <c r="I289" i="2"/>
  <c r="G290" i="2"/>
  <c r="H290" i="2"/>
  <c r="I290" i="2"/>
  <c r="G291" i="2"/>
  <c r="H291" i="2"/>
  <c r="I291" i="2"/>
  <c r="G292" i="2"/>
  <c r="H292" i="2"/>
  <c r="I292" i="2"/>
  <c r="G293" i="2"/>
  <c r="H293" i="2"/>
  <c r="I293" i="2"/>
  <c r="G294" i="2"/>
  <c r="H294" i="2"/>
  <c r="I294" i="2"/>
  <c r="G295" i="2"/>
  <c r="H295" i="2"/>
  <c r="I295" i="2"/>
  <c r="G296" i="2"/>
  <c r="H296" i="2"/>
  <c r="I296" i="2"/>
  <c r="G297" i="2"/>
  <c r="H297" i="2"/>
  <c r="I297" i="2"/>
  <c r="G298" i="2"/>
  <c r="H298" i="2"/>
  <c r="I298" i="2"/>
  <c r="G299" i="2"/>
  <c r="H299" i="2"/>
  <c r="I299" i="2"/>
  <c r="G300" i="2"/>
  <c r="H300" i="2"/>
  <c r="I300" i="2"/>
  <c r="G301" i="2"/>
  <c r="H301" i="2"/>
  <c r="I301" i="2"/>
  <c r="G302" i="2"/>
  <c r="H302" i="2"/>
  <c r="I302" i="2"/>
  <c r="G303" i="2"/>
  <c r="H303" i="2"/>
  <c r="I303" i="2"/>
  <c r="G304" i="2"/>
  <c r="H304" i="2"/>
  <c r="I304" i="2"/>
  <c r="G305" i="2"/>
  <c r="H305" i="2"/>
  <c r="I305" i="2"/>
  <c r="G306" i="2"/>
  <c r="H306" i="2"/>
  <c r="I306" i="2"/>
  <c r="G307" i="2"/>
  <c r="H307" i="2"/>
  <c r="I307" i="2"/>
  <c r="G308" i="2"/>
  <c r="H308" i="2"/>
  <c r="I308" i="2"/>
  <c r="G309" i="2"/>
  <c r="H309" i="2"/>
  <c r="I309" i="2"/>
  <c r="G310" i="2"/>
  <c r="H310" i="2"/>
  <c r="I310" i="2"/>
  <c r="G311" i="2"/>
  <c r="H311" i="2"/>
  <c r="I311" i="2"/>
  <c r="G312" i="2"/>
  <c r="H312" i="2"/>
  <c r="I312" i="2"/>
  <c r="G313" i="2"/>
  <c r="H313" i="2"/>
  <c r="I313" i="2"/>
  <c r="G314" i="2"/>
  <c r="H314" i="2"/>
  <c r="I314" i="2"/>
  <c r="G315" i="2"/>
  <c r="H315" i="2"/>
  <c r="I315" i="2"/>
  <c r="G316" i="2"/>
  <c r="H316" i="2"/>
  <c r="I316" i="2"/>
  <c r="G317" i="2"/>
  <c r="H317" i="2"/>
  <c r="I317" i="2"/>
  <c r="G318" i="2"/>
  <c r="H318" i="2"/>
  <c r="I318" i="2"/>
  <c r="G319" i="2"/>
  <c r="H319" i="2"/>
  <c r="I319" i="2"/>
  <c r="G320" i="2"/>
  <c r="H320" i="2"/>
  <c r="I320" i="2"/>
  <c r="G321" i="2"/>
  <c r="H321" i="2"/>
  <c r="I321" i="2"/>
  <c r="G322" i="2"/>
  <c r="H322" i="2"/>
  <c r="I322" i="2"/>
  <c r="G323" i="2"/>
  <c r="H323" i="2"/>
  <c r="I323" i="2"/>
  <c r="G324" i="2"/>
  <c r="H324" i="2"/>
  <c r="I324" i="2"/>
  <c r="G325" i="2"/>
  <c r="H325" i="2"/>
  <c r="I325" i="2"/>
  <c r="G326" i="2"/>
  <c r="H326" i="2"/>
  <c r="I326" i="2"/>
  <c r="G327" i="2"/>
  <c r="H327" i="2"/>
  <c r="I327" i="2"/>
  <c r="G328" i="2"/>
  <c r="H328" i="2"/>
  <c r="I328" i="2"/>
  <c r="G329" i="2"/>
  <c r="H329" i="2"/>
  <c r="I329" i="2"/>
  <c r="G330" i="2"/>
  <c r="H330" i="2"/>
  <c r="I330" i="2"/>
  <c r="G331" i="2"/>
  <c r="H331" i="2"/>
  <c r="I331" i="2"/>
  <c r="G332" i="2"/>
  <c r="H332" i="2"/>
  <c r="I332" i="2"/>
  <c r="G333" i="2"/>
  <c r="H333" i="2"/>
  <c r="I333" i="2"/>
  <c r="G334" i="2"/>
  <c r="H334" i="2"/>
  <c r="I334" i="2"/>
  <c r="G335" i="2"/>
  <c r="H335" i="2"/>
  <c r="I335" i="2"/>
  <c r="G336" i="2"/>
  <c r="H336" i="2"/>
  <c r="I336" i="2"/>
  <c r="G337" i="2"/>
  <c r="H337" i="2"/>
  <c r="I337" i="2"/>
  <c r="G338" i="2"/>
  <c r="H338" i="2"/>
  <c r="I338" i="2"/>
  <c r="G339" i="2"/>
  <c r="H339" i="2"/>
  <c r="I339" i="2"/>
  <c r="G340" i="2"/>
  <c r="H340" i="2"/>
  <c r="I340" i="2"/>
  <c r="G341" i="2"/>
  <c r="H341" i="2"/>
  <c r="I341" i="2"/>
  <c r="G342" i="2"/>
  <c r="H342" i="2"/>
  <c r="I342" i="2"/>
  <c r="G343" i="2"/>
  <c r="H343" i="2"/>
  <c r="I343" i="2"/>
  <c r="G344" i="2"/>
  <c r="H344" i="2"/>
  <c r="I344" i="2"/>
  <c r="G345" i="2"/>
  <c r="H345" i="2"/>
  <c r="I345" i="2"/>
  <c r="G346" i="2"/>
  <c r="H346" i="2"/>
  <c r="I346" i="2"/>
  <c r="G347" i="2"/>
  <c r="H347" i="2"/>
  <c r="I347" i="2"/>
  <c r="G348" i="2"/>
  <c r="H348" i="2"/>
  <c r="I348" i="2"/>
  <c r="G349" i="2"/>
  <c r="H349" i="2"/>
  <c r="I349" i="2"/>
  <c r="G350" i="2"/>
  <c r="H350" i="2"/>
  <c r="I350" i="2"/>
  <c r="G351" i="2"/>
  <c r="H351" i="2"/>
  <c r="I351" i="2"/>
  <c r="G352" i="2"/>
  <c r="H352" i="2"/>
  <c r="I352" i="2"/>
  <c r="G353" i="2"/>
  <c r="H353" i="2"/>
  <c r="I353" i="2"/>
  <c r="G354" i="2"/>
  <c r="H354" i="2"/>
  <c r="I354" i="2"/>
  <c r="G355" i="2"/>
  <c r="H355" i="2"/>
  <c r="I355" i="2"/>
  <c r="G356" i="2"/>
  <c r="H356" i="2"/>
  <c r="I356" i="2"/>
  <c r="G357" i="2"/>
  <c r="H357" i="2"/>
  <c r="I357" i="2"/>
  <c r="G358" i="2"/>
  <c r="H358" i="2"/>
  <c r="I358" i="2"/>
  <c r="G359" i="2"/>
  <c r="H359" i="2"/>
  <c r="I359" i="2"/>
  <c r="G360" i="2"/>
  <c r="H360" i="2"/>
  <c r="I360" i="2"/>
  <c r="G361" i="2"/>
  <c r="H361" i="2"/>
  <c r="I361" i="2"/>
  <c r="G362" i="2"/>
  <c r="H362" i="2"/>
  <c r="I362" i="2"/>
  <c r="G363" i="2"/>
  <c r="H363" i="2"/>
  <c r="I363" i="2"/>
  <c r="G364" i="2"/>
  <c r="H364" i="2"/>
  <c r="I364" i="2"/>
  <c r="G365" i="2"/>
  <c r="H365" i="2"/>
  <c r="I365" i="2"/>
  <c r="G366" i="2"/>
  <c r="H366" i="2"/>
  <c r="I366" i="2"/>
  <c r="G367" i="2"/>
  <c r="H367" i="2"/>
  <c r="I367" i="2"/>
  <c r="G368" i="2"/>
  <c r="H368" i="2"/>
  <c r="I368" i="2"/>
  <c r="G369" i="2"/>
  <c r="H369" i="2"/>
  <c r="I369" i="2"/>
  <c r="G370" i="2"/>
  <c r="H370" i="2"/>
  <c r="I370" i="2"/>
  <c r="G371" i="2"/>
  <c r="H371" i="2"/>
  <c r="I371" i="2"/>
  <c r="G372" i="2"/>
  <c r="H372" i="2"/>
  <c r="I372" i="2"/>
  <c r="G373" i="2"/>
  <c r="H373" i="2"/>
  <c r="I373" i="2"/>
  <c r="G374" i="2"/>
  <c r="H374" i="2"/>
  <c r="I374" i="2"/>
  <c r="G375" i="2"/>
  <c r="H375" i="2"/>
  <c r="I375" i="2"/>
  <c r="G376" i="2"/>
  <c r="H376" i="2"/>
  <c r="I376" i="2"/>
  <c r="G377" i="2"/>
  <c r="H377" i="2"/>
  <c r="I377" i="2"/>
  <c r="G378" i="2"/>
  <c r="H378" i="2"/>
  <c r="I378" i="2"/>
  <c r="G379" i="2"/>
  <c r="H379" i="2"/>
  <c r="I379" i="2"/>
  <c r="G380" i="2"/>
  <c r="H380" i="2"/>
  <c r="I380" i="2"/>
  <c r="G381" i="2"/>
  <c r="H381" i="2"/>
  <c r="I381" i="2"/>
  <c r="G382" i="2"/>
  <c r="H382" i="2"/>
  <c r="I382" i="2"/>
  <c r="G383" i="2"/>
  <c r="H383" i="2"/>
  <c r="I383" i="2"/>
  <c r="G384" i="2"/>
  <c r="H384" i="2"/>
  <c r="I384" i="2"/>
  <c r="G385" i="2"/>
  <c r="H385" i="2"/>
  <c r="I385" i="2"/>
  <c r="G386" i="2"/>
  <c r="H386" i="2"/>
  <c r="I386" i="2"/>
  <c r="G387" i="2"/>
  <c r="H387" i="2"/>
  <c r="I387" i="2"/>
  <c r="G388" i="2"/>
  <c r="H388" i="2"/>
  <c r="I388" i="2"/>
  <c r="G389" i="2"/>
  <c r="H389" i="2"/>
  <c r="I389" i="2"/>
  <c r="G390" i="2"/>
  <c r="H390" i="2"/>
  <c r="I390" i="2"/>
  <c r="G391" i="2"/>
  <c r="H391" i="2"/>
  <c r="I391" i="2"/>
  <c r="G392" i="2"/>
  <c r="H392" i="2"/>
  <c r="I392" i="2"/>
  <c r="G393" i="2"/>
  <c r="H393" i="2"/>
  <c r="I393" i="2"/>
  <c r="G394" i="2"/>
  <c r="H394" i="2"/>
  <c r="I394" i="2"/>
  <c r="G395" i="2"/>
  <c r="H395" i="2"/>
  <c r="I395" i="2"/>
  <c r="G396" i="2"/>
  <c r="H396" i="2"/>
  <c r="I396" i="2"/>
  <c r="G397" i="2"/>
  <c r="H397" i="2"/>
  <c r="I397" i="2"/>
  <c r="G398" i="2"/>
  <c r="H398" i="2"/>
  <c r="I398" i="2"/>
  <c r="G399" i="2"/>
  <c r="H399" i="2"/>
  <c r="I399" i="2"/>
  <c r="G400" i="2"/>
  <c r="H400" i="2"/>
  <c r="I400" i="2"/>
  <c r="G401" i="2"/>
  <c r="H401" i="2"/>
  <c r="I401" i="2"/>
  <c r="G402" i="2"/>
  <c r="H402" i="2"/>
  <c r="I402" i="2"/>
  <c r="G403" i="2"/>
  <c r="H403" i="2"/>
  <c r="I403" i="2"/>
  <c r="G404" i="2"/>
  <c r="H404" i="2"/>
  <c r="I404" i="2"/>
  <c r="G405" i="2"/>
  <c r="H405" i="2"/>
  <c r="I405" i="2"/>
  <c r="G406" i="2"/>
  <c r="H406" i="2"/>
  <c r="I406" i="2"/>
  <c r="G407" i="2"/>
  <c r="H407" i="2"/>
  <c r="I407" i="2"/>
  <c r="G408" i="2"/>
  <c r="H408" i="2"/>
  <c r="I408" i="2"/>
  <c r="G409" i="2"/>
  <c r="H409" i="2"/>
  <c r="I409" i="2"/>
  <c r="G410" i="2"/>
  <c r="H410" i="2"/>
  <c r="I410" i="2"/>
  <c r="G411" i="2"/>
  <c r="H411" i="2"/>
  <c r="I411" i="2"/>
  <c r="G412" i="2"/>
  <c r="H412" i="2"/>
  <c r="I412" i="2"/>
  <c r="G413" i="2"/>
  <c r="H413" i="2"/>
  <c r="I413" i="2"/>
  <c r="G414" i="2"/>
  <c r="H414" i="2"/>
  <c r="I414" i="2"/>
  <c r="G415" i="2"/>
  <c r="H415" i="2"/>
  <c r="I415" i="2"/>
  <c r="G416" i="2"/>
  <c r="H416" i="2"/>
  <c r="I416" i="2"/>
  <c r="G417" i="2"/>
  <c r="H417" i="2"/>
  <c r="I417" i="2"/>
  <c r="G418" i="2"/>
  <c r="H418" i="2"/>
  <c r="I418" i="2"/>
  <c r="G419" i="2"/>
  <c r="H419" i="2"/>
  <c r="I419" i="2"/>
  <c r="G420" i="2"/>
  <c r="H420" i="2"/>
  <c r="I420" i="2"/>
  <c r="G421" i="2"/>
  <c r="H421" i="2"/>
  <c r="I421" i="2"/>
  <c r="G422" i="2"/>
  <c r="H422" i="2"/>
  <c r="I422" i="2"/>
  <c r="G423" i="2"/>
  <c r="H423" i="2"/>
  <c r="I423" i="2"/>
  <c r="G424" i="2"/>
  <c r="H424" i="2"/>
  <c r="I424" i="2"/>
  <c r="G425" i="2"/>
  <c r="H425" i="2"/>
  <c r="I425" i="2"/>
  <c r="G426" i="2"/>
  <c r="H426" i="2"/>
  <c r="I426" i="2"/>
  <c r="G427" i="2"/>
  <c r="H427" i="2"/>
  <c r="I427" i="2"/>
  <c r="G428" i="2"/>
  <c r="H428" i="2"/>
  <c r="I428" i="2"/>
  <c r="G429" i="2"/>
  <c r="H429" i="2"/>
  <c r="I429" i="2"/>
  <c r="G430" i="2"/>
  <c r="H430" i="2"/>
  <c r="I430" i="2"/>
  <c r="G431" i="2"/>
  <c r="H431" i="2"/>
  <c r="I431" i="2"/>
  <c r="G432" i="2"/>
  <c r="H432" i="2"/>
  <c r="I432" i="2"/>
  <c r="G433" i="2"/>
  <c r="H433" i="2"/>
  <c r="I433" i="2"/>
  <c r="G434" i="2"/>
  <c r="H434" i="2"/>
  <c r="I434" i="2"/>
  <c r="G435" i="2"/>
  <c r="H435" i="2"/>
  <c r="I435" i="2"/>
  <c r="G436" i="2"/>
  <c r="H436" i="2"/>
  <c r="I436" i="2"/>
  <c r="G437" i="2"/>
  <c r="H437" i="2"/>
  <c r="I437" i="2"/>
  <c r="G438" i="2"/>
  <c r="H438" i="2"/>
  <c r="I438" i="2"/>
  <c r="G439" i="2"/>
  <c r="H439" i="2"/>
  <c r="I439" i="2"/>
  <c r="G440" i="2"/>
  <c r="H440" i="2"/>
  <c r="I440" i="2"/>
  <c r="G441" i="2"/>
  <c r="H441" i="2"/>
  <c r="I441" i="2"/>
  <c r="G442" i="2"/>
  <c r="H442" i="2"/>
  <c r="I442" i="2"/>
  <c r="G443" i="2"/>
  <c r="H443" i="2"/>
  <c r="I443" i="2"/>
  <c r="G444" i="2"/>
  <c r="H444" i="2"/>
  <c r="I444" i="2"/>
  <c r="G445" i="2"/>
  <c r="H445" i="2"/>
  <c r="I445" i="2"/>
  <c r="G446" i="2"/>
  <c r="H446" i="2"/>
  <c r="I446" i="2"/>
  <c r="G447" i="2"/>
  <c r="H447" i="2"/>
  <c r="I447" i="2"/>
  <c r="G448" i="2"/>
  <c r="H448" i="2"/>
  <c r="I448" i="2"/>
  <c r="G449" i="2"/>
  <c r="H449" i="2"/>
  <c r="I449" i="2"/>
  <c r="G450" i="2"/>
  <c r="H450" i="2"/>
  <c r="I450" i="2"/>
  <c r="G451" i="2"/>
  <c r="H451" i="2"/>
  <c r="I451" i="2"/>
  <c r="G452" i="2"/>
  <c r="H452" i="2"/>
  <c r="I452" i="2"/>
  <c r="G453" i="2"/>
  <c r="H453" i="2"/>
  <c r="I453" i="2"/>
  <c r="G454" i="2"/>
  <c r="H454" i="2"/>
  <c r="I454" i="2"/>
  <c r="G455" i="2"/>
  <c r="H455" i="2"/>
  <c r="I455" i="2"/>
  <c r="G456" i="2"/>
  <c r="H456" i="2"/>
  <c r="I456" i="2"/>
  <c r="G457" i="2"/>
  <c r="H457" i="2"/>
  <c r="I457" i="2"/>
  <c r="G458" i="2"/>
  <c r="H458" i="2"/>
  <c r="I458" i="2"/>
  <c r="G459" i="2"/>
  <c r="H459" i="2"/>
  <c r="I459" i="2"/>
  <c r="G460" i="2"/>
  <c r="H460" i="2"/>
  <c r="I460" i="2"/>
  <c r="G461" i="2"/>
  <c r="H461" i="2"/>
  <c r="I461" i="2"/>
  <c r="G462" i="2"/>
  <c r="H462" i="2"/>
  <c r="I462" i="2"/>
  <c r="G463" i="2"/>
  <c r="H463" i="2"/>
  <c r="I463" i="2"/>
  <c r="G464" i="2"/>
  <c r="H464" i="2"/>
  <c r="I464" i="2"/>
  <c r="G465" i="2"/>
  <c r="H465" i="2"/>
  <c r="I465" i="2"/>
  <c r="G466" i="2"/>
  <c r="H466" i="2"/>
  <c r="I466" i="2"/>
  <c r="G467" i="2"/>
  <c r="H467" i="2"/>
  <c r="I467" i="2"/>
  <c r="G468" i="2"/>
  <c r="H468" i="2"/>
  <c r="I468" i="2"/>
  <c r="G469" i="2"/>
  <c r="H469" i="2"/>
  <c r="I469" i="2"/>
  <c r="G470" i="2"/>
  <c r="H470" i="2"/>
  <c r="I470" i="2"/>
  <c r="G471" i="2"/>
  <c r="H471" i="2"/>
  <c r="I471" i="2"/>
  <c r="G472" i="2"/>
  <c r="H472" i="2"/>
  <c r="I472" i="2"/>
  <c r="G473" i="2"/>
  <c r="H473" i="2"/>
  <c r="I473" i="2"/>
  <c r="G474" i="2"/>
  <c r="H474" i="2"/>
  <c r="I474" i="2"/>
  <c r="G475" i="2"/>
  <c r="H475" i="2"/>
  <c r="I475" i="2"/>
  <c r="G476" i="2"/>
  <c r="H476" i="2"/>
  <c r="I476" i="2"/>
  <c r="G477" i="2"/>
  <c r="H477" i="2"/>
  <c r="I477" i="2"/>
  <c r="G478" i="2"/>
  <c r="H478" i="2"/>
  <c r="I478" i="2"/>
  <c r="G479" i="2"/>
  <c r="H479" i="2"/>
  <c r="I479" i="2"/>
  <c r="G480" i="2"/>
  <c r="H480" i="2"/>
  <c r="I480" i="2"/>
  <c r="G481" i="2"/>
  <c r="H481" i="2"/>
  <c r="I481" i="2"/>
  <c r="G482" i="2"/>
  <c r="H482" i="2"/>
  <c r="I482" i="2"/>
  <c r="G483" i="2"/>
  <c r="H483" i="2"/>
  <c r="I483" i="2"/>
  <c r="G484" i="2"/>
  <c r="H484" i="2"/>
  <c r="I484" i="2"/>
  <c r="G485" i="2"/>
  <c r="H485" i="2"/>
  <c r="I485" i="2"/>
  <c r="G486" i="2"/>
  <c r="H486" i="2"/>
  <c r="I486" i="2"/>
  <c r="G487" i="2"/>
  <c r="H487" i="2"/>
  <c r="I487" i="2"/>
  <c r="G488" i="2"/>
  <c r="H488" i="2"/>
  <c r="I488" i="2"/>
  <c r="G489" i="2"/>
  <c r="H489" i="2"/>
  <c r="I489" i="2"/>
  <c r="G490" i="2"/>
  <c r="H490" i="2"/>
  <c r="I490" i="2"/>
  <c r="G491" i="2"/>
  <c r="H491" i="2"/>
  <c r="I491" i="2"/>
  <c r="G492" i="2"/>
  <c r="H492" i="2"/>
  <c r="I492" i="2"/>
  <c r="G493" i="2"/>
  <c r="H493" i="2"/>
  <c r="I493" i="2"/>
  <c r="G494" i="2"/>
  <c r="H494" i="2"/>
  <c r="I494" i="2"/>
  <c r="G495" i="2"/>
  <c r="H495" i="2"/>
  <c r="I495" i="2"/>
  <c r="G496" i="2"/>
  <c r="H496" i="2"/>
  <c r="I496" i="2"/>
  <c r="G497" i="2"/>
  <c r="H497" i="2"/>
  <c r="I497" i="2"/>
  <c r="G498" i="2"/>
  <c r="H498" i="2"/>
  <c r="I498" i="2"/>
  <c r="G499" i="2"/>
  <c r="H499" i="2"/>
  <c r="I499" i="2"/>
  <c r="G500" i="2"/>
  <c r="H500" i="2"/>
  <c r="I500" i="2"/>
  <c r="G501" i="2"/>
  <c r="H501" i="2"/>
  <c r="I501" i="2"/>
  <c r="G502" i="2"/>
  <c r="H502" i="2"/>
  <c r="I502" i="2"/>
  <c r="G503" i="2"/>
  <c r="H503" i="2"/>
  <c r="I503" i="2"/>
  <c r="G504" i="2"/>
  <c r="H504" i="2"/>
  <c r="I504" i="2"/>
  <c r="G505" i="2"/>
  <c r="H505" i="2"/>
  <c r="I505" i="2"/>
  <c r="G506" i="2"/>
  <c r="H506" i="2"/>
  <c r="I506" i="2"/>
  <c r="G507" i="2"/>
  <c r="H507" i="2"/>
  <c r="I507" i="2"/>
  <c r="G508" i="2"/>
  <c r="H508" i="2"/>
  <c r="I508" i="2"/>
  <c r="G509" i="2"/>
  <c r="H509" i="2"/>
  <c r="I509" i="2"/>
  <c r="G510" i="2"/>
  <c r="H510" i="2"/>
  <c r="I510" i="2"/>
  <c r="G511" i="2"/>
  <c r="H511" i="2"/>
  <c r="I511" i="2"/>
  <c r="G512" i="2"/>
  <c r="H512" i="2"/>
  <c r="I512" i="2"/>
  <c r="G513" i="2"/>
  <c r="H513" i="2"/>
  <c r="I513" i="2"/>
  <c r="G514" i="2"/>
  <c r="H514" i="2"/>
  <c r="I514" i="2"/>
  <c r="G515" i="2"/>
  <c r="H515" i="2"/>
  <c r="I515" i="2"/>
  <c r="G516" i="2"/>
  <c r="H516" i="2"/>
  <c r="I516" i="2"/>
  <c r="G517" i="2"/>
  <c r="H517" i="2"/>
  <c r="I517" i="2"/>
  <c r="G518" i="2"/>
  <c r="H518" i="2"/>
  <c r="I518" i="2"/>
  <c r="G519" i="2"/>
  <c r="H519" i="2"/>
  <c r="I519" i="2"/>
  <c r="G520" i="2"/>
  <c r="H520" i="2"/>
  <c r="I520" i="2"/>
  <c r="G521" i="2"/>
  <c r="H521" i="2"/>
  <c r="I521" i="2"/>
  <c r="G522" i="2"/>
  <c r="H522" i="2"/>
  <c r="I522" i="2"/>
  <c r="G523" i="2"/>
  <c r="H523" i="2"/>
  <c r="I523" i="2"/>
  <c r="G524" i="2"/>
  <c r="H524" i="2"/>
  <c r="I524" i="2"/>
  <c r="G525" i="2"/>
  <c r="H525" i="2"/>
  <c r="I525" i="2"/>
  <c r="G526" i="2"/>
  <c r="H526" i="2"/>
  <c r="I526" i="2"/>
  <c r="G527" i="2"/>
  <c r="H527" i="2"/>
  <c r="I527" i="2"/>
  <c r="G528" i="2"/>
  <c r="H528" i="2"/>
  <c r="I528" i="2"/>
  <c r="G529" i="2"/>
  <c r="H529" i="2"/>
  <c r="I529" i="2"/>
  <c r="G530" i="2"/>
  <c r="H530" i="2"/>
  <c r="I530" i="2"/>
  <c r="G531" i="2"/>
  <c r="H531" i="2"/>
  <c r="I531" i="2"/>
  <c r="G532" i="2"/>
  <c r="H532" i="2"/>
  <c r="I532" i="2"/>
  <c r="G533" i="2"/>
  <c r="H533" i="2"/>
  <c r="I533" i="2"/>
  <c r="G534" i="2"/>
  <c r="H534" i="2"/>
  <c r="I534" i="2"/>
  <c r="G535" i="2"/>
  <c r="H535" i="2"/>
  <c r="I535" i="2"/>
  <c r="G536" i="2"/>
  <c r="H536" i="2"/>
  <c r="I536" i="2"/>
  <c r="G537" i="2"/>
  <c r="H537" i="2"/>
  <c r="I537" i="2"/>
  <c r="G538" i="2"/>
  <c r="H538" i="2"/>
  <c r="I538" i="2"/>
  <c r="G539" i="2"/>
  <c r="H539" i="2"/>
  <c r="I539" i="2"/>
  <c r="G540" i="2"/>
  <c r="H540" i="2"/>
  <c r="I540" i="2"/>
  <c r="G541" i="2"/>
  <c r="H541" i="2"/>
  <c r="I541" i="2"/>
  <c r="G542" i="2"/>
  <c r="H542" i="2"/>
  <c r="I542" i="2"/>
  <c r="G543" i="2"/>
  <c r="H543" i="2"/>
  <c r="I543" i="2"/>
  <c r="G544" i="2"/>
  <c r="H544" i="2"/>
  <c r="I544" i="2"/>
  <c r="G545" i="2"/>
  <c r="H545" i="2"/>
  <c r="I545" i="2"/>
  <c r="G546" i="2"/>
  <c r="H546" i="2"/>
  <c r="I546" i="2"/>
  <c r="G547" i="2"/>
  <c r="H547" i="2"/>
  <c r="I547" i="2"/>
  <c r="G548" i="2"/>
  <c r="H548" i="2"/>
  <c r="I548" i="2"/>
  <c r="G549" i="2"/>
  <c r="H549" i="2"/>
  <c r="I549" i="2"/>
  <c r="G550" i="2"/>
  <c r="H550" i="2"/>
  <c r="I550" i="2"/>
  <c r="G551" i="2"/>
  <c r="H551" i="2"/>
  <c r="I551" i="2"/>
  <c r="G552" i="2"/>
  <c r="H552" i="2"/>
  <c r="I552" i="2"/>
  <c r="G553" i="2"/>
  <c r="H553" i="2"/>
  <c r="I553" i="2"/>
  <c r="G554" i="2"/>
  <c r="H554" i="2"/>
  <c r="I554" i="2"/>
  <c r="G555" i="2"/>
  <c r="H555" i="2"/>
  <c r="I555" i="2"/>
  <c r="G556" i="2"/>
  <c r="H556" i="2"/>
  <c r="I556" i="2"/>
  <c r="G557" i="2"/>
  <c r="H557" i="2"/>
  <c r="I557" i="2"/>
  <c r="G558" i="2"/>
  <c r="H558" i="2"/>
  <c r="I558" i="2"/>
  <c r="G559" i="2"/>
  <c r="H559" i="2"/>
  <c r="I559" i="2"/>
  <c r="G560" i="2"/>
  <c r="H560" i="2"/>
  <c r="I560" i="2"/>
  <c r="G561" i="2"/>
  <c r="H561" i="2"/>
  <c r="I561" i="2"/>
  <c r="G562" i="2"/>
  <c r="H562" i="2"/>
  <c r="I562" i="2"/>
  <c r="G563" i="2"/>
  <c r="H563" i="2"/>
  <c r="I563" i="2"/>
  <c r="G564" i="2"/>
  <c r="H564" i="2"/>
  <c r="I564" i="2"/>
  <c r="G565" i="2"/>
  <c r="H565" i="2"/>
  <c r="I565" i="2"/>
  <c r="G566" i="2"/>
  <c r="H566" i="2"/>
  <c r="I566" i="2"/>
  <c r="G567" i="2"/>
  <c r="H567" i="2"/>
  <c r="I567" i="2"/>
  <c r="G568" i="2"/>
  <c r="H568" i="2"/>
  <c r="I568" i="2"/>
  <c r="G569" i="2"/>
  <c r="H569" i="2"/>
  <c r="I569" i="2"/>
  <c r="G570" i="2"/>
  <c r="H570" i="2"/>
  <c r="I570" i="2"/>
  <c r="G571" i="2"/>
  <c r="H571" i="2"/>
  <c r="I571" i="2"/>
  <c r="G572" i="2"/>
  <c r="H572" i="2"/>
  <c r="I572" i="2"/>
  <c r="G573" i="2"/>
  <c r="H573" i="2"/>
  <c r="I573" i="2"/>
  <c r="G574" i="2"/>
  <c r="H574" i="2"/>
  <c r="I574" i="2"/>
  <c r="G575" i="2"/>
  <c r="H575" i="2"/>
  <c r="I575" i="2"/>
  <c r="G576" i="2"/>
  <c r="H576" i="2"/>
  <c r="I576" i="2"/>
  <c r="G577" i="2"/>
  <c r="H577" i="2"/>
  <c r="I577" i="2"/>
  <c r="G578" i="2"/>
  <c r="H578" i="2"/>
  <c r="I578" i="2"/>
  <c r="G579" i="2"/>
  <c r="H579" i="2"/>
  <c r="I579" i="2"/>
  <c r="G580" i="2"/>
  <c r="H580" i="2"/>
  <c r="I580" i="2"/>
  <c r="G581" i="2"/>
  <c r="H581" i="2"/>
  <c r="I581" i="2"/>
  <c r="G582" i="2"/>
  <c r="H582" i="2"/>
  <c r="I582" i="2"/>
  <c r="G583" i="2"/>
  <c r="H583" i="2"/>
  <c r="I583" i="2"/>
  <c r="G584" i="2"/>
  <c r="H584" i="2"/>
  <c r="I584" i="2"/>
  <c r="G585" i="2"/>
  <c r="H585" i="2"/>
  <c r="I585" i="2"/>
  <c r="G586" i="2"/>
  <c r="H586" i="2"/>
  <c r="I586" i="2"/>
  <c r="G587" i="2"/>
  <c r="H587" i="2"/>
  <c r="I587" i="2"/>
  <c r="G588" i="2"/>
  <c r="H588" i="2"/>
  <c r="I588" i="2"/>
  <c r="G589" i="2"/>
  <c r="H589" i="2"/>
  <c r="I589" i="2"/>
  <c r="G590" i="2"/>
  <c r="H590" i="2"/>
  <c r="I590" i="2"/>
  <c r="G591" i="2"/>
  <c r="H591" i="2"/>
  <c r="I591" i="2"/>
  <c r="G592" i="2"/>
  <c r="H592" i="2"/>
  <c r="I592" i="2"/>
  <c r="G593" i="2"/>
  <c r="H593" i="2"/>
  <c r="I593" i="2"/>
  <c r="G594" i="2"/>
  <c r="H594" i="2"/>
  <c r="I594" i="2"/>
  <c r="G595" i="2"/>
  <c r="H595" i="2"/>
  <c r="I595" i="2"/>
  <c r="G596" i="2"/>
  <c r="H596" i="2"/>
  <c r="I596" i="2"/>
  <c r="G597" i="2"/>
  <c r="H597" i="2"/>
  <c r="I597" i="2"/>
  <c r="G598" i="2"/>
  <c r="H598" i="2"/>
  <c r="I598" i="2"/>
  <c r="G599" i="2"/>
  <c r="H599" i="2"/>
  <c r="I599" i="2"/>
  <c r="G600" i="2"/>
  <c r="H600" i="2"/>
  <c r="I600" i="2"/>
  <c r="G601" i="2"/>
  <c r="H601" i="2"/>
  <c r="I601" i="2"/>
  <c r="G602" i="2"/>
  <c r="H602" i="2"/>
  <c r="I602" i="2"/>
  <c r="G603" i="2"/>
  <c r="H603" i="2"/>
  <c r="I603" i="2"/>
  <c r="G604" i="2"/>
  <c r="H604" i="2"/>
  <c r="I604" i="2"/>
  <c r="G605" i="2"/>
  <c r="H605" i="2"/>
  <c r="I605" i="2"/>
  <c r="G606" i="2"/>
  <c r="H606" i="2"/>
  <c r="I606" i="2"/>
  <c r="G607" i="2"/>
  <c r="H607" i="2"/>
  <c r="I607" i="2"/>
  <c r="G608" i="2"/>
  <c r="H608" i="2"/>
  <c r="I608" i="2"/>
  <c r="G609" i="2"/>
  <c r="H609" i="2"/>
  <c r="I609" i="2"/>
  <c r="G610" i="2"/>
  <c r="H610" i="2"/>
  <c r="I610" i="2"/>
  <c r="G611" i="2"/>
  <c r="H611" i="2"/>
  <c r="I611" i="2"/>
  <c r="G612" i="2"/>
  <c r="H612" i="2"/>
  <c r="I612" i="2"/>
  <c r="G613" i="2"/>
  <c r="H613" i="2"/>
  <c r="I613" i="2"/>
  <c r="G614" i="2"/>
  <c r="H614" i="2"/>
  <c r="I614" i="2"/>
  <c r="G615" i="2"/>
  <c r="H615" i="2"/>
  <c r="I615" i="2"/>
  <c r="G616" i="2"/>
  <c r="H616" i="2"/>
  <c r="I616" i="2"/>
  <c r="G617" i="2"/>
  <c r="H617" i="2"/>
  <c r="I617" i="2"/>
  <c r="G618" i="2"/>
  <c r="H618" i="2"/>
  <c r="I618" i="2"/>
  <c r="G619" i="2"/>
  <c r="H619" i="2"/>
  <c r="I619" i="2"/>
  <c r="G620" i="2"/>
  <c r="H620" i="2"/>
  <c r="I620" i="2"/>
  <c r="G621" i="2"/>
  <c r="H621" i="2"/>
  <c r="I621" i="2"/>
  <c r="G622" i="2"/>
  <c r="H622" i="2"/>
  <c r="I622" i="2"/>
  <c r="G623" i="2"/>
  <c r="H623" i="2"/>
  <c r="I623" i="2"/>
  <c r="G624" i="2"/>
  <c r="H624" i="2"/>
  <c r="I624" i="2"/>
  <c r="G625" i="2"/>
  <c r="H625" i="2"/>
  <c r="I625" i="2"/>
  <c r="G626" i="2"/>
  <c r="H626" i="2"/>
  <c r="I626" i="2"/>
  <c r="G627" i="2"/>
  <c r="H627" i="2"/>
  <c r="I627" i="2"/>
  <c r="G628" i="2"/>
  <c r="H628" i="2"/>
  <c r="I628" i="2"/>
  <c r="G629" i="2"/>
  <c r="H629" i="2"/>
  <c r="I629" i="2"/>
  <c r="G630" i="2"/>
  <c r="H630" i="2"/>
  <c r="I630" i="2"/>
  <c r="G631" i="2"/>
  <c r="H631" i="2"/>
  <c r="I631" i="2"/>
  <c r="G632" i="2"/>
  <c r="H632" i="2"/>
  <c r="I632" i="2"/>
  <c r="G633" i="2"/>
  <c r="H633" i="2"/>
  <c r="I633" i="2"/>
  <c r="G634" i="2"/>
  <c r="H634" i="2"/>
  <c r="I634" i="2"/>
  <c r="G635" i="2"/>
  <c r="H635" i="2"/>
  <c r="I635" i="2"/>
  <c r="G636" i="2"/>
  <c r="H636" i="2"/>
  <c r="I636" i="2"/>
  <c r="G637" i="2"/>
  <c r="H637" i="2"/>
  <c r="I637" i="2"/>
  <c r="G638" i="2"/>
  <c r="H638" i="2"/>
  <c r="I638" i="2"/>
  <c r="G639" i="2"/>
  <c r="H639" i="2"/>
  <c r="I639" i="2"/>
  <c r="G640" i="2"/>
  <c r="H640" i="2"/>
  <c r="I640" i="2"/>
  <c r="G641" i="2"/>
  <c r="H641" i="2"/>
  <c r="I641" i="2"/>
  <c r="G642" i="2"/>
  <c r="H642" i="2"/>
  <c r="I642" i="2"/>
  <c r="G643" i="2"/>
  <c r="H643" i="2"/>
  <c r="I643" i="2"/>
  <c r="G644" i="2"/>
  <c r="H644" i="2"/>
  <c r="I644" i="2"/>
  <c r="G645" i="2"/>
  <c r="H645" i="2"/>
  <c r="I645" i="2"/>
  <c r="G646" i="2"/>
  <c r="H646" i="2"/>
  <c r="I646" i="2"/>
  <c r="G647" i="2"/>
  <c r="H647" i="2"/>
  <c r="I647" i="2"/>
  <c r="G648" i="2"/>
  <c r="H648" i="2"/>
  <c r="I648" i="2"/>
  <c r="G649" i="2"/>
  <c r="H649" i="2"/>
  <c r="I649" i="2"/>
  <c r="G650" i="2"/>
  <c r="H650" i="2"/>
  <c r="I650" i="2"/>
  <c r="G651" i="2"/>
  <c r="H651" i="2"/>
  <c r="I651" i="2"/>
  <c r="G652" i="2"/>
  <c r="H652" i="2"/>
  <c r="I652" i="2"/>
  <c r="G653" i="2"/>
  <c r="H653" i="2"/>
  <c r="I653" i="2"/>
  <c r="G654" i="2"/>
  <c r="H654" i="2"/>
  <c r="I654" i="2"/>
  <c r="G655" i="2"/>
  <c r="H655" i="2"/>
  <c r="I655" i="2"/>
  <c r="G656" i="2"/>
  <c r="H656" i="2"/>
  <c r="I656" i="2"/>
  <c r="G657" i="2"/>
  <c r="H657" i="2"/>
  <c r="I657" i="2"/>
  <c r="G658" i="2"/>
  <c r="H658" i="2"/>
  <c r="I658" i="2"/>
  <c r="G659" i="2"/>
  <c r="H659" i="2"/>
  <c r="I659" i="2"/>
  <c r="G660" i="2"/>
  <c r="H660" i="2"/>
  <c r="I660" i="2"/>
  <c r="G661" i="2"/>
  <c r="H661" i="2"/>
  <c r="I661" i="2"/>
  <c r="G662" i="2"/>
  <c r="H662" i="2"/>
  <c r="I662" i="2"/>
  <c r="G663" i="2"/>
  <c r="H663" i="2"/>
  <c r="I663" i="2"/>
  <c r="G664" i="2"/>
  <c r="H664" i="2"/>
  <c r="I664" i="2"/>
  <c r="G665" i="2"/>
  <c r="H665" i="2"/>
  <c r="I665" i="2"/>
  <c r="G666" i="2"/>
  <c r="H666" i="2"/>
  <c r="I666" i="2"/>
  <c r="G667" i="2"/>
  <c r="H667" i="2"/>
  <c r="I667" i="2"/>
  <c r="G668" i="2"/>
  <c r="H668" i="2"/>
  <c r="I668" i="2"/>
  <c r="G669" i="2"/>
  <c r="H669" i="2"/>
  <c r="I669" i="2"/>
  <c r="G670" i="2"/>
  <c r="H670" i="2"/>
  <c r="I670" i="2"/>
  <c r="G671" i="2"/>
  <c r="H671" i="2"/>
  <c r="I671" i="2"/>
  <c r="G672" i="2"/>
  <c r="H672" i="2"/>
  <c r="I672" i="2"/>
  <c r="G673" i="2"/>
  <c r="H673" i="2"/>
  <c r="I673" i="2"/>
  <c r="G674" i="2"/>
  <c r="H674" i="2"/>
  <c r="I674" i="2"/>
  <c r="G675" i="2"/>
  <c r="H675" i="2"/>
  <c r="I675" i="2"/>
  <c r="G676" i="2"/>
  <c r="H676" i="2"/>
  <c r="I676" i="2"/>
  <c r="G677" i="2"/>
  <c r="H677" i="2"/>
  <c r="I677" i="2"/>
  <c r="G678" i="2"/>
  <c r="H678" i="2"/>
  <c r="I678" i="2"/>
  <c r="G679" i="2"/>
  <c r="H679" i="2"/>
  <c r="I679" i="2"/>
  <c r="G680" i="2"/>
  <c r="H680" i="2"/>
  <c r="I680" i="2"/>
  <c r="G681" i="2"/>
  <c r="H681" i="2"/>
  <c r="I681" i="2"/>
  <c r="G682" i="2"/>
  <c r="H682" i="2"/>
  <c r="I682" i="2"/>
  <c r="G683" i="2"/>
  <c r="H683" i="2"/>
  <c r="I683" i="2"/>
  <c r="G684" i="2"/>
  <c r="H684" i="2"/>
  <c r="I684" i="2"/>
  <c r="G685" i="2"/>
  <c r="H685" i="2"/>
  <c r="I685" i="2"/>
  <c r="G686" i="2"/>
  <c r="H686" i="2"/>
  <c r="I686" i="2"/>
  <c r="G687" i="2"/>
  <c r="H687" i="2"/>
  <c r="I687" i="2"/>
  <c r="G688" i="2"/>
  <c r="H688" i="2"/>
  <c r="I688" i="2"/>
  <c r="G689" i="2"/>
  <c r="H689" i="2"/>
  <c r="I689" i="2"/>
  <c r="G690" i="2"/>
  <c r="H690" i="2"/>
  <c r="I690" i="2"/>
  <c r="G691" i="2"/>
  <c r="H691" i="2"/>
  <c r="I691" i="2"/>
  <c r="G692" i="2"/>
  <c r="H692" i="2"/>
  <c r="I692" i="2"/>
  <c r="G693" i="2"/>
  <c r="H693" i="2"/>
  <c r="I693" i="2"/>
  <c r="G694" i="2"/>
  <c r="H694" i="2"/>
  <c r="I694" i="2"/>
  <c r="G695" i="2"/>
  <c r="H695" i="2"/>
  <c r="I695" i="2"/>
  <c r="G696" i="2"/>
  <c r="H696" i="2"/>
  <c r="I696" i="2"/>
  <c r="G697" i="2"/>
  <c r="H697" i="2"/>
  <c r="I697" i="2"/>
  <c r="G698" i="2"/>
  <c r="H698" i="2"/>
  <c r="I698" i="2"/>
  <c r="G699" i="2"/>
  <c r="H699" i="2"/>
  <c r="I699" i="2"/>
  <c r="G700" i="2"/>
  <c r="H700" i="2"/>
  <c r="I700" i="2"/>
  <c r="G701" i="2"/>
  <c r="H701" i="2"/>
  <c r="I701" i="2"/>
  <c r="G702" i="2"/>
  <c r="H702" i="2"/>
  <c r="I702" i="2"/>
  <c r="G703" i="2"/>
  <c r="H703" i="2"/>
  <c r="I703" i="2"/>
  <c r="G704" i="2"/>
  <c r="H704" i="2"/>
  <c r="I704" i="2"/>
  <c r="G705" i="2"/>
  <c r="H705" i="2"/>
  <c r="I705" i="2"/>
  <c r="G706" i="2"/>
  <c r="H706" i="2"/>
  <c r="I706" i="2"/>
  <c r="G707" i="2"/>
  <c r="H707" i="2"/>
  <c r="I707" i="2"/>
  <c r="G708" i="2"/>
  <c r="H708" i="2"/>
  <c r="I708" i="2"/>
  <c r="G709" i="2"/>
  <c r="H709" i="2"/>
  <c r="I709" i="2"/>
  <c r="G710" i="2"/>
  <c r="H710" i="2"/>
  <c r="I710" i="2"/>
  <c r="G711" i="2"/>
  <c r="H711" i="2"/>
  <c r="I711" i="2"/>
  <c r="G712" i="2"/>
  <c r="H712" i="2"/>
  <c r="I712" i="2"/>
  <c r="G713" i="2"/>
  <c r="H713" i="2"/>
  <c r="I713" i="2"/>
  <c r="G714" i="2"/>
  <c r="H714" i="2"/>
  <c r="I714" i="2"/>
  <c r="G715" i="2"/>
  <c r="H715" i="2"/>
  <c r="I715" i="2"/>
  <c r="G716" i="2"/>
  <c r="H716" i="2"/>
  <c r="I716" i="2"/>
  <c r="G717" i="2"/>
  <c r="H717" i="2"/>
  <c r="I717" i="2"/>
  <c r="G718" i="2"/>
  <c r="H718" i="2"/>
  <c r="I718" i="2"/>
  <c r="G719" i="2"/>
  <c r="H719" i="2"/>
  <c r="I719" i="2"/>
  <c r="G720" i="2"/>
  <c r="H720" i="2"/>
  <c r="I720" i="2"/>
  <c r="G721" i="2"/>
  <c r="H721" i="2"/>
  <c r="I721" i="2"/>
  <c r="G722" i="2"/>
  <c r="H722" i="2"/>
  <c r="I722" i="2"/>
  <c r="G723" i="2"/>
  <c r="H723" i="2"/>
  <c r="I723" i="2"/>
  <c r="G724" i="2"/>
  <c r="H724" i="2"/>
  <c r="I724" i="2"/>
  <c r="G725" i="2"/>
  <c r="H725" i="2"/>
  <c r="I725" i="2"/>
  <c r="G726" i="2"/>
  <c r="H726" i="2"/>
  <c r="I726" i="2"/>
  <c r="G727" i="2"/>
  <c r="H727" i="2"/>
  <c r="I727" i="2"/>
  <c r="G728" i="2"/>
  <c r="H728" i="2"/>
  <c r="I728" i="2"/>
  <c r="G729" i="2"/>
  <c r="H729" i="2"/>
  <c r="I729" i="2"/>
  <c r="G730" i="2"/>
  <c r="H730" i="2"/>
  <c r="I730" i="2"/>
  <c r="G731" i="2"/>
  <c r="H731" i="2"/>
  <c r="I731" i="2"/>
  <c r="G732" i="2"/>
  <c r="H732" i="2"/>
  <c r="I732" i="2"/>
  <c r="G733" i="2"/>
  <c r="H733" i="2"/>
  <c r="I733" i="2"/>
  <c r="G734" i="2"/>
  <c r="H734" i="2"/>
  <c r="I734" i="2"/>
  <c r="G735" i="2"/>
  <c r="H735" i="2"/>
  <c r="I735" i="2"/>
  <c r="G736" i="2"/>
  <c r="H736" i="2"/>
  <c r="I736" i="2"/>
  <c r="G737" i="2"/>
  <c r="H737" i="2"/>
  <c r="I737" i="2"/>
  <c r="G738" i="2"/>
  <c r="H738" i="2"/>
  <c r="I738" i="2"/>
  <c r="G739" i="2"/>
  <c r="H739" i="2"/>
  <c r="I739" i="2"/>
  <c r="G740" i="2"/>
  <c r="H740" i="2"/>
  <c r="I740" i="2"/>
  <c r="G741" i="2"/>
  <c r="H741" i="2"/>
  <c r="I741" i="2"/>
  <c r="G742" i="2"/>
  <c r="H742" i="2"/>
  <c r="I742" i="2"/>
  <c r="G743" i="2"/>
  <c r="H743" i="2"/>
  <c r="I743" i="2"/>
  <c r="G744" i="2"/>
  <c r="H744" i="2"/>
  <c r="I744" i="2"/>
  <c r="G745" i="2"/>
  <c r="H745" i="2"/>
  <c r="I745" i="2"/>
  <c r="G746" i="2"/>
  <c r="H746" i="2"/>
  <c r="I746" i="2"/>
  <c r="G747" i="2"/>
  <c r="H747" i="2"/>
  <c r="I747" i="2"/>
  <c r="G748" i="2"/>
  <c r="H748" i="2"/>
  <c r="I748" i="2"/>
  <c r="G749" i="2"/>
  <c r="H749" i="2"/>
  <c r="I749" i="2"/>
  <c r="G750" i="2"/>
  <c r="H750" i="2"/>
  <c r="I750" i="2"/>
  <c r="G751" i="2"/>
  <c r="H751" i="2"/>
  <c r="I751" i="2"/>
  <c r="G752" i="2"/>
  <c r="H752" i="2"/>
  <c r="I752" i="2"/>
  <c r="G753" i="2"/>
  <c r="H753" i="2"/>
  <c r="I753" i="2"/>
  <c r="G754" i="2"/>
  <c r="H754" i="2"/>
  <c r="I754" i="2"/>
  <c r="G755" i="2"/>
  <c r="H755" i="2"/>
  <c r="I755" i="2"/>
  <c r="G756" i="2"/>
  <c r="H756" i="2"/>
  <c r="I756" i="2"/>
  <c r="G757" i="2"/>
  <c r="H757" i="2"/>
  <c r="I757" i="2"/>
  <c r="G758" i="2"/>
  <c r="H758" i="2"/>
  <c r="I758" i="2"/>
  <c r="G759" i="2"/>
  <c r="H759" i="2"/>
  <c r="I759" i="2"/>
  <c r="G760" i="2"/>
  <c r="H760" i="2"/>
  <c r="I760" i="2"/>
  <c r="G761" i="2"/>
  <c r="H761" i="2"/>
  <c r="I761" i="2"/>
  <c r="G762" i="2"/>
  <c r="H762" i="2"/>
  <c r="I762" i="2"/>
  <c r="G763" i="2"/>
  <c r="H763" i="2"/>
  <c r="I763" i="2"/>
  <c r="G764" i="2"/>
  <c r="H764" i="2"/>
  <c r="I764" i="2"/>
  <c r="G765" i="2"/>
  <c r="H765" i="2"/>
  <c r="I765" i="2"/>
  <c r="G766" i="2"/>
  <c r="H766" i="2"/>
  <c r="I766" i="2"/>
  <c r="G767" i="2"/>
  <c r="H767" i="2"/>
  <c r="I767" i="2"/>
  <c r="G768" i="2"/>
  <c r="H768" i="2"/>
  <c r="I768" i="2"/>
  <c r="G769" i="2"/>
  <c r="H769" i="2"/>
  <c r="I769" i="2"/>
  <c r="G770" i="2"/>
  <c r="H770" i="2"/>
  <c r="I770" i="2"/>
  <c r="G771" i="2"/>
  <c r="H771" i="2"/>
  <c r="I771" i="2"/>
  <c r="G772" i="2"/>
  <c r="H772" i="2"/>
  <c r="I772" i="2"/>
  <c r="G773" i="2"/>
  <c r="H773" i="2"/>
  <c r="I773" i="2"/>
  <c r="G774" i="2"/>
  <c r="H774" i="2"/>
  <c r="I774" i="2"/>
  <c r="G775" i="2"/>
  <c r="H775" i="2"/>
  <c r="I775" i="2"/>
  <c r="G776" i="2"/>
  <c r="H776" i="2"/>
  <c r="I776" i="2"/>
  <c r="G777" i="2"/>
  <c r="H777" i="2"/>
  <c r="I777" i="2"/>
  <c r="G778" i="2"/>
  <c r="H778" i="2"/>
  <c r="I778" i="2"/>
  <c r="G779" i="2"/>
  <c r="H779" i="2"/>
  <c r="I779" i="2"/>
  <c r="G780" i="2"/>
  <c r="H780" i="2"/>
  <c r="I780" i="2"/>
  <c r="G781" i="2"/>
  <c r="H781" i="2"/>
  <c r="I781" i="2"/>
  <c r="G782" i="2"/>
  <c r="H782" i="2"/>
  <c r="I782" i="2"/>
  <c r="G783" i="2"/>
  <c r="H783" i="2"/>
  <c r="I783" i="2"/>
  <c r="G784" i="2"/>
  <c r="H784" i="2"/>
  <c r="I784" i="2"/>
  <c r="G785" i="2"/>
  <c r="H785" i="2"/>
  <c r="I785" i="2"/>
  <c r="G786" i="2"/>
  <c r="H786" i="2"/>
  <c r="I786" i="2"/>
  <c r="G787" i="2"/>
  <c r="H787" i="2"/>
  <c r="I787" i="2"/>
  <c r="G788" i="2"/>
  <c r="H788" i="2"/>
  <c r="I788" i="2"/>
  <c r="G789" i="2"/>
  <c r="H789" i="2"/>
  <c r="I789" i="2"/>
  <c r="G790" i="2"/>
  <c r="H790" i="2"/>
  <c r="I790" i="2"/>
  <c r="G791" i="2"/>
  <c r="H791" i="2"/>
  <c r="I791" i="2"/>
  <c r="G792" i="2"/>
  <c r="H792" i="2"/>
  <c r="I792" i="2"/>
  <c r="G793" i="2"/>
  <c r="H793" i="2"/>
  <c r="I793" i="2"/>
  <c r="G794" i="2"/>
  <c r="H794" i="2"/>
  <c r="I794" i="2"/>
  <c r="G795" i="2"/>
  <c r="H795" i="2"/>
  <c r="I795" i="2"/>
  <c r="G796" i="2"/>
  <c r="H796" i="2"/>
  <c r="I796" i="2"/>
  <c r="G797" i="2"/>
  <c r="H797" i="2"/>
  <c r="I797" i="2"/>
  <c r="G798" i="2"/>
  <c r="H798" i="2"/>
  <c r="I798" i="2"/>
  <c r="G799" i="2"/>
  <c r="H799" i="2"/>
  <c r="I799" i="2"/>
  <c r="G800" i="2"/>
  <c r="H800" i="2"/>
  <c r="I800" i="2"/>
  <c r="G801" i="2"/>
  <c r="H801" i="2"/>
  <c r="I801" i="2"/>
  <c r="G802" i="2"/>
  <c r="H802" i="2"/>
  <c r="I802" i="2"/>
  <c r="G803" i="2"/>
  <c r="H803" i="2"/>
  <c r="I803" i="2"/>
  <c r="G804" i="2"/>
  <c r="H804" i="2"/>
  <c r="I804" i="2"/>
  <c r="G805" i="2"/>
  <c r="H805" i="2"/>
  <c r="I805" i="2"/>
  <c r="G806" i="2"/>
  <c r="H806" i="2"/>
  <c r="I806" i="2"/>
  <c r="G807" i="2"/>
  <c r="H807" i="2"/>
  <c r="I807" i="2"/>
  <c r="G808" i="2"/>
  <c r="H808" i="2"/>
  <c r="I808" i="2"/>
  <c r="G809" i="2"/>
  <c r="H809" i="2"/>
  <c r="I809" i="2"/>
  <c r="G810" i="2"/>
  <c r="H810" i="2"/>
  <c r="I810" i="2"/>
  <c r="G811" i="2"/>
  <c r="H811" i="2"/>
  <c r="I811" i="2"/>
  <c r="G812" i="2"/>
  <c r="H812" i="2"/>
  <c r="I812" i="2"/>
  <c r="G813" i="2"/>
  <c r="H813" i="2"/>
  <c r="I813" i="2"/>
  <c r="G814" i="2"/>
  <c r="H814" i="2"/>
  <c r="I814" i="2"/>
  <c r="G815" i="2"/>
  <c r="H815" i="2"/>
  <c r="I815" i="2"/>
  <c r="G816" i="2"/>
  <c r="H816" i="2"/>
  <c r="I816" i="2"/>
  <c r="G817" i="2"/>
  <c r="H817" i="2"/>
  <c r="I817" i="2"/>
  <c r="G818" i="2"/>
  <c r="H818" i="2"/>
  <c r="I818" i="2"/>
  <c r="G819" i="2"/>
  <c r="H819" i="2"/>
  <c r="I819" i="2"/>
  <c r="G820" i="2"/>
  <c r="H820" i="2"/>
  <c r="I820" i="2"/>
  <c r="G821" i="2"/>
  <c r="H821" i="2"/>
  <c r="I821" i="2"/>
  <c r="G822" i="2"/>
  <c r="H822" i="2"/>
  <c r="I822" i="2"/>
  <c r="G823" i="2"/>
  <c r="H823" i="2"/>
  <c r="I823" i="2"/>
  <c r="G824" i="2"/>
  <c r="H824" i="2"/>
  <c r="I824" i="2"/>
  <c r="G825" i="2"/>
  <c r="H825" i="2"/>
  <c r="I825" i="2"/>
  <c r="G826" i="2"/>
  <c r="H826" i="2"/>
  <c r="I826" i="2"/>
  <c r="G827" i="2"/>
  <c r="H827" i="2"/>
  <c r="I827" i="2"/>
  <c r="G828" i="2"/>
  <c r="H828" i="2"/>
  <c r="I828" i="2"/>
  <c r="G829" i="2"/>
  <c r="H829" i="2"/>
  <c r="I829" i="2"/>
  <c r="G830" i="2"/>
  <c r="H830" i="2"/>
  <c r="I830" i="2"/>
  <c r="G831" i="2"/>
  <c r="H831" i="2"/>
  <c r="I831" i="2"/>
  <c r="G832" i="2"/>
  <c r="H832" i="2"/>
  <c r="I832" i="2"/>
  <c r="G833" i="2"/>
  <c r="H833" i="2"/>
  <c r="I833" i="2"/>
  <c r="G834" i="2"/>
  <c r="H834" i="2"/>
  <c r="I834" i="2"/>
  <c r="G835" i="2"/>
  <c r="H835" i="2"/>
  <c r="I835" i="2"/>
  <c r="G836" i="2"/>
  <c r="H836" i="2"/>
  <c r="I836" i="2"/>
  <c r="G837" i="2"/>
  <c r="H837" i="2"/>
  <c r="I837" i="2"/>
  <c r="G838" i="2"/>
  <c r="H838" i="2"/>
  <c r="I838" i="2"/>
  <c r="G839" i="2"/>
  <c r="H839" i="2"/>
  <c r="I839" i="2"/>
  <c r="G840" i="2"/>
  <c r="H840" i="2"/>
  <c r="I840" i="2"/>
  <c r="G841" i="2"/>
  <c r="H841" i="2"/>
  <c r="I841" i="2"/>
  <c r="G842" i="2"/>
  <c r="H842" i="2"/>
  <c r="I842" i="2"/>
  <c r="G843" i="2"/>
  <c r="H843" i="2"/>
  <c r="I843" i="2"/>
  <c r="G844" i="2"/>
  <c r="H844" i="2"/>
  <c r="I844" i="2"/>
  <c r="G845" i="2"/>
  <c r="H845" i="2"/>
  <c r="I845" i="2"/>
  <c r="G846" i="2"/>
  <c r="H846" i="2"/>
  <c r="I846" i="2"/>
  <c r="G847" i="2"/>
  <c r="H847" i="2"/>
  <c r="I847" i="2"/>
  <c r="G848" i="2"/>
  <c r="H848" i="2"/>
  <c r="I848" i="2"/>
  <c r="G849" i="2"/>
  <c r="H849" i="2"/>
  <c r="I849" i="2"/>
  <c r="G850" i="2"/>
  <c r="H850" i="2"/>
  <c r="I850" i="2"/>
  <c r="G851" i="2"/>
  <c r="H851" i="2"/>
  <c r="I851" i="2"/>
  <c r="G852" i="2"/>
  <c r="H852" i="2"/>
  <c r="I852" i="2"/>
  <c r="G853" i="2"/>
  <c r="H853" i="2"/>
  <c r="I853" i="2"/>
  <c r="G854" i="2"/>
  <c r="H854" i="2"/>
  <c r="I854" i="2"/>
  <c r="G855" i="2"/>
  <c r="H855" i="2"/>
  <c r="I855" i="2"/>
  <c r="G856" i="2"/>
  <c r="H856" i="2"/>
  <c r="I856" i="2"/>
  <c r="G857" i="2"/>
  <c r="H857" i="2"/>
  <c r="I857" i="2"/>
  <c r="G858" i="2"/>
  <c r="H858" i="2"/>
  <c r="I858" i="2"/>
  <c r="G859" i="2"/>
  <c r="H859" i="2"/>
  <c r="I859" i="2"/>
  <c r="G860" i="2"/>
  <c r="H860" i="2"/>
  <c r="I860" i="2"/>
  <c r="G861" i="2"/>
  <c r="H861" i="2"/>
  <c r="I861" i="2"/>
  <c r="G862" i="2"/>
  <c r="H862" i="2"/>
  <c r="I862" i="2"/>
  <c r="G863" i="2"/>
  <c r="H863" i="2"/>
  <c r="I863" i="2"/>
  <c r="G864" i="2"/>
  <c r="H864" i="2"/>
  <c r="I864" i="2"/>
  <c r="G865" i="2"/>
  <c r="H865" i="2"/>
  <c r="I865" i="2"/>
  <c r="G866" i="2"/>
  <c r="H866" i="2"/>
  <c r="I866" i="2"/>
  <c r="G867" i="2"/>
  <c r="H867" i="2"/>
  <c r="I867" i="2"/>
  <c r="G868" i="2"/>
  <c r="H868" i="2"/>
  <c r="I868" i="2"/>
  <c r="G869" i="2"/>
  <c r="H869" i="2"/>
  <c r="I869" i="2"/>
  <c r="G870" i="2"/>
  <c r="H870" i="2"/>
  <c r="I870" i="2"/>
  <c r="G871" i="2"/>
  <c r="H871" i="2"/>
  <c r="I871" i="2"/>
  <c r="G872" i="2"/>
  <c r="H872" i="2"/>
  <c r="I872" i="2"/>
  <c r="G873" i="2"/>
  <c r="H873" i="2"/>
  <c r="I873" i="2"/>
  <c r="G874" i="2"/>
  <c r="H874" i="2"/>
  <c r="I874" i="2"/>
  <c r="G875" i="2"/>
  <c r="H875" i="2"/>
  <c r="I875" i="2"/>
  <c r="G876" i="2"/>
  <c r="H876" i="2"/>
  <c r="I876" i="2"/>
  <c r="G877" i="2"/>
  <c r="H877" i="2"/>
  <c r="I877" i="2"/>
  <c r="G878" i="2"/>
  <c r="H878" i="2"/>
  <c r="I878" i="2"/>
  <c r="G879" i="2"/>
  <c r="H879" i="2"/>
  <c r="I879" i="2"/>
  <c r="G880" i="2"/>
  <c r="H880" i="2"/>
  <c r="I880" i="2"/>
  <c r="G881" i="2"/>
  <c r="H881" i="2"/>
  <c r="I881" i="2"/>
  <c r="G882" i="2"/>
  <c r="H882" i="2"/>
  <c r="I882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8" i="2"/>
  <c r="I9" i="2"/>
  <c r="I10" i="2"/>
  <c r="I11" i="2"/>
  <c r="I12" i="2"/>
  <c r="I13" i="2"/>
  <c r="I14" i="2"/>
  <c r="I3" i="2"/>
  <c r="I4" i="2"/>
  <c r="I5" i="2"/>
  <c r="I6" i="2"/>
  <c r="I7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D19" i="1"/>
  <c r="E19" i="1"/>
  <c r="F19" i="1"/>
  <c r="G19" i="1"/>
  <c r="D32" i="1"/>
  <c r="E32" i="1"/>
  <c r="F32" i="1"/>
  <c r="G32" i="1"/>
  <c r="D44" i="1"/>
  <c r="E44" i="1"/>
  <c r="F44" i="1"/>
  <c r="G44" i="1"/>
  <c r="D56" i="1"/>
  <c r="E56" i="1"/>
  <c r="F56" i="1"/>
  <c r="G56" i="1"/>
  <c r="D68" i="1"/>
  <c r="E68" i="1"/>
  <c r="F68" i="1"/>
  <c r="G68" i="1"/>
  <c r="D80" i="1"/>
  <c r="E80" i="1"/>
  <c r="F80" i="1"/>
  <c r="G80" i="1"/>
  <c r="N3" i="5" l="1" a="1"/>
  <c r="N3" i="5" s="1"/>
  <c r="A88" i="10"/>
  <c r="AA87" i="10" a="1"/>
  <c r="AA87" i="10" s="1"/>
  <c r="AF87" i="10" s="1"/>
  <c r="Y87" i="10" a="1"/>
  <c r="Y87" i="10" s="1"/>
  <c r="AD87" i="10" s="1"/>
  <c r="W87" i="10" a="1"/>
  <c r="W87" i="10" s="1"/>
  <c r="AB87" i="10" s="1"/>
  <c r="AB86" i="10"/>
  <c r="AD86" i="10"/>
  <c r="AF86" i="10"/>
  <c r="Z87" i="10" a="1"/>
  <c r="Z87" i="10" s="1"/>
  <c r="AE87" i="10" s="1"/>
  <c r="A72" i="5"/>
  <c r="W71" i="5" a="1"/>
  <c r="W71" i="5" s="1"/>
  <c r="AB71" i="5" s="1"/>
  <c r="X71" i="5" a="1"/>
  <c r="X71" i="5" s="1"/>
  <c r="AC71" i="5" s="1"/>
  <c r="Y71" i="5" a="1"/>
  <c r="Y71" i="5" s="1"/>
  <c r="AD71" i="5" s="1"/>
  <c r="Z71" i="5" a="1"/>
  <c r="Z71" i="5" s="1"/>
  <c r="AE71" i="5" s="1"/>
  <c r="AA71" i="5" a="1"/>
  <c r="AA71" i="5" s="1"/>
  <c r="AF71" i="5" s="1"/>
  <c r="F55" i="5" a="1"/>
  <c r="F55" i="5" s="1"/>
  <c r="AA55" i="5" a="1"/>
  <c r="AA55" i="5" s="1"/>
  <c r="AF55" i="5" s="1"/>
  <c r="Y55" i="5" a="1"/>
  <c r="Y55" i="5" s="1"/>
  <c r="AD55" i="5" s="1"/>
  <c r="W55" i="5" a="1"/>
  <c r="W55" i="5" s="1"/>
  <c r="AB55" i="5" s="1"/>
  <c r="Z55" i="5" a="1"/>
  <c r="Z55" i="5" s="1"/>
  <c r="AE55" i="5" s="1"/>
  <c r="X55" i="5" a="1"/>
  <c r="X55" i="5" s="1"/>
  <c r="AC55" i="5" s="1"/>
  <c r="M3" i="5" a="1"/>
  <c r="M3" i="5" s="1"/>
  <c r="F71" i="5" a="1"/>
  <c r="F71" i="5" s="1"/>
  <c r="D71" i="5" a="1"/>
  <c r="D71" i="5" s="1"/>
  <c r="C71" i="5" a="1"/>
  <c r="C71" i="5" s="1"/>
  <c r="D55" i="5" a="1"/>
  <c r="D55" i="5" s="1"/>
  <c r="C55" i="5" a="1"/>
  <c r="C55" i="5" s="1"/>
  <c r="A72" i="10"/>
  <c r="W71" i="10" a="1"/>
  <c r="W71" i="10" s="1"/>
  <c r="AB71" i="10" s="1"/>
  <c r="X71" i="10" a="1"/>
  <c r="X71" i="10" s="1"/>
  <c r="AC71" i="10" s="1"/>
  <c r="Y71" i="10" a="1"/>
  <c r="Y71" i="10" s="1"/>
  <c r="AD71" i="10" s="1"/>
  <c r="AL71" i="10" s="1"/>
  <c r="Z71" i="10" a="1"/>
  <c r="Z71" i="10" s="1"/>
  <c r="AE71" i="10" s="1"/>
  <c r="AA71" i="10" a="1"/>
  <c r="AA71" i="10" s="1"/>
  <c r="AF71" i="10" s="1"/>
  <c r="X87" i="10" a="1"/>
  <c r="X87" i="10" s="1"/>
  <c r="AC87" i="10" s="1"/>
  <c r="AG70" i="10"/>
  <c r="AG71" i="10"/>
  <c r="AC70" i="10"/>
  <c r="AE70" i="10"/>
  <c r="AH86" i="10"/>
  <c r="AH87" i="10"/>
  <c r="AJ86" i="10"/>
  <c r="AJ87" i="10"/>
  <c r="AD70" i="10"/>
  <c r="AF70" i="10"/>
  <c r="AG71" i="5"/>
  <c r="AG70" i="5"/>
  <c r="AI71" i="5"/>
  <c r="AI70" i="5"/>
  <c r="AK71" i="5"/>
  <c r="AK70" i="5"/>
  <c r="AG54" i="5"/>
  <c r="AG55" i="5"/>
  <c r="AI54" i="5"/>
  <c r="AI55" i="5"/>
  <c r="AK54" i="5"/>
  <c r="AK55" i="5"/>
  <c r="AH71" i="5"/>
  <c r="AH70" i="5"/>
  <c r="AJ71" i="5"/>
  <c r="AJ70" i="5"/>
  <c r="AH55" i="5"/>
  <c r="AJ55" i="5"/>
  <c r="AM71" i="5"/>
  <c r="AL71" i="5"/>
  <c r="AM55" i="5"/>
  <c r="AL55" i="5"/>
  <c r="AM71" i="10"/>
  <c r="C71" i="10" a="1"/>
  <c r="C71" i="10" s="1"/>
  <c r="D71" i="10" a="1"/>
  <c r="D71" i="10" s="1"/>
  <c r="E71" i="10" a="1"/>
  <c r="E71" i="10" s="1"/>
  <c r="F71" i="10" a="1"/>
  <c r="F71" i="10" s="1"/>
  <c r="G71" i="10" a="1"/>
  <c r="G71" i="10" s="1"/>
  <c r="C72" i="10" a="1"/>
  <c r="C72" i="10" s="1"/>
  <c r="D72" i="10" a="1"/>
  <c r="D72" i="10" s="1"/>
  <c r="E72" i="10" a="1"/>
  <c r="E72" i="10" s="1"/>
  <c r="F72" i="10" a="1"/>
  <c r="F72" i="10" s="1"/>
  <c r="C87" i="10" a="1"/>
  <c r="C87" i="10" s="1"/>
  <c r="D87" i="10" a="1"/>
  <c r="D87" i="10" s="1"/>
  <c r="E87" i="10" a="1"/>
  <c r="E87" i="10" s="1"/>
  <c r="F87" i="10" a="1"/>
  <c r="F87" i="10" s="1"/>
  <c r="G87" i="10" a="1"/>
  <c r="G87" i="10" s="1"/>
  <c r="C88" i="10" a="1"/>
  <c r="C88" i="10" s="1"/>
  <c r="D88" i="10" a="1"/>
  <c r="D88" i="10" s="1"/>
  <c r="E88" i="10" a="1"/>
  <c r="E88" i="10" s="1"/>
  <c r="F88" i="10" a="1"/>
  <c r="F88" i="10" s="1"/>
  <c r="B44" i="10"/>
  <c r="A46" i="10"/>
  <c r="Q45" i="10" s="1" a="1"/>
  <c r="Q45" i="10" s="1"/>
  <c r="P45" i="10" a="1"/>
  <c r="P45" i="10" s="1"/>
  <c r="O45" i="10" a="1"/>
  <c r="O45" i="10" s="1"/>
  <c r="N45" i="10" a="1"/>
  <c r="N45" i="10" s="1"/>
  <c r="M45" i="10" a="1"/>
  <c r="M45" i="10" s="1"/>
  <c r="G45" i="10" a="1"/>
  <c r="G45" i="10" s="1"/>
  <c r="F45" i="10" a="1"/>
  <c r="F45" i="10" s="1"/>
  <c r="E45" i="10" a="1"/>
  <c r="E45" i="10" s="1"/>
  <c r="D45" i="10" a="1"/>
  <c r="D45" i="10" s="1"/>
  <c r="C45" i="10" a="1"/>
  <c r="C45" i="10" s="1"/>
  <c r="Q44" i="10" a="1"/>
  <c r="Q44" i="10" s="1"/>
  <c r="P44" i="10" a="1"/>
  <c r="P44" i="10" s="1"/>
  <c r="O44" i="10" a="1"/>
  <c r="O44" i="10" s="1"/>
  <c r="N44" i="10" a="1"/>
  <c r="N44" i="10" s="1"/>
  <c r="M44" i="10" a="1"/>
  <c r="M44" i="10" s="1"/>
  <c r="G44" i="10" a="1"/>
  <c r="G44" i="10" s="1"/>
  <c r="F44" i="10" a="1"/>
  <c r="F44" i="10" s="1"/>
  <c r="E44" i="10" a="1"/>
  <c r="E44" i="10" s="1"/>
  <c r="D44" i="10" a="1"/>
  <c r="D44" i="10" s="1"/>
  <c r="C44" i="10" a="1"/>
  <c r="C44" i="10" s="1"/>
  <c r="A110" i="10"/>
  <c r="G109" i="10" a="1"/>
  <c r="G109" i="10" s="1"/>
  <c r="F109" i="10" a="1"/>
  <c r="F109" i="10" s="1"/>
  <c r="E109" i="10" a="1"/>
  <c r="E109" i="10" s="1"/>
  <c r="D109" i="10" a="1"/>
  <c r="D109" i="10" s="1"/>
  <c r="C109" i="10" a="1"/>
  <c r="C109" i="10" s="1"/>
  <c r="C108" i="10" a="1"/>
  <c r="C108" i="10" s="1"/>
  <c r="D108" i="10" a="1"/>
  <c r="D108" i="10" s="1"/>
  <c r="E108" i="10" a="1"/>
  <c r="E108" i="10" s="1"/>
  <c r="F108" i="10" a="1"/>
  <c r="F108" i="10" s="1"/>
  <c r="G108" i="10" a="1"/>
  <c r="G108" i="10" s="1"/>
  <c r="C4" i="10" a="1"/>
  <c r="C4" i="10" s="1"/>
  <c r="D4" i="10" a="1"/>
  <c r="D4" i="10" s="1"/>
  <c r="E4" i="10" a="1"/>
  <c r="E4" i="10" s="1"/>
  <c r="F4" i="10" a="1"/>
  <c r="F4" i="10" s="1"/>
  <c r="G4" i="10" a="1"/>
  <c r="G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B4" i="10"/>
  <c r="K70" i="5"/>
  <c r="P70" i="5" s="1"/>
  <c r="K71" i="5"/>
  <c r="I71" i="5"/>
  <c r="H71" i="5"/>
  <c r="A73" i="10"/>
  <c r="H86" i="10"/>
  <c r="I86" i="10"/>
  <c r="J86" i="10"/>
  <c r="K86" i="10"/>
  <c r="L86" i="10"/>
  <c r="A89" i="10"/>
  <c r="K88" i="10"/>
  <c r="J88" i="10"/>
  <c r="I88" i="10"/>
  <c r="H88" i="10"/>
  <c r="H87" i="10"/>
  <c r="I87" i="10"/>
  <c r="J87" i="10"/>
  <c r="K87" i="10"/>
  <c r="L87" i="10"/>
  <c r="O70" i="5"/>
  <c r="Q70" i="5"/>
  <c r="P71" i="5"/>
  <c r="H70" i="5"/>
  <c r="I70" i="5"/>
  <c r="D3" i="5" a="1"/>
  <c r="D3" i="5" s="1"/>
  <c r="E3" i="5" a="1"/>
  <c r="E3" i="5" s="1"/>
  <c r="O3" i="5" a="1"/>
  <c r="O3" i="5" s="1"/>
  <c r="E72" i="5" a="1"/>
  <c r="E72" i="5" s="1"/>
  <c r="J72" i="5" s="1"/>
  <c r="E71" i="5" a="1"/>
  <c r="E71" i="5" s="1"/>
  <c r="J71" i="5" s="1"/>
  <c r="O71" i="5" s="1"/>
  <c r="G71" i="5" a="1"/>
  <c r="G71" i="5" s="1"/>
  <c r="L71" i="5" s="1"/>
  <c r="Q71" i="5" s="1"/>
  <c r="E55" i="5" a="1"/>
  <c r="E55" i="5" s="1"/>
  <c r="G55" i="5" a="1"/>
  <c r="G55" i="5" s="1"/>
  <c r="C3" i="5" a="1"/>
  <c r="C3" i="5" s="1"/>
  <c r="A73" i="5"/>
  <c r="A56" i="5"/>
  <c r="Q3" i="5" a="1"/>
  <c r="Q3" i="5" s="1"/>
  <c r="P3" i="5" a="1"/>
  <c r="P3" i="5" s="1"/>
  <c r="A5" i="5"/>
  <c r="G3" i="5" a="1"/>
  <c r="G3" i="5" s="1"/>
  <c r="F3" i="5" a="1"/>
  <c r="F3" i="5" s="1"/>
  <c r="G4" i="5" a="1"/>
  <c r="G4" i="5" s="1"/>
  <c r="B4" i="5" l="1"/>
  <c r="F4" i="5" a="1"/>
  <c r="F4" i="5" s="1"/>
  <c r="Z56" i="5" a="1"/>
  <c r="Z56" i="5" s="1"/>
  <c r="X56" i="5" a="1"/>
  <c r="X56" i="5" s="1"/>
  <c r="Y56" i="5" a="1"/>
  <c r="Y56" i="5" s="1"/>
  <c r="AA56" i="5" a="1"/>
  <c r="AA56" i="5" s="1"/>
  <c r="W56" i="5" a="1"/>
  <c r="W56" i="5" s="1"/>
  <c r="C56" i="5" a="1"/>
  <c r="C56" i="5" s="1"/>
  <c r="D56" i="5" a="1"/>
  <c r="D56" i="5" s="1"/>
  <c r="AK70" i="10"/>
  <c r="AK71" i="10"/>
  <c r="AJ70" i="10"/>
  <c r="AJ71" i="10"/>
  <c r="G72" i="5" a="1"/>
  <c r="G72" i="5" s="1"/>
  <c r="L72" i="5" s="1"/>
  <c r="W72" i="5" a="1"/>
  <c r="W72" i="5" s="1"/>
  <c r="X72" i="5" a="1"/>
  <c r="X72" i="5" s="1"/>
  <c r="Y72" i="5" a="1"/>
  <c r="Y72" i="5" s="1"/>
  <c r="Z72" i="5" a="1"/>
  <c r="Z72" i="5" s="1"/>
  <c r="AA72" i="5" a="1"/>
  <c r="AA72" i="5" s="1"/>
  <c r="C72" i="5" a="1"/>
  <c r="C72" i="5" s="1"/>
  <c r="H72" i="5" s="1"/>
  <c r="D72" i="5" a="1"/>
  <c r="D72" i="5" s="1"/>
  <c r="F72" i="5" a="1"/>
  <c r="F72" i="5" s="1"/>
  <c r="K72" i="5" s="1"/>
  <c r="AM87" i="10"/>
  <c r="AL87" i="10"/>
  <c r="N4" i="5" a="1"/>
  <c r="N4" i="5" s="1"/>
  <c r="W73" i="5" a="1"/>
  <c r="W73" i="5" s="1"/>
  <c r="AB73" i="5" s="1"/>
  <c r="X73" i="5" a="1"/>
  <c r="X73" i="5" s="1"/>
  <c r="AC73" i="5" s="1"/>
  <c r="Y73" i="5" a="1"/>
  <c r="Y73" i="5" s="1"/>
  <c r="AD73" i="5" s="1"/>
  <c r="Z73" i="5" a="1"/>
  <c r="Z73" i="5" s="1"/>
  <c r="AE73" i="5" s="1"/>
  <c r="AA73" i="5" a="1"/>
  <c r="AA73" i="5" s="1"/>
  <c r="AF73" i="5" s="1"/>
  <c r="C73" i="5" a="1"/>
  <c r="C73" i="5" s="1"/>
  <c r="H73" i="5" s="1"/>
  <c r="D73" i="5" a="1"/>
  <c r="D73" i="5" s="1"/>
  <c r="I73" i="5" s="1"/>
  <c r="F73" i="5" a="1"/>
  <c r="F73" i="5" s="1"/>
  <c r="K73" i="5" s="1"/>
  <c r="AA89" i="10" a="1"/>
  <c r="AA89" i="10" s="1"/>
  <c r="AF89" i="10" s="1"/>
  <c r="Y89" i="10" a="1"/>
  <c r="Y89" i="10" s="1"/>
  <c r="AD89" i="10" s="1"/>
  <c r="W89" i="10" a="1"/>
  <c r="W89" i="10" s="1"/>
  <c r="AB89" i="10" s="1"/>
  <c r="Z89" i="10" a="1"/>
  <c r="Z89" i="10" s="1"/>
  <c r="AE89" i="10" s="1"/>
  <c r="X89" i="10" a="1"/>
  <c r="X89" i="10" s="1"/>
  <c r="AC89" i="10" s="1"/>
  <c r="W73" i="10" a="1"/>
  <c r="W73" i="10" s="1"/>
  <c r="AB73" i="10" s="1"/>
  <c r="X73" i="10" a="1"/>
  <c r="X73" i="10" s="1"/>
  <c r="AC73" i="10" s="1"/>
  <c r="Y73" i="10" a="1"/>
  <c r="Y73" i="10" s="1"/>
  <c r="AD73" i="10" s="1"/>
  <c r="Z73" i="10" a="1"/>
  <c r="Z73" i="10" s="1"/>
  <c r="AE73" i="10" s="1"/>
  <c r="AA73" i="10" a="1"/>
  <c r="AA73" i="10" s="1"/>
  <c r="AF73" i="10" s="1"/>
  <c r="AI70" i="10"/>
  <c r="AI71" i="10"/>
  <c r="AH70" i="10"/>
  <c r="AH71" i="10"/>
  <c r="G72" i="10" a="1"/>
  <c r="G72" i="10" s="1"/>
  <c r="W72" i="10" a="1"/>
  <c r="W72" i="10" s="1"/>
  <c r="X72" i="10" a="1"/>
  <c r="X72" i="10" s="1"/>
  <c r="Y72" i="10" a="1"/>
  <c r="Y72" i="10" s="1"/>
  <c r="AD72" i="10" s="1"/>
  <c r="AI72" i="10" s="1"/>
  <c r="Z72" i="10" a="1"/>
  <c r="Z72" i="10" s="1"/>
  <c r="AA72" i="10" a="1"/>
  <c r="AA72" i="10" s="1"/>
  <c r="AF72" i="10" s="1"/>
  <c r="AK72" i="10" s="1"/>
  <c r="AK86" i="10"/>
  <c r="AK87" i="10"/>
  <c r="AI86" i="10"/>
  <c r="AI87" i="10"/>
  <c r="AG86" i="10"/>
  <c r="AG87" i="10"/>
  <c r="AM86" i="10"/>
  <c r="AL86" i="10"/>
  <c r="G88" i="10" a="1"/>
  <c r="G88" i="10" s="1"/>
  <c r="L88" i="10" s="1"/>
  <c r="Z88" i="10" a="1"/>
  <c r="Z88" i="10" s="1"/>
  <c r="X88" i="10" a="1"/>
  <c r="X88" i="10" s="1"/>
  <c r="AA88" i="10" a="1"/>
  <c r="AA88" i="10" s="1"/>
  <c r="W88" i="10" a="1"/>
  <c r="W88" i="10" s="1"/>
  <c r="Y88" i="10" a="1"/>
  <c r="Y88" i="10" s="1"/>
  <c r="M4" i="5" a="1"/>
  <c r="M4" i="5" s="1"/>
  <c r="AP71" i="5"/>
  <c r="AO71" i="5"/>
  <c r="AM70" i="5"/>
  <c r="AL70" i="5"/>
  <c r="AP55" i="5"/>
  <c r="AO55" i="5"/>
  <c r="AM54" i="5"/>
  <c r="AL54" i="5"/>
  <c r="AP71" i="10"/>
  <c r="AO71" i="10"/>
  <c r="AM70" i="10"/>
  <c r="AL70" i="10"/>
  <c r="C89" i="10" a="1"/>
  <c r="C89" i="10" s="1"/>
  <c r="D89" i="10" a="1"/>
  <c r="D89" i="10" s="1"/>
  <c r="E89" i="10" a="1"/>
  <c r="E89" i="10" s="1"/>
  <c r="F89" i="10" a="1"/>
  <c r="F89" i="10" s="1"/>
  <c r="G89" i="10" a="1"/>
  <c r="G89" i="10" s="1"/>
  <c r="G73" i="10" a="1"/>
  <c r="G73" i="10" s="1"/>
  <c r="F73" i="10" a="1"/>
  <c r="F73" i="10" s="1"/>
  <c r="E73" i="10" a="1"/>
  <c r="E73" i="10" s="1"/>
  <c r="D73" i="10" a="1"/>
  <c r="D73" i="10" s="1"/>
  <c r="C73" i="10" a="1"/>
  <c r="C73" i="10" s="1"/>
  <c r="B45" i="10"/>
  <c r="A47" i="10"/>
  <c r="H44" i="10"/>
  <c r="I44" i="10"/>
  <c r="J44" i="10"/>
  <c r="K44" i="10"/>
  <c r="L44" i="10"/>
  <c r="H45" i="10"/>
  <c r="I45" i="10"/>
  <c r="J45" i="10"/>
  <c r="K45" i="10"/>
  <c r="L45" i="10"/>
  <c r="A111" i="10"/>
  <c r="G110" i="10" a="1"/>
  <c r="G110" i="10" s="1"/>
  <c r="F110" i="10" a="1"/>
  <c r="F110" i="10" s="1"/>
  <c r="E110" i="10" a="1"/>
  <c r="E110" i="10" s="1"/>
  <c r="D110" i="10" a="1"/>
  <c r="D110" i="10" s="1"/>
  <c r="C110" i="10" a="1"/>
  <c r="C110" i="10" s="1"/>
  <c r="P5" i="10" a="1"/>
  <c r="P5" i="10" s="1"/>
  <c r="O5" i="10" a="1"/>
  <c r="O5" i="10" s="1"/>
  <c r="N5" i="10" a="1"/>
  <c r="N5" i="10" s="1"/>
  <c r="M5" i="10" a="1"/>
  <c r="M5" i="10" s="1"/>
  <c r="G5" i="10" a="1"/>
  <c r="G5" i="10" s="1"/>
  <c r="F5" i="10" a="1"/>
  <c r="F5" i="10" s="1"/>
  <c r="E5" i="10" a="1"/>
  <c r="E5" i="10" s="1"/>
  <c r="D5" i="10" a="1"/>
  <c r="D5" i="10" s="1"/>
  <c r="C5" i="10" a="1"/>
  <c r="C5" i="10" s="1"/>
  <c r="Q5" i="10" a="1"/>
  <c r="Q5" i="10" s="1"/>
  <c r="S87" i="10"/>
  <c r="R87" i="10"/>
  <c r="S88" i="10"/>
  <c r="R88" i="10"/>
  <c r="A90" i="10"/>
  <c r="L89" i="10"/>
  <c r="K89" i="10"/>
  <c r="J89" i="10"/>
  <c r="I89" i="10"/>
  <c r="H89" i="10"/>
  <c r="Q89" i="10"/>
  <c r="Q88" i="10"/>
  <c r="Q87" i="10"/>
  <c r="Q86" i="10"/>
  <c r="P89" i="10"/>
  <c r="P88" i="10"/>
  <c r="P87" i="10"/>
  <c r="P86" i="10"/>
  <c r="O89" i="10"/>
  <c r="O88" i="10"/>
  <c r="O87" i="10"/>
  <c r="O86" i="10"/>
  <c r="N89" i="10"/>
  <c r="N88" i="10"/>
  <c r="N87" i="10"/>
  <c r="N86" i="10"/>
  <c r="M89" i="10"/>
  <c r="M88" i="10"/>
  <c r="M87" i="10"/>
  <c r="S86" i="10"/>
  <c r="R86" i="10"/>
  <c r="M86" i="10"/>
  <c r="A74" i="10"/>
  <c r="B5" i="10"/>
  <c r="N70" i="5"/>
  <c r="N71" i="5"/>
  <c r="S70" i="5"/>
  <c r="R70" i="5"/>
  <c r="M71" i="5"/>
  <c r="M72" i="5"/>
  <c r="M73" i="5"/>
  <c r="M70" i="5"/>
  <c r="R71" i="5"/>
  <c r="S71" i="5"/>
  <c r="Q72" i="5"/>
  <c r="O72" i="5"/>
  <c r="D4" i="5" a="1"/>
  <c r="D4" i="5" s="1"/>
  <c r="C4" i="5" a="1"/>
  <c r="C4" i="5" s="1"/>
  <c r="F56" i="5" a="1"/>
  <c r="F56" i="5" s="1"/>
  <c r="G56" i="5" a="1"/>
  <c r="G56" i="5" s="1"/>
  <c r="E56" i="5" a="1"/>
  <c r="E56" i="5" s="1"/>
  <c r="G73" i="5" a="1"/>
  <c r="G73" i="5" s="1"/>
  <c r="L73" i="5" s="1"/>
  <c r="E73" i="5" a="1"/>
  <c r="E73" i="5" s="1"/>
  <c r="J73" i="5" s="1"/>
  <c r="O4" i="5" a="1"/>
  <c r="O4" i="5" s="1"/>
  <c r="E4" i="5" a="1"/>
  <c r="E4" i="5" s="1"/>
  <c r="A74" i="5"/>
  <c r="A57" i="5"/>
  <c r="A6" i="5"/>
  <c r="N5" i="5" s="1" a="1"/>
  <c r="N5" i="5" s="1"/>
  <c r="G5" i="5" a="1"/>
  <c r="G5" i="5" s="1"/>
  <c r="P4" i="5" a="1"/>
  <c r="P4" i="5" s="1"/>
  <c r="Q4" i="5" a="1"/>
  <c r="Q4" i="5" s="1"/>
  <c r="AA57" i="5" l="1" a="1"/>
  <c r="AA57" i="5" s="1"/>
  <c r="AF57" i="5" s="1"/>
  <c r="Y57" i="5" a="1"/>
  <c r="Y57" i="5" s="1"/>
  <c r="AD57" i="5" s="1"/>
  <c r="W57" i="5" a="1"/>
  <c r="W57" i="5" s="1"/>
  <c r="AB57" i="5" s="1"/>
  <c r="X57" i="5" a="1"/>
  <c r="X57" i="5" s="1"/>
  <c r="AC57" i="5" s="1"/>
  <c r="Z57" i="5" a="1"/>
  <c r="Z57" i="5" s="1"/>
  <c r="AE57" i="5" s="1"/>
  <c r="C57" i="5" a="1"/>
  <c r="C57" i="5" s="1"/>
  <c r="D57" i="5" a="1"/>
  <c r="D57" i="5" s="1"/>
  <c r="AD88" i="10"/>
  <c r="AF88" i="10"/>
  <c r="AE88" i="10"/>
  <c r="AP86" i="10"/>
  <c r="AO86" i="10"/>
  <c r="AB72" i="10"/>
  <c r="AI73" i="10"/>
  <c r="AL73" i="10"/>
  <c r="AM73" i="10"/>
  <c r="AL73" i="5"/>
  <c r="AM73" i="5"/>
  <c r="AO87" i="10"/>
  <c r="AP87" i="10"/>
  <c r="P73" i="5"/>
  <c r="AE72" i="5"/>
  <c r="AC72" i="5"/>
  <c r="AK73" i="10"/>
  <c r="P72" i="5"/>
  <c r="AB56" i="5"/>
  <c r="AD56" i="5"/>
  <c r="AE56" i="5"/>
  <c r="B5" i="5"/>
  <c r="W74" i="5" a="1"/>
  <c r="W74" i="5" s="1"/>
  <c r="AB74" i="5" s="1"/>
  <c r="X74" i="5" a="1"/>
  <c r="X74" i="5" s="1"/>
  <c r="AC74" i="5" s="1"/>
  <c r="Y74" i="5" a="1"/>
  <c r="Y74" i="5" s="1"/>
  <c r="AD74" i="5" s="1"/>
  <c r="Z74" i="5" a="1"/>
  <c r="Z74" i="5" s="1"/>
  <c r="AE74" i="5" s="1"/>
  <c r="AA74" i="5" a="1"/>
  <c r="AA74" i="5" s="1"/>
  <c r="AF74" i="5" s="1"/>
  <c r="C74" i="5" a="1"/>
  <c r="C74" i="5" s="1"/>
  <c r="H74" i="5" s="1"/>
  <c r="D74" i="5" a="1"/>
  <c r="D74" i="5" s="1"/>
  <c r="I74" i="5" s="1"/>
  <c r="F74" i="5" a="1"/>
  <c r="F74" i="5" s="1"/>
  <c r="K74" i="5" s="1"/>
  <c r="W74" i="10" a="1"/>
  <c r="W74" i="10" s="1"/>
  <c r="AB74" i="10" s="1"/>
  <c r="Y74" i="10" a="1"/>
  <c r="Y74" i="10" s="1"/>
  <c r="AD74" i="10" s="1"/>
  <c r="AA74" i="10" a="1"/>
  <c r="AA74" i="10" s="1"/>
  <c r="AF74" i="10" s="1"/>
  <c r="X74" i="10" a="1"/>
  <c r="X74" i="10" s="1"/>
  <c r="AC74" i="10" s="1"/>
  <c r="Z74" i="10" a="1"/>
  <c r="Z74" i="10" s="1"/>
  <c r="AE74" i="10" s="1"/>
  <c r="Z90" i="10" a="1"/>
  <c r="Z90" i="10" s="1"/>
  <c r="AE90" i="10" s="1"/>
  <c r="X90" i="10" a="1"/>
  <c r="X90" i="10" s="1"/>
  <c r="AC90" i="10" s="1"/>
  <c r="AA90" i="10" a="1"/>
  <c r="AA90" i="10" s="1"/>
  <c r="AF90" i="10" s="1"/>
  <c r="Y90" i="10" a="1"/>
  <c r="Y90" i="10" s="1"/>
  <c r="AD90" i="10" s="1"/>
  <c r="W90" i="10" a="1"/>
  <c r="W90" i="10" s="1"/>
  <c r="AB90" i="10" s="1"/>
  <c r="AB88" i="10"/>
  <c r="AC88" i="10"/>
  <c r="AE72" i="10"/>
  <c r="AC72" i="10"/>
  <c r="AI74" i="10"/>
  <c r="AM89" i="10"/>
  <c r="AL89" i="10"/>
  <c r="I72" i="5"/>
  <c r="AF72" i="5"/>
  <c r="AD72" i="5"/>
  <c r="AB72" i="5"/>
  <c r="AK74" i="10"/>
  <c r="P74" i="5"/>
  <c r="AF56" i="5"/>
  <c r="AC56" i="5"/>
  <c r="M5" i="5" a="1"/>
  <c r="M5" i="5" s="1"/>
  <c r="AP70" i="5"/>
  <c r="AO70" i="5"/>
  <c r="AP54" i="5"/>
  <c r="AO54" i="5"/>
  <c r="AP70" i="10"/>
  <c r="AO70" i="10"/>
  <c r="G74" i="10" a="1"/>
  <c r="G74" i="10" s="1"/>
  <c r="F74" i="10" a="1"/>
  <c r="F74" i="10" s="1"/>
  <c r="E74" i="10" a="1"/>
  <c r="E74" i="10" s="1"/>
  <c r="D74" i="10" a="1"/>
  <c r="D74" i="10" s="1"/>
  <c r="C74" i="10" a="1"/>
  <c r="C74" i="10" s="1"/>
  <c r="C90" i="10" a="1"/>
  <c r="C90" i="10" s="1"/>
  <c r="D90" i="10" a="1"/>
  <c r="D90" i="10" s="1"/>
  <c r="E90" i="10" a="1"/>
  <c r="E90" i="10" s="1"/>
  <c r="F90" i="10" a="1"/>
  <c r="F90" i="10" s="1"/>
  <c r="G90" i="10" a="1"/>
  <c r="G90" i="10" s="1"/>
  <c r="B46" i="10"/>
  <c r="A48" i="10"/>
  <c r="Q47" i="10" a="1"/>
  <c r="Q47" i="10" s="1"/>
  <c r="P47" i="10" a="1"/>
  <c r="P47" i="10" s="1"/>
  <c r="O47" i="10" a="1"/>
  <c r="O47" i="10" s="1"/>
  <c r="N47" i="10" a="1"/>
  <c r="N47" i="10" s="1"/>
  <c r="M47" i="10" a="1"/>
  <c r="M47" i="10" s="1"/>
  <c r="G47" i="10" a="1"/>
  <c r="G47" i="10" s="1"/>
  <c r="F47" i="10" a="1"/>
  <c r="F47" i="10" s="1"/>
  <c r="E47" i="10" a="1"/>
  <c r="E47" i="10" s="1"/>
  <c r="D47" i="10" a="1"/>
  <c r="D47" i="10" s="1"/>
  <c r="C47" i="10" a="1"/>
  <c r="C47" i="10" s="1"/>
  <c r="Q46" i="10" a="1"/>
  <c r="Q46" i="10" s="1"/>
  <c r="P46" i="10" a="1"/>
  <c r="P46" i="10" s="1"/>
  <c r="O46" i="10" a="1"/>
  <c r="O46" i="10" s="1"/>
  <c r="N46" i="10" a="1"/>
  <c r="N46" i="10" s="1"/>
  <c r="M46" i="10" a="1"/>
  <c r="M46" i="10" s="1"/>
  <c r="G46" i="10" a="1"/>
  <c r="G46" i="10" s="1"/>
  <c r="F46" i="10" a="1"/>
  <c r="F46" i="10" s="1"/>
  <c r="E46" i="10" a="1"/>
  <c r="E46" i="10" s="1"/>
  <c r="D46" i="10" a="1"/>
  <c r="D46" i="10" s="1"/>
  <c r="C46" i="10" a="1"/>
  <c r="C46" i="10" s="1"/>
  <c r="A112" i="10"/>
  <c r="G111" i="10" a="1"/>
  <c r="G111" i="10" s="1"/>
  <c r="F111" i="10" a="1"/>
  <c r="F111" i="10" s="1"/>
  <c r="E111" i="10" a="1"/>
  <c r="E111" i="10" s="1"/>
  <c r="D111" i="10" a="1"/>
  <c r="D111" i="10" s="1"/>
  <c r="C111" i="10" a="1"/>
  <c r="C111" i="10" s="1"/>
  <c r="C6" i="10" a="1"/>
  <c r="C6" i="10" s="1"/>
  <c r="D6" i="10" a="1"/>
  <c r="D6" i="10" s="1"/>
  <c r="E6" i="10" a="1"/>
  <c r="E6" i="10" s="1"/>
  <c r="F6" i="10" a="1"/>
  <c r="F6" i="10" s="1"/>
  <c r="G6" i="10" a="1"/>
  <c r="G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B6" i="10"/>
  <c r="A75" i="10"/>
  <c r="V86" i="10"/>
  <c r="U86" i="10"/>
  <c r="S89" i="10"/>
  <c r="R89" i="10"/>
  <c r="A91" i="10"/>
  <c r="V88" i="10"/>
  <c r="U88" i="10"/>
  <c r="V87" i="10"/>
  <c r="U87" i="10"/>
  <c r="S73" i="5"/>
  <c r="R73" i="5"/>
  <c r="V71" i="5"/>
  <c r="U71" i="5"/>
  <c r="V70" i="5"/>
  <c r="U70" i="5"/>
  <c r="O73" i="5"/>
  <c r="Q73" i="5"/>
  <c r="D5" i="5" a="1"/>
  <c r="D5" i="5" s="1"/>
  <c r="C5" i="5" a="1"/>
  <c r="C5" i="5" s="1"/>
  <c r="F57" i="5" a="1"/>
  <c r="F57" i="5" s="1"/>
  <c r="G57" i="5" a="1"/>
  <c r="G57" i="5" s="1"/>
  <c r="E57" i="5" a="1"/>
  <c r="E57" i="5" s="1"/>
  <c r="G74" i="5" a="1"/>
  <c r="G74" i="5" s="1"/>
  <c r="L74" i="5" s="1"/>
  <c r="E74" i="5" a="1"/>
  <c r="E74" i="5" s="1"/>
  <c r="J74" i="5" s="1"/>
  <c r="E5" i="5" a="1"/>
  <c r="E5" i="5" s="1"/>
  <c r="O5" i="5" a="1"/>
  <c r="O5" i="5" s="1"/>
  <c r="A75" i="5"/>
  <c r="A58" i="5"/>
  <c r="A7" i="5"/>
  <c r="M6" i="5" s="1" a="1"/>
  <c r="M6" i="5" s="1"/>
  <c r="G6" i="5" a="1"/>
  <c r="G6" i="5" s="1"/>
  <c r="F5" i="5" a="1"/>
  <c r="F5" i="5" s="1"/>
  <c r="P5" i="5" a="1"/>
  <c r="P5" i="5" s="1"/>
  <c r="Q5" i="5" a="1"/>
  <c r="Q5" i="5" s="1"/>
  <c r="G2" i="2"/>
  <c r="H2" i="2"/>
  <c r="I2" i="2"/>
  <c r="Z58" i="5" l="1" a="1"/>
  <c r="Z58" i="5" s="1"/>
  <c r="X58" i="5" a="1"/>
  <c r="X58" i="5" s="1"/>
  <c r="AA58" i="5" a="1"/>
  <c r="AA58" i="5" s="1"/>
  <c r="W58" i="5" a="1"/>
  <c r="W58" i="5" s="1"/>
  <c r="Y58" i="5" a="1"/>
  <c r="Y58" i="5" s="1"/>
  <c r="C58" i="5" a="1"/>
  <c r="C58" i="5" s="1"/>
  <c r="D58" i="5" a="1"/>
  <c r="D58" i="5" s="1"/>
  <c r="AA91" i="10" a="1"/>
  <c r="AA91" i="10" s="1"/>
  <c r="AF91" i="10" s="1"/>
  <c r="Y91" i="10" a="1"/>
  <c r="Y91" i="10" s="1"/>
  <c r="AD91" i="10" s="1"/>
  <c r="W91" i="10" a="1"/>
  <c r="W91" i="10" s="1"/>
  <c r="Z91" i="10" a="1"/>
  <c r="Z91" i="10" s="1"/>
  <c r="AE91" i="10" s="1"/>
  <c r="X91" i="10" a="1"/>
  <c r="X91" i="10" s="1"/>
  <c r="AO89" i="10"/>
  <c r="AP89" i="10"/>
  <c r="AH72" i="10"/>
  <c r="AH74" i="10"/>
  <c r="AH73" i="10"/>
  <c r="AJ72" i="10"/>
  <c r="AJ74" i="10"/>
  <c r="AJ73" i="10"/>
  <c r="AH88" i="10"/>
  <c r="AH90" i="10"/>
  <c r="AH89" i="10"/>
  <c r="AM88" i="10"/>
  <c r="AL88" i="10"/>
  <c r="AG88" i="10"/>
  <c r="AG89" i="10"/>
  <c r="AG90" i="10"/>
  <c r="AL74" i="10"/>
  <c r="AM74" i="10"/>
  <c r="AL74" i="5"/>
  <c r="AM74" i="5"/>
  <c r="AH72" i="5"/>
  <c r="AH73" i="5"/>
  <c r="AH74" i="5"/>
  <c r="AJ72" i="5"/>
  <c r="AJ73" i="5"/>
  <c r="AJ74" i="5"/>
  <c r="AL57" i="5"/>
  <c r="AM57" i="5"/>
  <c r="B6" i="5"/>
  <c r="W75" i="5" a="1"/>
  <c r="W75" i="5" s="1"/>
  <c r="X75" i="5" a="1"/>
  <c r="X75" i="5" s="1"/>
  <c r="AC75" i="5" s="1"/>
  <c r="Y75" i="5" a="1"/>
  <c r="Y75" i="5" s="1"/>
  <c r="Z75" i="5" a="1"/>
  <c r="Z75" i="5" s="1"/>
  <c r="AE75" i="5" s="1"/>
  <c r="AA75" i="5" a="1"/>
  <c r="AA75" i="5" s="1"/>
  <c r="C75" i="5" a="1"/>
  <c r="C75" i="5" s="1"/>
  <c r="D75" i="5" a="1"/>
  <c r="D75" i="5" s="1"/>
  <c r="F75" i="5" a="1"/>
  <c r="F75" i="5" s="1"/>
  <c r="K75" i="5" s="1"/>
  <c r="X75" i="10" a="1"/>
  <c r="X75" i="10" s="1"/>
  <c r="Z75" i="10" a="1"/>
  <c r="Z75" i="10" s="1"/>
  <c r="W75" i="10" a="1"/>
  <c r="W75" i="10" s="1"/>
  <c r="AB75" i="10" s="1"/>
  <c r="Y75" i="10" a="1"/>
  <c r="Y75" i="10" s="1"/>
  <c r="AD75" i="10" s="1"/>
  <c r="AA75" i="10" a="1"/>
  <c r="AA75" i="10" s="1"/>
  <c r="AH57" i="5"/>
  <c r="AH56" i="5"/>
  <c r="AK56" i="5"/>
  <c r="AK57" i="5"/>
  <c r="AG72" i="5"/>
  <c r="AL72" i="5"/>
  <c r="AG73" i="5"/>
  <c r="AG74" i="5"/>
  <c r="AM72" i="5"/>
  <c r="AI74" i="5"/>
  <c r="AI73" i="5"/>
  <c r="AI72" i="5"/>
  <c r="AK74" i="5"/>
  <c r="AK73" i="5"/>
  <c r="AK72" i="5"/>
  <c r="N72" i="5"/>
  <c r="N74" i="5"/>
  <c r="R72" i="5"/>
  <c r="S72" i="5"/>
  <c r="N73" i="5"/>
  <c r="AM90" i="10"/>
  <c r="AL90" i="10"/>
  <c r="M74" i="5"/>
  <c r="N6" i="5" a="1"/>
  <c r="N6" i="5" s="1"/>
  <c r="AJ56" i="5"/>
  <c r="AJ57" i="5"/>
  <c r="AI56" i="5"/>
  <c r="AI57" i="5"/>
  <c r="AG56" i="5"/>
  <c r="AG57" i="5"/>
  <c r="AL56" i="5"/>
  <c r="AM56" i="5"/>
  <c r="AP73" i="5"/>
  <c r="AO73" i="5"/>
  <c r="AP73" i="10"/>
  <c r="AO73" i="10"/>
  <c r="AG74" i="10"/>
  <c r="AG75" i="10"/>
  <c r="AL72" i="10"/>
  <c r="AG72" i="10"/>
  <c r="AG73" i="10"/>
  <c r="AM72" i="10"/>
  <c r="AJ88" i="10"/>
  <c r="AJ90" i="10"/>
  <c r="AJ89" i="10"/>
  <c r="AJ91" i="10"/>
  <c r="AK88" i="10"/>
  <c r="AK90" i="10"/>
  <c r="AK89" i="10"/>
  <c r="AK91" i="10"/>
  <c r="AI88" i="10"/>
  <c r="AI90" i="10"/>
  <c r="AI89" i="10"/>
  <c r="AI91" i="10"/>
  <c r="C91" i="10" a="1"/>
  <c r="C91" i="10" s="1"/>
  <c r="D91" i="10" a="1"/>
  <c r="D91" i="10" s="1"/>
  <c r="E91" i="10" a="1"/>
  <c r="E91" i="10" s="1"/>
  <c r="F91" i="10" a="1"/>
  <c r="F91" i="10" s="1"/>
  <c r="G91" i="10" a="1"/>
  <c r="G91" i="10" s="1"/>
  <c r="G75" i="10" a="1"/>
  <c r="G75" i="10" s="1"/>
  <c r="F75" i="10" a="1"/>
  <c r="F75" i="10" s="1"/>
  <c r="E75" i="10" a="1"/>
  <c r="E75" i="10" s="1"/>
  <c r="D75" i="10" a="1"/>
  <c r="D75" i="10" s="1"/>
  <c r="C75" i="10" a="1"/>
  <c r="C75" i="10" s="1"/>
  <c r="H46" i="10"/>
  <c r="H47" i="10"/>
  <c r="I46" i="10"/>
  <c r="I47" i="10"/>
  <c r="J46" i="10"/>
  <c r="J47" i="10"/>
  <c r="K46" i="10"/>
  <c r="K47" i="10"/>
  <c r="L46" i="10"/>
  <c r="L47" i="10"/>
  <c r="B47" i="10"/>
  <c r="A49" i="10"/>
  <c r="Q48" i="10" s="1" a="1"/>
  <c r="Q48" i="10" s="1"/>
  <c r="P48" i="10" a="1"/>
  <c r="P48" i="10" s="1"/>
  <c r="N48" i="10" a="1"/>
  <c r="N48" i="10" s="1"/>
  <c r="M48" i="10" a="1"/>
  <c r="M48" i="10" s="1"/>
  <c r="G48" i="10" a="1"/>
  <c r="G48" i="10" s="1"/>
  <c r="L48" i="10" s="1"/>
  <c r="F48" i="10" a="1"/>
  <c r="F48" i="10" s="1"/>
  <c r="K48" i="10" s="1"/>
  <c r="E48" i="10" a="1"/>
  <c r="E48" i="10" s="1"/>
  <c r="J48" i="10" s="1"/>
  <c r="D48" i="10" a="1"/>
  <c r="D48" i="10" s="1"/>
  <c r="I48" i="10" s="1"/>
  <c r="C48" i="10" a="1"/>
  <c r="C48" i="10" s="1"/>
  <c r="H48" i="10" s="1"/>
  <c r="A113" i="10"/>
  <c r="G112" i="10" a="1"/>
  <c r="G112" i="10" s="1"/>
  <c r="F112" i="10" a="1"/>
  <c r="F112" i="10" s="1"/>
  <c r="E112" i="10" a="1"/>
  <c r="E112" i="10" s="1"/>
  <c r="D112" i="10" a="1"/>
  <c r="D112" i="10" s="1"/>
  <c r="C112" i="10" a="1"/>
  <c r="C112" i="10" s="1"/>
  <c r="C7" i="10" a="1"/>
  <c r="C7" i="10" s="1"/>
  <c r="D7" i="10" a="1"/>
  <c r="D7" i="10" s="1"/>
  <c r="E7" i="10" a="1"/>
  <c r="E7" i="10" s="1"/>
  <c r="F7" i="10" a="1"/>
  <c r="F7" i="10" s="1"/>
  <c r="G7" i="10" a="1"/>
  <c r="G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H90" i="10"/>
  <c r="I90" i="10"/>
  <c r="J90" i="10"/>
  <c r="K90" i="10"/>
  <c r="L90" i="10"/>
  <c r="A92" i="10"/>
  <c r="L91" i="10"/>
  <c r="K91" i="10"/>
  <c r="J91" i="10"/>
  <c r="I91" i="10"/>
  <c r="H91" i="10"/>
  <c r="V89" i="10"/>
  <c r="U89" i="10"/>
  <c r="A76" i="10"/>
  <c r="B7" i="10"/>
  <c r="S74" i="5"/>
  <c r="R74" i="5"/>
  <c r="V73" i="5"/>
  <c r="U73" i="5"/>
  <c r="Q74" i="5"/>
  <c r="O74" i="5"/>
  <c r="D6" i="5" a="1"/>
  <c r="D6" i="5" s="1"/>
  <c r="C6" i="5" a="1"/>
  <c r="C6" i="5" s="1"/>
  <c r="F58" i="5" a="1"/>
  <c r="F58" i="5" s="1"/>
  <c r="G58" i="5" a="1"/>
  <c r="G58" i="5" s="1"/>
  <c r="E58" i="5" a="1"/>
  <c r="E58" i="5" s="1"/>
  <c r="G75" i="5" a="1"/>
  <c r="G75" i="5" s="1"/>
  <c r="L75" i="5" s="1"/>
  <c r="E75" i="5" a="1"/>
  <c r="E75" i="5" s="1"/>
  <c r="J75" i="5" s="1"/>
  <c r="E6" i="5" a="1"/>
  <c r="E6" i="5" s="1"/>
  <c r="O6" i="5" a="1"/>
  <c r="O6" i="5" s="1"/>
  <c r="A76" i="5"/>
  <c r="A59" i="5"/>
  <c r="A8" i="5"/>
  <c r="G7" i="5" a="1"/>
  <c r="G7" i="5" s="1"/>
  <c r="F6" i="5" a="1"/>
  <c r="F6" i="5" s="1"/>
  <c r="P6" i="5" a="1"/>
  <c r="P6" i="5" s="1"/>
  <c r="Q6" i="5" a="1"/>
  <c r="Q6" i="5" s="1"/>
  <c r="B7" i="5" l="1"/>
  <c r="W76" i="5" a="1"/>
  <c r="W76" i="5" s="1"/>
  <c r="AB76" i="5" s="1"/>
  <c r="X76" i="5" a="1"/>
  <c r="X76" i="5" s="1"/>
  <c r="Y76" i="5" a="1"/>
  <c r="Y76" i="5" s="1"/>
  <c r="AD76" i="5" s="1"/>
  <c r="Z76" i="5" a="1"/>
  <c r="Z76" i="5" s="1"/>
  <c r="AA76" i="5" a="1"/>
  <c r="AA76" i="5" s="1"/>
  <c r="AF76" i="5" s="1"/>
  <c r="C76" i="5" a="1"/>
  <c r="C76" i="5" s="1"/>
  <c r="H76" i="5" s="1"/>
  <c r="D76" i="5" a="1"/>
  <c r="D76" i="5" s="1"/>
  <c r="I76" i="5" s="1"/>
  <c r="F76" i="5" a="1"/>
  <c r="F76" i="5" s="1"/>
  <c r="K76" i="5" s="1"/>
  <c r="O48" i="10" a="1"/>
  <c r="O48" i="10" s="1"/>
  <c r="AO90" i="10"/>
  <c r="AP90" i="10"/>
  <c r="V72" i="5"/>
  <c r="U72" i="5"/>
  <c r="AE75" i="10"/>
  <c r="H75" i="5"/>
  <c r="N7" i="5" a="1"/>
  <c r="N7" i="5" s="1"/>
  <c r="AP57" i="5"/>
  <c r="AO57" i="5"/>
  <c r="AJ75" i="5"/>
  <c r="AH75" i="5"/>
  <c r="AO88" i="10"/>
  <c r="AP88" i="10"/>
  <c r="AC91" i="10"/>
  <c r="AB91" i="10"/>
  <c r="AB58" i="5"/>
  <c r="AC58" i="5"/>
  <c r="AA59" i="5" a="1"/>
  <c r="AA59" i="5" s="1"/>
  <c r="AF59" i="5" s="1"/>
  <c r="Y59" i="5" a="1"/>
  <c r="Y59" i="5" s="1"/>
  <c r="AD59" i="5" s="1"/>
  <c r="W59" i="5" a="1"/>
  <c r="W59" i="5" s="1"/>
  <c r="AB59" i="5" s="1"/>
  <c r="Z59" i="5" a="1"/>
  <c r="Z59" i="5" s="1"/>
  <c r="AE59" i="5" s="1"/>
  <c r="X59" i="5" a="1"/>
  <c r="X59" i="5" s="1"/>
  <c r="AC59" i="5" s="1"/>
  <c r="C59" i="5" a="1"/>
  <c r="C59" i="5" s="1"/>
  <c r="D59" i="5" a="1"/>
  <c r="D59" i="5" s="1"/>
  <c r="W76" i="10" a="1"/>
  <c r="W76" i="10" s="1"/>
  <c r="AB76" i="10" s="1"/>
  <c r="Y76" i="10" a="1"/>
  <c r="Y76" i="10" s="1"/>
  <c r="AD76" i="10" s="1"/>
  <c r="AA76" i="10" a="1"/>
  <c r="AA76" i="10" s="1"/>
  <c r="AF76" i="10" s="1"/>
  <c r="X76" i="10" a="1"/>
  <c r="X76" i="10" s="1"/>
  <c r="AC76" i="10" s="1"/>
  <c r="Z76" i="10" a="1"/>
  <c r="Z76" i="10" s="1"/>
  <c r="AE76" i="10" s="1"/>
  <c r="AA92" i="10" a="1"/>
  <c r="AA92" i="10" s="1"/>
  <c r="Z92" i="10" a="1"/>
  <c r="Z92" i="10" s="1"/>
  <c r="AE92" i="10" s="1"/>
  <c r="X92" i="10" a="1"/>
  <c r="X92" i="10" s="1"/>
  <c r="AC92" i="10" s="1"/>
  <c r="Y92" i="10" a="1"/>
  <c r="Y92" i="10" s="1"/>
  <c r="W92" i="10" a="1"/>
  <c r="W92" i="10" s="1"/>
  <c r="AB92" i="10" s="1"/>
  <c r="AP72" i="10"/>
  <c r="AO72" i="10"/>
  <c r="AP56" i="5"/>
  <c r="AO56" i="5"/>
  <c r="AP72" i="5"/>
  <c r="AO72" i="5"/>
  <c r="AF75" i="10"/>
  <c r="AM75" i="10"/>
  <c r="AC75" i="10"/>
  <c r="I75" i="5"/>
  <c r="AF75" i="5"/>
  <c r="AD75" i="5"/>
  <c r="AB75" i="5"/>
  <c r="M7" i="5" a="1"/>
  <c r="M7" i="5" s="1"/>
  <c r="AI75" i="10"/>
  <c r="P75" i="5"/>
  <c r="P76" i="5"/>
  <c r="AP74" i="5"/>
  <c r="AO74" i="5"/>
  <c r="AP74" i="10"/>
  <c r="AO74" i="10"/>
  <c r="AD58" i="5"/>
  <c r="AF58" i="5"/>
  <c r="AE58" i="5"/>
  <c r="G76" i="10" a="1"/>
  <c r="G76" i="10" s="1"/>
  <c r="F76" i="10" a="1"/>
  <c r="F76" i="10" s="1"/>
  <c r="E76" i="10" a="1"/>
  <c r="E76" i="10" s="1"/>
  <c r="D76" i="10" a="1"/>
  <c r="D76" i="10" s="1"/>
  <c r="C76" i="10" a="1"/>
  <c r="C76" i="10" s="1"/>
  <c r="C92" i="10" a="1"/>
  <c r="C92" i="10" s="1"/>
  <c r="D92" i="10" a="1"/>
  <c r="D92" i="10" s="1"/>
  <c r="E92" i="10" a="1"/>
  <c r="E92" i="10" s="1"/>
  <c r="F92" i="10" a="1"/>
  <c r="F92" i="10" s="1"/>
  <c r="G92" i="10" a="1"/>
  <c r="G92" i="10" s="1"/>
  <c r="B48" i="10"/>
  <c r="A50" i="10"/>
  <c r="Q49" i="10" a="1"/>
  <c r="Q49" i="10" s="1"/>
  <c r="P49" i="10" a="1"/>
  <c r="P49" i="10" s="1"/>
  <c r="O49" i="10" a="1"/>
  <c r="O49" i="10" s="1"/>
  <c r="N49" i="10" a="1"/>
  <c r="N49" i="10" s="1"/>
  <c r="M49" i="10" a="1"/>
  <c r="M49" i="10" s="1"/>
  <c r="G49" i="10" a="1"/>
  <c r="G49" i="10" s="1"/>
  <c r="F49" i="10" a="1"/>
  <c r="F49" i="10" s="1"/>
  <c r="K49" i="10" s="1"/>
  <c r="E49" i="10" a="1"/>
  <c r="E49" i="10" s="1"/>
  <c r="D49" i="10" a="1"/>
  <c r="D49" i="10" s="1"/>
  <c r="I49" i="10" s="1"/>
  <c r="C49" i="10" a="1"/>
  <c r="C49" i="10" s="1"/>
  <c r="L49" i="10"/>
  <c r="J49" i="10"/>
  <c r="H49" i="10"/>
  <c r="A114" i="10"/>
  <c r="G113" i="10" a="1"/>
  <c r="G113" i="10" s="1"/>
  <c r="F113" i="10" a="1"/>
  <c r="F113" i="10" s="1"/>
  <c r="E113" i="10" a="1"/>
  <c r="E113" i="10" s="1"/>
  <c r="D113" i="10" a="1"/>
  <c r="D113" i="10" s="1"/>
  <c r="C113" i="10" a="1"/>
  <c r="C113" i="10" s="1"/>
  <c r="C8" i="10" a="1"/>
  <c r="C8" i="10" s="1"/>
  <c r="D8" i="10" a="1"/>
  <c r="D8" i="10" s="1"/>
  <c r="E8" i="10" a="1"/>
  <c r="E8" i="10" s="1"/>
  <c r="F8" i="10" a="1"/>
  <c r="F8" i="10" s="1"/>
  <c r="G8" i="10" a="1"/>
  <c r="G8" i="10" s="1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B8" i="10"/>
  <c r="A77" i="10"/>
  <c r="S91" i="10"/>
  <c r="R91" i="10"/>
  <c r="A93" i="10"/>
  <c r="L92" i="10"/>
  <c r="Q92" i="10" s="1"/>
  <c r="K92" i="10"/>
  <c r="J92" i="10"/>
  <c r="O92" i="10" s="1"/>
  <c r="I92" i="10"/>
  <c r="H92" i="10"/>
  <c r="M92" i="10" s="1"/>
  <c r="Q91" i="10"/>
  <c r="Q90" i="10"/>
  <c r="P92" i="10"/>
  <c r="P91" i="10"/>
  <c r="P90" i="10"/>
  <c r="O91" i="10"/>
  <c r="O90" i="10"/>
  <c r="N92" i="10"/>
  <c r="N91" i="10"/>
  <c r="N90" i="10"/>
  <c r="S90" i="10"/>
  <c r="R90" i="10"/>
  <c r="M91" i="10"/>
  <c r="M90" i="10"/>
  <c r="S75" i="5"/>
  <c r="R75" i="5"/>
  <c r="V74" i="5"/>
  <c r="U74" i="5"/>
  <c r="O75" i="5"/>
  <c r="Q75" i="5"/>
  <c r="D7" i="5" a="1"/>
  <c r="D7" i="5" s="1"/>
  <c r="C7" i="5" a="1"/>
  <c r="C7" i="5" s="1"/>
  <c r="F59" i="5" a="1"/>
  <c r="F59" i="5" s="1"/>
  <c r="G59" i="5" a="1"/>
  <c r="G59" i="5" s="1"/>
  <c r="E59" i="5" a="1"/>
  <c r="E59" i="5" s="1"/>
  <c r="G76" i="5" a="1"/>
  <c r="G76" i="5" s="1"/>
  <c r="L76" i="5" s="1"/>
  <c r="Q76" i="5" s="1"/>
  <c r="E76" i="5" a="1"/>
  <c r="E76" i="5" s="1"/>
  <c r="J76" i="5" s="1"/>
  <c r="E7" i="5" a="1"/>
  <c r="E7" i="5" s="1"/>
  <c r="O7" i="5" a="1"/>
  <c r="O7" i="5" s="1"/>
  <c r="A77" i="5"/>
  <c r="A60" i="5"/>
  <c r="A9" i="5"/>
  <c r="N8" i="5" s="1" a="1"/>
  <c r="N8" i="5" s="1"/>
  <c r="G8" i="5" a="1"/>
  <c r="G8" i="5" s="1"/>
  <c r="F7" i="5" a="1"/>
  <c r="F7" i="5" s="1"/>
  <c r="P7" i="5" a="1"/>
  <c r="P7" i="5" s="1"/>
  <c r="Q7" i="5" a="1"/>
  <c r="Q7" i="5" s="1"/>
  <c r="Z60" i="5" l="1" a="1"/>
  <c r="Z60" i="5" s="1"/>
  <c r="X60" i="5" a="1"/>
  <c r="X60" i="5" s="1"/>
  <c r="AC60" i="5" s="1"/>
  <c r="Y60" i="5" a="1"/>
  <c r="Y60" i="5" s="1"/>
  <c r="AA60" i="5" a="1"/>
  <c r="AA60" i="5" s="1"/>
  <c r="W60" i="5" a="1"/>
  <c r="W60" i="5" s="1"/>
  <c r="AB60" i="5" s="1"/>
  <c r="C60" i="5" a="1"/>
  <c r="C60" i="5" s="1"/>
  <c r="D60" i="5" a="1"/>
  <c r="D60" i="5" s="1"/>
  <c r="X77" i="10" a="1"/>
  <c r="X77" i="10" s="1"/>
  <c r="Z77" i="10" a="1"/>
  <c r="Z77" i="10" s="1"/>
  <c r="AE77" i="10" s="1"/>
  <c r="W77" i="10" a="1"/>
  <c r="W77" i="10" s="1"/>
  <c r="Y77" i="10" a="1"/>
  <c r="Y77" i="10" s="1"/>
  <c r="AD77" i="10" s="1"/>
  <c r="AA77" i="10" a="1"/>
  <c r="AA77" i="10" s="1"/>
  <c r="AL75" i="5"/>
  <c r="AM75" i="5"/>
  <c r="AG76" i="5"/>
  <c r="AG75" i="5"/>
  <c r="AI75" i="5"/>
  <c r="AI76" i="5"/>
  <c r="AK75" i="5"/>
  <c r="AK76" i="5"/>
  <c r="N75" i="5"/>
  <c r="N76" i="5"/>
  <c r="AH76" i="10"/>
  <c r="AH75" i="10"/>
  <c r="AL75" i="10"/>
  <c r="AK76" i="10"/>
  <c r="AK75" i="10"/>
  <c r="AD92" i="10"/>
  <c r="AJ92" i="10"/>
  <c r="AL76" i="10"/>
  <c r="AM76" i="10"/>
  <c r="AG76" i="10"/>
  <c r="AH59" i="5"/>
  <c r="AH60" i="5"/>
  <c r="AH58" i="5"/>
  <c r="AL58" i="5"/>
  <c r="AM58" i="5"/>
  <c r="AG60" i="5"/>
  <c r="AG59" i="5"/>
  <c r="AG58" i="5"/>
  <c r="AM91" i="10"/>
  <c r="AL91" i="10"/>
  <c r="AG92" i="10"/>
  <c r="AG91" i="10"/>
  <c r="AH92" i="10"/>
  <c r="AH91" i="10"/>
  <c r="AI76" i="10"/>
  <c r="AE76" i="5"/>
  <c r="AC76" i="5"/>
  <c r="B8" i="5"/>
  <c r="W77" i="5" a="1"/>
  <c r="W77" i="5" s="1"/>
  <c r="X77" i="5" a="1"/>
  <c r="X77" i="5" s="1"/>
  <c r="AC77" i="5" s="1"/>
  <c r="Y77" i="5" a="1"/>
  <c r="Y77" i="5" s="1"/>
  <c r="Z77" i="5" a="1"/>
  <c r="Z77" i="5" s="1"/>
  <c r="AE77" i="5" s="1"/>
  <c r="AA77" i="5" a="1"/>
  <c r="AA77" i="5" s="1"/>
  <c r="C77" i="5" a="1"/>
  <c r="C77" i="5" s="1"/>
  <c r="H77" i="5" s="1"/>
  <c r="D77" i="5" a="1"/>
  <c r="D77" i="5" s="1"/>
  <c r="F77" i="5" a="1"/>
  <c r="F77" i="5" s="1"/>
  <c r="K77" i="5" s="1"/>
  <c r="Z93" i="10" a="1"/>
  <c r="Z93" i="10" s="1"/>
  <c r="AE93" i="10" s="1"/>
  <c r="X93" i="10" a="1"/>
  <c r="X93" i="10" s="1"/>
  <c r="AC93" i="10" s="1"/>
  <c r="Y93" i="10" a="1"/>
  <c r="Y93" i="10" s="1"/>
  <c r="AD93" i="10" s="1"/>
  <c r="AA93" i="10" a="1"/>
  <c r="AA93" i="10" s="1"/>
  <c r="AF93" i="10" s="1"/>
  <c r="W93" i="10" a="1"/>
  <c r="W93" i="10" s="1"/>
  <c r="AB93" i="10" s="1"/>
  <c r="AJ59" i="5"/>
  <c r="AJ58" i="5"/>
  <c r="AK58" i="5"/>
  <c r="AK59" i="5"/>
  <c r="AI59" i="5"/>
  <c r="AI58" i="5"/>
  <c r="AL92" i="10"/>
  <c r="AF92" i="10"/>
  <c r="AI77" i="10"/>
  <c r="AL59" i="5"/>
  <c r="AM59" i="5"/>
  <c r="M75" i="5"/>
  <c r="M76" i="5"/>
  <c r="M77" i="5"/>
  <c r="AJ76" i="10"/>
  <c r="AJ75" i="10"/>
  <c r="AJ77" i="10"/>
  <c r="AL76" i="5"/>
  <c r="AM76" i="5"/>
  <c r="M8" i="5" a="1"/>
  <c r="M8" i="5" s="1"/>
  <c r="C93" i="10" a="1"/>
  <c r="C93" i="10" s="1"/>
  <c r="D93" i="10" a="1"/>
  <c r="D93" i="10" s="1"/>
  <c r="E93" i="10" a="1"/>
  <c r="E93" i="10" s="1"/>
  <c r="F93" i="10" a="1"/>
  <c r="F93" i="10" s="1"/>
  <c r="G93" i="10" a="1"/>
  <c r="G93" i="10" s="1"/>
  <c r="G77" i="10" a="1"/>
  <c r="G77" i="10" s="1"/>
  <c r="F77" i="10" a="1"/>
  <c r="F77" i="10" s="1"/>
  <c r="E77" i="10" a="1"/>
  <c r="E77" i="10" s="1"/>
  <c r="D77" i="10" a="1"/>
  <c r="D77" i="10" s="1"/>
  <c r="C77" i="10" a="1"/>
  <c r="C77" i="10" s="1"/>
  <c r="B49" i="10"/>
  <c r="A51" i="10"/>
  <c r="Q50" i="10" a="1"/>
  <c r="Q50" i="10" s="1"/>
  <c r="P50" i="10" a="1"/>
  <c r="P50" i="10" s="1"/>
  <c r="O50" i="10" a="1"/>
  <c r="O50" i="10" s="1"/>
  <c r="N50" i="10" a="1"/>
  <c r="N50" i="10" s="1"/>
  <c r="M50" i="10" a="1"/>
  <c r="M50" i="10" s="1"/>
  <c r="G50" i="10" a="1"/>
  <c r="G50" i="10" s="1"/>
  <c r="F50" i="10" a="1"/>
  <c r="F50" i="10" s="1"/>
  <c r="E50" i="10" a="1"/>
  <c r="E50" i="10" s="1"/>
  <c r="D50" i="10" a="1"/>
  <c r="D50" i="10" s="1"/>
  <c r="C50" i="10" a="1"/>
  <c r="C50" i="10" s="1"/>
  <c r="A115" i="10"/>
  <c r="G114" i="10" a="1"/>
  <c r="G114" i="10" s="1"/>
  <c r="F114" i="10" a="1"/>
  <c r="F114" i="10" s="1"/>
  <c r="E114" i="10" a="1"/>
  <c r="E114" i="10" s="1"/>
  <c r="D114" i="10" a="1"/>
  <c r="D114" i="10" s="1"/>
  <c r="C114" i="10" a="1"/>
  <c r="C114" i="10" s="1"/>
  <c r="C9" i="10" a="1"/>
  <c r="C9" i="10" s="1"/>
  <c r="D9" i="10" a="1"/>
  <c r="D9" i="10" s="1"/>
  <c r="E9" i="10" a="1"/>
  <c r="E9" i="10" s="1"/>
  <c r="F9" i="10" a="1"/>
  <c r="F9" i="10" s="1"/>
  <c r="G9" i="10" a="1"/>
  <c r="G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V90" i="10"/>
  <c r="U90" i="10"/>
  <c r="S92" i="10"/>
  <c r="R92" i="10"/>
  <c r="A94" i="10"/>
  <c r="V91" i="10"/>
  <c r="U91" i="10"/>
  <c r="A78" i="10"/>
  <c r="B9" i="10"/>
  <c r="S76" i="5"/>
  <c r="R76" i="5"/>
  <c r="V75" i="5"/>
  <c r="U75" i="5"/>
  <c r="O76" i="5"/>
  <c r="D8" i="5" a="1"/>
  <c r="D8" i="5" s="1"/>
  <c r="C8" i="5" a="1"/>
  <c r="C8" i="5" s="1"/>
  <c r="F60" i="5" a="1"/>
  <c r="F60" i="5" s="1"/>
  <c r="G60" i="5" a="1"/>
  <c r="G60" i="5" s="1"/>
  <c r="E60" i="5" a="1"/>
  <c r="E60" i="5" s="1"/>
  <c r="G77" i="5" a="1"/>
  <c r="G77" i="5" s="1"/>
  <c r="L77" i="5" s="1"/>
  <c r="Q77" i="5" s="1"/>
  <c r="E77" i="5" a="1"/>
  <c r="E77" i="5" s="1"/>
  <c r="J77" i="5" s="1"/>
  <c r="E8" i="5" a="1"/>
  <c r="E8" i="5" s="1"/>
  <c r="O8" i="5" a="1"/>
  <c r="O8" i="5" s="1"/>
  <c r="A78" i="5"/>
  <c r="A61" i="5"/>
  <c r="A10" i="5"/>
  <c r="M9" i="5" s="1" a="1"/>
  <c r="M9" i="5" s="1"/>
  <c r="G9" i="5" a="1"/>
  <c r="G9" i="5" s="1"/>
  <c r="F8" i="5" a="1"/>
  <c r="F8" i="5" s="1"/>
  <c r="P8" i="5" a="1"/>
  <c r="P8" i="5" s="1"/>
  <c r="Q8" i="5" a="1"/>
  <c r="Q8" i="5" s="1"/>
  <c r="AP76" i="5" l="1"/>
  <c r="AO76" i="5"/>
  <c r="AM93" i="10"/>
  <c r="AL93" i="10"/>
  <c r="I77" i="5"/>
  <c r="AF77" i="5"/>
  <c r="AD77" i="5"/>
  <c r="AB77" i="5"/>
  <c r="AO91" i="10"/>
  <c r="AP91" i="10"/>
  <c r="AP76" i="10"/>
  <c r="AO76" i="10"/>
  <c r="AJ93" i="10"/>
  <c r="AI92" i="10"/>
  <c r="AI93" i="10"/>
  <c r="AP75" i="10"/>
  <c r="AO75" i="10"/>
  <c r="AP75" i="5"/>
  <c r="AO75" i="5"/>
  <c r="AD60" i="5"/>
  <c r="AE60" i="5"/>
  <c r="AA61" i="5" a="1"/>
  <c r="AA61" i="5" s="1"/>
  <c r="AF61" i="5" s="1"/>
  <c r="Y61" i="5" a="1"/>
  <c r="Y61" i="5" s="1"/>
  <c r="AD61" i="5" s="1"/>
  <c r="W61" i="5" a="1"/>
  <c r="W61" i="5" s="1"/>
  <c r="X61" i="5" a="1"/>
  <c r="X61" i="5" s="1"/>
  <c r="Z61" i="5" a="1"/>
  <c r="Z61" i="5" s="1"/>
  <c r="AE61" i="5" s="1"/>
  <c r="C61" i="5" a="1"/>
  <c r="C61" i="5" s="1"/>
  <c r="D61" i="5" a="1"/>
  <c r="D61" i="5" s="1"/>
  <c r="AA94" i="10" a="1"/>
  <c r="AA94" i="10" s="1"/>
  <c r="Y94" i="10" a="1"/>
  <c r="Y94" i="10" s="1"/>
  <c r="AD94" i="10" s="1"/>
  <c r="W94" i="10" a="1"/>
  <c r="W94" i="10" s="1"/>
  <c r="X94" i="10" a="1"/>
  <c r="X94" i="10" s="1"/>
  <c r="Z94" i="10" a="1"/>
  <c r="Z94" i="10" s="1"/>
  <c r="AE94" i="10" s="1"/>
  <c r="B9" i="5"/>
  <c r="W78" i="5" a="1"/>
  <c r="W78" i="5" s="1"/>
  <c r="AB78" i="5" s="1"/>
  <c r="X78" i="5" a="1"/>
  <c r="X78" i="5" s="1"/>
  <c r="AC78" i="5" s="1"/>
  <c r="Z78" i="5" a="1"/>
  <c r="Z78" i="5" s="1"/>
  <c r="AE78" i="5" s="1"/>
  <c r="Y78" i="5" a="1"/>
  <c r="Y78" i="5" s="1"/>
  <c r="AD78" i="5" s="1"/>
  <c r="AA78" i="5" a="1"/>
  <c r="AA78" i="5" s="1"/>
  <c r="AF78" i="5" s="1"/>
  <c r="C78" i="5" a="1"/>
  <c r="C78" i="5" s="1"/>
  <c r="H78" i="5" s="1"/>
  <c r="D78" i="5" a="1"/>
  <c r="D78" i="5" s="1"/>
  <c r="I78" i="5" s="1"/>
  <c r="F78" i="5" a="1"/>
  <c r="F78" i="5" s="1"/>
  <c r="K78" i="5" s="1"/>
  <c r="W78" i="10" a="1"/>
  <c r="W78" i="10" s="1"/>
  <c r="AB78" i="10" s="1"/>
  <c r="Y78" i="10" a="1"/>
  <c r="Y78" i="10" s="1"/>
  <c r="AD78" i="10" s="1"/>
  <c r="AA78" i="10" a="1"/>
  <c r="AA78" i="10" s="1"/>
  <c r="AF78" i="10" s="1"/>
  <c r="X78" i="10" a="1"/>
  <c r="X78" i="10" s="1"/>
  <c r="AC78" i="10" s="1"/>
  <c r="Z78" i="10" a="1"/>
  <c r="Z78" i="10" s="1"/>
  <c r="AP59" i="5"/>
  <c r="AO59" i="5"/>
  <c r="AK92" i="10"/>
  <c r="AK93" i="10"/>
  <c r="AM92" i="10"/>
  <c r="AP92" i="10" s="1"/>
  <c r="P78" i="5"/>
  <c r="P77" i="5"/>
  <c r="N9" i="5" a="1"/>
  <c r="N9" i="5" s="1"/>
  <c r="AH76" i="5"/>
  <c r="AH77" i="5"/>
  <c r="AH78" i="5"/>
  <c r="AJ77" i="5"/>
  <c r="AJ78" i="5"/>
  <c r="AJ76" i="5"/>
  <c r="AH93" i="10"/>
  <c r="AG93" i="10"/>
  <c r="AP58" i="5"/>
  <c r="AO58" i="5"/>
  <c r="AJ94" i="10"/>
  <c r="AF77" i="10"/>
  <c r="AB77" i="10"/>
  <c r="AC77" i="10"/>
  <c r="AF60" i="5"/>
  <c r="G78" i="10" a="1"/>
  <c r="G78" i="10" s="1"/>
  <c r="F78" i="10" a="1"/>
  <c r="F78" i="10" s="1"/>
  <c r="E78" i="10" a="1"/>
  <c r="E78" i="10" s="1"/>
  <c r="D78" i="10" a="1"/>
  <c r="D78" i="10" s="1"/>
  <c r="C78" i="10" a="1"/>
  <c r="C78" i="10" s="1"/>
  <c r="C94" i="10" a="1"/>
  <c r="C94" i="10" s="1"/>
  <c r="D94" i="10" a="1"/>
  <c r="D94" i="10" s="1"/>
  <c r="E94" i="10" a="1"/>
  <c r="E94" i="10" s="1"/>
  <c r="F94" i="10" a="1"/>
  <c r="F94" i="10" s="1"/>
  <c r="G94" i="10" a="1"/>
  <c r="G94" i="10" s="1"/>
  <c r="H50" i="10"/>
  <c r="I50" i="10"/>
  <c r="J50" i="10"/>
  <c r="K50" i="10"/>
  <c r="L50" i="10"/>
  <c r="B50" i="10"/>
  <c r="A52" i="10"/>
  <c r="C51" i="10" a="1"/>
  <c r="C51" i="10" s="1"/>
  <c r="D51" i="10" a="1"/>
  <c r="D51" i="10" s="1"/>
  <c r="Q51" i="10" a="1"/>
  <c r="Q51" i="10" s="1"/>
  <c r="P51" i="10" a="1"/>
  <c r="P51" i="10" s="1"/>
  <c r="O51" i="10" a="1"/>
  <c r="O51" i="10" s="1"/>
  <c r="N51" i="10" a="1"/>
  <c r="N51" i="10" s="1"/>
  <c r="M51" i="10" a="1"/>
  <c r="M51" i="10" s="1"/>
  <c r="G51" i="10" a="1"/>
  <c r="G51" i="10" s="1"/>
  <c r="F51" i="10" a="1"/>
  <c r="F51" i="10" s="1"/>
  <c r="E51" i="10" a="1"/>
  <c r="E51" i="10" s="1"/>
  <c r="A116" i="10"/>
  <c r="G115" i="10" a="1"/>
  <c r="G115" i="10" s="1"/>
  <c r="F115" i="10" a="1"/>
  <c r="F115" i="10" s="1"/>
  <c r="E115" i="10" a="1"/>
  <c r="E115" i="10" s="1"/>
  <c r="D115" i="10" a="1"/>
  <c r="D115" i="10" s="1"/>
  <c r="C115" i="10" a="1"/>
  <c r="C115" i="10" s="1"/>
  <c r="C10" i="10" a="1"/>
  <c r="C10" i="10" s="1"/>
  <c r="D10" i="10" a="1"/>
  <c r="D10" i="10" s="1"/>
  <c r="E10" i="10" a="1"/>
  <c r="E10" i="10" s="1"/>
  <c r="F10" i="10" a="1"/>
  <c r="F10" i="10" s="1"/>
  <c r="G10" i="10" a="1"/>
  <c r="G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B10" i="10"/>
  <c r="A79" i="10"/>
  <c r="H93" i="10"/>
  <c r="I93" i="10"/>
  <c r="J93" i="10"/>
  <c r="K93" i="10"/>
  <c r="L93" i="10"/>
  <c r="A95" i="10"/>
  <c r="L94" i="10"/>
  <c r="K94" i="10"/>
  <c r="J94" i="10"/>
  <c r="I94" i="10"/>
  <c r="H94" i="10"/>
  <c r="V92" i="10"/>
  <c r="U92" i="10"/>
  <c r="S77" i="5"/>
  <c r="R77" i="5"/>
  <c r="O77" i="5"/>
  <c r="V76" i="5"/>
  <c r="U76" i="5"/>
  <c r="D9" i="5" a="1"/>
  <c r="D9" i="5" s="1"/>
  <c r="C9" i="5" a="1"/>
  <c r="C9" i="5" s="1"/>
  <c r="F61" i="5" a="1"/>
  <c r="F61" i="5" s="1"/>
  <c r="G61" i="5" a="1"/>
  <c r="G61" i="5" s="1"/>
  <c r="E61" i="5" a="1"/>
  <c r="E61" i="5" s="1"/>
  <c r="G78" i="5" a="1"/>
  <c r="G78" i="5" s="1"/>
  <c r="L78" i="5" s="1"/>
  <c r="Q78" i="5" s="1"/>
  <c r="E78" i="5" a="1"/>
  <c r="E78" i="5" s="1"/>
  <c r="J78" i="5" s="1"/>
  <c r="E9" i="5" a="1"/>
  <c r="E9" i="5" s="1"/>
  <c r="O9" i="5" a="1"/>
  <c r="O9" i="5" s="1"/>
  <c r="A79" i="5"/>
  <c r="A62" i="5"/>
  <c r="A11" i="5"/>
  <c r="G10" i="5" a="1"/>
  <c r="G10" i="5" s="1"/>
  <c r="F9" i="5" a="1"/>
  <c r="F9" i="5" s="1"/>
  <c r="P9" i="5" a="1"/>
  <c r="P9" i="5" s="1"/>
  <c r="Q9" i="5" a="1"/>
  <c r="Q9" i="5" s="1"/>
  <c r="Z62" i="5" l="1" a="1"/>
  <c r="Z62" i="5" s="1"/>
  <c r="AE62" i="5" s="1"/>
  <c r="X62" i="5" a="1"/>
  <c r="X62" i="5" s="1"/>
  <c r="AC62" i="5" s="1"/>
  <c r="AA62" i="5" a="1"/>
  <c r="AA62" i="5" s="1"/>
  <c r="W62" i="5" a="1"/>
  <c r="W62" i="5" s="1"/>
  <c r="AB62" i="5" s="1"/>
  <c r="Y62" i="5" a="1"/>
  <c r="Y62" i="5" s="1"/>
  <c r="AD62" i="5" s="1"/>
  <c r="C62" i="5" a="1"/>
  <c r="C62" i="5" s="1"/>
  <c r="D62" i="5" a="1"/>
  <c r="D62" i="5" s="1"/>
  <c r="B10" i="5"/>
  <c r="W79" i="5" a="1"/>
  <c r="W79" i="5" s="1"/>
  <c r="AB79" i="5" s="1"/>
  <c r="Y79" i="5" a="1"/>
  <c r="Y79" i="5" s="1"/>
  <c r="AD79" i="5" s="1"/>
  <c r="AA79" i="5" a="1"/>
  <c r="AA79" i="5" s="1"/>
  <c r="AF79" i="5" s="1"/>
  <c r="X79" i="5" a="1"/>
  <c r="X79" i="5" s="1"/>
  <c r="AC79" i="5" s="1"/>
  <c r="Z79" i="5" a="1"/>
  <c r="Z79" i="5" s="1"/>
  <c r="AE79" i="5" s="1"/>
  <c r="C79" i="5" a="1"/>
  <c r="C79" i="5" s="1"/>
  <c r="H79" i="5" s="1"/>
  <c r="D79" i="5" a="1"/>
  <c r="D79" i="5" s="1"/>
  <c r="I79" i="5" s="1"/>
  <c r="F79" i="5" a="1"/>
  <c r="F79" i="5" s="1"/>
  <c r="K79" i="5" s="1"/>
  <c r="Z95" i="10" a="1"/>
  <c r="Z95" i="10" s="1"/>
  <c r="AE95" i="10" s="1"/>
  <c r="AJ95" i="10" s="1"/>
  <c r="X95" i="10" a="1"/>
  <c r="X95" i="10" s="1"/>
  <c r="AC95" i="10" s="1"/>
  <c r="AA95" i="10" a="1"/>
  <c r="AA95" i="10" s="1"/>
  <c r="AF95" i="10" s="1"/>
  <c r="W95" i="10" a="1"/>
  <c r="W95" i="10" s="1"/>
  <c r="AB95" i="10" s="1"/>
  <c r="Y95" i="10" a="1"/>
  <c r="Y95" i="10" s="1"/>
  <c r="AD95" i="10" s="1"/>
  <c r="X79" i="10" a="1"/>
  <c r="X79" i="10" s="1"/>
  <c r="Z79" i="10" a="1"/>
  <c r="Z79" i="10" s="1"/>
  <c r="AE79" i="10" s="1"/>
  <c r="W79" i="10" a="1"/>
  <c r="W79" i="10" s="1"/>
  <c r="Y79" i="10" a="1"/>
  <c r="Y79" i="10" s="1"/>
  <c r="AD79" i="10" s="1"/>
  <c r="AI79" i="10" s="1"/>
  <c r="AA79" i="10" a="1"/>
  <c r="AA79" i="10" s="1"/>
  <c r="AF79" i="10" s="1"/>
  <c r="AK79" i="10" s="1"/>
  <c r="AK61" i="5"/>
  <c r="AK60" i="5"/>
  <c r="AI78" i="10"/>
  <c r="M78" i="5"/>
  <c r="M79" i="5"/>
  <c r="N10" i="5" a="1"/>
  <c r="N10" i="5" s="1"/>
  <c r="AC94" i="10"/>
  <c r="AB61" i="5"/>
  <c r="AJ62" i="5"/>
  <c r="AJ60" i="5"/>
  <c r="AJ61" i="5"/>
  <c r="AI60" i="5"/>
  <c r="AI61" i="5"/>
  <c r="AI62" i="5"/>
  <c r="AL60" i="5"/>
  <c r="AI95" i="10"/>
  <c r="AL77" i="5"/>
  <c r="AM77" i="5"/>
  <c r="AG79" i="5"/>
  <c r="AG77" i="5"/>
  <c r="AG78" i="5"/>
  <c r="AI79" i="5"/>
  <c r="AI77" i="5"/>
  <c r="AI78" i="5"/>
  <c r="AK78" i="5"/>
  <c r="AK79" i="5"/>
  <c r="AK77" i="5"/>
  <c r="N78" i="5"/>
  <c r="N77" i="5"/>
  <c r="N79" i="5"/>
  <c r="AO92" i="10"/>
  <c r="AH78" i="10"/>
  <c r="AH77" i="10"/>
  <c r="AL77" i="10"/>
  <c r="AM77" i="10"/>
  <c r="AG77" i="10"/>
  <c r="AK78" i="10"/>
  <c r="AK77" i="10"/>
  <c r="AE78" i="10"/>
  <c r="AM78" i="10" s="1"/>
  <c r="AL78" i="10"/>
  <c r="AG78" i="10"/>
  <c r="AL78" i="5"/>
  <c r="AM78" i="5"/>
  <c r="M10" i="5" a="1"/>
  <c r="M10" i="5" s="1"/>
  <c r="AB94" i="10"/>
  <c r="AF94" i="10"/>
  <c r="AC61" i="5"/>
  <c r="AM60" i="5"/>
  <c r="AI94" i="10"/>
  <c r="AO93" i="10"/>
  <c r="AP93" i="10"/>
  <c r="C95" i="10" a="1"/>
  <c r="C95" i="10" s="1"/>
  <c r="D95" i="10" a="1"/>
  <c r="D95" i="10" s="1"/>
  <c r="E95" i="10" a="1"/>
  <c r="E95" i="10" s="1"/>
  <c r="F95" i="10" a="1"/>
  <c r="F95" i="10" s="1"/>
  <c r="G95" i="10" a="1"/>
  <c r="G95" i="10" s="1"/>
  <c r="G79" i="10" a="1"/>
  <c r="G79" i="10" s="1"/>
  <c r="F79" i="10" a="1"/>
  <c r="F79" i="10" s="1"/>
  <c r="E79" i="10" a="1"/>
  <c r="E79" i="10" s="1"/>
  <c r="D79" i="10" a="1"/>
  <c r="D79" i="10" s="1"/>
  <c r="C79" i="10" a="1"/>
  <c r="C79" i="10" s="1"/>
  <c r="L51" i="10"/>
  <c r="K51" i="10"/>
  <c r="J51" i="10"/>
  <c r="I51" i="10"/>
  <c r="H51" i="10"/>
  <c r="A53" i="10"/>
  <c r="P52" i="10" s="1" a="1"/>
  <c r="P52" i="10" s="1"/>
  <c r="B51" i="10"/>
  <c r="Q52" i="10" a="1"/>
  <c r="Q52" i="10" s="1"/>
  <c r="O52" i="10" a="1"/>
  <c r="O52" i="10" s="1"/>
  <c r="N52" i="10" a="1"/>
  <c r="N52" i="10" s="1"/>
  <c r="M52" i="10" a="1"/>
  <c r="M52" i="10" s="1"/>
  <c r="G52" i="10" a="1"/>
  <c r="G52" i="10" s="1"/>
  <c r="F52" i="10" a="1"/>
  <c r="F52" i="10" s="1"/>
  <c r="E52" i="10" a="1"/>
  <c r="E52" i="10" s="1"/>
  <c r="D52" i="10" a="1"/>
  <c r="D52" i="10" s="1"/>
  <c r="C52" i="10" a="1"/>
  <c r="C52" i="10" s="1"/>
  <c r="A117" i="10"/>
  <c r="G116" i="10" a="1"/>
  <c r="G116" i="10" s="1"/>
  <c r="F116" i="10" a="1"/>
  <c r="F116" i="10" s="1"/>
  <c r="E116" i="10" a="1"/>
  <c r="E116" i="10" s="1"/>
  <c r="D116" i="10" a="1"/>
  <c r="D116" i="10" s="1"/>
  <c r="C116" i="10" a="1"/>
  <c r="C116" i="10" s="1"/>
  <c r="C11" i="10" a="1"/>
  <c r="C11" i="10" s="1"/>
  <c r="D11" i="10" a="1"/>
  <c r="D11" i="10" s="1"/>
  <c r="E11" i="10" a="1"/>
  <c r="E11" i="10" s="1"/>
  <c r="F11" i="10" a="1"/>
  <c r="F11" i="10" s="1"/>
  <c r="G11" i="10" a="1"/>
  <c r="G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S94" i="10"/>
  <c r="R94" i="10"/>
  <c r="A96" i="10"/>
  <c r="L95" i="10"/>
  <c r="K95" i="10"/>
  <c r="P95" i="10" s="1"/>
  <c r="J95" i="10"/>
  <c r="I95" i="10"/>
  <c r="N95" i="10" s="1"/>
  <c r="H95" i="10"/>
  <c r="Q95" i="10"/>
  <c r="Q94" i="10"/>
  <c r="Q93" i="10"/>
  <c r="P94" i="10"/>
  <c r="P93" i="10"/>
  <c r="O95" i="10"/>
  <c r="O94" i="10"/>
  <c r="O93" i="10"/>
  <c r="N94" i="10"/>
  <c r="N93" i="10"/>
  <c r="S93" i="10"/>
  <c r="R93" i="10"/>
  <c r="M95" i="10"/>
  <c r="M94" i="10"/>
  <c r="M93" i="10"/>
  <c r="A80" i="10"/>
  <c r="B11" i="10"/>
  <c r="S78" i="5"/>
  <c r="R78" i="5"/>
  <c r="O78" i="5"/>
  <c r="V77" i="5"/>
  <c r="U77" i="5"/>
  <c r="D10" i="5" a="1"/>
  <c r="D10" i="5" s="1"/>
  <c r="C10" i="5" a="1"/>
  <c r="C10" i="5" s="1"/>
  <c r="F62" i="5" a="1"/>
  <c r="F62" i="5" s="1"/>
  <c r="G62" i="5" a="1"/>
  <c r="G62" i="5" s="1"/>
  <c r="E62" i="5" a="1"/>
  <c r="E62" i="5" s="1"/>
  <c r="G79" i="5" a="1"/>
  <c r="G79" i="5" s="1"/>
  <c r="L79" i="5" s="1"/>
  <c r="Q79" i="5" s="1"/>
  <c r="E79" i="5" a="1"/>
  <c r="E79" i="5" s="1"/>
  <c r="J79" i="5" s="1"/>
  <c r="E10" i="5" a="1"/>
  <c r="E10" i="5" s="1"/>
  <c r="O10" i="5" a="1"/>
  <c r="O10" i="5" s="1"/>
  <c r="A80" i="5"/>
  <c r="A63" i="5"/>
  <c r="A12" i="5"/>
  <c r="G11" i="5" a="1"/>
  <c r="G11" i="5" s="1"/>
  <c r="F10" i="5" a="1"/>
  <c r="F10" i="5" s="1"/>
  <c r="P10" i="5" a="1"/>
  <c r="P10" i="5" s="1"/>
  <c r="Q10" i="5" a="1"/>
  <c r="Q10" i="5" s="1"/>
  <c r="B11" i="5" l="1"/>
  <c r="X80" i="5" a="1"/>
  <c r="X80" i="5" s="1"/>
  <c r="AC80" i="5" s="1"/>
  <c r="Z80" i="5" a="1"/>
  <c r="Z80" i="5" s="1"/>
  <c r="AE80" i="5" s="1"/>
  <c r="W80" i="5" a="1"/>
  <c r="W80" i="5" s="1"/>
  <c r="Y80" i="5" a="1"/>
  <c r="Y80" i="5" s="1"/>
  <c r="AA80" i="5" a="1"/>
  <c r="AA80" i="5" s="1"/>
  <c r="C80" i="5" a="1"/>
  <c r="C80" i="5" s="1"/>
  <c r="H80" i="5" s="1"/>
  <c r="D80" i="5" a="1"/>
  <c r="D80" i="5" s="1"/>
  <c r="I80" i="5" s="1"/>
  <c r="F80" i="5" a="1"/>
  <c r="F80" i="5" s="1"/>
  <c r="K80" i="5" s="1"/>
  <c r="P80" i="5" s="1"/>
  <c r="W80" i="10" a="1"/>
  <c r="W80" i="10" s="1"/>
  <c r="AB80" i="10" s="1"/>
  <c r="Y80" i="10" a="1"/>
  <c r="Y80" i="10" s="1"/>
  <c r="AD80" i="10" s="1"/>
  <c r="AI80" i="10" s="1"/>
  <c r="AA80" i="10" a="1"/>
  <c r="AA80" i="10" s="1"/>
  <c r="AF80" i="10" s="1"/>
  <c r="AK80" i="10" s="1"/>
  <c r="X80" i="10" a="1"/>
  <c r="X80" i="10" s="1"/>
  <c r="AC80" i="10" s="1"/>
  <c r="Z80" i="10" a="1"/>
  <c r="Z80" i="10" s="1"/>
  <c r="AE80" i="10" s="1"/>
  <c r="AP78" i="5"/>
  <c r="AO78" i="5"/>
  <c r="AP77" i="5"/>
  <c r="AO77" i="5"/>
  <c r="AH94" i="10"/>
  <c r="AH95" i="10"/>
  <c r="AB79" i="10"/>
  <c r="AC79" i="10"/>
  <c r="AM95" i="10"/>
  <c r="AL95" i="10"/>
  <c r="P79" i="5"/>
  <c r="AH80" i="5"/>
  <c r="AH79" i="5"/>
  <c r="N11" i="5" a="1"/>
  <c r="N11" i="5" s="1"/>
  <c r="AA63" i="5" a="1"/>
  <c r="AA63" i="5" s="1"/>
  <c r="AF63" i="5" s="1"/>
  <c r="Y63" i="5" a="1"/>
  <c r="Y63" i="5" s="1"/>
  <c r="W63" i="5" a="1"/>
  <c r="W63" i="5" s="1"/>
  <c r="Z63" i="5" a="1"/>
  <c r="Z63" i="5" s="1"/>
  <c r="X63" i="5" a="1"/>
  <c r="X63" i="5" s="1"/>
  <c r="C63" i="5" a="1"/>
  <c r="C63" i="5" s="1"/>
  <c r="D63" i="5" a="1"/>
  <c r="D63" i="5" s="1"/>
  <c r="AA96" i="10" a="1"/>
  <c r="AA96" i="10" s="1"/>
  <c r="AF96" i="10" s="1"/>
  <c r="Y96" i="10" a="1"/>
  <c r="Y96" i="10" s="1"/>
  <c r="AD96" i="10" s="1"/>
  <c r="W96" i="10" a="1"/>
  <c r="W96" i="10" s="1"/>
  <c r="AB96" i="10" s="1"/>
  <c r="Z96" i="10" a="1"/>
  <c r="Z96" i="10" s="1"/>
  <c r="AE96" i="10" s="1"/>
  <c r="AJ96" i="10" s="1"/>
  <c r="X96" i="10" a="1"/>
  <c r="X96" i="10" s="1"/>
  <c r="AC96" i="10" s="1"/>
  <c r="AH96" i="10" s="1"/>
  <c r="AH62" i="5"/>
  <c r="AH61" i="5"/>
  <c r="AK96" i="10"/>
  <c r="AK94" i="10"/>
  <c r="AK95" i="10"/>
  <c r="AM94" i="10"/>
  <c r="AL94" i="10"/>
  <c r="AG95" i="10"/>
  <c r="AG96" i="10"/>
  <c r="AG94" i="10"/>
  <c r="AP78" i="10"/>
  <c r="AO78" i="10"/>
  <c r="AJ78" i="10"/>
  <c r="AJ80" i="10"/>
  <c r="AJ79" i="10"/>
  <c r="AP77" i="10"/>
  <c r="AO77" i="10"/>
  <c r="AP60" i="5"/>
  <c r="AO60" i="5"/>
  <c r="AL61" i="5"/>
  <c r="AM61" i="5"/>
  <c r="AG62" i="5"/>
  <c r="AG61" i="5"/>
  <c r="AJ80" i="5"/>
  <c r="AJ79" i="5"/>
  <c r="AL79" i="5"/>
  <c r="AM79" i="5"/>
  <c r="M11" i="5" a="1"/>
  <c r="M11" i="5" s="1"/>
  <c r="AF62" i="5"/>
  <c r="G80" i="10" a="1"/>
  <c r="G80" i="10" s="1"/>
  <c r="F80" i="10" a="1"/>
  <c r="F80" i="10" s="1"/>
  <c r="E80" i="10" a="1"/>
  <c r="E80" i="10" s="1"/>
  <c r="D80" i="10" a="1"/>
  <c r="D80" i="10" s="1"/>
  <c r="C80" i="10" a="1"/>
  <c r="C80" i="10" s="1"/>
  <c r="C96" i="10" a="1"/>
  <c r="C96" i="10" s="1"/>
  <c r="D96" i="10" a="1"/>
  <c r="D96" i="10" s="1"/>
  <c r="E96" i="10" a="1"/>
  <c r="E96" i="10" s="1"/>
  <c r="F96" i="10" a="1"/>
  <c r="F96" i="10" s="1"/>
  <c r="G96" i="10" a="1"/>
  <c r="G96" i="10" s="1"/>
  <c r="H52" i="10"/>
  <c r="I52" i="10"/>
  <c r="J52" i="10"/>
  <c r="K52" i="10"/>
  <c r="L52" i="10"/>
  <c r="B52" i="10"/>
  <c r="A54" i="10"/>
  <c r="Q53" i="10" s="1" a="1"/>
  <c r="Q53" i="10" s="1"/>
  <c r="P53" i="10" a="1"/>
  <c r="P53" i="10" s="1"/>
  <c r="N53" i="10" a="1"/>
  <c r="N53" i="10" s="1"/>
  <c r="G53" i="10" a="1"/>
  <c r="G53" i="10" s="1"/>
  <c r="E53" i="10" a="1"/>
  <c r="E53" i="10" s="1"/>
  <c r="C53" i="10" a="1"/>
  <c r="C53" i="10" s="1"/>
  <c r="A118" i="10"/>
  <c r="G117" i="10" a="1"/>
  <c r="G117" i="10" s="1"/>
  <c r="F117" i="10" a="1"/>
  <c r="F117" i="10" s="1"/>
  <c r="E117" i="10" a="1"/>
  <c r="E117" i="10" s="1"/>
  <c r="D117" i="10" a="1"/>
  <c r="D117" i="10" s="1"/>
  <c r="C117" i="10" a="1"/>
  <c r="C117" i="10" s="1"/>
  <c r="C12" i="10" a="1"/>
  <c r="C12" i="10" s="1"/>
  <c r="D12" i="10" a="1"/>
  <c r="D12" i="10" s="1"/>
  <c r="E12" i="10" a="1"/>
  <c r="E12" i="10" s="1"/>
  <c r="F12" i="10" a="1"/>
  <c r="F12" i="10" s="1"/>
  <c r="G12" i="10" a="1"/>
  <c r="G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B12" i="10"/>
  <c r="A81" i="10"/>
  <c r="V93" i="10"/>
  <c r="U93" i="10"/>
  <c r="S95" i="10"/>
  <c r="R95" i="10"/>
  <c r="A97" i="10"/>
  <c r="L96" i="10"/>
  <c r="K96" i="10"/>
  <c r="J96" i="10"/>
  <c r="I96" i="10"/>
  <c r="H96" i="10"/>
  <c r="V94" i="10"/>
  <c r="U94" i="10"/>
  <c r="S79" i="5"/>
  <c r="R79" i="5"/>
  <c r="O79" i="5"/>
  <c r="V78" i="5"/>
  <c r="U78" i="5"/>
  <c r="D11" i="5" a="1"/>
  <c r="D11" i="5" s="1"/>
  <c r="C11" i="5" a="1"/>
  <c r="C11" i="5" s="1"/>
  <c r="F63" i="5" a="1"/>
  <c r="F63" i="5" s="1"/>
  <c r="G63" i="5" a="1"/>
  <c r="G63" i="5" s="1"/>
  <c r="E63" i="5" a="1"/>
  <c r="E63" i="5" s="1"/>
  <c r="G80" i="5" a="1"/>
  <c r="G80" i="5" s="1"/>
  <c r="L80" i="5" s="1"/>
  <c r="Q80" i="5" s="1"/>
  <c r="E80" i="5" a="1"/>
  <c r="E80" i="5" s="1"/>
  <c r="J80" i="5" s="1"/>
  <c r="E11" i="5" a="1"/>
  <c r="E11" i="5" s="1"/>
  <c r="O11" i="5" a="1"/>
  <c r="O11" i="5" s="1"/>
  <c r="A81" i="5"/>
  <c r="A64" i="5"/>
  <c r="A13" i="5"/>
  <c r="M12" i="5" s="1" a="1"/>
  <c r="M12" i="5" s="1"/>
  <c r="G12" i="5" a="1"/>
  <c r="G12" i="5" s="1"/>
  <c r="F11" i="5" a="1"/>
  <c r="F11" i="5" s="1"/>
  <c r="P11" i="5" a="1"/>
  <c r="P11" i="5" s="1"/>
  <c r="Q11" i="5" a="1"/>
  <c r="Q11" i="5" s="1"/>
  <c r="Z64" i="5" l="1" a="1"/>
  <c r="Z64" i="5" s="1"/>
  <c r="AE64" i="5" s="1"/>
  <c r="X64" i="5" a="1"/>
  <c r="X64" i="5" s="1"/>
  <c r="AC64" i="5" s="1"/>
  <c r="Y64" i="5" a="1"/>
  <c r="Y64" i="5" s="1"/>
  <c r="AD64" i="5" s="1"/>
  <c r="AA64" i="5" a="1"/>
  <c r="AA64" i="5" s="1"/>
  <c r="W64" i="5" a="1"/>
  <c r="W64" i="5" s="1"/>
  <c r="AB64" i="5" s="1"/>
  <c r="C64" i="5" a="1"/>
  <c r="C64" i="5" s="1"/>
  <c r="D64" i="5" a="1"/>
  <c r="D64" i="5" s="1"/>
  <c r="X81" i="10" a="1"/>
  <c r="X81" i="10" s="1"/>
  <c r="Z81" i="10" a="1"/>
  <c r="Z81" i="10" s="1"/>
  <c r="W81" i="10" a="1"/>
  <c r="W81" i="10" s="1"/>
  <c r="Y81" i="10" a="1"/>
  <c r="Y81" i="10" s="1"/>
  <c r="AA81" i="10" a="1"/>
  <c r="AA81" i="10" s="1"/>
  <c r="AK62" i="5"/>
  <c r="AK63" i="5"/>
  <c r="AP79" i="5"/>
  <c r="AO79" i="5"/>
  <c r="AO94" i="10"/>
  <c r="AP94" i="10"/>
  <c r="AI96" i="10"/>
  <c r="AC63" i="5"/>
  <c r="AB63" i="5"/>
  <c r="AL62" i="5"/>
  <c r="AO95" i="10"/>
  <c r="AP95" i="10"/>
  <c r="AL80" i="10"/>
  <c r="AM80" i="10"/>
  <c r="AG80" i="10"/>
  <c r="N80" i="5"/>
  <c r="AF80" i="5"/>
  <c r="AB80" i="5"/>
  <c r="B12" i="5"/>
  <c r="W81" i="5" a="1"/>
  <c r="W81" i="5" s="1"/>
  <c r="AB81" i="5" s="1"/>
  <c r="Y81" i="5" a="1"/>
  <c r="Y81" i="5" s="1"/>
  <c r="AD81" i="5" s="1"/>
  <c r="AA81" i="5" a="1"/>
  <c r="AA81" i="5" s="1"/>
  <c r="AF81" i="5" s="1"/>
  <c r="X81" i="5" a="1"/>
  <c r="X81" i="5" s="1"/>
  <c r="Z81" i="5" a="1"/>
  <c r="Z81" i="5" s="1"/>
  <c r="C81" i="5" a="1"/>
  <c r="C81" i="5" s="1"/>
  <c r="D81" i="5" a="1"/>
  <c r="D81" i="5" s="1"/>
  <c r="F81" i="5" a="1"/>
  <c r="F81" i="5" s="1"/>
  <c r="Z97" i="10" a="1"/>
  <c r="Z97" i="10" s="1"/>
  <c r="X97" i="10" a="1"/>
  <c r="X97" i="10" s="1"/>
  <c r="Y97" i="10" a="1"/>
  <c r="Y97" i="10" s="1"/>
  <c r="AA97" i="10" a="1"/>
  <c r="AA97" i="10" s="1"/>
  <c r="W97" i="10" a="1"/>
  <c r="W97" i="10" s="1"/>
  <c r="D53" i="10" a="1"/>
  <c r="D53" i="10" s="1"/>
  <c r="F53" i="10" a="1"/>
  <c r="F53" i="10" s="1"/>
  <c r="M53" i="10" a="1"/>
  <c r="M53" i="10" s="1"/>
  <c r="O53" i="10" a="1"/>
  <c r="O53" i="10" s="1"/>
  <c r="AP61" i="5"/>
  <c r="AO61" i="5"/>
  <c r="AM96" i="10"/>
  <c r="AL96" i="10"/>
  <c r="AE63" i="5"/>
  <c r="AD63" i="5"/>
  <c r="AM62" i="5"/>
  <c r="AH79" i="10"/>
  <c r="AH80" i="10"/>
  <c r="AL79" i="10"/>
  <c r="AM79" i="10"/>
  <c r="AG79" i="10"/>
  <c r="M80" i="5"/>
  <c r="AD80" i="5"/>
  <c r="Y83" i="5"/>
  <c r="Y84" i="5" s="1"/>
  <c r="N12" i="5" a="1"/>
  <c r="N12" i="5" s="1"/>
  <c r="C97" i="10" a="1"/>
  <c r="C97" i="10" s="1"/>
  <c r="D97" i="10" a="1"/>
  <c r="D97" i="10" s="1"/>
  <c r="E97" i="10" a="1"/>
  <c r="E97" i="10" s="1"/>
  <c r="F97" i="10" a="1"/>
  <c r="F97" i="10" s="1"/>
  <c r="G97" i="10" a="1"/>
  <c r="G97" i="10" s="1"/>
  <c r="G81" i="10" a="1"/>
  <c r="G81" i="10" s="1"/>
  <c r="F81" i="10" a="1"/>
  <c r="F81" i="10" s="1"/>
  <c r="E81" i="10" a="1"/>
  <c r="E81" i="10" s="1"/>
  <c r="D81" i="10" a="1"/>
  <c r="D81" i="10" s="1"/>
  <c r="C81" i="10" a="1"/>
  <c r="C81" i="10" s="1"/>
  <c r="L53" i="10"/>
  <c r="K53" i="10"/>
  <c r="J53" i="10"/>
  <c r="I53" i="10"/>
  <c r="H53" i="10"/>
  <c r="B53" i="10"/>
  <c r="A55" i="10"/>
  <c r="Q54" i="10" a="1"/>
  <c r="Q54" i="10" s="1"/>
  <c r="P54" i="10" a="1"/>
  <c r="P54" i="10" s="1"/>
  <c r="O54" i="10" a="1"/>
  <c r="O54" i="10" s="1"/>
  <c r="N54" i="10" a="1"/>
  <c r="N54" i="10" s="1"/>
  <c r="M54" i="10" a="1"/>
  <c r="M54" i="10" s="1"/>
  <c r="G54" i="10" a="1"/>
  <c r="G54" i="10" s="1"/>
  <c r="L54" i="10" s="1"/>
  <c r="F54" i="10" a="1"/>
  <c r="F54" i="10" s="1"/>
  <c r="K54" i="10" s="1"/>
  <c r="E54" i="10" a="1"/>
  <c r="E54" i="10" s="1"/>
  <c r="J54" i="10" s="1"/>
  <c r="D54" i="10" a="1"/>
  <c r="D54" i="10" s="1"/>
  <c r="I54" i="10" s="1"/>
  <c r="C54" i="10" a="1"/>
  <c r="C54" i="10" s="1"/>
  <c r="H54" i="10" s="1"/>
  <c r="G118" i="10" a="1"/>
  <c r="G118" i="10" s="1"/>
  <c r="F118" i="10" a="1"/>
  <c r="F118" i="10" s="1"/>
  <c r="E118" i="10" a="1"/>
  <c r="E118" i="10" s="1"/>
  <c r="D118" i="10" a="1"/>
  <c r="D118" i="10" s="1"/>
  <c r="C118" i="10" a="1"/>
  <c r="C118" i="10" s="1"/>
  <c r="C13" i="10" a="1"/>
  <c r="C13" i="10" s="1"/>
  <c r="D13" i="10" a="1"/>
  <c r="D13" i="10" s="1"/>
  <c r="E13" i="10" a="1"/>
  <c r="E13" i="10" s="1"/>
  <c r="F13" i="10" a="1"/>
  <c r="F13" i="10" s="1"/>
  <c r="G13" i="10" a="1"/>
  <c r="G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S96" i="10"/>
  <c r="R96" i="10"/>
  <c r="M96" i="10"/>
  <c r="N96" i="10"/>
  <c r="O96" i="10"/>
  <c r="P96" i="10"/>
  <c r="Q96" i="10"/>
  <c r="V95" i="10"/>
  <c r="U95" i="10"/>
  <c r="B13" i="10"/>
  <c r="S80" i="5"/>
  <c r="R80" i="5"/>
  <c r="O80" i="5"/>
  <c r="V79" i="5"/>
  <c r="U79" i="5"/>
  <c r="D12" i="5" a="1"/>
  <c r="D12" i="5" s="1"/>
  <c r="C12" i="5" a="1"/>
  <c r="C12" i="5" s="1"/>
  <c r="F64" i="5" a="1"/>
  <c r="F64" i="5" s="1"/>
  <c r="G64" i="5" a="1"/>
  <c r="G64" i="5" s="1"/>
  <c r="E64" i="5" a="1"/>
  <c r="E64" i="5" s="1"/>
  <c r="G81" i="5" a="1"/>
  <c r="G81" i="5" s="1"/>
  <c r="E81" i="5" a="1"/>
  <c r="E81" i="5" s="1"/>
  <c r="E12" i="5" a="1"/>
  <c r="E12" i="5" s="1"/>
  <c r="O12" i="5" a="1"/>
  <c r="O12" i="5" s="1"/>
  <c r="A65" i="5"/>
  <c r="A14" i="5"/>
  <c r="M13" i="5" s="1" a="1"/>
  <c r="M13" i="5" s="1"/>
  <c r="G13" i="5" a="1"/>
  <c r="G13" i="5" s="1"/>
  <c r="F12" i="5" a="1"/>
  <c r="F12" i="5" s="1"/>
  <c r="P12" i="5" a="1"/>
  <c r="P12" i="5" s="1"/>
  <c r="Q12" i="5" a="1"/>
  <c r="Q12" i="5" s="1"/>
  <c r="AP79" i="10" l="1"/>
  <c r="AO79" i="10"/>
  <c r="AI64" i="5"/>
  <c r="AI63" i="5"/>
  <c r="AJ64" i="5"/>
  <c r="AJ63" i="5"/>
  <c r="AO96" i="10"/>
  <c r="AP96" i="10"/>
  <c r="AB97" i="10"/>
  <c r="W99" i="10"/>
  <c r="W100" i="10" s="1"/>
  <c r="AD97" i="10"/>
  <c r="AI97" i="10" s="1"/>
  <c r="Y99" i="10"/>
  <c r="Y100" i="10" s="1"/>
  <c r="AE97" i="10"/>
  <c r="AJ97" i="10" s="1"/>
  <c r="Z99" i="10"/>
  <c r="Z100" i="10" s="1"/>
  <c r="I81" i="5"/>
  <c r="D83" i="5"/>
  <c r="D84" i="5" s="1"/>
  <c r="AE81" i="5"/>
  <c r="AJ81" i="5" s="1"/>
  <c r="Z83" i="5"/>
  <c r="Z84" i="5" s="1"/>
  <c r="W83" i="5"/>
  <c r="W84" i="5" s="1"/>
  <c r="AA83" i="5"/>
  <c r="AA84" i="5" s="1"/>
  <c r="AP62" i="5"/>
  <c r="AO62" i="5"/>
  <c r="AL63" i="5"/>
  <c r="AM63" i="5"/>
  <c r="AG64" i="5"/>
  <c r="AG63" i="5"/>
  <c r="AH64" i="5"/>
  <c r="AH63" i="5"/>
  <c r="AF81" i="10"/>
  <c r="AK81" i="10" s="1"/>
  <c r="AA83" i="10"/>
  <c r="AA84" i="10" s="1"/>
  <c r="AB81" i="10"/>
  <c r="W83" i="10"/>
  <c r="W84" i="10" s="1"/>
  <c r="AC81" i="10"/>
  <c r="AH81" i="10" s="1"/>
  <c r="X83" i="10"/>
  <c r="X84" i="10" s="1"/>
  <c r="AF64" i="5"/>
  <c r="AK64" i="5" s="1"/>
  <c r="AA65" i="5" a="1"/>
  <c r="AA65" i="5" s="1"/>
  <c r="AF65" i="5" s="1"/>
  <c r="AK65" i="5" s="1"/>
  <c r="Y65" i="5" a="1"/>
  <c r="Y65" i="5" s="1"/>
  <c r="W65" i="5" a="1"/>
  <c r="W65" i="5" s="1"/>
  <c r="X65" i="5" a="1"/>
  <c r="X65" i="5" s="1"/>
  <c r="Z65" i="5" a="1"/>
  <c r="Z65" i="5" s="1"/>
  <c r="C65" i="5" a="1"/>
  <c r="C65" i="5" s="1"/>
  <c r="D65" i="5" a="1"/>
  <c r="D65" i="5" s="1"/>
  <c r="B13" i="5"/>
  <c r="AI81" i="5"/>
  <c r="AI80" i="5"/>
  <c r="AF97" i="10"/>
  <c r="AK97" i="10" s="1"/>
  <c r="AA99" i="10"/>
  <c r="AA100" i="10" s="1"/>
  <c r="AC97" i="10"/>
  <c r="AH97" i="10" s="1"/>
  <c r="X99" i="10"/>
  <c r="X100" i="10" s="1"/>
  <c r="K81" i="5"/>
  <c r="F83" i="5"/>
  <c r="F84" i="5" s="1"/>
  <c r="H81" i="5"/>
  <c r="C83" i="5"/>
  <c r="C84" i="5" s="1"/>
  <c r="AC81" i="5"/>
  <c r="AH81" i="5" s="1"/>
  <c r="X83" i="5"/>
  <c r="X84" i="5" s="1"/>
  <c r="N13" i="5" a="1"/>
  <c r="N13" i="5" s="1"/>
  <c r="AL80" i="5"/>
  <c r="AM80" i="5"/>
  <c r="AG80" i="5"/>
  <c r="AG81" i="5"/>
  <c r="AK80" i="5"/>
  <c r="AK81" i="5"/>
  <c r="AP80" i="10"/>
  <c r="AO80" i="10"/>
  <c r="AD81" i="10"/>
  <c r="AI81" i="10" s="1"/>
  <c r="Y83" i="10"/>
  <c r="Y84" i="10" s="1"/>
  <c r="AE81" i="10"/>
  <c r="AJ81" i="10" s="1"/>
  <c r="Z83" i="10"/>
  <c r="Z84" i="10" s="1"/>
  <c r="AL64" i="5"/>
  <c r="AM64" i="5"/>
  <c r="B54" i="10"/>
  <c r="A56" i="10"/>
  <c r="Q55" i="10" a="1"/>
  <c r="Q55" i="10" s="1"/>
  <c r="P55" i="10" a="1"/>
  <c r="P55" i="10" s="1"/>
  <c r="O55" i="10" a="1"/>
  <c r="O55" i="10" s="1"/>
  <c r="N55" i="10" a="1"/>
  <c r="N55" i="10" s="1"/>
  <c r="M55" i="10" a="1"/>
  <c r="M55" i="10" s="1"/>
  <c r="G55" i="10" a="1"/>
  <c r="G55" i="10" s="1"/>
  <c r="L55" i="10" s="1"/>
  <c r="F55" i="10" a="1"/>
  <c r="F55" i="10" s="1"/>
  <c r="K55" i="10" s="1"/>
  <c r="E55" i="10" a="1"/>
  <c r="E55" i="10" s="1"/>
  <c r="J55" i="10" s="1"/>
  <c r="D55" i="10" a="1"/>
  <c r="D55" i="10" s="1"/>
  <c r="I55" i="10" s="1"/>
  <c r="C55" i="10" a="1"/>
  <c r="C55" i="10" s="1"/>
  <c r="H55" i="10" s="1"/>
  <c r="C14" i="10" a="1"/>
  <c r="C14" i="10" s="1"/>
  <c r="D14" i="10" a="1"/>
  <c r="D14" i="10" s="1"/>
  <c r="E14" i="10" a="1"/>
  <c r="E14" i="10" s="1"/>
  <c r="F14" i="10" a="1"/>
  <c r="F14" i="10" s="1"/>
  <c r="G14" i="10" a="1"/>
  <c r="G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B14" i="10"/>
  <c r="C82" i="10"/>
  <c r="D82" i="10"/>
  <c r="E82" i="10"/>
  <c r="F82" i="10"/>
  <c r="G82" i="10"/>
  <c r="H97" i="10"/>
  <c r="C99" i="10"/>
  <c r="C100" i="10" s="1"/>
  <c r="I97" i="10"/>
  <c r="D99" i="10"/>
  <c r="D100" i="10" s="1"/>
  <c r="J97" i="10"/>
  <c r="E99" i="10"/>
  <c r="E100" i="10" s="1"/>
  <c r="K97" i="10"/>
  <c r="F99" i="10"/>
  <c r="F100" i="10" s="1"/>
  <c r="L97" i="10"/>
  <c r="G99" i="10"/>
  <c r="G100" i="10" s="1"/>
  <c r="V96" i="10"/>
  <c r="U96" i="10"/>
  <c r="J81" i="5"/>
  <c r="E83" i="5"/>
  <c r="E84" i="5" s="1"/>
  <c r="L81" i="5"/>
  <c r="G83" i="5"/>
  <c r="G84" i="5" s="1"/>
  <c r="V80" i="5"/>
  <c r="U80" i="5"/>
  <c r="D13" i="5" a="1"/>
  <c r="D13" i="5" s="1"/>
  <c r="C13" i="5" a="1"/>
  <c r="C13" i="5" s="1"/>
  <c r="F65" i="5" a="1"/>
  <c r="F65" i="5" s="1"/>
  <c r="G65" i="5" a="1"/>
  <c r="G65" i="5" s="1"/>
  <c r="E65" i="5" a="1"/>
  <c r="E65" i="5" s="1"/>
  <c r="E13" i="5" a="1"/>
  <c r="E13" i="5" s="1"/>
  <c r="O13" i="5" a="1"/>
  <c r="O13" i="5" s="1"/>
  <c r="A15" i="5"/>
  <c r="F13" i="5" a="1"/>
  <c r="F13" i="5" s="1"/>
  <c r="P13" i="5" a="1"/>
  <c r="P13" i="5" s="1"/>
  <c r="Q13" i="5" a="1"/>
  <c r="Q13" i="5" s="1"/>
  <c r="B14" i="5" l="1"/>
  <c r="G14" i="5" a="1"/>
  <c r="G14" i="5" s="1"/>
  <c r="AP64" i="5"/>
  <c r="AO64" i="5"/>
  <c r="H83" i="5"/>
  <c r="M81" i="5"/>
  <c r="P81" i="5"/>
  <c r="K83" i="5"/>
  <c r="M14" i="5" a="1"/>
  <c r="M14" i="5" s="1"/>
  <c r="D66" i="5"/>
  <c r="I65" i="5" s="1"/>
  <c r="AE65" i="5"/>
  <c r="AJ65" i="5" s="1"/>
  <c r="Z67" i="5"/>
  <c r="Z68" i="5" s="1"/>
  <c r="AB65" i="5"/>
  <c r="W67" i="5"/>
  <c r="W68" i="5" s="1"/>
  <c r="AM81" i="5"/>
  <c r="AP80" i="5"/>
  <c r="AO80" i="5"/>
  <c r="N14" i="5" a="1"/>
  <c r="N14" i="5" s="1"/>
  <c r="C66" i="5"/>
  <c r="H65" i="5" s="1"/>
  <c r="AC65" i="5"/>
  <c r="AH65" i="5" s="1"/>
  <c r="X67" i="5"/>
  <c r="X68" i="5" s="1"/>
  <c r="AD65" i="5"/>
  <c r="AI65" i="5" s="1"/>
  <c r="Y67" i="5"/>
  <c r="Y68" i="5" s="1"/>
  <c r="AA67" i="5"/>
  <c r="AA68" i="5" s="1"/>
  <c r="AL81" i="10"/>
  <c r="AM81" i="10"/>
  <c r="AG81" i="10"/>
  <c r="AP63" i="5"/>
  <c r="AO63" i="5"/>
  <c r="AL81" i="5"/>
  <c r="I83" i="5"/>
  <c r="N81" i="5"/>
  <c r="AM97" i="10"/>
  <c r="AL97" i="10"/>
  <c r="AG97" i="10"/>
  <c r="B55" i="10"/>
  <c r="A57" i="10"/>
  <c r="Q56" i="10" s="1" a="1"/>
  <c r="Q56" i="10" s="1"/>
  <c r="P56" i="10" a="1"/>
  <c r="P56" i="10" s="1"/>
  <c r="N56" i="10" a="1"/>
  <c r="N56" i="10" s="1"/>
  <c r="M56" i="10" a="1"/>
  <c r="M56" i="10" s="1"/>
  <c r="G56" i="10" a="1"/>
  <c r="G56" i="10" s="1"/>
  <c r="L56" i="10" s="1"/>
  <c r="F56" i="10" a="1"/>
  <c r="F56" i="10" s="1"/>
  <c r="K56" i="10" s="1"/>
  <c r="E56" i="10" a="1"/>
  <c r="E56" i="10" s="1"/>
  <c r="J56" i="10" s="1"/>
  <c r="D56" i="10" a="1"/>
  <c r="D56" i="10" s="1"/>
  <c r="I56" i="10" s="1"/>
  <c r="C56" i="10" a="1"/>
  <c r="C56" i="10" s="1"/>
  <c r="H56" i="10" s="1"/>
  <c r="L107" i="10"/>
  <c r="L108" i="10"/>
  <c r="L109" i="10"/>
  <c r="L110" i="10"/>
  <c r="L111" i="10"/>
  <c r="L112" i="10"/>
  <c r="L113" i="10"/>
  <c r="L114" i="10"/>
  <c r="L115" i="10"/>
  <c r="L116" i="10"/>
  <c r="L117" i="10"/>
  <c r="K107" i="10"/>
  <c r="K108" i="10"/>
  <c r="K109" i="10"/>
  <c r="K110" i="10"/>
  <c r="K111" i="10"/>
  <c r="K112" i="10"/>
  <c r="K113" i="10"/>
  <c r="K114" i="10"/>
  <c r="K115" i="10"/>
  <c r="K116" i="10"/>
  <c r="K117" i="10"/>
  <c r="J107" i="10"/>
  <c r="J108" i="10"/>
  <c r="J109" i="10"/>
  <c r="J110" i="10"/>
  <c r="J111" i="10"/>
  <c r="J112" i="10"/>
  <c r="J113" i="10"/>
  <c r="J114" i="10"/>
  <c r="J115" i="10"/>
  <c r="J116" i="10"/>
  <c r="J117" i="10"/>
  <c r="I107" i="10"/>
  <c r="I108" i="10"/>
  <c r="I109" i="10"/>
  <c r="I110" i="10"/>
  <c r="I111" i="10"/>
  <c r="I112" i="10"/>
  <c r="I113" i="10"/>
  <c r="I114" i="10"/>
  <c r="I115" i="10"/>
  <c r="I116" i="10"/>
  <c r="I117" i="10"/>
  <c r="H107" i="10"/>
  <c r="H108" i="10"/>
  <c r="H109" i="10"/>
  <c r="H110" i="10"/>
  <c r="H111" i="10"/>
  <c r="H112" i="10"/>
  <c r="H113" i="10"/>
  <c r="H114" i="10"/>
  <c r="H115" i="10"/>
  <c r="H116" i="10"/>
  <c r="H117" i="10"/>
  <c r="L118" i="10"/>
  <c r="K118" i="10"/>
  <c r="J118" i="10"/>
  <c r="I118" i="10"/>
  <c r="H118" i="10"/>
  <c r="C15" i="10" a="1"/>
  <c r="C15" i="10" s="1"/>
  <c r="D15" i="10" a="1"/>
  <c r="D15" i="10" s="1"/>
  <c r="E15" i="10" a="1"/>
  <c r="E15" i="10" s="1"/>
  <c r="F15" i="10" a="1"/>
  <c r="F15" i="10" s="1"/>
  <c r="G15" i="10" a="1"/>
  <c r="G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 s="1"/>
  <c r="L99" i="10"/>
  <c r="Q97" i="10"/>
  <c r="K99" i="10"/>
  <c r="P97" i="10"/>
  <c r="J99" i="10"/>
  <c r="O97" i="10"/>
  <c r="I99" i="10"/>
  <c r="N97" i="10"/>
  <c r="S97" i="10"/>
  <c r="R97" i="10"/>
  <c r="H99" i="10"/>
  <c r="M97" i="10"/>
  <c r="L70" i="10"/>
  <c r="L71" i="10"/>
  <c r="L72" i="10"/>
  <c r="L73" i="10"/>
  <c r="L74" i="10"/>
  <c r="L75" i="10"/>
  <c r="L76" i="10"/>
  <c r="L77" i="10"/>
  <c r="L78" i="10"/>
  <c r="L79" i="10"/>
  <c r="L80" i="10"/>
  <c r="K70" i="10"/>
  <c r="K71" i="10"/>
  <c r="K72" i="10"/>
  <c r="K73" i="10"/>
  <c r="K74" i="10"/>
  <c r="K75" i="10"/>
  <c r="K76" i="10"/>
  <c r="K77" i="10"/>
  <c r="K78" i="10"/>
  <c r="K79" i="10"/>
  <c r="K80" i="10"/>
  <c r="J70" i="10"/>
  <c r="J71" i="10"/>
  <c r="J72" i="10"/>
  <c r="J73" i="10"/>
  <c r="J74" i="10"/>
  <c r="J75" i="10"/>
  <c r="J76" i="10"/>
  <c r="J77" i="10"/>
  <c r="J78" i="10"/>
  <c r="J79" i="10"/>
  <c r="J80" i="10"/>
  <c r="I70" i="10"/>
  <c r="I71" i="10"/>
  <c r="I72" i="10"/>
  <c r="I73" i="10"/>
  <c r="I74" i="10"/>
  <c r="I75" i="10"/>
  <c r="I76" i="10"/>
  <c r="I77" i="10"/>
  <c r="I78" i="10"/>
  <c r="I79" i="10"/>
  <c r="I80" i="10"/>
  <c r="H70" i="10"/>
  <c r="H71" i="10"/>
  <c r="H72" i="10"/>
  <c r="H73" i="10"/>
  <c r="H74" i="10"/>
  <c r="H75" i="10"/>
  <c r="H76" i="10"/>
  <c r="H77" i="10"/>
  <c r="H78" i="10"/>
  <c r="H79" i="10"/>
  <c r="H80" i="10"/>
  <c r="B15" i="10"/>
  <c r="L81" i="10"/>
  <c r="K81" i="10"/>
  <c r="J81" i="10"/>
  <c r="I81" i="10"/>
  <c r="H81" i="10"/>
  <c r="E66" i="5"/>
  <c r="J65" i="5" s="1"/>
  <c r="G66" i="5"/>
  <c r="L65" i="5" s="1"/>
  <c r="F66" i="5"/>
  <c r="K65" i="5" s="1"/>
  <c r="L83" i="5"/>
  <c r="Q81" i="5"/>
  <c r="S81" i="5"/>
  <c r="R81" i="5"/>
  <c r="O81" i="5"/>
  <c r="J83" i="5"/>
  <c r="D14" i="5" a="1"/>
  <c r="D14" i="5" s="1"/>
  <c r="C14" i="5" a="1"/>
  <c r="C14" i="5" s="1"/>
  <c r="E14" i="5" a="1"/>
  <c r="E14" i="5" s="1"/>
  <c r="O14" i="5" a="1"/>
  <c r="O14" i="5" s="1"/>
  <c r="A16" i="5"/>
  <c r="M15" i="5" s="1" a="1"/>
  <c r="M15" i="5" s="1"/>
  <c r="F14" i="5" a="1"/>
  <c r="F14" i="5" s="1"/>
  <c r="P14" i="5" a="1"/>
  <c r="P14" i="5" s="1"/>
  <c r="Q14" i="5" a="1"/>
  <c r="Q14" i="5" s="1"/>
  <c r="G15" i="5" l="1" a="1"/>
  <c r="G15" i="5" s="1"/>
  <c r="O56" i="10" a="1"/>
  <c r="O56" i="10" s="1"/>
  <c r="AO97" i="10"/>
  <c r="AP97" i="10"/>
  <c r="AP81" i="5"/>
  <c r="AO81" i="5"/>
  <c r="AL65" i="5"/>
  <c r="AM65" i="5"/>
  <c r="AG65" i="5"/>
  <c r="B15" i="5"/>
  <c r="AP81" i="10"/>
  <c r="AO81" i="10"/>
  <c r="H54" i="5"/>
  <c r="H55" i="5"/>
  <c r="H56" i="5"/>
  <c r="H57" i="5"/>
  <c r="H58" i="5"/>
  <c r="H59" i="5"/>
  <c r="H60" i="5"/>
  <c r="H61" i="5"/>
  <c r="H62" i="5"/>
  <c r="H63" i="5"/>
  <c r="H64" i="5"/>
  <c r="I54" i="5"/>
  <c r="I55" i="5"/>
  <c r="N55" i="5" s="1"/>
  <c r="I56" i="5"/>
  <c r="I57" i="5"/>
  <c r="I58" i="5"/>
  <c r="I59" i="5"/>
  <c r="I60" i="5"/>
  <c r="I61" i="5"/>
  <c r="I62" i="5"/>
  <c r="I63" i="5"/>
  <c r="I64" i="5"/>
  <c r="N15" i="5" a="1"/>
  <c r="N15" i="5" s="1"/>
  <c r="B56" i="10"/>
  <c r="A58" i="10"/>
  <c r="Q57" i="10" s="1" a="1"/>
  <c r="Q57" i="10" s="1"/>
  <c r="P57" i="10" a="1"/>
  <c r="P57" i="10" s="1"/>
  <c r="N57" i="10" a="1"/>
  <c r="N57" i="10" s="1"/>
  <c r="M57" i="10" a="1"/>
  <c r="M57" i="10" s="1"/>
  <c r="G57" i="10" a="1"/>
  <c r="G57" i="10" s="1"/>
  <c r="L57" i="10" s="1"/>
  <c r="F57" i="10" a="1"/>
  <c r="F57" i="10" s="1"/>
  <c r="K57" i="10" s="1"/>
  <c r="E57" i="10" a="1"/>
  <c r="E57" i="10" s="1"/>
  <c r="J57" i="10" s="1"/>
  <c r="D57" i="10" a="1"/>
  <c r="D57" i="10" s="1"/>
  <c r="I57" i="10" s="1"/>
  <c r="C57" i="10" a="1"/>
  <c r="C57" i="10" s="1"/>
  <c r="H57" i="10" s="1"/>
  <c r="S118" i="10"/>
  <c r="R118" i="10"/>
  <c r="S117" i="10"/>
  <c r="R117" i="10"/>
  <c r="S116" i="10"/>
  <c r="R116" i="10"/>
  <c r="S115" i="10"/>
  <c r="R115" i="10"/>
  <c r="S114" i="10"/>
  <c r="R114" i="10"/>
  <c r="S113" i="10"/>
  <c r="R113" i="10"/>
  <c r="S112" i="10"/>
  <c r="R112" i="10"/>
  <c r="S111" i="10"/>
  <c r="R111" i="10"/>
  <c r="S110" i="10"/>
  <c r="R110" i="10"/>
  <c r="S109" i="10"/>
  <c r="R109" i="10"/>
  <c r="S108" i="10"/>
  <c r="R108" i="10"/>
  <c r="S107" i="10"/>
  <c r="R107" i="10"/>
  <c r="C16" i="10" a="1"/>
  <c r="C16" i="10" s="1"/>
  <c r="D16" i="10" a="1"/>
  <c r="D16" i="10" s="1"/>
  <c r="E16" i="10" a="1"/>
  <c r="E16" i="10" s="1"/>
  <c r="F16" i="10" a="1"/>
  <c r="F16" i="10" s="1"/>
  <c r="G16" i="10" a="1"/>
  <c r="G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S81" i="10"/>
  <c r="R81" i="10"/>
  <c r="B16" i="10"/>
  <c r="S80" i="10"/>
  <c r="R80" i="10"/>
  <c r="S79" i="10"/>
  <c r="R79" i="10"/>
  <c r="S78" i="10"/>
  <c r="R78" i="10"/>
  <c r="S77" i="10"/>
  <c r="R77" i="10"/>
  <c r="S76" i="10"/>
  <c r="R76" i="10"/>
  <c r="S75" i="10"/>
  <c r="R75" i="10"/>
  <c r="S74" i="10"/>
  <c r="R74" i="10"/>
  <c r="S73" i="10"/>
  <c r="R73" i="10"/>
  <c r="S72" i="10"/>
  <c r="R72" i="10"/>
  <c r="S71" i="10"/>
  <c r="R71" i="10"/>
  <c r="M81" i="10"/>
  <c r="M80" i="10"/>
  <c r="M79" i="10"/>
  <c r="M78" i="10"/>
  <c r="M77" i="10"/>
  <c r="M76" i="10"/>
  <c r="M75" i="10"/>
  <c r="M74" i="10"/>
  <c r="M73" i="10"/>
  <c r="M72" i="10"/>
  <c r="M71" i="10"/>
  <c r="S70" i="10"/>
  <c r="R70" i="10"/>
  <c r="M70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P81" i="10"/>
  <c r="P80" i="10"/>
  <c r="P79" i="10"/>
  <c r="P78" i="10"/>
  <c r="P77" i="10"/>
  <c r="P76" i="10"/>
  <c r="P75" i="10"/>
  <c r="P74" i="10"/>
  <c r="P73" i="10"/>
  <c r="P72" i="10"/>
  <c r="P71" i="10"/>
  <c r="P70" i="10"/>
  <c r="Q81" i="10"/>
  <c r="Q80" i="10"/>
  <c r="Q79" i="10"/>
  <c r="Q78" i="10"/>
  <c r="Q77" i="10"/>
  <c r="Q76" i="10"/>
  <c r="Q75" i="10"/>
  <c r="Q74" i="10"/>
  <c r="Q73" i="10"/>
  <c r="Q72" i="10"/>
  <c r="Q71" i="10"/>
  <c r="Q70" i="10"/>
  <c r="V97" i="10"/>
  <c r="U97" i="10"/>
  <c r="V81" i="5"/>
  <c r="U81" i="5"/>
  <c r="K55" i="5"/>
  <c r="K54" i="5"/>
  <c r="K56" i="5"/>
  <c r="K57" i="5"/>
  <c r="K58" i="5"/>
  <c r="K59" i="5"/>
  <c r="K60" i="5"/>
  <c r="K61" i="5"/>
  <c r="K62" i="5"/>
  <c r="K63" i="5"/>
  <c r="K64" i="5"/>
  <c r="L54" i="5"/>
  <c r="L55" i="5"/>
  <c r="L56" i="5"/>
  <c r="L57" i="5"/>
  <c r="L58" i="5"/>
  <c r="L59" i="5"/>
  <c r="L60" i="5"/>
  <c r="L61" i="5"/>
  <c r="L62" i="5"/>
  <c r="L63" i="5"/>
  <c r="L64" i="5"/>
  <c r="R65" i="5"/>
  <c r="S65" i="5"/>
  <c r="J54" i="5"/>
  <c r="J55" i="5"/>
  <c r="J56" i="5"/>
  <c r="J57" i="5"/>
  <c r="J58" i="5"/>
  <c r="J59" i="5"/>
  <c r="J60" i="5"/>
  <c r="J61" i="5"/>
  <c r="J62" i="5"/>
  <c r="J63" i="5"/>
  <c r="J64" i="5"/>
  <c r="D15" i="5" a="1"/>
  <c r="D15" i="5" s="1"/>
  <c r="C15" i="5" a="1"/>
  <c r="C15" i="5" s="1"/>
  <c r="E15" i="5" a="1"/>
  <c r="E15" i="5" s="1"/>
  <c r="O15" i="5" a="1"/>
  <c r="O15" i="5" s="1"/>
  <c r="A17" i="5"/>
  <c r="G16" i="5" a="1"/>
  <c r="G16" i="5" s="1"/>
  <c r="F15" i="5" a="1"/>
  <c r="F15" i="5" s="1"/>
  <c r="P15" i="5" a="1"/>
  <c r="P15" i="5" s="1"/>
  <c r="Q15" i="5" a="1"/>
  <c r="Q15" i="5" s="1"/>
  <c r="B16" i="5" l="1"/>
  <c r="O57" i="10" a="1"/>
  <c r="O57" i="10" s="1"/>
  <c r="N54" i="5"/>
  <c r="N65" i="5"/>
  <c r="N63" i="5"/>
  <c r="N61" i="5"/>
  <c r="N59" i="5"/>
  <c r="N57" i="5"/>
  <c r="N64" i="5"/>
  <c r="N62" i="5"/>
  <c r="N60" i="5"/>
  <c r="N58" i="5"/>
  <c r="N56" i="5"/>
  <c r="N16" i="5" a="1"/>
  <c r="N16" i="5" s="1"/>
  <c r="M54" i="5"/>
  <c r="M65" i="5"/>
  <c r="M63" i="5"/>
  <c r="M61" i="5"/>
  <c r="M59" i="5"/>
  <c r="M57" i="5"/>
  <c r="M55" i="5"/>
  <c r="M64" i="5"/>
  <c r="M62" i="5"/>
  <c r="M60" i="5"/>
  <c r="M58" i="5"/>
  <c r="M56" i="5"/>
  <c r="M16" i="5" a="1"/>
  <c r="M16" i="5" s="1"/>
  <c r="AP65" i="5"/>
  <c r="AO65" i="5"/>
  <c r="B57" i="10"/>
  <c r="A59" i="10"/>
  <c r="Q58" i="10" a="1"/>
  <c r="Q58" i="10" s="1"/>
  <c r="P58" i="10" a="1"/>
  <c r="P58" i="10" s="1"/>
  <c r="O58" i="10" a="1"/>
  <c r="O58" i="10" s="1"/>
  <c r="N58" i="10" a="1"/>
  <c r="N58" i="10" s="1"/>
  <c r="M58" i="10" a="1"/>
  <c r="M58" i="10" s="1"/>
  <c r="G58" i="10" a="1"/>
  <c r="G58" i="10" s="1"/>
  <c r="L58" i="10" s="1"/>
  <c r="F58" i="10" a="1"/>
  <c r="F58" i="10" s="1"/>
  <c r="K58" i="10" s="1"/>
  <c r="E58" i="10" a="1"/>
  <c r="E58" i="10" s="1"/>
  <c r="J58" i="10" s="1"/>
  <c r="D58" i="10" a="1"/>
  <c r="D58" i="10" s="1"/>
  <c r="I58" i="10" s="1"/>
  <c r="C58" i="10" a="1"/>
  <c r="C58" i="10" s="1"/>
  <c r="H58" i="10" s="1"/>
  <c r="V107" i="10"/>
  <c r="U107" i="10"/>
  <c r="V108" i="10"/>
  <c r="U108" i="10"/>
  <c r="V109" i="10"/>
  <c r="U109" i="10"/>
  <c r="V110" i="10"/>
  <c r="U110" i="10"/>
  <c r="V111" i="10"/>
  <c r="U111" i="10"/>
  <c r="V112" i="10"/>
  <c r="U112" i="10"/>
  <c r="V113" i="10"/>
  <c r="U113" i="10"/>
  <c r="V114" i="10"/>
  <c r="U114" i="10"/>
  <c r="V115" i="10"/>
  <c r="U115" i="10"/>
  <c r="V116" i="10"/>
  <c r="U116" i="10"/>
  <c r="V117" i="10"/>
  <c r="U117" i="10"/>
  <c r="V118" i="10"/>
  <c r="U118" i="10"/>
  <c r="C17" i="10" a="1"/>
  <c r="C17" i="10" s="1"/>
  <c r="D17" i="10" a="1"/>
  <c r="D17" i="10" s="1"/>
  <c r="E17" i="10" a="1"/>
  <c r="E17" i="10" s="1"/>
  <c r="F17" i="10" a="1"/>
  <c r="F17" i="10" s="1"/>
  <c r="G17" i="10" a="1"/>
  <c r="G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 s="1"/>
  <c r="V70" i="10"/>
  <c r="U70" i="10"/>
  <c r="V71" i="10"/>
  <c r="U71" i="10"/>
  <c r="V72" i="10"/>
  <c r="U72" i="10"/>
  <c r="V73" i="10"/>
  <c r="U73" i="10"/>
  <c r="V74" i="10"/>
  <c r="U74" i="10"/>
  <c r="V75" i="10"/>
  <c r="U75" i="10"/>
  <c r="V76" i="10"/>
  <c r="U76" i="10"/>
  <c r="V77" i="10"/>
  <c r="U77" i="10"/>
  <c r="V78" i="10"/>
  <c r="U78" i="10"/>
  <c r="V79" i="10"/>
  <c r="U79" i="10"/>
  <c r="V80" i="10"/>
  <c r="U80" i="10"/>
  <c r="B17" i="10"/>
  <c r="V81" i="10"/>
  <c r="U81" i="10"/>
  <c r="R64" i="5"/>
  <c r="S64" i="5"/>
  <c r="R63" i="5"/>
  <c r="S63" i="5"/>
  <c r="R62" i="5"/>
  <c r="S62" i="5"/>
  <c r="R61" i="5"/>
  <c r="S61" i="5"/>
  <c r="R60" i="5"/>
  <c r="S60" i="5"/>
  <c r="R59" i="5"/>
  <c r="S59" i="5"/>
  <c r="R58" i="5"/>
  <c r="S58" i="5"/>
  <c r="R57" i="5"/>
  <c r="S57" i="5"/>
  <c r="R56" i="5"/>
  <c r="S56" i="5"/>
  <c r="R55" i="5"/>
  <c r="S55" i="5"/>
  <c r="O54" i="5"/>
  <c r="O55" i="5"/>
  <c r="O56" i="5"/>
  <c r="O57" i="5"/>
  <c r="O58" i="5"/>
  <c r="O59" i="5"/>
  <c r="O60" i="5"/>
  <c r="O61" i="5"/>
  <c r="O62" i="5"/>
  <c r="O63" i="5"/>
  <c r="O64" i="5"/>
  <c r="O65" i="5"/>
  <c r="S54" i="5"/>
  <c r="R54" i="5"/>
  <c r="U65" i="5"/>
  <c r="V65" i="5"/>
  <c r="Q54" i="5"/>
  <c r="Q55" i="5"/>
  <c r="Q56" i="5"/>
  <c r="Q57" i="5"/>
  <c r="Q58" i="5"/>
  <c r="Q59" i="5"/>
  <c r="Q60" i="5"/>
  <c r="Q61" i="5"/>
  <c r="Q62" i="5"/>
  <c r="Q63" i="5"/>
  <c r="Q64" i="5"/>
  <c r="Q65" i="5"/>
  <c r="P54" i="5"/>
  <c r="P55" i="5"/>
  <c r="P56" i="5"/>
  <c r="P57" i="5"/>
  <c r="P58" i="5"/>
  <c r="P59" i="5"/>
  <c r="P60" i="5"/>
  <c r="P61" i="5"/>
  <c r="P62" i="5"/>
  <c r="P63" i="5"/>
  <c r="P64" i="5"/>
  <c r="P65" i="5"/>
  <c r="D16" i="5" a="1"/>
  <c r="D16" i="5" s="1"/>
  <c r="C16" i="5" a="1"/>
  <c r="C16" i="5" s="1"/>
  <c r="E16" i="5" a="1"/>
  <c r="E16" i="5" s="1"/>
  <c r="O16" i="5" a="1"/>
  <c r="O16" i="5" s="1"/>
  <c r="A18" i="5"/>
  <c r="M17" i="5" s="1" a="1"/>
  <c r="M17" i="5" s="1"/>
  <c r="F16" i="5" a="1"/>
  <c r="F16" i="5" s="1"/>
  <c r="P16" i="5" a="1"/>
  <c r="P16" i="5" s="1"/>
  <c r="Q16" i="5" a="1"/>
  <c r="Q16" i="5" s="1"/>
  <c r="G17" i="5" l="1" a="1"/>
  <c r="G17" i="5" s="1"/>
  <c r="B17" i="5"/>
  <c r="N17" i="5" a="1"/>
  <c r="N17" i="5" s="1"/>
  <c r="B58" i="10"/>
  <c r="A60" i="10"/>
  <c r="Q59" i="10" s="1" a="1"/>
  <c r="Q59" i="10" s="1"/>
  <c r="P59" i="10" a="1"/>
  <c r="P59" i="10" s="1"/>
  <c r="N59" i="10" a="1"/>
  <c r="N59" i="10" s="1"/>
  <c r="G59" i="10" a="1"/>
  <c r="G59" i="10" s="1"/>
  <c r="L59" i="10" s="1"/>
  <c r="E59" i="10" a="1"/>
  <c r="E59" i="10" s="1"/>
  <c r="J59" i="10" s="1"/>
  <c r="D59" i="10" a="1"/>
  <c r="D59" i="10" s="1"/>
  <c r="I59" i="10" s="1"/>
  <c r="C59" i="10" a="1"/>
  <c r="C59" i="10" s="1"/>
  <c r="H59" i="10" s="1"/>
  <c r="C18" i="10" a="1"/>
  <c r="C18" i="10" s="1"/>
  <c r="D18" i="10" a="1"/>
  <c r="D18" i="10" s="1"/>
  <c r="E18" i="10" a="1"/>
  <c r="E18" i="10" s="1"/>
  <c r="F18" i="10" a="1"/>
  <c r="F18" i="10" s="1"/>
  <c r="G18" i="10" a="1"/>
  <c r="G18" i="10" s="1"/>
  <c r="M18" i="10" a="1"/>
  <c r="M18" i="10" s="1"/>
  <c r="N18" i="10" a="1"/>
  <c r="N18" i="10" s="1"/>
  <c r="O18" i="10" a="1"/>
  <c r="O18" i="10" s="1"/>
  <c r="P18" i="10" a="1"/>
  <c r="P18" i="10" s="1"/>
  <c r="Q18" i="10" a="1"/>
  <c r="Q18" i="10" s="1"/>
  <c r="B18" i="10"/>
  <c r="V54" i="5"/>
  <c r="U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D17" i="5" a="1"/>
  <c r="D17" i="5" s="1"/>
  <c r="C17" i="5" a="1"/>
  <c r="C17" i="5" s="1"/>
  <c r="E17" i="5" a="1"/>
  <c r="E17" i="5" s="1"/>
  <c r="O17" i="5" a="1"/>
  <c r="O17" i="5" s="1"/>
  <c r="A19" i="5"/>
  <c r="N18" i="5" s="1" a="1"/>
  <c r="N18" i="5" s="1"/>
  <c r="F17" i="5" a="1"/>
  <c r="F17" i="5" s="1"/>
  <c r="P17" i="5" a="1"/>
  <c r="P17" i="5" s="1"/>
  <c r="Q17" i="5" a="1"/>
  <c r="Q17" i="5" s="1"/>
  <c r="G18" i="5" l="1" a="1"/>
  <c r="G18" i="5" s="1"/>
  <c r="F59" i="10" a="1"/>
  <c r="F59" i="10" s="1"/>
  <c r="K59" i="10" s="1"/>
  <c r="M59" i="10" a="1"/>
  <c r="M59" i="10" s="1"/>
  <c r="O59" i="10" a="1"/>
  <c r="O59" i="10" s="1"/>
  <c r="B18" i="5"/>
  <c r="M18" i="5" a="1"/>
  <c r="M18" i="5" s="1"/>
  <c r="B59" i="10"/>
  <c r="A61" i="10"/>
  <c r="P60" i="10" a="1"/>
  <c r="P60" i="10" s="1"/>
  <c r="N60" i="10" a="1"/>
  <c r="N60" i="10" s="1"/>
  <c r="G60" i="10" a="1"/>
  <c r="G60" i="10" s="1"/>
  <c r="L60" i="10" s="1"/>
  <c r="F60" i="10" a="1"/>
  <c r="F60" i="10" s="1"/>
  <c r="K60" i="10" s="1"/>
  <c r="E60" i="10" a="1"/>
  <c r="E60" i="10" s="1"/>
  <c r="J60" i="10" s="1"/>
  <c r="D60" i="10" a="1"/>
  <c r="D60" i="10" s="1"/>
  <c r="I60" i="10" s="1"/>
  <c r="C60" i="10" a="1"/>
  <c r="C60" i="10" s="1"/>
  <c r="H60" i="10" s="1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 s="1"/>
  <c r="B19" i="10"/>
  <c r="D18" i="5" a="1"/>
  <c r="D18" i="5" s="1"/>
  <c r="C18" i="5" a="1"/>
  <c r="C18" i="5" s="1"/>
  <c r="E18" i="5" a="1"/>
  <c r="E18" i="5" s="1"/>
  <c r="O18" i="5" a="1"/>
  <c r="O18" i="5" s="1"/>
  <c r="A20" i="5"/>
  <c r="M19" i="5" s="1" a="1"/>
  <c r="M19" i="5" s="1"/>
  <c r="F18" i="5" a="1"/>
  <c r="F18" i="5" s="1"/>
  <c r="P18" i="5" a="1"/>
  <c r="P18" i="5" s="1"/>
  <c r="Q18" i="5" a="1"/>
  <c r="Q18" i="5" s="1"/>
  <c r="A62" i="10" l="1"/>
  <c r="B61" i="10" s="1"/>
  <c r="B60" i="10"/>
  <c r="B19" i="5"/>
  <c r="G19" i="5" a="1"/>
  <c r="G19" i="5" s="1"/>
  <c r="M60" i="10" a="1"/>
  <c r="M60" i="10" s="1"/>
  <c r="O60" i="10" a="1"/>
  <c r="O60" i="10" s="1"/>
  <c r="Q60" i="10" a="1"/>
  <c r="Q60" i="10" s="1"/>
  <c r="N19" i="5" a="1"/>
  <c r="N19" i="5" s="1"/>
  <c r="A63" i="10"/>
  <c r="B62" i="10" s="1"/>
  <c r="Q62" i="10" a="1"/>
  <c r="Q62" i="10" s="1"/>
  <c r="P62" i="10" a="1"/>
  <c r="P62" i="10" s="1"/>
  <c r="O62" i="10" a="1"/>
  <c r="O62" i="10" s="1"/>
  <c r="N62" i="10" a="1"/>
  <c r="N62" i="10" s="1"/>
  <c r="M62" i="10" a="1"/>
  <c r="M62" i="10" s="1"/>
  <c r="G62" i="10" a="1"/>
  <c r="G62" i="10" s="1"/>
  <c r="F62" i="10" a="1"/>
  <c r="F62" i="10" s="1"/>
  <c r="E62" i="10" a="1"/>
  <c r="E62" i="10" s="1"/>
  <c r="D62" i="10" a="1"/>
  <c r="D62" i="10" s="1"/>
  <c r="C62" i="10" a="1"/>
  <c r="C62" i="10" s="1"/>
  <c r="Q61" i="10" a="1"/>
  <c r="Q61" i="10" s="1"/>
  <c r="P61" i="10" a="1"/>
  <c r="P61" i="10" s="1"/>
  <c r="O61" i="10" a="1"/>
  <c r="O61" i="10" s="1"/>
  <c r="N61" i="10" a="1"/>
  <c r="N61" i="10" s="1"/>
  <c r="M61" i="10" a="1"/>
  <c r="M61" i="10" s="1"/>
  <c r="G61" i="10" a="1"/>
  <c r="G61" i="10" s="1"/>
  <c r="F61" i="10" a="1"/>
  <c r="F61" i="10" s="1"/>
  <c r="E61" i="10" a="1"/>
  <c r="E61" i="10" s="1"/>
  <c r="D61" i="10" a="1"/>
  <c r="D61" i="10" s="1"/>
  <c r="C61" i="10" a="1"/>
  <c r="C61" i="10" s="1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M20" i="10" a="1"/>
  <c r="M20" i="10" s="1"/>
  <c r="N20" i="10" a="1"/>
  <c r="N20" i="10" s="1"/>
  <c r="O20" i="10" a="1"/>
  <c r="O20" i="10" s="1"/>
  <c r="P20" i="10" a="1"/>
  <c r="P20" i="10" s="1"/>
  <c r="Q20" i="10" a="1"/>
  <c r="Q20" i="10" s="1"/>
  <c r="B20" i="10"/>
  <c r="D19" i="5" a="1"/>
  <c r="D19" i="5" s="1"/>
  <c r="C19" i="5" a="1"/>
  <c r="C19" i="5" s="1"/>
  <c r="E19" i="5" a="1"/>
  <c r="E19" i="5" s="1"/>
  <c r="O19" i="5" a="1"/>
  <c r="O19" i="5" s="1"/>
  <c r="A21" i="5"/>
  <c r="M20" i="5" s="1" a="1"/>
  <c r="M20" i="5" s="1"/>
  <c r="G20" i="5" a="1"/>
  <c r="G20" i="5" s="1"/>
  <c r="F19" i="5" a="1"/>
  <c r="F19" i="5" s="1"/>
  <c r="P19" i="5" a="1"/>
  <c r="P19" i="5" s="1"/>
  <c r="Q19" i="5" a="1"/>
  <c r="Q19" i="5" s="1"/>
  <c r="B20" i="5" l="1"/>
  <c r="N20" i="5" a="1"/>
  <c r="N20" i="5" s="1"/>
  <c r="A64" i="10"/>
  <c r="B63" i="10" s="1"/>
  <c r="Q63" i="10" a="1"/>
  <c r="Q63" i="10" s="1"/>
  <c r="P63" i="10" a="1"/>
  <c r="P63" i="10" s="1"/>
  <c r="O63" i="10" a="1"/>
  <c r="O63" i="10" s="1"/>
  <c r="N63" i="10" a="1"/>
  <c r="N63" i="10" s="1"/>
  <c r="M63" i="10" a="1"/>
  <c r="M63" i="10" s="1"/>
  <c r="G63" i="10" a="1"/>
  <c r="G63" i="10" s="1"/>
  <c r="F63" i="10" a="1"/>
  <c r="F63" i="10" s="1"/>
  <c r="E63" i="10" a="1"/>
  <c r="E63" i="10" s="1"/>
  <c r="J63" i="10" s="1"/>
  <c r="D63" i="10" a="1"/>
  <c r="D63" i="10" s="1"/>
  <c r="C63" i="10" a="1"/>
  <c r="C63" i="10" s="1"/>
  <c r="H63" i="10" s="1"/>
  <c r="H61" i="10"/>
  <c r="H62" i="10"/>
  <c r="I61" i="10"/>
  <c r="I62" i="10"/>
  <c r="I63" i="10"/>
  <c r="J61" i="10"/>
  <c r="J62" i="10"/>
  <c r="K61" i="10"/>
  <c r="K62" i="10"/>
  <c r="K63" i="10"/>
  <c r="L61" i="10"/>
  <c r="L62" i="10"/>
  <c r="L63" i="10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 s="1"/>
  <c r="B21" i="10"/>
  <c r="E20" i="5" a="1"/>
  <c r="E20" i="5" s="1"/>
  <c r="O20" i="5" a="1"/>
  <c r="O20" i="5" s="1"/>
  <c r="D20" i="5" a="1"/>
  <c r="D20" i="5" s="1"/>
  <c r="C20" i="5" a="1"/>
  <c r="C20" i="5" s="1"/>
  <c r="A22" i="5"/>
  <c r="F20" i="5" a="1"/>
  <c r="F20" i="5" s="1"/>
  <c r="P20" i="5" a="1"/>
  <c r="P20" i="5" s="1"/>
  <c r="Q20" i="5" a="1"/>
  <c r="Q20" i="5" s="1"/>
  <c r="B21" i="5" l="1"/>
  <c r="M21" i="5" a="1"/>
  <c r="M21" i="5" s="1"/>
  <c r="G21" i="5" a="1"/>
  <c r="G21" i="5" s="1"/>
  <c r="N21" i="5" a="1"/>
  <c r="N21" i="5" s="1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M22" i="10" a="1"/>
  <c r="M22" i="10" s="1"/>
  <c r="N22" i="10" a="1"/>
  <c r="N22" i="10" s="1"/>
  <c r="O22" i="10" a="1"/>
  <c r="O22" i="10" s="1"/>
  <c r="P22" i="10" a="1"/>
  <c r="P22" i="10" s="1"/>
  <c r="Q22" i="10" a="1"/>
  <c r="Q22" i="10" s="1"/>
  <c r="B22" i="10"/>
  <c r="D21" i="5" a="1"/>
  <c r="D21" i="5" s="1"/>
  <c r="C21" i="5" a="1"/>
  <c r="C21" i="5" s="1"/>
  <c r="E21" i="5" a="1"/>
  <c r="E21" i="5" s="1"/>
  <c r="O21" i="5" a="1"/>
  <c r="O21" i="5" s="1"/>
  <c r="A23" i="5"/>
  <c r="F21" i="5" a="1"/>
  <c r="F21" i="5" s="1"/>
  <c r="P21" i="5" a="1"/>
  <c r="P21" i="5" s="1"/>
  <c r="Q21" i="5" a="1"/>
  <c r="Q21" i="5" s="1"/>
  <c r="B22" i="5" l="1"/>
  <c r="G22" i="5" a="1"/>
  <c r="G22" i="5" s="1"/>
  <c r="M22" i="5" a="1"/>
  <c r="M22" i="5" s="1"/>
  <c r="N22" i="5" a="1"/>
  <c r="N22" i="5" s="1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B23" i="10"/>
  <c r="D22" i="5" a="1"/>
  <c r="D22" i="5" s="1"/>
  <c r="C22" i="5" a="1"/>
  <c r="C22" i="5" s="1"/>
  <c r="E22" i="5" a="1"/>
  <c r="E22" i="5" s="1"/>
  <c r="O22" i="5" a="1"/>
  <c r="O22" i="5" s="1"/>
  <c r="A24" i="5"/>
  <c r="N23" i="5" s="1" a="1"/>
  <c r="N23" i="5" s="1"/>
  <c r="G23" i="5" a="1"/>
  <c r="G23" i="5" s="1"/>
  <c r="F22" i="5" a="1"/>
  <c r="F22" i="5" s="1"/>
  <c r="P22" i="5" a="1"/>
  <c r="P22" i="5" s="1"/>
  <c r="Q22" i="5" a="1"/>
  <c r="Q22" i="5" s="1"/>
  <c r="B23" i="5" l="1"/>
  <c r="M23" i="5" a="1"/>
  <c r="M23" i="5" s="1"/>
  <c r="C24" i="10" a="1"/>
  <c r="C24" i="10" s="1"/>
  <c r="D24" i="10" a="1"/>
  <c r="D24" i="10" s="1"/>
  <c r="E24" i="10" a="1"/>
  <c r="E24" i="10" s="1"/>
  <c r="F24" i="10" a="1"/>
  <c r="F24" i="10" s="1"/>
  <c r="G24" i="10" a="1"/>
  <c r="G24" i="10" s="1"/>
  <c r="M24" i="10" a="1"/>
  <c r="M24" i="10" s="1"/>
  <c r="N24" i="10" a="1"/>
  <c r="N24" i="10" s="1"/>
  <c r="O24" i="10" a="1"/>
  <c r="O24" i="10" s="1"/>
  <c r="P24" i="10" a="1"/>
  <c r="P24" i="10" s="1"/>
  <c r="Q24" i="10" a="1"/>
  <c r="Q24" i="10" s="1"/>
  <c r="B24" i="10"/>
  <c r="D23" i="5" a="1"/>
  <c r="D23" i="5" s="1"/>
  <c r="C23" i="5" a="1"/>
  <c r="C23" i="5" s="1"/>
  <c r="E23" i="5" a="1"/>
  <c r="E23" i="5" s="1"/>
  <c r="O23" i="5" a="1"/>
  <c r="O23" i="5" s="1"/>
  <c r="A25" i="5"/>
  <c r="F23" i="5" a="1"/>
  <c r="F23" i="5" s="1"/>
  <c r="P23" i="5" a="1"/>
  <c r="P23" i="5" s="1"/>
  <c r="Q23" i="5" a="1"/>
  <c r="Q23" i="5" s="1"/>
  <c r="B24" i="5" l="1"/>
  <c r="G24" i="5" a="1"/>
  <c r="G24" i="5" s="1"/>
  <c r="N24" i="5" a="1"/>
  <c r="N24" i="5" s="1"/>
  <c r="M24" i="5" a="1"/>
  <c r="M24" i="5" s="1"/>
  <c r="C25" i="10" a="1"/>
  <c r="C25" i="10" s="1"/>
  <c r="D25" i="10" a="1"/>
  <c r="D25" i="10" s="1"/>
  <c r="E25" i="10" a="1"/>
  <c r="E25" i="10" s="1"/>
  <c r="F25" i="10" a="1"/>
  <c r="F25" i="10" s="1"/>
  <c r="G25" i="10" a="1"/>
  <c r="G25" i="10" s="1"/>
  <c r="M25" i="10" a="1"/>
  <c r="M25" i="10" s="1"/>
  <c r="N25" i="10" a="1"/>
  <c r="N25" i="10" s="1"/>
  <c r="O25" i="10" a="1"/>
  <c r="O25" i="10" s="1"/>
  <c r="P25" i="10" a="1"/>
  <c r="P25" i="10" s="1"/>
  <c r="Q25" i="10" a="1"/>
  <c r="Q25" i="10" s="1"/>
  <c r="B25" i="10"/>
  <c r="D24" i="5" a="1"/>
  <c r="D24" i="5" s="1"/>
  <c r="C24" i="5" a="1"/>
  <c r="C24" i="5" s="1"/>
  <c r="E24" i="5" a="1"/>
  <c r="E24" i="5" s="1"/>
  <c r="O24" i="5" a="1"/>
  <c r="O24" i="5" s="1"/>
  <c r="A26" i="5"/>
  <c r="F24" i="5" a="1"/>
  <c r="F24" i="5" s="1"/>
  <c r="P24" i="5" a="1"/>
  <c r="P24" i="5" s="1"/>
  <c r="Q24" i="5" a="1"/>
  <c r="Q24" i="5" s="1"/>
  <c r="B25" i="5" l="1"/>
  <c r="M25" i="5" a="1"/>
  <c r="M25" i="5" s="1"/>
  <c r="G25" i="5" a="1"/>
  <c r="G25" i="5" s="1"/>
  <c r="N25" i="5" a="1"/>
  <c r="N25" i="5" s="1"/>
  <c r="C26" i="10" a="1"/>
  <c r="C26" i="10" s="1"/>
  <c r="D26" i="10" a="1"/>
  <c r="D26" i="10" s="1"/>
  <c r="E26" i="10" a="1"/>
  <c r="E26" i="10" s="1"/>
  <c r="F26" i="10" a="1"/>
  <c r="F26" i="10" s="1"/>
  <c r="G26" i="10" a="1"/>
  <c r="G26" i="10" s="1"/>
  <c r="M26" i="10" a="1"/>
  <c r="M26" i="10" s="1"/>
  <c r="N26" i="10" a="1"/>
  <c r="N26" i="10" s="1"/>
  <c r="O26" i="10" a="1"/>
  <c r="O26" i="10" s="1"/>
  <c r="P26" i="10" a="1"/>
  <c r="P26" i="10" s="1"/>
  <c r="Q26" i="10" a="1"/>
  <c r="Q26" i="10" s="1"/>
  <c r="B26" i="10"/>
  <c r="D25" i="5" a="1"/>
  <c r="D25" i="5" s="1"/>
  <c r="C25" i="5" a="1"/>
  <c r="C25" i="5" s="1"/>
  <c r="E25" i="5" a="1"/>
  <c r="E25" i="5" s="1"/>
  <c r="O25" i="5" a="1"/>
  <c r="O25" i="5" s="1"/>
  <c r="A27" i="5"/>
  <c r="F25" i="5" a="1"/>
  <c r="F25" i="5" s="1"/>
  <c r="P25" i="5" a="1"/>
  <c r="P25" i="5" s="1"/>
  <c r="Q25" i="5" a="1"/>
  <c r="Q25" i="5" s="1"/>
  <c r="B26" i="5" l="1"/>
  <c r="M26" i="5" a="1"/>
  <c r="M26" i="5" s="1"/>
  <c r="G26" i="5" a="1"/>
  <c r="G26" i="5" s="1"/>
  <c r="N26" i="5" a="1"/>
  <c r="N26" i="5" s="1"/>
  <c r="C27" i="10" a="1"/>
  <c r="C27" i="10" s="1"/>
  <c r="D27" i="10" a="1"/>
  <c r="D27" i="10" s="1"/>
  <c r="E27" i="10" a="1"/>
  <c r="E27" i="10" s="1"/>
  <c r="F27" i="10" a="1"/>
  <c r="F27" i="10" s="1"/>
  <c r="G27" i="10" a="1"/>
  <c r="G27" i="10" s="1"/>
  <c r="M27" i="10" a="1"/>
  <c r="M27" i="10" s="1"/>
  <c r="N27" i="10" a="1"/>
  <c r="N27" i="10" s="1"/>
  <c r="O27" i="10" a="1"/>
  <c r="O27" i="10" s="1"/>
  <c r="P27" i="10" a="1"/>
  <c r="P27" i="10" s="1"/>
  <c r="Q27" i="10" a="1"/>
  <c r="Q27" i="10" s="1"/>
  <c r="B27" i="10"/>
  <c r="D26" i="5" a="1"/>
  <c r="D26" i="5" s="1"/>
  <c r="C26" i="5" a="1"/>
  <c r="C26" i="5" s="1"/>
  <c r="E26" i="5" a="1"/>
  <c r="E26" i="5" s="1"/>
  <c r="O26" i="5" a="1"/>
  <c r="O26" i="5" s="1"/>
  <c r="A28" i="5"/>
  <c r="F26" i="5" a="1"/>
  <c r="F26" i="5" s="1"/>
  <c r="P26" i="5" a="1"/>
  <c r="P26" i="5" s="1"/>
  <c r="Q26" i="5" a="1"/>
  <c r="Q26" i="5" s="1"/>
  <c r="B27" i="5" l="1"/>
  <c r="M27" i="5" a="1"/>
  <c r="M27" i="5" s="1"/>
  <c r="G27" i="5" a="1"/>
  <c r="G27" i="5" s="1"/>
  <c r="N27" i="5" a="1"/>
  <c r="N27" i="5" s="1"/>
  <c r="C28" i="10" a="1"/>
  <c r="C28" i="10" s="1"/>
  <c r="D28" i="10" a="1"/>
  <c r="D28" i="10" s="1"/>
  <c r="E28" i="10" a="1"/>
  <c r="E28" i="10" s="1"/>
  <c r="F28" i="10" a="1"/>
  <c r="F28" i="10" s="1"/>
  <c r="G28" i="10" a="1"/>
  <c r="G28" i="10" s="1"/>
  <c r="M28" i="10" a="1"/>
  <c r="M28" i="10" s="1"/>
  <c r="N28" i="10" a="1"/>
  <c r="N28" i="10" s="1"/>
  <c r="O28" i="10" a="1"/>
  <c r="O28" i="10" s="1"/>
  <c r="P28" i="10" a="1"/>
  <c r="P28" i="10" s="1"/>
  <c r="Q28" i="10" a="1"/>
  <c r="Q28" i="10" s="1"/>
  <c r="B28" i="10"/>
  <c r="D27" i="5" a="1"/>
  <c r="D27" i="5" s="1"/>
  <c r="C27" i="5" a="1"/>
  <c r="C27" i="5" s="1"/>
  <c r="E27" i="5" a="1"/>
  <c r="E27" i="5" s="1"/>
  <c r="O27" i="5" a="1"/>
  <c r="O27" i="5" s="1"/>
  <c r="A29" i="5"/>
  <c r="F27" i="5" a="1"/>
  <c r="F27" i="5" s="1"/>
  <c r="P27" i="5" a="1"/>
  <c r="P27" i="5" s="1"/>
  <c r="Q27" i="5" a="1"/>
  <c r="Q27" i="5" s="1"/>
  <c r="B28" i="5" l="1"/>
  <c r="M28" i="5" a="1"/>
  <c r="M28" i="5" s="1"/>
  <c r="G28" i="5" a="1"/>
  <c r="G28" i="5" s="1"/>
  <c r="N28" i="5" a="1"/>
  <c r="N28" i="5" s="1"/>
  <c r="C29" i="10" a="1"/>
  <c r="C29" i="10" s="1"/>
  <c r="D29" i="10" a="1"/>
  <c r="D29" i="10" s="1"/>
  <c r="E29" i="10" a="1"/>
  <c r="E29" i="10" s="1"/>
  <c r="F29" i="10" a="1"/>
  <c r="F29" i="10" s="1"/>
  <c r="G29" i="10" a="1"/>
  <c r="G29" i="10" s="1"/>
  <c r="M29" i="10" a="1"/>
  <c r="M29" i="10" s="1"/>
  <c r="N29" i="10" a="1"/>
  <c r="N29" i="10" s="1"/>
  <c r="O29" i="10" a="1"/>
  <c r="O29" i="10" s="1"/>
  <c r="P29" i="10" a="1"/>
  <c r="P29" i="10" s="1"/>
  <c r="Q29" i="10" a="1"/>
  <c r="Q29" i="10" s="1"/>
  <c r="B29" i="10"/>
  <c r="D28" i="5" a="1"/>
  <c r="D28" i="5" s="1"/>
  <c r="C28" i="5" a="1"/>
  <c r="C28" i="5" s="1"/>
  <c r="E28" i="5" a="1"/>
  <c r="E28" i="5" s="1"/>
  <c r="O28" i="5" a="1"/>
  <c r="O28" i="5" s="1"/>
  <c r="A30" i="5"/>
  <c r="F28" i="5" a="1"/>
  <c r="F28" i="5" s="1"/>
  <c r="P28" i="5" a="1"/>
  <c r="P28" i="5" s="1"/>
  <c r="Q28" i="5" a="1"/>
  <c r="Q28" i="5" s="1"/>
  <c r="B29" i="5" l="1"/>
  <c r="M29" i="5" a="1"/>
  <c r="M29" i="5" s="1"/>
  <c r="G29" i="5" a="1"/>
  <c r="G29" i="5" s="1"/>
  <c r="N29" i="5" a="1"/>
  <c r="N29" i="5" s="1"/>
  <c r="C30" i="10" a="1"/>
  <c r="C30" i="10" s="1"/>
  <c r="D30" i="10" a="1"/>
  <c r="D30" i="10" s="1"/>
  <c r="E30" i="10" a="1"/>
  <c r="E30" i="10" s="1"/>
  <c r="F30" i="10" a="1"/>
  <c r="F30" i="10" s="1"/>
  <c r="G30" i="10" a="1"/>
  <c r="G30" i="10" s="1"/>
  <c r="M30" i="10" a="1"/>
  <c r="M30" i="10" s="1"/>
  <c r="N30" i="10" a="1"/>
  <c r="N30" i="10" s="1"/>
  <c r="O30" i="10" a="1"/>
  <c r="O30" i="10" s="1"/>
  <c r="P30" i="10" a="1"/>
  <c r="P30" i="10" s="1"/>
  <c r="Q30" i="10" a="1"/>
  <c r="Q30" i="10" s="1"/>
  <c r="B30" i="10"/>
  <c r="D29" i="5" a="1"/>
  <c r="D29" i="5" s="1"/>
  <c r="C29" i="5" a="1"/>
  <c r="C29" i="5" s="1"/>
  <c r="E29" i="5" a="1"/>
  <c r="E29" i="5" s="1"/>
  <c r="O29" i="5" a="1"/>
  <c r="O29" i="5" s="1"/>
  <c r="A31" i="5"/>
  <c r="F29" i="5" a="1"/>
  <c r="F29" i="5" s="1"/>
  <c r="P29" i="5" a="1"/>
  <c r="P29" i="5" s="1"/>
  <c r="Q29" i="5" a="1"/>
  <c r="Q29" i="5" s="1"/>
  <c r="B30" i="5" l="1"/>
  <c r="M30" i="5" a="1"/>
  <c r="M30" i="5" s="1"/>
  <c r="G30" i="5" a="1"/>
  <c r="G30" i="5" s="1"/>
  <c r="N30" i="5" a="1"/>
  <c r="N30" i="5" s="1"/>
  <c r="C31" i="10" a="1"/>
  <c r="C31" i="10" s="1"/>
  <c r="D31" i="10" a="1"/>
  <c r="D31" i="10" s="1"/>
  <c r="E31" i="10" a="1"/>
  <c r="E31" i="10" s="1"/>
  <c r="F31" i="10" a="1"/>
  <c r="F31" i="10" s="1"/>
  <c r="G31" i="10" a="1"/>
  <c r="G31" i="10" s="1"/>
  <c r="M31" i="10" a="1"/>
  <c r="M31" i="10" s="1"/>
  <c r="N31" i="10" a="1"/>
  <c r="N31" i="10" s="1"/>
  <c r="O31" i="10" a="1"/>
  <c r="O31" i="10" s="1"/>
  <c r="P31" i="10" a="1"/>
  <c r="P31" i="10" s="1"/>
  <c r="Q31" i="10" a="1"/>
  <c r="Q31" i="10" s="1"/>
  <c r="B31" i="10"/>
  <c r="D30" i="5" a="1"/>
  <c r="D30" i="5" s="1"/>
  <c r="C30" i="5" a="1"/>
  <c r="C30" i="5" s="1"/>
  <c r="E30" i="5" a="1"/>
  <c r="E30" i="5" s="1"/>
  <c r="O30" i="5" a="1"/>
  <c r="O30" i="5" s="1"/>
  <c r="A32" i="5"/>
  <c r="F30" i="5" a="1"/>
  <c r="F30" i="5" s="1"/>
  <c r="P30" i="5" a="1"/>
  <c r="P30" i="5" s="1"/>
  <c r="Q30" i="5" a="1"/>
  <c r="Q30" i="5" s="1"/>
  <c r="B31" i="5" l="1"/>
  <c r="M31" i="5" a="1"/>
  <c r="M31" i="5" s="1"/>
  <c r="G31" i="5" a="1"/>
  <c r="G31" i="5" s="1"/>
  <c r="N31" i="5" a="1"/>
  <c r="N31" i="5" s="1"/>
  <c r="C32" i="10" a="1"/>
  <c r="C32" i="10" s="1"/>
  <c r="D32" i="10" a="1"/>
  <c r="D32" i="10" s="1"/>
  <c r="E32" i="10" a="1"/>
  <c r="E32" i="10" s="1"/>
  <c r="F32" i="10" a="1"/>
  <c r="F32" i="10" s="1"/>
  <c r="G32" i="10" a="1"/>
  <c r="G32" i="10" s="1"/>
  <c r="M32" i="10" a="1"/>
  <c r="M32" i="10" s="1"/>
  <c r="N32" i="10" a="1"/>
  <c r="N32" i="10" s="1"/>
  <c r="O32" i="10" a="1"/>
  <c r="O32" i="10" s="1"/>
  <c r="P32" i="10" a="1"/>
  <c r="P32" i="10" s="1"/>
  <c r="Q32" i="10" a="1"/>
  <c r="Q32" i="10" s="1"/>
  <c r="B32" i="10"/>
  <c r="D31" i="5" a="1"/>
  <c r="D31" i="5" s="1"/>
  <c r="C31" i="5" a="1"/>
  <c r="C31" i="5" s="1"/>
  <c r="E31" i="5" a="1"/>
  <c r="E31" i="5" s="1"/>
  <c r="O31" i="5" a="1"/>
  <c r="O31" i="5" s="1"/>
  <c r="A33" i="5"/>
  <c r="G32" i="5" a="1"/>
  <c r="G32" i="5" s="1"/>
  <c r="F31" i="5" a="1"/>
  <c r="F31" i="5" s="1"/>
  <c r="P31" i="5" a="1"/>
  <c r="P31" i="5" s="1"/>
  <c r="Q31" i="5" a="1"/>
  <c r="Q31" i="5" s="1"/>
  <c r="B32" i="5" l="1"/>
  <c r="N32" i="5" a="1"/>
  <c r="N32" i="5" s="1"/>
  <c r="M32" i="5" a="1"/>
  <c r="M32" i="5" s="1"/>
  <c r="C33" i="10" a="1"/>
  <c r="C33" i="10" s="1"/>
  <c r="D33" i="10" a="1"/>
  <c r="D33" i="10" s="1"/>
  <c r="E33" i="10" a="1"/>
  <c r="E33" i="10" s="1"/>
  <c r="F33" i="10" a="1"/>
  <c r="F33" i="10" s="1"/>
  <c r="G33" i="10" a="1"/>
  <c r="G33" i="10" s="1"/>
  <c r="M33" i="10" a="1"/>
  <c r="M33" i="10" s="1"/>
  <c r="N33" i="10" a="1"/>
  <c r="N33" i="10" s="1"/>
  <c r="O33" i="10" a="1"/>
  <c r="O33" i="10" s="1"/>
  <c r="P33" i="10" a="1"/>
  <c r="P33" i="10" s="1"/>
  <c r="Q33" i="10" a="1"/>
  <c r="Q33" i="10" s="1"/>
  <c r="B33" i="10"/>
  <c r="D32" i="5" a="1"/>
  <c r="D32" i="5" s="1"/>
  <c r="C32" i="5" a="1"/>
  <c r="C32" i="5" s="1"/>
  <c r="E32" i="5" a="1"/>
  <c r="E32" i="5" s="1"/>
  <c r="O32" i="5" a="1"/>
  <c r="O32" i="5" s="1"/>
  <c r="A34" i="5"/>
  <c r="M33" i="5" s="1" a="1"/>
  <c r="M33" i="5" s="1"/>
  <c r="G33" i="5" a="1"/>
  <c r="G33" i="5" s="1"/>
  <c r="F32" i="5" a="1"/>
  <c r="F32" i="5" s="1"/>
  <c r="P32" i="5" a="1"/>
  <c r="P32" i="5" s="1"/>
  <c r="Q32" i="5" a="1"/>
  <c r="Q32" i="5" s="1"/>
  <c r="B33" i="5" l="1"/>
  <c r="N33" i="5" a="1"/>
  <c r="N33" i="5" s="1"/>
  <c r="C34" i="10" a="1"/>
  <c r="C34" i="10" s="1"/>
  <c r="D34" i="10" a="1"/>
  <c r="D34" i="10" s="1"/>
  <c r="E34" i="10" a="1"/>
  <c r="E34" i="10" s="1"/>
  <c r="F34" i="10" a="1"/>
  <c r="F34" i="10" s="1"/>
  <c r="G34" i="10" a="1"/>
  <c r="G34" i="10" s="1"/>
  <c r="M34" i="10" a="1"/>
  <c r="M34" i="10" s="1"/>
  <c r="N34" i="10" a="1"/>
  <c r="N34" i="10" s="1"/>
  <c r="O34" i="10" a="1"/>
  <c r="O34" i="10" s="1"/>
  <c r="P34" i="10" a="1"/>
  <c r="P34" i="10" s="1"/>
  <c r="Q34" i="10" a="1"/>
  <c r="Q34" i="10" s="1"/>
  <c r="B34" i="10"/>
  <c r="D33" i="5" a="1"/>
  <c r="D33" i="5" s="1"/>
  <c r="C33" i="5" a="1"/>
  <c r="C33" i="5" s="1"/>
  <c r="E33" i="5" a="1"/>
  <c r="E33" i="5" s="1"/>
  <c r="O33" i="5" a="1"/>
  <c r="O33" i="5" s="1"/>
  <c r="A35" i="5"/>
  <c r="G34" i="5" a="1"/>
  <c r="G34" i="5" s="1"/>
  <c r="F33" i="5" a="1"/>
  <c r="F33" i="5" s="1"/>
  <c r="P33" i="5" a="1"/>
  <c r="P33" i="5" s="1"/>
  <c r="Q33" i="5" a="1"/>
  <c r="Q33" i="5" s="1"/>
  <c r="B34" i="5" l="1"/>
  <c r="N34" i="5" a="1"/>
  <c r="N34" i="5" s="1"/>
  <c r="M34" i="5" a="1"/>
  <c r="M34" i="5" s="1"/>
  <c r="C35" i="10" a="1"/>
  <c r="C35" i="10" s="1"/>
  <c r="D35" i="10" a="1"/>
  <c r="D35" i="10" s="1"/>
  <c r="E35" i="10" a="1"/>
  <c r="E35" i="10" s="1"/>
  <c r="F35" i="10" a="1"/>
  <c r="F35" i="10" s="1"/>
  <c r="G35" i="10" a="1"/>
  <c r="G35" i="10" s="1"/>
  <c r="M35" i="10" a="1"/>
  <c r="M35" i="10" s="1"/>
  <c r="N35" i="10" a="1"/>
  <c r="N35" i="10" s="1"/>
  <c r="O35" i="10" a="1"/>
  <c r="O35" i="10" s="1"/>
  <c r="P35" i="10" a="1"/>
  <c r="P35" i="10" s="1"/>
  <c r="Q35" i="10" a="1"/>
  <c r="Q35" i="10" s="1"/>
  <c r="B35" i="10"/>
  <c r="D34" i="5" a="1"/>
  <c r="D34" i="5" s="1"/>
  <c r="C34" i="5" a="1"/>
  <c r="C34" i="5" s="1"/>
  <c r="E34" i="5" a="1"/>
  <c r="E34" i="5" s="1"/>
  <c r="O34" i="5" a="1"/>
  <c r="O34" i="5" s="1"/>
  <c r="A36" i="5"/>
  <c r="M35" i="5" s="1" a="1"/>
  <c r="M35" i="5" s="1"/>
  <c r="G35" i="5" a="1"/>
  <c r="G35" i="5" s="1"/>
  <c r="F34" i="5" a="1"/>
  <c r="F34" i="5" s="1"/>
  <c r="P34" i="5" a="1"/>
  <c r="P34" i="5" s="1"/>
  <c r="Q34" i="5" a="1"/>
  <c r="Q34" i="5" s="1"/>
  <c r="B35" i="5" l="1"/>
  <c r="N35" i="5" a="1"/>
  <c r="N35" i="5" s="1"/>
  <c r="C36" i="10" a="1"/>
  <c r="C36" i="10" s="1"/>
  <c r="D36" i="10" a="1"/>
  <c r="D36" i="10" s="1"/>
  <c r="E36" i="10" a="1"/>
  <c r="E36" i="10" s="1"/>
  <c r="F36" i="10" a="1"/>
  <c r="F36" i="10" s="1"/>
  <c r="G36" i="10" a="1"/>
  <c r="G36" i="10" s="1"/>
  <c r="M36" i="10" a="1"/>
  <c r="M36" i="10" s="1"/>
  <c r="N36" i="10" a="1"/>
  <c r="N36" i="10" s="1"/>
  <c r="O36" i="10" a="1"/>
  <c r="O36" i="10" s="1"/>
  <c r="P36" i="10" a="1"/>
  <c r="P36" i="10" s="1"/>
  <c r="Q36" i="10" a="1"/>
  <c r="Q36" i="10" s="1"/>
  <c r="B36" i="10"/>
  <c r="D35" i="5" a="1"/>
  <c r="D35" i="5" s="1"/>
  <c r="C35" i="5" a="1"/>
  <c r="C35" i="5" s="1"/>
  <c r="E35" i="5" a="1"/>
  <c r="E35" i="5" s="1"/>
  <c r="O35" i="5" a="1"/>
  <c r="O35" i="5" s="1"/>
  <c r="P35" i="5" a="1"/>
  <c r="P35" i="5" s="1"/>
  <c r="A37" i="5"/>
  <c r="N36" i="5" s="1" a="1"/>
  <c r="N36" i="5" s="1"/>
  <c r="G36" i="5" a="1"/>
  <c r="G36" i="5" s="1"/>
  <c r="F35" i="5" a="1"/>
  <c r="F35" i="5" s="1"/>
  <c r="Q35" i="5" a="1"/>
  <c r="Q35" i="5" s="1"/>
  <c r="B36" i="5" l="1"/>
  <c r="M36" i="5" a="1"/>
  <c r="M36" i="5" s="1"/>
  <c r="C37" i="10" a="1"/>
  <c r="C37" i="10" s="1"/>
  <c r="D37" i="10" a="1"/>
  <c r="D37" i="10" s="1"/>
  <c r="E37" i="10" a="1"/>
  <c r="E37" i="10" s="1"/>
  <c r="F37" i="10" a="1"/>
  <c r="F37" i="10" s="1"/>
  <c r="G37" i="10" a="1"/>
  <c r="G37" i="10" s="1"/>
  <c r="M37" i="10" a="1"/>
  <c r="M37" i="10" s="1"/>
  <c r="N37" i="10" a="1"/>
  <c r="N37" i="10" s="1"/>
  <c r="O37" i="10" a="1"/>
  <c r="O37" i="10" s="1"/>
  <c r="P37" i="10" a="1"/>
  <c r="P37" i="10" s="1"/>
  <c r="Q37" i="10" a="1"/>
  <c r="Q37" i="10" s="1"/>
  <c r="B37" i="10"/>
  <c r="D36" i="5" a="1"/>
  <c r="D36" i="5" s="1"/>
  <c r="C36" i="5" a="1"/>
  <c r="C36" i="5" s="1"/>
  <c r="E36" i="5" a="1"/>
  <c r="E36" i="5" s="1"/>
  <c r="O36" i="5" a="1"/>
  <c r="O36" i="5" s="1"/>
  <c r="F36" i="5" a="1"/>
  <c r="F36" i="5" s="1"/>
  <c r="P36" i="5" a="1"/>
  <c r="P36" i="5" s="1"/>
  <c r="A38" i="5"/>
  <c r="N37" i="5" s="1" a="1"/>
  <c r="N37" i="5" s="1"/>
  <c r="Q36" i="5" a="1"/>
  <c r="Q36" i="5" s="1"/>
  <c r="B37" i="5" l="1"/>
  <c r="G37" i="5" a="1"/>
  <c r="G37" i="5" s="1"/>
  <c r="M37" i="5" a="1"/>
  <c r="M37" i="5" s="1"/>
  <c r="C38" i="10" a="1"/>
  <c r="C38" i="10" s="1"/>
  <c r="D38" i="10" a="1"/>
  <c r="D38" i="10" s="1"/>
  <c r="E38" i="10" a="1"/>
  <c r="E38" i="10" s="1"/>
  <c r="F38" i="10" a="1"/>
  <c r="F38" i="10" s="1"/>
  <c r="G38" i="10" a="1"/>
  <c r="G38" i="10" s="1"/>
  <c r="M38" i="10" a="1"/>
  <c r="M38" i="10" s="1"/>
  <c r="N38" i="10" a="1"/>
  <c r="N38" i="10" s="1"/>
  <c r="O38" i="10" a="1"/>
  <c r="O38" i="10" s="1"/>
  <c r="P38" i="10" a="1"/>
  <c r="P38" i="10" s="1"/>
  <c r="Q38" i="10" a="1"/>
  <c r="Q38" i="10" s="1"/>
  <c r="B38" i="10"/>
  <c r="D37" i="5" a="1"/>
  <c r="D37" i="5" s="1"/>
  <c r="C37" i="5" a="1"/>
  <c r="C37" i="5" s="1"/>
  <c r="E37" i="5" a="1"/>
  <c r="E37" i="5" s="1"/>
  <c r="O37" i="5" a="1"/>
  <c r="O37" i="5" s="1"/>
  <c r="Q37" i="5" a="1"/>
  <c r="Q37" i="5" s="1"/>
  <c r="F37" i="5" a="1"/>
  <c r="F37" i="5" s="1"/>
  <c r="P37" i="5" a="1"/>
  <c r="P37" i="5" s="1"/>
  <c r="A39" i="5"/>
  <c r="G38" i="5" a="1"/>
  <c r="G38" i="5" s="1"/>
  <c r="B38" i="5" l="1"/>
  <c r="M38" i="5" a="1"/>
  <c r="M38" i="5" s="1"/>
  <c r="N38" i="5" a="1"/>
  <c r="N38" i="5" s="1"/>
  <c r="C39" i="10" a="1"/>
  <c r="C39" i="10" s="1"/>
  <c r="D39" i="10" a="1"/>
  <c r="D39" i="10" s="1"/>
  <c r="E39" i="10" a="1"/>
  <c r="E39" i="10" s="1"/>
  <c r="F39" i="10" a="1"/>
  <c r="F39" i="10" s="1"/>
  <c r="G39" i="10" a="1"/>
  <c r="G39" i="10" s="1"/>
  <c r="M39" i="10" a="1"/>
  <c r="M39" i="10" s="1"/>
  <c r="N39" i="10" a="1"/>
  <c r="N39" i="10" s="1"/>
  <c r="O39" i="10" a="1"/>
  <c r="O39" i="10" s="1"/>
  <c r="P39" i="10" a="1"/>
  <c r="P39" i="10" s="1"/>
  <c r="Q39" i="10" a="1"/>
  <c r="Q39" i="10" s="1"/>
  <c r="B39" i="10"/>
  <c r="D38" i="5" a="1"/>
  <c r="D38" i="5" s="1"/>
  <c r="C38" i="5" a="1"/>
  <c r="C38" i="5" s="1"/>
  <c r="E38" i="5" a="1"/>
  <c r="E38" i="5" s="1"/>
  <c r="O38" i="5" a="1"/>
  <c r="O38" i="5" s="1"/>
  <c r="Q38" i="5" a="1"/>
  <c r="Q38" i="5" s="1"/>
  <c r="F38" i="5" a="1"/>
  <c r="F38" i="5" s="1"/>
  <c r="P38" i="5" a="1"/>
  <c r="P38" i="5" s="1"/>
  <c r="A40" i="5"/>
  <c r="G39" i="5" a="1"/>
  <c r="G39" i="5" s="1"/>
  <c r="B39" i="5" l="1"/>
  <c r="M39" i="5" a="1"/>
  <c r="M39" i="5" s="1"/>
  <c r="N39" i="5" a="1"/>
  <c r="N39" i="5" s="1"/>
  <c r="C40" i="10" a="1"/>
  <c r="C40" i="10" s="1"/>
  <c r="D40" i="10" a="1"/>
  <c r="D40" i="10" s="1"/>
  <c r="E40" i="10" a="1"/>
  <c r="E40" i="10" s="1"/>
  <c r="F40" i="10" a="1"/>
  <c r="F40" i="10" s="1"/>
  <c r="G40" i="10" a="1"/>
  <c r="G40" i="10" s="1"/>
  <c r="M40" i="10" a="1"/>
  <c r="M40" i="10" s="1"/>
  <c r="N40" i="10" a="1"/>
  <c r="N40" i="10" s="1"/>
  <c r="O40" i="10" a="1"/>
  <c r="O40" i="10" s="1"/>
  <c r="P40" i="10" a="1"/>
  <c r="P40" i="10" s="1"/>
  <c r="Q40" i="10" a="1"/>
  <c r="Q40" i="10" s="1"/>
  <c r="B40" i="10"/>
  <c r="D39" i="5" a="1"/>
  <c r="D39" i="5" s="1"/>
  <c r="C39" i="5" a="1"/>
  <c r="C39" i="5" s="1"/>
  <c r="E39" i="5" a="1"/>
  <c r="E39" i="5" s="1"/>
  <c r="O39" i="5" a="1"/>
  <c r="O39" i="5" s="1"/>
  <c r="Q39" i="5" a="1"/>
  <c r="Q39" i="5" s="1"/>
  <c r="F39" i="5" a="1"/>
  <c r="F39" i="5" s="1"/>
  <c r="P39" i="5" a="1"/>
  <c r="P39" i="5" s="1"/>
  <c r="A41" i="5"/>
  <c r="G40" i="5" a="1"/>
  <c r="G40" i="5" s="1"/>
  <c r="B40" i="5" l="1"/>
  <c r="N40" i="5" a="1"/>
  <c r="N40" i="5" s="1"/>
  <c r="M40" i="5" a="1"/>
  <c r="M40" i="5" s="1"/>
  <c r="C41" i="10" a="1"/>
  <c r="C41" i="10" s="1"/>
  <c r="D41" i="10" a="1"/>
  <c r="D41" i="10" s="1"/>
  <c r="E41" i="10" a="1"/>
  <c r="E41" i="10" s="1"/>
  <c r="F41" i="10" a="1"/>
  <c r="F41" i="10" s="1"/>
  <c r="G41" i="10" a="1"/>
  <c r="G41" i="10" s="1"/>
  <c r="M41" i="10" a="1"/>
  <c r="M41" i="10" s="1"/>
  <c r="N41" i="10" a="1"/>
  <c r="N41" i="10" s="1"/>
  <c r="O41" i="10" a="1"/>
  <c r="O41" i="10" s="1"/>
  <c r="P41" i="10" a="1"/>
  <c r="P41" i="10" s="1"/>
  <c r="Q41" i="10" a="1"/>
  <c r="Q41" i="10" s="1"/>
  <c r="B41" i="10"/>
  <c r="D40" i="5" a="1"/>
  <c r="D40" i="5" s="1"/>
  <c r="C40" i="5" a="1"/>
  <c r="C40" i="5" s="1"/>
  <c r="E40" i="5" a="1"/>
  <c r="E40" i="5" s="1"/>
  <c r="O40" i="5" a="1"/>
  <c r="O40" i="5" s="1"/>
  <c r="Q40" i="5" a="1"/>
  <c r="Q40" i="5" s="1"/>
  <c r="F40" i="5" a="1"/>
  <c r="F40" i="5" s="1"/>
  <c r="P40" i="5" a="1"/>
  <c r="P40" i="5" s="1"/>
  <c r="A42" i="5"/>
  <c r="G41" i="5" a="1"/>
  <c r="G41" i="5" s="1"/>
  <c r="B41" i="5" l="1"/>
  <c r="M41" i="5" a="1"/>
  <c r="M41" i="5" s="1"/>
  <c r="N41" i="5" a="1"/>
  <c r="N41" i="5" s="1"/>
  <c r="C42" i="10" a="1"/>
  <c r="C42" i="10" s="1"/>
  <c r="D42" i="10" a="1"/>
  <c r="D42" i="10" s="1"/>
  <c r="E42" i="10" a="1"/>
  <c r="E42" i="10" s="1"/>
  <c r="F42" i="10" a="1"/>
  <c r="F42" i="10" s="1"/>
  <c r="G42" i="10" a="1"/>
  <c r="G42" i="10" s="1"/>
  <c r="M42" i="10" a="1"/>
  <c r="M42" i="10" s="1"/>
  <c r="N42" i="10" a="1"/>
  <c r="N42" i="10" s="1"/>
  <c r="O42" i="10" a="1"/>
  <c r="O42" i="10" s="1"/>
  <c r="P42" i="10" a="1"/>
  <c r="P42" i="10" s="1"/>
  <c r="Q42" i="10" a="1"/>
  <c r="Q42" i="10" s="1"/>
  <c r="B42" i="10"/>
  <c r="D41" i="5" a="1"/>
  <c r="D41" i="5" s="1"/>
  <c r="C41" i="5" a="1"/>
  <c r="C41" i="5" s="1"/>
  <c r="E41" i="5" a="1"/>
  <c r="E41" i="5" s="1"/>
  <c r="O41" i="5" a="1"/>
  <c r="O41" i="5" s="1"/>
  <c r="Q41" i="5" a="1"/>
  <c r="Q41" i="5" s="1"/>
  <c r="F41" i="5" a="1"/>
  <c r="F41" i="5" s="1"/>
  <c r="P41" i="5" a="1"/>
  <c r="P41" i="5" s="1"/>
  <c r="A43" i="5"/>
  <c r="G42" i="5" a="1"/>
  <c r="G42" i="5" s="1"/>
  <c r="B42" i="5" l="1"/>
  <c r="M42" i="5" a="1"/>
  <c r="M42" i="5" s="1"/>
  <c r="N42" i="5" a="1"/>
  <c r="N42" i="5" s="1"/>
  <c r="C43" i="10" a="1"/>
  <c r="C43" i="10" s="1"/>
  <c r="D43" i="10" a="1"/>
  <c r="D43" i="10" s="1"/>
  <c r="E43" i="10" a="1"/>
  <c r="E43" i="10" s="1"/>
  <c r="F43" i="10" a="1"/>
  <c r="F43" i="10" s="1"/>
  <c r="G43" i="10" a="1"/>
  <c r="G43" i="10" s="1"/>
  <c r="M43" i="10" a="1"/>
  <c r="M43" i="10" s="1"/>
  <c r="N43" i="10" a="1"/>
  <c r="N43" i="10" s="1"/>
  <c r="O43" i="10" a="1"/>
  <c r="O43" i="10" s="1"/>
  <c r="P43" i="10" a="1"/>
  <c r="P43" i="10" s="1"/>
  <c r="P65" i="10" s="1"/>
  <c r="Q43" i="10" a="1"/>
  <c r="Q43" i="10" s="1"/>
  <c r="B43" i="10"/>
  <c r="D42" i="5" a="1"/>
  <c r="D42" i="5" s="1"/>
  <c r="C42" i="5" a="1"/>
  <c r="C42" i="5" s="1"/>
  <c r="E42" i="5" a="1"/>
  <c r="E42" i="5" s="1"/>
  <c r="O42" i="5" a="1"/>
  <c r="O42" i="5" s="1"/>
  <c r="Q42" i="5" a="1"/>
  <c r="Q42" i="5" s="1"/>
  <c r="A44" i="5"/>
  <c r="P43" i="5" a="1"/>
  <c r="P43" i="5" s="1"/>
  <c r="F43" i="5" a="1"/>
  <c r="F43" i="5" s="1"/>
  <c r="F42" i="5" a="1"/>
  <c r="F42" i="5" s="1"/>
  <c r="P42" i="5" a="1"/>
  <c r="P42" i="5" s="1"/>
  <c r="G43" i="5" a="1"/>
  <c r="G43" i="5" s="1"/>
  <c r="B43" i="5" l="1"/>
  <c r="Z3" i="10"/>
  <c r="Z5" i="10"/>
  <c r="Z7" i="10"/>
  <c r="Z9" i="10"/>
  <c r="Z11" i="10"/>
  <c r="Z13" i="10"/>
  <c r="Z15" i="10"/>
  <c r="Z17" i="10"/>
  <c r="Z19" i="10"/>
  <c r="Z21" i="10"/>
  <c r="Z23" i="10"/>
  <c r="Z25" i="10"/>
  <c r="Z27" i="10"/>
  <c r="Z29" i="10"/>
  <c r="Z31" i="10"/>
  <c r="Z33" i="10"/>
  <c r="Z35" i="10"/>
  <c r="Z37" i="10"/>
  <c r="Z39" i="10"/>
  <c r="Z41" i="10"/>
  <c r="Z43" i="10"/>
  <c r="Z45" i="10"/>
  <c r="Z47" i="10"/>
  <c r="Z49" i="10"/>
  <c r="Z51" i="10"/>
  <c r="Z53" i="10"/>
  <c r="Z55" i="10"/>
  <c r="Z4" i="10"/>
  <c r="Z8" i="10"/>
  <c r="Z12" i="10"/>
  <c r="Z16" i="10"/>
  <c r="Z20" i="10"/>
  <c r="Z24" i="10"/>
  <c r="Z28" i="10"/>
  <c r="Z32" i="10"/>
  <c r="Z36" i="10"/>
  <c r="Z40" i="10"/>
  <c r="Z44" i="10"/>
  <c r="Z48" i="10"/>
  <c r="Z52" i="10"/>
  <c r="Z56" i="10"/>
  <c r="Z58" i="10"/>
  <c r="Z60" i="10"/>
  <c r="Z62" i="10"/>
  <c r="Z63" i="10"/>
  <c r="Z6" i="10"/>
  <c r="Z10" i="10"/>
  <c r="Z14" i="10"/>
  <c r="Z18" i="10"/>
  <c r="Z22" i="10"/>
  <c r="Z26" i="10"/>
  <c r="Z30" i="10"/>
  <c r="Z34" i="10"/>
  <c r="Z38" i="10"/>
  <c r="Z42" i="10"/>
  <c r="Z46" i="10"/>
  <c r="Z50" i="10"/>
  <c r="Z54" i="10"/>
  <c r="Z57" i="10"/>
  <c r="Z59" i="10"/>
  <c r="Z61" i="10"/>
  <c r="M43" i="5" a="1"/>
  <c r="M43" i="5" s="1"/>
  <c r="N43" i="5" a="1"/>
  <c r="N43" i="5" s="1"/>
  <c r="D43" i="5" a="1"/>
  <c r="D43" i="5" s="1"/>
  <c r="C43" i="5" a="1"/>
  <c r="C43" i="5" s="1"/>
  <c r="E43" i="5" a="1"/>
  <c r="E43" i="5" s="1"/>
  <c r="O43" i="5" a="1"/>
  <c r="O43" i="5" s="1"/>
  <c r="Q43" i="5" a="1"/>
  <c r="Q43" i="5" s="1"/>
  <c r="A45" i="5"/>
  <c r="P44" i="5" a="1"/>
  <c r="P44" i="5" s="1"/>
  <c r="F44" i="5" a="1"/>
  <c r="F44" i="5" s="1"/>
  <c r="G44" i="5" a="1"/>
  <c r="G44" i="5" s="1"/>
  <c r="B44" i="5" l="1"/>
  <c r="M44" i="5" a="1"/>
  <c r="M44" i="5" s="1"/>
  <c r="N44" i="5" a="1"/>
  <c r="N44" i="5" s="1"/>
  <c r="H41" i="10"/>
  <c r="H35" i="10"/>
  <c r="H38" i="10"/>
  <c r="H37" i="10"/>
  <c r="H40" i="10"/>
  <c r="I41" i="10"/>
  <c r="I35" i="10"/>
  <c r="I38" i="10"/>
  <c r="I37" i="10"/>
  <c r="I40" i="10"/>
  <c r="J41" i="10"/>
  <c r="J35" i="10"/>
  <c r="J38" i="10"/>
  <c r="J37" i="10"/>
  <c r="J40" i="10"/>
  <c r="K41" i="10"/>
  <c r="K35" i="10"/>
  <c r="K38" i="10"/>
  <c r="K37" i="10"/>
  <c r="K40" i="10"/>
  <c r="L41" i="10"/>
  <c r="L35" i="10"/>
  <c r="L38" i="10"/>
  <c r="L37" i="10"/>
  <c r="L40" i="10"/>
  <c r="L39" i="10"/>
  <c r="L36" i="10"/>
  <c r="L42" i="10"/>
  <c r="K39" i="10"/>
  <c r="K36" i="10"/>
  <c r="K42" i="10"/>
  <c r="J39" i="10"/>
  <c r="J36" i="10"/>
  <c r="J42" i="10"/>
  <c r="I39" i="10"/>
  <c r="I36" i="10"/>
  <c r="I42" i="10"/>
  <c r="H39" i="10"/>
  <c r="H36" i="10"/>
  <c r="H42" i="10"/>
  <c r="H43" i="10"/>
  <c r="I43" i="10"/>
  <c r="J43" i="10"/>
  <c r="K43" i="10"/>
  <c r="L43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D44" i="5" a="1"/>
  <c r="D44" i="5" s="1"/>
  <c r="C44" i="5" a="1"/>
  <c r="C44" i="5" s="1"/>
  <c r="E44" i="5" a="1"/>
  <c r="E44" i="5" s="1"/>
  <c r="O44" i="5" a="1"/>
  <c r="O44" i="5" s="1"/>
  <c r="Q44" i="5" a="1"/>
  <c r="Q44" i="5" s="1"/>
  <c r="A46" i="5"/>
  <c r="P45" i="5" a="1"/>
  <c r="P45" i="5" s="1"/>
  <c r="F45" i="5" a="1"/>
  <c r="F45" i="5" s="1"/>
  <c r="G45" i="5" a="1"/>
  <c r="G45" i="5" s="1"/>
  <c r="L44" i="5" s="1"/>
  <c r="L40" i="5"/>
  <c r="L43" i="5"/>
  <c r="L41" i="5" l="1"/>
  <c r="B45" i="5"/>
  <c r="M45" i="5" a="1"/>
  <c r="M45" i="5" s="1"/>
  <c r="N45" i="5" a="1"/>
  <c r="N45" i="5" s="1"/>
  <c r="D45" i="5" a="1"/>
  <c r="D45" i="5" s="1"/>
  <c r="C45" i="5" a="1"/>
  <c r="C45" i="5" s="1"/>
  <c r="E45" i="5" a="1"/>
  <c r="E45" i="5" s="1"/>
  <c r="O45" i="5" a="1"/>
  <c r="O45" i="5" s="1"/>
  <c r="Q45" i="5" a="1"/>
  <c r="Q45" i="5" s="1"/>
  <c r="A47" i="5"/>
  <c r="L45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2" i="5"/>
  <c r="G46" i="5" a="1"/>
  <c r="G46" i="5" s="1"/>
  <c r="B46" i="5" l="1"/>
  <c r="N47" i="5" a="1"/>
  <c r="N47" i="5" s="1"/>
  <c r="M47" i="5" a="1"/>
  <c r="M47" i="5" s="1"/>
  <c r="M46" i="5" a="1"/>
  <c r="M46" i="5" s="1"/>
  <c r="N46" i="5" a="1"/>
  <c r="N46" i="5" s="1"/>
  <c r="C65" i="10"/>
  <c r="D65" i="10"/>
  <c r="E65" i="10"/>
  <c r="F65" i="10"/>
  <c r="G65" i="10"/>
  <c r="M65" i="10"/>
  <c r="N65" i="10"/>
  <c r="O65" i="10"/>
  <c r="Q65" i="10"/>
  <c r="H17" i="5"/>
  <c r="H14" i="5"/>
  <c r="H12" i="5"/>
  <c r="H10" i="5"/>
  <c r="H11" i="5"/>
  <c r="H13" i="5"/>
  <c r="H15" i="5"/>
  <c r="H16" i="5"/>
  <c r="H19" i="5"/>
  <c r="H18" i="5"/>
  <c r="H21" i="5"/>
  <c r="H20" i="5"/>
  <c r="H23" i="5"/>
  <c r="H22" i="5"/>
  <c r="H25" i="5"/>
  <c r="H24" i="5"/>
  <c r="H27" i="5"/>
  <c r="H26" i="5"/>
  <c r="H29" i="5"/>
  <c r="H28" i="5"/>
  <c r="H31" i="5"/>
  <c r="H30" i="5"/>
  <c r="H33" i="5"/>
  <c r="H32" i="5"/>
  <c r="H35" i="5"/>
  <c r="H34" i="5"/>
  <c r="H37" i="5"/>
  <c r="H36" i="5"/>
  <c r="H39" i="5"/>
  <c r="H38" i="5"/>
  <c r="I17" i="5"/>
  <c r="I14" i="5"/>
  <c r="I12" i="5"/>
  <c r="I10" i="5"/>
  <c r="I11" i="5"/>
  <c r="I13" i="5"/>
  <c r="I15" i="5"/>
  <c r="I16" i="5"/>
  <c r="I19" i="5"/>
  <c r="I18" i="5"/>
  <c r="I21" i="5"/>
  <c r="I20" i="5"/>
  <c r="I23" i="5"/>
  <c r="I22" i="5"/>
  <c r="I25" i="5"/>
  <c r="I24" i="5"/>
  <c r="I27" i="5"/>
  <c r="I26" i="5"/>
  <c r="I29" i="5"/>
  <c r="I28" i="5"/>
  <c r="I31" i="5"/>
  <c r="I30" i="5"/>
  <c r="I33" i="5"/>
  <c r="I32" i="5"/>
  <c r="I35" i="5"/>
  <c r="I34" i="5"/>
  <c r="I37" i="5"/>
  <c r="I36" i="5"/>
  <c r="I39" i="5"/>
  <c r="I38" i="5"/>
  <c r="I44" i="5"/>
  <c r="H44" i="5"/>
  <c r="I42" i="5"/>
  <c r="H42" i="5"/>
  <c r="I40" i="5"/>
  <c r="H40" i="5"/>
  <c r="H43" i="5"/>
  <c r="I43" i="5"/>
  <c r="I41" i="5"/>
  <c r="H41" i="5"/>
  <c r="H45" i="5"/>
  <c r="H3" i="5"/>
  <c r="H4" i="5"/>
  <c r="H5" i="5"/>
  <c r="H6" i="5"/>
  <c r="H7" i="5"/>
  <c r="H8" i="5"/>
  <c r="H9" i="5"/>
  <c r="I45" i="5"/>
  <c r="I3" i="5"/>
  <c r="I4" i="5"/>
  <c r="I5" i="5"/>
  <c r="I6" i="5"/>
  <c r="I7" i="5"/>
  <c r="I8" i="5"/>
  <c r="I9" i="5"/>
  <c r="C47" i="5" a="1"/>
  <c r="C47" i="5" s="1"/>
  <c r="D47" i="5" a="1"/>
  <c r="D47" i="5" s="1"/>
  <c r="D46" i="5" a="1"/>
  <c r="D46" i="5" s="1"/>
  <c r="C46" i="5" a="1"/>
  <c r="C46" i="5" s="1"/>
  <c r="E46" i="5" a="1"/>
  <c r="E46" i="5" s="1"/>
  <c r="J47" i="5" s="1"/>
  <c r="O46" i="5" a="1"/>
  <c r="O46" i="5" s="1"/>
  <c r="D49" i="5"/>
  <c r="C49" i="5"/>
  <c r="O47" i="5" a="1"/>
  <c r="O47" i="5" s="1"/>
  <c r="O49" i="5" s="1"/>
  <c r="E47" i="5" a="1"/>
  <c r="E47" i="5" s="1"/>
  <c r="Q47" i="5" a="1"/>
  <c r="Q47" i="5" s="1"/>
  <c r="J45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3" i="5"/>
  <c r="J41" i="5"/>
  <c r="J42" i="5"/>
  <c r="J44" i="5"/>
  <c r="Q46" i="5" a="1"/>
  <c r="Q46" i="5" s="1"/>
  <c r="Y46" i="5"/>
  <c r="P47" i="5" a="1"/>
  <c r="P47" i="5" s="1"/>
  <c r="F47" i="5" a="1"/>
  <c r="F47" i="5" s="1"/>
  <c r="G47" i="5" a="1"/>
  <c r="G47" i="5" s="1"/>
  <c r="F46" i="5" a="1"/>
  <c r="F46" i="5" s="1"/>
  <c r="K46" i="5" s="1"/>
  <c r="P46" i="5" a="1"/>
  <c r="P46" i="5" s="1"/>
  <c r="L48" i="5"/>
  <c r="K45" i="5"/>
  <c r="K4" i="5"/>
  <c r="K6" i="5"/>
  <c r="K3" i="5"/>
  <c r="K7" i="5"/>
  <c r="K5" i="5"/>
  <c r="K9" i="5"/>
  <c r="K10" i="5"/>
  <c r="K8" i="5"/>
  <c r="K12" i="5"/>
  <c r="K13" i="5"/>
  <c r="K11" i="5"/>
  <c r="K15" i="5"/>
  <c r="K16" i="5"/>
  <c r="K14" i="5"/>
  <c r="K18" i="5"/>
  <c r="K19" i="5"/>
  <c r="K17" i="5"/>
  <c r="K21" i="5"/>
  <c r="K22" i="5"/>
  <c r="K20" i="5"/>
  <c r="K24" i="5"/>
  <c r="K25" i="5"/>
  <c r="K23" i="5"/>
  <c r="K27" i="5"/>
  <c r="K28" i="5"/>
  <c r="K26" i="5"/>
  <c r="K30" i="5"/>
  <c r="K31" i="5"/>
  <c r="K29" i="5"/>
  <c r="K33" i="5"/>
  <c r="K34" i="5"/>
  <c r="K32" i="5"/>
  <c r="K36" i="5"/>
  <c r="K37" i="5"/>
  <c r="K35" i="5"/>
  <c r="K39" i="5"/>
  <c r="K40" i="5"/>
  <c r="K43" i="5"/>
  <c r="K42" i="5"/>
  <c r="L46" i="5"/>
  <c r="K41" i="5"/>
  <c r="K38" i="5"/>
  <c r="K44" i="5"/>
  <c r="AA4" i="10" l="1"/>
  <c r="AA6" i="10"/>
  <c r="AA8" i="10"/>
  <c r="AA10" i="10"/>
  <c r="AA12" i="10"/>
  <c r="AA14" i="10"/>
  <c r="AA16" i="10"/>
  <c r="AA18" i="10"/>
  <c r="AA20" i="10"/>
  <c r="AA22" i="10"/>
  <c r="AA24" i="10"/>
  <c r="AA26" i="10"/>
  <c r="AA28" i="10"/>
  <c r="AA30" i="10"/>
  <c r="AA32" i="10"/>
  <c r="AA34" i="10"/>
  <c r="AA36" i="10"/>
  <c r="AA38" i="10"/>
  <c r="AA40" i="10"/>
  <c r="AA42" i="10"/>
  <c r="AA44" i="10"/>
  <c r="AA46" i="10"/>
  <c r="AA48" i="10"/>
  <c r="AA50" i="10"/>
  <c r="AA52" i="10"/>
  <c r="AA54" i="10"/>
  <c r="AA3" i="10"/>
  <c r="AA7" i="10"/>
  <c r="AA11" i="10"/>
  <c r="AA15" i="10"/>
  <c r="AA19" i="10"/>
  <c r="AA23" i="10"/>
  <c r="AA27" i="10"/>
  <c r="AA31" i="10"/>
  <c r="AA35" i="10"/>
  <c r="AA39" i="10"/>
  <c r="AA43" i="10"/>
  <c r="AA47" i="10"/>
  <c r="AA51" i="10"/>
  <c r="AA55" i="10"/>
  <c r="AA57" i="10"/>
  <c r="AA59" i="10"/>
  <c r="AA61" i="10"/>
  <c r="AA5" i="10"/>
  <c r="AA9" i="10"/>
  <c r="AA13" i="10"/>
  <c r="AA17" i="10"/>
  <c r="AA21" i="10"/>
  <c r="AA25" i="10"/>
  <c r="AA29" i="10"/>
  <c r="AA33" i="10"/>
  <c r="AA37" i="10"/>
  <c r="AA41" i="10"/>
  <c r="AA45" i="10"/>
  <c r="AA49" i="10"/>
  <c r="AA53" i="10"/>
  <c r="AA56" i="10"/>
  <c r="AA58" i="10"/>
  <c r="AA60" i="10"/>
  <c r="AA62" i="10"/>
  <c r="AA63" i="10"/>
  <c r="X3" i="10"/>
  <c r="X5" i="10"/>
  <c r="X7" i="10"/>
  <c r="X9" i="10"/>
  <c r="X11" i="10"/>
  <c r="X13" i="10"/>
  <c r="X15" i="10"/>
  <c r="X17" i="10"/>
  <c r="X19" i="10"/>
  <c r="X21" i="10"/>
  <c r="X23" i="10"/>
  <c r="X25" i="10"/>
  <c r="X27" i="10"/>
  <c r="X29" i="10"/>
  <c r="X31" i="10"/>
  <c r="X33" i="10"/>
  <c r="X35" i="10"/>
  <c r="X37" i="10"/>
  <c r="X39" i="10"/>
  <c r="X41" i="10"/>
  <c r="X43" i="10"/>
  <c r="X45" i="10"/>
  <c r="X47" i="10"/>
  <c r="X49" i="10"/>
  <c r="X51" i="10"/>
  <c r="X53" i="10"/>
  <c r="X55" i="10"/>
  <c r="X6" i="10"/>
  <c r="X10" i="10"/>
  <c r="X14" i="10"/>
  <c r="X18" i="10"/>
  <c r="X22" i="10"/>
  <c r="X26" i="10"/>
  <c r="X30" i="10"/>
  <c r="X34" i="10"/>
  <c r="X38" i="10"/>
  <c r="X42" i="10"/>
  <c r="X46" i="10"/>
  <c r="X50" i="10"/>
  <c r="X54" i="10"/>
  <c r="X58" i="10"/>
  <c r="X60" i="10"/>
  <c r="X62" i="10"/>
  <c r="X63" i="10"/>
  <c r="X4" i="10"/>
  <c r="X8" i="10"/>
  <c r="X12" i="10"/>
  <c r="X16" i="10"/>
  <c r="X20" i="10"/>
  <c r="X24" i="10"/>
  <c r="X28" i="10"/>
  <c r="X32" i="10"/>
  <c r="X36" i="10"/>
  <c r="X40" i="10"/>
  <c r="X44" i="10"/>
  <c r="X48" i="10"/>
  <c r="X52" i="10"/>
  <c r="X56" i="10"/>
  <c r="X57" i="10"/>
  <c r="X59" i="10"/>
  <c r="X61" i="10"/>
  <c r="V3" i="10"/>
  <c r="V5" i="10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4" i="10"/>
  <c r="V8" i="10"/>
  <c r="V12" i="10"/>
  <c r="V16" i="10"/>
  <c r="V20" i="10"/>
  <c r="V24" i="10"/>
  <c r="V28" i="10"/>
  <c r="V32" i="10"/>
  <c r="V36" i="10"/>
  <c r="V40" i="10"/>
  <c r="V44" i="10"/>
  <c r="V48" i="10"/>
  <c r="V52" i="10"/>
  <c r="V56" i="10"/>
  <c r="V60" i="10"/>
  <c r="V6" i="10"/>
  <c r="V10" i="10"/>
  <c r="V14" i="10"/>
  <c r="V18" i="10"/>
  <c r="V22" i="10"/>
  <c r="V26" i="10"/>
  <c r="V30" i="10"/>
  <c r="V34" i="10"/>
  <c r="V38" i="10"/>
  <c r="V42" i="10"/>
  <c r="V46" i="10"/>
  <c r="V50" i="10"/>
  <c r="V54" i="10"/>
  <c r="V58" i="10"/>
  <c r="V62" i="10"/>
  <c r="T3" i="10"/>
  <c r="T5" i="10"/>
  <c r="T7" i="10"/>
  <c r="T9" i="10"/>
  <c r="T11" i="10"/>
  <c r="T13" i="10"/>
  <c r="T15" i="10"/>
  <c r="T17" i="10"/>
  <c r="T19" i="10"/>
  <c r="T21" i="10"/>
  <c r="T23" i="10"/>
  <c r="T25" i="10"/>
  <c r="T27" i="10"/>
  <c r="T29" i="10"/>
  <c r="T31" i="10"/>
  <c r="T33" i="10"/>
  <c r="T35" i="10"/>
  <c r="T37" i="10"/>
  <c r="T39" i="10"/>
  <c r="T41" i="10"/>
  <c r="T43" i="10"/>
  <c r="T45" i="10"/>
  <c r="T47" i="10"/>
  <c r="T49" i="10"/>
  <c r="T51" i="10"/>
  <c r="T53" i="10"/>
  <c r="T55" i="10"/>
  <c r="T57" i="10"/>
  <c r="T59" i="10"/>
  <c r="T61" i="10"/>
  <c r="T63" i="10"/>
  <c r="T6" i="10"/>
  <c r="T10" i="10"/>
  <c r="T14" i="10"/>
  <c r="T18" i="10"/>
  <c r="T22" i="10"/>
  <c r="T26" i="10"/>
  <c r="T30" i="10"/>
  <c r="T34" i="10"/>
  <c r="T38" i="10"/>
  <c r="T42" i="10"/>
  <c r="T46" i="10"/>
  <c r="T50" i="10"/>
  <c r="T54" i="10"/>
  <c r="T58" i="10"/>
  <c r="T62" i="10"/>
  <c r="T4" i="10"/>
  <c r="T8" i="10"/>
  <c r="T12" i="10"/>
  <c r="T16" i="10"/>
  <c r="T20" i="10"/>
  <c r="T24" i="10"/>
  <c r="T28" i="10"/>
  <c r="T32" i="10"/>
  <c r="T36" i="10"/>
  <c r="T40" i="10"/>
  <c r="T44" i="10"/>
  <c r="T48" i="10"/>
  <c r="T52" i="10"/>
  <c r="T56" i="10"/>
  <c r="T60" i="10"/>
  <c r="R3" i="10"/>
  <c r="R5" i="10"/>
  <c r="R7" i="10"/>
  <c r="R9" i="10"/>
  <c r="R11" i="10"/>
  <c r="R13" i="10"/>
  <c r="R15" i="10"/>
  <c r="R17" i="10"/>
  <c r="R19" i="10"/>
  <c r="R21" i="10"/>
  <c r="R23" i="10"/>
  <c r="R25" i="10"/>
  <c r="R27" i="10"/>
  <c r="R29" i="10"/>
  <c r="R31" i="10"/>
  <c r="R33" i="10"/>
  <c r="R35" i="10"/>
  <c r="R37" i="10"/>
  <c r="R39" i="10"/>
  <c r="R41" i="10"/>
  <c r="R43" i="10"/>
  <c r="R45" i="10"/>
  <c r="R47" i="10"/>
  <c r="R49" i="10"/>
  <c r="R51" i="10"/>
  <c r="R53" i="10"/>
  <c r="R55" i="10"/>
  <c r="R57" i="10"/>
  <c r="R59" i="10"/>
  <c r="R61" i="10"/>
  <c r="R63" i="10"/>
  <c r="R4" i="10"/>
  <c r="R8" i="10"/>
  <c r="R12" i="10"/>
  <c r="R16" i="10"/>
  <c r="R20" i="10"/>
  <c r="R24" i="10"/>
  <c r="R28" i="10"/>
  <c r="R32" i="10"/>
  <c r="R36" i="10"/>
  <c r="R40" i="10"/>
  <c r="R44" i="10"/>
  <c r="R48" i="10"/>
  <c r="R52" i="10"/>
  <c r="R56" i="10"/>
  <c r="R60" i="10"/>
  <c r="R6" i="10"/>
  <c r="R10" i="10"/>
  <c r="R14" i="10"/>
  <c r="R18" i="10"/>
  <c r="R22" i="10"/>
  <c r="R26" i="10"/>
  <c r="R30" i="10"/>
  <c r="R34" i="10"/>
  <c r="R38" i="10"/>
  <c r="R42" i="10"/>
  <c r="R46" i="10"/>
  <c r="R50" i="10"/>
  <c r="R54" i="10"/>
  <c r="R58" i="10"/>
  <c r="R62" i="10"/>
  <c r="N49" i="5"/>
  <c r="Y4" i="10"/>
  <c r="Y6" i="10"/>
  <c r="Y8" i="10"/>
  <c r="Y10" i="10"/>
  <c r="Y12" i="10"/>
  <c r="Y14" i="10"/>
  <c r="Y16" i="10"/>
  <c r="Y18" i="10"/>
  <c r="Y20" i="10"/>
  <c r="Y22" i="10"/>
  <c r="Y24" i="10"/>
  <c r="Y26" i="10"/>
  <c r="Y28" i="10"/>
  <c r="Y30" i="10"/>
  <c r="Y32" i="10"/>
  <c r="Y34" i="10"/>
  <c r="Y36" i="10"/>
  <c r="Y38" i="10"/>
  <c r="Y40" i="10"/>
  <c r="Y42" i="10"/>
  <c r="Y44" i="10"/>
  <c r="Y46" i="10"/>
  <c r="Y48" i="10"/>
  <c r="Y50" i="10"/>
  <c r="Y52" i="10"/>
  <c r="Y54" i="10"/>
  <c r="Y56" i="10"/>
  <c r="Y5" i="10"/>
  <c r="Y9" i="10"/>
  <c r="Y13" i="10"/>
  <c r="Y17" i="10"/>
  <c r="Y21" i="10"/>
  <c r="Y25" i="10"/>
  <c r="Y29" i="10"/>
  <c r="Y33" i="10"/>
  <c r="Y37" i="10"/>
  <c r="Y41" i="10"/>
  <c r="Y45" i="10"/>
  <c r="Y49" i="10"/>
  <c r="Y53" i="10"/>
  <c r="Y57" i="10"/>
  <c r="Y59" i="10"/>
  <c r="Y61" i="10"/>
  <c r="Y3" i="10"/>
  <c r="Y7" i="10"/>
  <c r="Y11" i="10"/>
  <c r="Y15" i="10"/>
  <c r="Y19" i="10"/>
  <c r="Y23" i="10"/>
  <c r="Y27" i="10"/>
  <c r="Y31" i="10"/>
  <c r="Y35" i="10"/>
  <c r="Y39" i="10"/>
  <c r="Y43" i="10"/>
  <c r="Y47" i="10"/>
  <c r="Y51" i="10"/>
  <c r="Y55" i="10"/>
  <c r="Y58" i="10"/>
  <c r="Y60" i="10"/>
  <c r="Y62" i="10"/>
  <c r="Y63" i="10"/>
  <c r="W4" i="10"/>
  <c r="W6" i="10"/>
  <c r="W8" i="10"/>
  <c r="W10" i="10"/>
  <c r="W12" i="10"/>
  <c r="W14" i="10"/>
  <c r="W16" i="10"/>
  <c r="W18" i="10"/>
  <c r="W20" i="10"/>
  <c r="W22" i="10"/>
  <c r="W24" i="10"/>
  <c r="W26" i="10"/>
  <c r="W28" i="10"/>
  <c r="W30" i="10"/>
  <c r="W32" i="10"/>
  <c r="W34" i="10"/>
  <c r="W36" i="10"/>
  <c r="W38" i="10"/>
  <c r="W40" i="10"/>
  <c r="W42" i="10"/>
  <c r="W44" i="10"/>
  <c r="W46" i="10"/>
  <c r="W48" i="10"/>
  <c r="W50" i="10"/>
  <c r="W52" i="10"/>
  <c r="W54" i="10"/>
  <c r="W56" i="10"/>
  <c r="W3" i="10"/>
  <c r="W7" i="10"/>
  <c r="W11" i="10"/>
  <c r="W15" i="10"/>
  <c r="W19" i="10"/>
  <c r="W23" i="10"/>
  <c r="W27" i="10"/>
  <c r="W31" i="10"/>
  <c r="W35" i="10"/>
  <c r="W39" i="10"/>
  <c r="W43" i="10"/>
  <c r="W47" i="10"/>
  <c r="W51" i="10"/>
  <c r="W55" i="10"/>
  <c r="W57" i="10"/>
  <c r="W59" i="10"/>
  <c r="W61" i="10"/>
  <c r="W63" i="10"/>
  <c r="W5" i="10"/>
  <c r="W9" i="10"/>
  <c r="W13" i="10"/>
  <c r="W17" i="10"/>
  <c r="W21" i="10"/>
  <c r="W25" i="10"/>
  <c r="W29" i="10"/>
  <c r="W33" i="10"/>
  <c r="W37" i="10"/>
  <c r="W41" i="10"/>
  <c r="W45" i="10"/>
  <c r="W49" i="10"/>
  <c r="W53" i="10"/>
  <c r="W58" i="10"/>
  <c r="W60" i="10"/>
  <c r="W62" i="10"/>
  <c r="U4" i="10"/>
  <c r="U6" i="10"/>
  <c r="U8" i="10"/>
  <c r="U10" i="10"/>
  <c r="U12" i="10"/>
  <c r="U14" i="10"/>
  <c r="U16" i="10"/>
  <c r="U18" i="10"/>
  <c r="U20" i="10"/>
  <c r="U22" i="10"/>
  <c r="U24" i="10"/>
  <c r="U26" i="10"/>
  <c r="U28" i="10"/>
  <c r="U30" i="10"/>
  <c r="U32" i="10"/>
  <c r="U34" i="10"/>
  <c r="U36" i="10"/>
  <c r="U38" i="10"/>
  <c r="U40" i="10"/>
  <c r="U42" i="10"/>
  <c r="U44" i="10"/>
  <c r="U46" i="10"/>
  <c r="U48" i="10"/>
  <c r="U50" i="10"/>
  <c r="U52" i="10"/>
  <c r="U54" i="10"/>
  <c r="U56" i="10"/>
  <c r="U58" i="10"/>
  <c r="U60" i="10"/>
  <c r="U62" i="10"/>
  <c r="U5" i="10"/>
  <c r="U9" i="10"/>
  <c r="U13" i="10"/>
  <c r="U17" i="10"/>
  <c r="U21" i="10"/>
  <c r="U25" i="10"/>
  <c r="U29" i="10"/>
  <c r="U33" i="10"/>
  <c r="U37" i="10"/>
  <c r="U41" i="10"/>
  <c r="U45" i="10"/>
  <c r="U49" i="10"/>
  <c r="U53" i="10"/>
  <c r="U57" i="10"/>
  <c r="U61" i="10"/>
  <c r="U3" i="10"/>
  <c r="U7" i="10"/>
  <c r="U11" i="10"/>
  <c r="U15" i="10"/>
  <c r="U19" i="10"/>
  <c r="U23" i="10"/>
  <c r="U27" i="10"/>
  <c r="U31" i="10"/>
  <c r="U35" i="10"/>
  <c r="U39" i="10"/>
  <c r="U43" i="10"/>
  <c r="U47" i="10"/>
  <c r="U51" i="10"/>
  <c r="U55" i="10"/>
  <c r="U59" i="10"/>
  <c r="U63" i="10"/>
  <c r="S4" i="10"/>
  <c r="S6" i="10"/>
  <c r="S8" i="10"/>
  <c r="S10" i="10"/>
  <c r="S12" i="10"/>
  <c r="S14" i="10"/>
  <c r="S16" i="10"/>
  <c r="S18" i="10"/>
  <c r="S20" i="10"/>
  <c r="S22" i="10"/>
  <c r="S24" i="10"/>
  <c r="S26" i="10"/>
  <c r="S28" i="10"/>
  <c r="S30" i="10"/>
  <c r="S32" i="10"/>
  <c r="S34" i="10"/>
  <c r="S36" i="10"/>
  <c r="S38" i="10"/>
  <c r="S40" i="10"/>
  <c r="S42" i="10"/>
  <c r="S44" i="10"/>
  <c r="S46" i="10"/>
  <c r="S48" i="10"/>
  <c r="S50" i="10"/>
  <c r="S52" i="10"/>
  <c r="S54" i="10"/>
  <c r="S56" i="10"/>
  <c r="S58" i="10"/>
  <c r="S60" i="10"/>
  <c r="S62" i="10"/>
  <c r="S3" i="10"/>
  <c r="S7" i="10"/>
  <c r="S11" i="10"/>
  <c r="S15" i="10"/>
  <c r="S19" i="10"/>
  <c r="S23" i="10"/>
  <c r="S27" i="10"/>
  <c r="S31" i="10"/>
  <c r="S35" i="10"/>
  <c r="S39" i="10"/>
  <c r="S43" i="10"/>
  <c r="S47" i="10"/>
  <c r="S51" i="10"/>
  <c r="S55" i="10"/>
  <c r="S59" i="10"/>
  <c r="S63" i="10"/>
  <c r="S5" i="10"/>
  <c r="S9" i="10"/>
  <c r="S13" i="10"/>
  <c r="S17" i="10"/>
  <c r="S21" i="10"/>
  <c r="S25" i="10"/>
  <c r="S29" i="10"/>
  <c r="S33" i="10"/>
  <c r="S37" i="10"/>
  <c r="S41" i="10"/>
  <c r="S45" i="10"/>
  <c r="S49" i="10"/>
  <c r="S53" i="10"/>
  <c r="S57" i="10"/>
  <c r="S61" i="10"/>
  <c r="M49" i="5"/>
  <c r="Q67" i="10"/>
  <c r="P67" i="10"/>
  <c r="O67" i="10"/>
  <c r="N67" i="10"/>
  <c r="M67" i="10"/>
  <c r="G67" i="10"/>
  <c r="F67" i="10"/>
  <c r="E67" i="10"/>
  <c r="D67" i="10"/>
  <c r="C67" i="10"/>
  <c r="S14" i="5"/>
  <c r="S12" i="5"/>
  <c r="S10" i="5"/>
  <c r="S11" i="5"/>
  <c r="S13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R14" i="5"/>
  <c r="R12" i="5"/>
  <c r="R10" i="5"/>
  <c r="R11" i="5"/>
  <c r="R13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P49" i="5"/>
  <c r="Q49" i="5"/>
  <c r="AA46" i="5" s="1"/>
  <c r="R46" i="5"/>
  <c r="S46" i="5"/>
  <c r="I48" i="5"/>
  <c r="I47" i="5"/>
  <c r="I46" i="5"/>
  <c r="S45" i="5"/>
  <c r="H48" i="5"/>
  <c r="H47" i="5"/>
  <c r="H46" i="5"/>
  <c r="R45" i="5"/>
  <c r="S43" i="5"/>
  <c r="R43" i="5"/>
  <c r="S41" i="5"/>
  <c r="R41" i="5"/>
  <c r="R40" i="5"/>
  <c r="S40" i="5"/>
  <c r="R42" i="5"/>
  <c r="S42" i="5"/>
  <c r="R44" i="5"/>
  <c r="S44" i="5"/>
  <c r="P51" i="5"/>
  <c r="Z48" i="5"/>
  <c r="AA48" i="5"/>
  <c r="O51" i="5"/>
  <c r="Y48" i="5"/>
  <c r="C51" i="5"/>
  <c r="R48" i="5"/>
  <c r="D51" i="5"/>
  <c r="S48" i="5"/>
  <c r="S47" i="5"/>
  <c r="S3" i="5"/>
  <c r="S4" i="5"/>
  <c r="S5" i="5"/>
  <c r="S6" i="5"/>
  <c r="S7" i="5"/>
  <c r="S8" i="5"/>
  <c r="S9" i="5"/>
  <c r="R47" i="5"/>
  <c r="R3" i="5"/>
  <c r="R4" i="5"/>
  <c r="R5" i="5"/>
  <c r="R6" i="5"/>
  <c r="R7" i="5"/>
  <c r="R8" i="5"/>
  <c r="R9" i="5"/>
  <c r="L47" i="5"/>
  <c r="G49" i="5"/>
  <c r="AA47" i="5"/>
  <c r="AA37" i="5"/>
  <c r="AA36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4" i="5"/>
  <c r="AA32" i="5"/>
  <c r="AA33" i="5"/>
  <c r="AA35" i="5"/>
  <c r="AA39" i="5"/>
  <c r="AA38" i="5"/>
  <c r="AA40" i="5"/>
  <c r="Y47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F49" i="5"/>
  <c r="Y44" i="5"/>
  <c r="AA44" i="5"/>
  <c r="Y42" i="5"/>
  <c r="AA42" i="5"/>
  <c r="AA41" i="5"/>
  <c r="AA43" i="5"/>
  <c r="Y43" i="5"/>
  <c r="AA45" i="5"/>
  <c r="Y45" i="5"/>
  <c r="J46" i="5"/>
  <c r="J48" i="5"/>
  <c r="E49" i="5"/>
  <c r="E51" i="5" s="1"/>
  <c r="Z46" i="5"/>
  <c r="Z45" i="5"/>
  <c r="Z42" i="5"/>
  <c r="Z43" i="5"/>
  <c r="Z44" i="5"/>
  <c r="Z47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K47" i="5"/>
  <c r="K48" i="5"/>
  <c r="Q51" i="5" l="1"/>
  <c r="N51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M51" i="5"/>
  <c r="W3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U48" i="5"/>
  <c r="F51" i="5"/>
  <c r="V48" i="5"/>
  <c r="G51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V46" i="5"/>
  <c r="V44" i="5"/>
  <c r="V43" i="5"/>
  <c r="V45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3" i="5"/>
  <c r="U4" i="5"/>
  <c r="U47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47" i="5"/>
  <c r="U44" i="5"/>
  <c r="U43" i="5"/>
  <c r="U42" i="5"/>
  <c r="U45" i="5"/>
  <c r="U46" i="5"/>
</calcChain>
</file>

<file path=xl/comments1.xml><?xml version="1.0" encoding="utf-8"?>
<comments xmlns="http://schemas.openxmlformats.org/spreadsheetml/2006/main">
  <authors>
    <author>AsposeUser</author>
  </authors>
  <commentList>
    <comment ref="A8" authorId="0">
      <text>
        <r>
          <rPr>
            <sz val="10"/>
            <rFont val="Arial"/>
            <family val="2"/>
          </rPr>
          <t>http://en.wikipedia.org/wiki/2010_in_film</t>
        </r>
      </text>
    </comment>
    <comment ref="H9" authorId="0">
      <text>
        <r>
          <rPr>
            <sz val="10"/>
            <rFont val="Arial"/>
            <family val="2"/>
          </rPr>
          <t>http://www.imdb.com/title/tt0435761/</t>
        </r>
      </text>
    </comment>
    <comment ref="H10" authorId="0">
      <text>
        <r>
          <rPr>
            <sz val="10"/>
            <rFont val="Arial"/>
            <family val="2"/>
          </rPr>
          <t>http://www.imdb.com/title/tt1014759/</t>
        </r>
      </text>
    </comment>
    <comment ref="H11" authorId="0">
      <text>
        <r>
          <rPr>
            <sz val="10"/>
            <rFont val="Arial"/>
            <family val="2"/>
          </rPr>
          <t>http://www.imdb.com/title/tt0926084/</t>
        </r>
      </text>
    </comment>
    <comment ref="H12" authorId="0">
      <text>
        <r>
          <rPr>
            <sz val="10"/>
            <rFont val="Arial"/>
            <family val="2"/>
          </rPr>
          <t>http://en.wikipedia.org/wiki/Inception_(film)</t>
        </r>
      </text>
    </comment>
    <comment ref="H13" authorId="0">
      <text>
        <r>
          <rPr>
            <sz val="10"/>
            <rFont val="Arial"/>
            <family val="2"/>
          </rPr>
          <t>http://xbox360.ign.com/objects/142/14252965.html</t>
        </r>
      </text>
    </comment>
    <comment ref="H14" authorId="0">
      <text>
        <r>
          <rPr>
            <sz val="10"/>
            <rFont val="Arial"/>
            <family val="2"/>
          </rPr>
          <t>http://en.wikipedia.org/wiki/The_Twilight_Saga:_Eclipse</t>
        </r>
      </text>
    </comment>
    <comment ref="H15" authorId="0">
      <text>
        <r>
          <rPr>
            <sz val="10"/>
            <rFont val="Arial"/>
            <family val="2"/>
          </rPr>
          <t>http://www.imdb.com/title/tt1228705/</t>
        </r>
      </text>
    </comment>
    <comment ref="H16" authorId="0">
      <text>
        <r>
          <rPr>
            <sz val="10"/>
            <rFont val="Arial"/>
            <family val="2"/>
          </rPr>
          <t>http://www.phoenixnewtimes.com/movies/despicable-me-997368/</t>
        </r>
      </text>
    </comment>
    <comment ref="H17" authorId="0">
      <text>
        <r>
          <rPr>
            <sz val="10"/>
            <rFont val="Arial"/>
            <family val="2"/>
          </rPr>
          <t>http://www.imdb.com/title/tt0892769/</t>
        </r>
      </text>
    </comment>
    <comment ref="H18" authorId="0">
      <text>
        <r>
          <rPr>
            <sz val="10"/>
            <rFont val="Arial"/>
            <family val="2"/>
          </rPr>
          <t>http://www.imdb.com/title/tt0800320/</t>
        </r>
      </text>
    </comment>
    <comment ref="A21" authorId="0">
      <text>
        <r>
          <rPr>
            <sz val="10"/>
            <rFont val="Arial"/>
            <family val="2"/>
          </rPr>
          <t>http://en.wikipedia.org/wiki/2009_in_film</t>
        </r>
      </text>
    </comment>
    <comment ref="H22" authorId="0">
      <text>
        <r>
          <rPr>
            <sz val="10"/>
            <rFont val="Arial"/>
            <family val="2"/>
          </rPr>
          <t>http://www.imdb.com/title/tt0499549/</t>
        </r>
      </text>
    </comment>
    <comment ref="H23" authorId="0">
      <text>
        <r>
          <rPr>
            <sz val="10"/>
            <rFont val="Arial"/>
            <family val="2"/>
          </rPr>
          <t>http://www.imdb.com/title/tt0417741/</t>
        </r>
      </text>
    </comment>
    <comment ref="H24" authorId="0">
      <text>
        <r>
          <rPr>
            <sz val="10"/>
            <rFont val="Arial"/>
            <family val="2"/>
          </rPr>
          <t>http://boxofficemojo.com/movies/?id=iceage3.htm</t>
        </r>
      </text>
    </comment>
    <comment ref="H25" authorId="0">
      <text>
        <r>
          <rPr>
            <sz val="10"/>
            <rFont val="Arial"/>
            <family val="2"/>
          </rPr>
          <t>http://www.imdb.com/title/tt1055369/</t>
        </r>
      </text>
    </comment>
    <comment ref="H27" authorId="0">
      <text>
        <r>
          <rPr>
            <sz val="10"/>
            <rFont val="Arial"/>
            <family val="2"/>
          </rPr>
          <t>http://www.bbcshop.com/comedy/on-the-up-boxset-dvd/invt/cctv30430/</t>
        </r>
      </text>
    </comment>
    <comment ref="H28" authorId="0">
      <text>
        <r>
          <rPr>
            <sz val="10"/>
            <rFont val="Arial"/>
            <family val="2"/>
          </rPr>
          <t>http://boxofficemojo.com/movies/?id=newmoon.htm</t>
        </r>
      </text>
    </comment>
    <comment ref="H29" authorId="0">
      <text>
        <r>
          <rPr>
            <sz val="10"/>
            <rFont val="Arial"/>
            <family val="2"/>
          </rPr>
          <t>http://www.imdb.com/title/tt0988045/</t>
        </r>
      </text>
    </comment>
    <comment ref="H30" authorId="0">
      <text>
        <r>
          <rPr>
            <sz val="10"/>
            <rFont val="Arial"/>
            <family val="2"/>
          </rPr>
          <t>http://www.imdb.com/title/tt0808151/</t>
        </r>
      </text>
    </comment>
    <comment ref="H31" authorId="0">
      <text>
        <r>
          <rPr>
            <sz val="10"/>
            <rFont val="Arial"/>
            <family val="2"/>
          </rPr>
          <t>http://www.imdb.com/title/tt1119646/</t>
        </r>
      </text>
    </comment>
    <comment ref="A33" authorId="0">
      <text>
        <r>
          <rPr>
            <sz val="10"/>
            <rFont val="Arial"/>
            <family val="2"/>
          </rPr>
          <t>http://en.wikipedia.org/wiki/2008_in_film</t>
        </r>
      </text>
    </comment>
    <comment ref="H34" authorId="0">
      <text>
        <r>
          <rPr>
            <sz val="10"/>
            <rFont val="Arial"/>
            <family val="2"/>
          </rPr>
          <t>http://www.imdb.com/title/tt0468569/</t>
        </r>
      </text>
    </comment>
    <comment ref="H35" authorId="0">
      <text>
        <r>
          <rPr>
            <sz val="10"/>
            <rFont val="Arial"/>
            <family val="2"/>
          </rPr>
          <t>http://www.imdb.com/title/tt0367882/</t>
        </r>
      </text>
    </comment>
    <comment ref="H36" authorId="0">
      <text>
        <r>
          <rPr>
            <sz val="10"/>
            <rFont val="Arial"/>
            <family val="2"/>
          </rPr>
          <t>http://www.imdb.com/title/tt0441773/</t>
        </r>
      </text>
    </comment>
    <comment ref="H37" authorId="0">
      <text>
        <r>
          <rPr>
            <sz val="10"/>
            <rFont val="Arial"/>
            <family val="2"/>
          </rPr>
          <t>http://www.imdb.com/title/tt0448157/</t>
        </r>
      </text>
    </comment>
    <comment ref="H38" authorId="0">
      <text>
        <r>
          <rPr>
            <sz val="10"/>
            <rFont val="Arial"/>
            <family val="2"/>
          </rPr>
          <t>http://www.imdb.com/title/tt0795421/</t>
        </r>
      </text>
    </comment>
    <comment ref="H39" authorId="0">
      <text>
        <r>
          <rPr>
            <sz val="10"/>
            <rFont val="Arial"/>
            <family val="2"/>
          </rPr>
          <t>http://www.aceshowbiz.com/movie/madagascar_escape_2_africa/</t>
        </r>
      </text>
    </comment>
    <comment ref="H40" authorId="0">
      <text>
        <r>
          <rPr>
            <sz val="10"/>
            <rFont val="Arial"/>
            <family val="2"/>
          </rPr>
          <t>http://www.imdb.com/title/tt0830515/</t>
        </r>
      </text>
    </comment>
    <comment ref="H41" authorId="0">
      <text>
        <r>
          <rPr>
            <sz val="10"/>
            <rFont val="Arial"/>
            <family val="2"/>
          </rPr>
          <t>http://www.freebase.com/view/m/040tzz8</t>
        </r>
      </text>
    </comment>
    <comment ref="H42" authorId="0">
      <text>
        <r>
          <rPr>
            <sz val="10"/>
            <rFont val="Arial"/>
            <family val="2"/>
          </rPr>
          <t>http://www.imdb.com/title/tt0910970/</t>
        </r>
      </text>
    </comment>
    <comment ref="H43" authorId="0">
      <text>
        <r>
          <rPr>
            <sz val="10"/>
            <rFont val="Arial"/>
            <family val="2"/>
          </rPr>
          <t>http://www.imdb.com/title/tt0499448/</t>
        </r>
      </text>
    </comment>
    <comment ref="A45" authorId="0">
      <text>
        <r>
          <rPr>
            <sz val="10"/>
            <rFont val="Arial"/>
            <family val="2"/>
          </rPr>
          <t>http://en.wikipedia.org/wiki/2007_in_film</t>
        </r>
      </text>
    </comment>
    <comment ref="H46" authorId="0">
      <text>
        <r>
          <rPr>
            <sz val="10"/>
            <rFont val="Arial"/>
            <family val="2"/>
          </rPr>
          <t>http://www.infoselebritis.com/article/pirates-of-the-caribbean-at-world-s-end-information-from-answers-com.html</t>
        </r>
      </text>
    </comment>
    <comment ref="H47" authorId="0">
      <text>
        <r>
          <rPr>
            <sz val="10"/>
            <rFont val="Arial"/>
            <family val="2"/>
          </rPr>
          <t>http://www.imdb.com/title/tt0373889/</t>
        </r>
      </text>
    </comment>
    <comment ref="H48" authorId="0">
      <text>
        <r>
          <rPr>
            <sz val="10"/>
            <rFont val="Arial"/>
            <family val="2"/>
          </rPr>
          <t>http://www.freebase.com/view/m/02hm17b</t>
        </r>
      </text>
    </comment>
    <comment ref="H49" authorId="0">
      <text>
        <r>
          <rPr>
            <sz val="10"/>
            <rFont val="Arial"/>
            <family val="2"/>
          </rPr>
          <t>http://www.imdb.com/title/tt0413267/</t>
        </r>
      </text>
    </comment>
    <comment ref="H50" authorId="0">
      <text>
        <r>
          <rPr>
            <sz val="10"/>
            <rFont val="Arial"/>
            <family val="2"/>
          </rPr>
          <t>http://www.imdb.com/title/tt0418279/</t>
        </r>
      </text>
    </comment>
    <comment ref="H51" authorId="0">
      <text>
        <r>
          <rPr>
            <sz val="10"/>
            <rFont val="Arial"/>
            <family val="2"/>
          </rPr>
          <t>http://www.comingsoon.net/films.php?id=7943</t>
        </r>
      </text>
    </comment>
    <comment ref="H52" authorId="0">
      <text>
        <r>
          <rPr>
            <sz val="10"/>
            <rFont val="Arial"/>
            <family val="2"/>
          </rPr>
          <t>http://www.imdb.com/title/tt0480249/</t>
        </r>
      </text>
    </comment>
    <comment ref="H53" authorId="0">
      <text>
        <r>
          <rPr>
            <sz val="10"/>
            <rFont val="Arial"/>
            <family val="2"/>
          </rPr>
          <t>http://www.imdb.com/title/tt0462538/</t>
        </r>
      </text>
    </comment>
    <comment ref="H54" authorId="0">
      <text>
        <r>
          <rPr>
            <sz val="10"/>
            <rFont val="Arial"/>
            <family val="2"/>
          </rPr>
          <t>http://www.imdb.com/title/tt0465234/</t>
        </r>
      </text>
    </comment>
    <comment ref="A57" authorId="0">
      <text>
        <r>
          <rPr>
            <sz val="10"/>
            <rFont val="Arial"/>
            <family val="2"/>
          </rPr>
          <t>http://en.wikipedia.org/wiki/2006_in_film</t>
        </r>
      </text>
    </comment>
    <comment ref="H58" authorId="0">
      <text>
        <r>
          <rPr>
            <sz val="10"/>
            <rFont val="Arial"/>
            <family val="2"/>
          </rPr>
          <t>http://www.imdb.com/title/tt0383574/</t>
        </r>
      </text>
    </comment>
    <comment ref="H59" authorId="0">
      <text>
        <r>
          <rPr>
            <sz val="10"/>
            <rFont val="Arial"/>
            <family val="2"/>
          </rPr>
          <t>http://www.freebase.com/view/m/02hmm3h</t>
        </r>
      </text>
    </comment>
    <comment ref="H60" authorId="0">
      <text>
        <r>
          <rPr>
            <sz val="10"/>
            <rFont val="Arial"/>
            <family val="2"/>
          </rPr>
          <t>http://movies.yahoo.com/movie/1808751386/info</t>
        </r>
      </text>
    </comment>
    <comment ref="H61" authorId="0">
      <text>
        <r>
          <rPr>
            <sz val="10"/>
            <rFont val="Arial"/>
            <family val="2"/>
          </rPr>
          <t>http://www.imdb.com/title/tt0381061/</t>
        </r>
      </text>
    </comment>
    <comment ref="H62" authorId="0">
      <text>
        <r>
          <rPr>
            <sz val="10"/>
            <rFont val="Arial"/>
            <family val="2"/>
          </rPr>
          <t>http://www.imdb.com/title/tt0477347/</t>
        </r>
      </text>
    </comment>
    <comment ref="H63" authorId="0">
      <text>
        <r>
          <rPr>
            <sz val="10"/>
            <rFont val="Arial"/>
            <family val="2"/>
          </rPr>
          <t>http://www.freebase.com/view/m/02hm8n_</t>
        </r>
      </text>
    </comment>
    <comment ref="H64" authorId="0">
      <text>
        <r>
          <rPr>
            <sz val="10"/>
            <rFont val="Arial"/>
            <family val="2"/>
          </rPr>
          <t>http://movies.yahoo.com/movie/1808490830/info</t>
        </r>
      </text>
    </comment>
    <comment ref="H65" authorId="0">
      <text>
        <r>
          <rPr>
            <sz val="10"/>
            <rFont val="Arial"/>
            <family val="2"/>
          </rPr>
          <t>http://www.imdb.com/title/tt0317919/</t>
        </r>
      </text>
    </comment>
    <comment ref="H66" authorId="0">
      <text>
        <r>
          <rPr>
            <sz val="10"/>
            <rFont val="Arial"/>
            <family val="2"/>
          </rPr>
          <t>http://www.freebase.com/view/m/02hmbrs</t>
        </r>
      </text>
    </comment>
    <comment ref="H67" authorId="0">
      <text>
        <r>
          <rPr>
            <sz val="10"/>
            <rFont val="Arial"/>
            <family val="2"/>
          </rPr>
          <t>http://www.imdb.com/title/tt0366548/</t>
        </r>
      </text>
    </comment>
    <comment ref="A69" authorId="0">
      <text>
        <r>
          <rPr>
            <sz val="10"/>
            <rFont val="Arial"/>
            <family val="2"/>
          </rPr>
          <t>http://en.wikipedia.org/wiki/2005_in_film</t>
        </r>
      </text>
    </comment>
    <comment ref="H70" authorId="0">
      <text>
        <r>
          <rPr>
            <sz val="10"/>
            <rFont val="Arial"/>
            <family val="2"/>
          </rPr>
          <t>http://www.comingsoon.net/films.php?id=4659</t>
        </r>
      </text>
    </comment>
    <comment ref="H71" authorId="0">
      <text>
        <r>
          <rPr>
            <sz val="10"/>
            <rFont val="Arial"/>
            <family val="2"/>
          </rPr>
          <t>http://www.freebase.com/view/m/02hm5gv</t>
        </r>
      </text>
    </comment>
    <comment ref="H72" authorId="0">
      <text>
        <r>
          <rPr>
            <sz val="10"/>
            <rFont val="Arial"/>
            <family val="2"/>
          </rPr>
          <t>http://www.reelviews.net/movies/c/chronicles_narnia1.html</t>
        </r>
      </text>
    </comment>
    <comment ref="H73" authorId="0">
      <text>
        <r>
          <rPr>
            <sz val="10"/>
            <rFont val="Arial"/>
            <family val="2"/>
          </rPr>
          <t>http://www.imdb.com/title/tt0407304/</t>
        </r>
      </text>
    </comment>
    <comment ref="H74" authorId="0">
      <text>
        <r>
          <rPr>
            <sz val="10"/>
            <rFont val="Arial"/>
            <family val="2"/>
          </rPr>
          <t>http://www.imdb.com/title/tt0360717/</t>
        </r>
      </text>
    </comment>
    <comment ref="H75" authorId="0">
      <text>
        <r>
          <rPr>
            <sz val="10"/>
            <rFont val="Arial"/>
            <family val="2"/>
          </rPr>
          <t>http://www.imdb.com/title/tt0351283/</t>
        </r>
      </text>
    </comment>
    <comment ref="H76" authorId="0">
      <text>
        <r>
          <rPr>
            <sz val="10"/>
            <rFont val="Arial"/>
            <family val="2"/>
          </rPr>
          <t>http://www.imdb.com/title/tt0356910/</t>
        </r>
      </text>
    </comment>
    <comment ref="H77" authorId="0">
      <text>
        <r>
          <rPr>
            <sz val="10"/>
            <rFont val="Arial"/>
            <family val="2"/>
          </rPr>
          <t>http://www.freebase.com/view/m/02hmgyn</t>
        </r>
      </text>
    </comment>
    <comment ref="H78" authorId="0">
      <text>
        <r>
          <rPr>
            <sz val="10"/>
            <rFont val="Arial"/>
            <family val="2"/>
          </rPr>
          <t>http://www.freebase.com/view/m/02hmbjy</t>
        </r>
      </text>
    </comment>
    <comment ref="H79" authorId="0">
      <text>
        <r>
          <rPr>
            <sz val="10"/>
            <rFont val="Arial"/>
            <family val="2"/>
          </rPr>
          <t>http://www.imdb.com/title/tt0386588/</t>
        </r>
      </text>
    </comment>
  </commentList>
</comments>
</file>

<file path=xl/comments2.xml><?xml version="1.0" encoding="utf-8"?>
<comments xmlns="http://schemas.openxmlformats.org/spreadsheetml/2006/main">
  <authors>
    <author>Kevin Correia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Kevin Correia:</t>
        </r>
        <r>
          <rPr>
            <sz val="9"/>
            <color indexed="81"/>
            <rFont val="Tahoma"/>
            <charset val="1"/>
          </rPr>
          <t xml:space="preserve">
Use of arrays requires CTRL-SHIFT-ENTER</t>
        </r>
      </text>
    </comment>
  </commentList>
</comments>
</file>

<file path=xl/sharedStrings.xml><?xml version="1.0" encoding="utf-8"?>
<sst xmlns="http://schemas.openxmlformats.org/spreadsheetml/2006/main" count="19298" uniqueCount="5382">
  <si>
    <t xml:space="preserve"> Eat Pray Love</t>
  </si>
  <si>
    <t xml:space="preserve"> The City of Your Final Destination</t>
  </si>
  <si>
    <t xml:space="preserve"> La mujer sin cabeza</t>
  </si>
  <si>
    <t xml:space="preserve"> Fall of Hyperion</t>
  </si>
  <si>
    <t xml:space="preserve"> Life Blood</t>
  </si>
  <si>
    <t xml:space="preserve"> Dirt Music</t>
  </si>
  <si>
    <t xml:space="preserve"> XXY</t>
  </si>
  <si>
    <t xml:space="preserve"> The Nutcracker in 3D</t>
  </si>
  <si>
    <t xml:space="preserve"> Grande, grosso e Verdone</t>
  </si>
  <si>
    <t xml:space="preserve"> </t>
  </si>
  <si>
    <t xml:space="preserve"> Coraline</t>
  </si>
  <si>
    <t xml:space="preserve"> The Burrowers</t>
  </si>
  <si>
    <t xml:space="preserve"> The Square</t>
  </si>
  <si>
    <t xml:space="preserve"> Cassandra's Dream</t>
  </si>
  <si>
    <t xml:space="preserve"> The Village Barbershop</t>
  </si>
  <si>
    <t xml:space="preserve"> The Tree of Life</t>
  </si>
  <si>
    <t xml:space="preserve"> Scanners</t>
  </si>
  <si>
    <t xml:space="preserve"> Parasomnia</t>
  </si>
  <si>
    <t xml:space="preserve"> Shanghai Red</t>
  </si>
  <si>
    <t xml:space="preserve"> L'Allenatore Ne Pallone 2</t>
  </si>
  <si>
    <t>-</t>
  </si>
  <si>
    <t xml:space="preserve"> Bella Sara Tales: The Adventure Begins</t>
  </si>
  <si>
    <t xml:space="preserve"> A Jihad for Love</t>
  </si>
  <si>
    <t xml:space="preserve"> How to be a Serial Killer</t>
  </si>
  <si>
    <t>02/10/2006</t>
  </si>
  <si>
    <t xml:space="preserve"> The Cartel</t>
  </si>
  <si>
    <t xml:space="preserve"> Mister Foe</t>
  </si>
  <si>
    <t>Atlas Media Group</t>
  </si>
  <si>
    <t xml:space="preserve"> Jazz in the Diamond District</t>
  </si>
  <si>
    <t xml:space="preserve"> B-Girl</t>
  </si>
  <si>
    <t xml:space="preserve"> The Amazing Truth About Queen Raquela</t>
  </si>
  <si>
    <t xml:space="preserve"> Diverso Da Chi</t>
  </si>
  <si>
    <t xml:space="preserve"> Falling Awake</t>
  </si>
  <si>
    <t>Newstyle</t>
  </si>
  <si>
    <t xml:space="preserve"> Adventureland</t>
  </si>
  <si>
    <t xml:space="preserve"> Boheme, La</t>
  </si>
  <si>
    <t xml:space="preserve"> Starship Troopers 3 - Marauder</t>
  </si>
  <si>
    <t>Media 8 Entertainment</t>
  </si>
  <si>
    <t xml:space="preserve"> L'illusionniste</t>
  </si>
  <si>
    <t xml:space="preserve"> Hatchet II</t>
  </si>
  <si>
    <t>*War of the Worlds*</t>
  </si>
  <si>
    <t xml:space="preserve"> Radio Days</t>
  </si>
  <si>
    <t xml:space="preserve"> Jiàngúo dàyè</t>
  </si>
  <si>
    <t>2006-06-06</t>
  </si>
  <si>
    <t xml:space="preserve"> Rampage: Killing Without Reason</t>
  </si>
  <si>
    <t>Maya Entertainment</t>
  </si>
  <si>
    <t xml:space="preserve"> Patti Smith: Dream of Life</t>
  </si>
  <si>
    <t xml:space="preserve"> Whip It</t>
  </si>
  <si>
    <t xml:space="preserve"> Center Stage: Turn It Up</t>
  </si>
  <si>
    <t>Weinstein Co.</t>
  </si>
  <si>
    <t xml:space="preserve"> Pathology</t>
  </si>
  <si>
    <t xml:space="preserve"> Savage Grace</t>
  </si>
  <si>
    <t xml:space="preserve"> Milk</t>
  </si>
  <si>
    <t xml:space="preserve"> Order of Chaos</t>
  </si>
  <si>
    <t xml:space="preserve"> Tutta la vita davanti</t>
  </si>
  <si>
    <t xml:space="preserve"> Nikte</t>
  </si>
  <si>
    <t xml:space="preserve"> Mama's Boy</t>
  </si>
  <si>
    <t xml:space="preserve"> Män som hatar kvinnor</t>
  </si>
  <si>
    <t xml:space="preserve"> Step Up 3D</t>
  </si>
  <si>
    <t xml:space="preserve"> Collapse</t>
  </si>
  <si>
    <t xml:space="preserve"> Surfwise</t>
  </si>
  <si>
    <t xml:space="preserve"> 13B</t>
  </si>
  <si>
    <t xml:space="preserve"> Barbie in a Mermaid Tale</t>
  </si>
  <si>
    <t xml:space="preserve"> Jannat</t>
  </si>
  <si>
    <t xml:space="preserve"> Dasavatharam</t>
  </si>
  <si>
    <t xml:space="preserve"> Frygtelig Lykkelig</t>
  </si>
  <si>
    <t xml:space="preserve"> Step Brothers</t>
  </si>
  <si>
    <t xml:space="preserve"> Cleaner</t>
  </si>
  <si>
    <t xml:space="preserve"> Splinter</t>
  </si>
  <si>
    <t xml:space="preserve"> Must Read After My Death</t>
  </si>
  <si>
    <t xml:space="preserve"> Brothers at War</t>
  </si>
  <si>
    <t xml:space="preserve"> Call+Response</t>
  </si>
  <si>
    <t xml:space="preserve"> Adoration</t>
  </si>
  <si>
    <t xml:space="preserve"> I Hope They Serve Beer in Hell</t>
  </si>
  <si>
    <t xml:space="preserve"> Franklyn</t>
  </si>
  <si>
    <t xml:space="preserve"> Preacher's Kid</t>
  </si>
  <si>
    <t xml:space="preserve"> Zack and Miri Make a Porno</t>
  </si>
  <si>
    <t xml:space="preserve"> Deux jours à tuer</t>
  </si>
  <si>
    <t xml:space="preserve"> Mine</t>
  </si>
  <si>
    <t xml:space="preserve"> House Under Siege</t>
  </si>
  <si>
    <t xml:space="preserve"> Severed Ways: The Norse Discovery of America</t>
  </si>
  <si>
    <t xml:space="preserve"> Familiar Strangers</t>
  </si>
  <si>
    <t>Yari</t>
  </si>
  <si>
    <t>Kino International</t>
  </si>
  <si>
    <t xml:space="preserve"> Brief Interviews with Hideous Men</t>
  </si>
  <si>
    <t xml:space="preserve"> Journey to Mecca</t>
  </si>
  <si>
    <t xml:space="preserve"> My Soul to Take</t>
  </si>
  <si>
    <t xml:space="preserve"> Bob Funk</t>
  </si>
  <si>
    <t xml:space="preserve"> Blood Done Sign My Name</t>
  </si>
  <si>
    <t xml:space="preserve"> A Million</t>
  </si>
  <si>
    <t xml:space="preserve"> Santa Buddies</t>
  </si>
  <si>
    <t>*The Twilight Saga: Eclipse*</t>
  </si>
  <si>
    <t xml:space="preserve"> Les Randonneurs à Saint-Tropez</t>
  </si>
  <si>
    <t xml:space="preserve"> The Kreutzer Sonata</t>
  </si>
  <si>
    <t xml:space="preserve"> Frank</t>
  </si>
  <si>
    <t xml:space="preserve"> Flawless</t>
  </si>
  <si>
    <t>IndieFlix</t>
  </si>
  <si>
    <t xml:space="preserve"> Ghost Machine</t>
  </si>
  <si>
    <t xml:space="preserve"> Feng Shang</t>
  </si>
  <si>
    <t>$*457,364,600*</t>
  </si>
  <si>
    <t xml:space="preserve"> In My Sleep</t>
  </si>
  <si>
    <t xml:space="preserve"> Otra pelicula de huevos y un pollo</t>
  </si>
  <si>
    <t>National Geographic</t>
  </si>
  <si>
    <t xml:space="preserve"> Gabriel</t>
  </si>
  <si>
    <t>7 July 2006</t>
  </si>
  <si>
    <t xml:space="preserve"> The Jesus Guy</t>
  </si>
  <si>
    <t xml:space="preserve"> Silver Medalist</t>
  </si>
  <si>
    <t xml:space="preserve"> GasLand</t>
  </si>
  <si>
    <t xml:space="preserve"> Still Walking</t>
  </si>
  <si>
    <t xml:space="preserve"> The Education of Charlie Banks</t>
  </si>
  <si>
    <t xml:space="preserve"> Cenizas del cielo</t>
  </si>
  <si>
    <t xml:space="preserve"> Voltron</t>
  </si>
  <si>
    <t xml:space="preserve"> Bratz Kidz - Fairy Tales</t>
  </si>
  <si>
    <t xml:space="preserve"> Lou Reed's Berlin</t>
  </si>
  <si>
    <t xml:space="preserve"> FLOW: For Love of Water</t>
  </si>
  <si>
    <t xml:space="preserve"> The Freebie</t>
  </si>
  <si>
    <t xml:space="preserve"> The Practice of the Wild</t>
  </si>
  <si>
    <t>Roadside</t>
  </si>
  <si>
    <t xml:space="preserve"> The Last Airbender</t>
  </si>
  <si>
    <t xml:space="preserve"> At Jesus' Side</t>
  </si>
  <si>
    <t>TLA Releasing</t>
  </si>
  <si>
    <t xml:space="preserve"> Bigger, Stronger, Faster*</t>
  </si>
  <si>
    <t xml:space="preserve"> Locked Down</t>
  </si>
  <si>
    <t xml:space="preserve"> GhettoPhysics: Will the Real Pimps and Ho's Please Stand Up?</t>
  </si>
  <si>
    <t xml:space="preserve"> Dédé, à travers les brumes</t>
  </si>
  <si>
    <t>Paladin</t>
  </si>
  <si>
    <t xml:space="preserve"> Babysitter Wanted</t>
  </si>
  <si>
    <t xml:space="preserve"> XIII: The Conspiracy</t>
  </si>
  <si>
    <t xml:space="preserve"> Suburban Girl</t>
  </si>
  <si>
    <t xml:space="preserve"> Welcome Home Roscoe Jenkins</t>
  </si>
  <si>
    <t>Summit Entertainment</t>
  </si>
  <si>
    <t xml:space="preserve"> Hexe Lilli, der Drache und das magische Buch</t>
  </si>
  <si>
    <t>Worldwide</t>
  </si>
  <si>
    <t xml:space="preserve"> La Zona</t>
  </si>
  <si>
    <t xml:space="preserve"> Toy Story 3D Double Feature</t>
  </si>
  <si>
    <t xml:space="preserve"> Sex and the City 2</t>
  </si>
  <si>
    <t xml:space="preserve"> The Bleeding</t>
  </si>
  <si>
    <t xml:space="preserve"> The Penguins of Madagascar Operation: DVD Premier</t>
  </si>
  <si>
    <t xml:space="preserve"> Love's Unfolding Dream</t>
  </si>
  <si>
    <t xml:space="preserve"> The Taqwacores</t>
  </si>
  <si>
    <t xml:space="preserve"> Clear Blue Tuesday</t>
  </si>
  <si>
    <t xml:space="preserve"> Just Buried</t>
  </si>
  <si>
    <t xml:space="preserve"> The Fighter</t>
  </si>
  <si>
    <t xml:space="preserve"> The Mummy: Tomb of the Dragon Emperor</t>
  </si>
  <si>
    <t xml:space="preserve"> Bled</t>
  </si>
  <si>
    <t xml:space="preserve"> Adventures of Power</t>
  </si>
  <si>
    <t xml:space="preserve"> Fired Up</t>
  </si>
  <si>
    <t xml:space="preserve"> The Road</t>
  </si>
  <si>
    <t xml:space="preserve"> Planet B-Boy</t>
  </si>
  <si>
    <t xml:space="preserve"> 20-seiki shônen</t>
  </si>
  <si>
    <t>Freestyle Releasing</t>
  </si>
  <si>
    <t>Release Date</t>
  </si>
  <si>
    <t xml:space="preserve"> Tum Mile</t>
  </si>
  <si>
    <t xml:space="preserve"> Race to Nowhere</t>
  </si>
  <si>
    <t xml:space="preserve"> Le code a changé</t>
  </si>
  <si>
    <t>Fox Searchlight</t>
  </si>
  <si>
    <t xml:space="preserve"> The Greatest Song</t>
  </si>
  <si>
    <t xml:space="preserve"> Logan's Run</t>
  </si>
  <si>
    <t>Lorber</t>
  </si>
  <si>
    <t xml:space="preserve"> Hunger</t>
  </si>
  <si>
    <t xml:space="preserve"> Dragonquest</t>
  </si>
  <si>
    <t xml:space="preserve"> Enemies of the People</t>
  </si>
  <si>
    <t xml:space="preserve"> Contracorriente</t>
  </si>
  <si>
    <t xml:space="preserve"> The Maiden Heist</t>
  </si>
  <si>
    <t xml:space="preserve"> Yogi Bear 3D</t>
  </si>
  <si>
    <t xml:space="preserve"> The Golden Boys</t>
  </si>
  <si>
    <t xml:space="preserve"> Running Turtle</t>
  </si>
  <si>
    <t xml:space="preserve"> The Kids Grow Up</t>
  </si>
  <si>
    <t xml:space="preserve"> Bonneville</t>
  </si>
  <si>
    <t xml:space="preserve"> Jean-Michel Basquiat: The Radiant Child</t>
  </si>
  <si>
    <t xml:space="preserve"> Red Hook</t>
  </si>
  <si>
    <t xml:space="preserve"> Cyprien</t>
  </si>
  <si>
    <t xml:space="preserve"> I for India</t>
  </si>
  <si>
    <t xml:space="preserve"> Casino Jack and the United States of Money</t>
  </si>
  <si>
    <t xml:space="preserve"> Due Date</t>
  </si>
  <si>
    <t xml:space="preserve"> Away We Go</t>
  </si>
  <si>
    <t xml:space="preserve"> The Dry Land</t>
  </si>
  <si>
    <t xml:space="preserve"> Solar Flare</t>
  </si>
  <si>
    <t xml:space="preserve"> Father of Invention</t>
  </si>
  <si>
    <t xml:space="preserve"> Bangkok Adrenaline</t>
  </si>
  <si>
    <t xml:space="preserve"> Gulliver's Travels</t>
  </si>
  <si>
    <t xml:space="preserve"> Kaminey</t>
  </si>
  <si>
    <t xml:space="preserve"> Larger than Life 3D: The Dave Matthews Band</t>
  </si>
  <si>
    <t xml:space="preserve"> Jai Veeru</t>
  </si>
  <si>
    <t xml:space="preserve"> Get Smart's Bruce and Lloyd Out of Control</t>
  </si>
  <si>
    <t xml:space="preserve"> Foodfight!</t>
  </si>
  <si>
    <t xml:space="preserve"> Meadowoods</t>
  </si>
  <si>
    <t xml:space="preserve"> I Spit on Your Grave</t>
  </si>
  <si>
    <t xml:space="preserve"> Vanilla Gorilla</t>
  </si>
  <si>
    <t xml:space="preserve"> Koltchak</t>
  </si>
  <si>
    <t xml:space="preserve"> Dostana</t>
  </si>
  <si>
    <t xml:space="preserve"> Fashion</t>
  </si>
  <si>
    <t xml:space="preserve"> The Chaos Experiment</t>
  </si>
  <si>
    <t>Columbia.</t>
  </si>
  <si>
    <t xml:space="preserve"> The Kings of Appletown</t>
  </si>
  <si>
    <t xml:space="preserve"> Disaster Movie</t>
  </si>
  <si>
    <t xml:space="preserve"> Snow and the Seven</t>
  </si>
  <si>
    <t>Independent Dist.</t>
  </si>
  <si>
    <t xml:space="preserve"> Miracle at St. Anna</t>
  </si>
  <si>
    <t xml:space="preserve"> Revenge of the Boarding School Dropouts</t>
  </si>
  <si>
    <t xml:space="preserve"> Daikessen! Cho Urutora Hachi Kyodai</t>
  </si>
  <si>
    <t xml:space="preserve"> JK: Uma Bela Noite Para Voar</t>
  </si>
  <si>
    <t xml:space="preserve"> Quarantine</t>
  </si>
  <si>
    <t xml:space="preserve"> Johnny Got His Gun</t>
  </si>
  <si>
    <t xml:space="preserve"> The Windmill Movie</t>
  </si>
  <si>
    <t xml:space="preserve"> Private Valentine: Blonde &amp; Dangerous</t>
  </si>
  <si>
    <t xml:space="preserve"> Death Defying Acts</t>
  </si>
  <si>
    <t xml:space="preserve"> God Send Me a Man</t>
  </si>
  <si>
    <t xml:space="preserve"> Faubourg 36</t>
  </si>
  <si>
    <t xml:space="preserve"> Ecstasy of Gold</t>
  </si>
  <si>
    <t xml:space="preserve"> Cold Storage</t>
  </si>
  <si>
    <t xml:space="preserve"> All the Boys Love Mandy Lane</t>
  </si>
  <si>
    <t xml:space="preserve"> Expecting Mary</t>
  </si>
  <si>
    <t xml:space="preserve"> Le dernier fugue</t>
  </si>
  <si>
    <t xml:space="preserve"> La siciliana ribelle</t>
  </si>
  <si>
    <t xml:space="preserve"> The Extra Man</t>
  </si>
  <si>
    <t xml:space="preserve"> Undoing</t>
  </si>
  <si>
    <t xml:space="preserve"> Atithi Tum Kab Jaoge?</t>
  </si>
  <si>
    <t xml:space="preserve"> Kismat Konnection</t>
  </si>
  <si>
    <t xml:space="preserve"> Igor</t>
  </si>
  <si>
    <t xml:space="preserve"> It's Kind of a Funny Story</t>
  </si>
  <si>
    <t>City Lights</t>
  </si>
  <si>
    <t xml:space="preserve"> Sans Arme, Ni Haine, Ni Violence</t>
  </si>
  <si>
    <t xml:space="preserve"> Killer Movie</t>
  </si>
  <si>
    <t xml:space="preserve"> Fair*Game</t>
  </si>
  <si>
    <t xml:space="preserve"> Easier with Practice</t>
  </si>
  <si>
    <t xml:space="preserve"> Morning Light</t>
  </si>
  <si>
    <t>*National Treasure: Book of Secrets*</t>
  </si>
  <si>
    <t xml:space="preserve"> Hey, Hey, It's Esther Blueburger</t>
  </si>
  <si>
    <t xml:space="preserve"> Love at First Hiccup</t>
  </si>
  <si>
    <t xml:space="preserve"> Adopted</t>
  </si>
  <si>
    <t xml:space="preserve"> Hotel for Dogs</t>
  </si>
  <si>
    <t xml:space="preserve"> Neowolf</t>
  </si>
  <si>
    <t xml:space="preserve"> Sexo Com Amor?</t>
  </si>
  <si>
    <t xml:space="preserve"> Please Give</t>
  </si>
  <si>
    <t xml:space="preserve"> The Cellar Door</t>
  </si>
  <si>
    <t xml:space="preserve"> Machete</t>
  </si>
  <si>
    <t xml:space="preserve"> Step Away from the Stone</t>
  </si>
  <si>
    <t>Columbia Pictures</t>
  </si>
  <si>
    <t xml:space="preserve"> Bezerra de Menezes - O Diário de um Espírito</t>
  </si>
  <si>
    <t xml:space="preserve"> Not Evil Just Wrong</t>
  </si>
  <si>
    <t>First Independent</t>
  </si>
  <si>
    <t xml:space="preserve"> Tamara Drewe</t>
  </si>
  <si>
    <t xml:space="preserve"> Wake</t>
  </si>
  <si>
    <t xml:space="preserve"> Fool's Gold</t>
  </si>
  <si>
    <t xml:space="preserve"> BLUE</t>
  </si>
  <si>
    <t xml:space="preserve"> Sukai Kurora</t>
  </si>
  <si>
    <t xml:space="preserve"> Tees Maar Khan</t>
  </si>
  <si>
    <t xml:space="preserve"> Food Beware</t>
  </si>
  <si>
    <t xml:space="preserve"> Bran Nue Dae</t>
  </si>
  <si>
    <t xml:space="preserve"> Transsiberian</t>
  </si>
  <si>
    <t xml:space="preserve"> Inkheart</t>
  </si>
  <si>
    <t xml:space="preserve"> Praying with Lior</t>
  </si>
  <si>
    <t xml:space="preserve"> The Spirit</t>
  </si>
  <si>
    <t xml:space="preserve"> The Go-Getter</t>
  </si>
  <si>
    <t xml:space="preserve"> Steppin</t>
  </si>
  <si>
    <t xml:space="preserve"> Death Bell</t>
  </si>
  <si>
    <t xml:space="preserve"> Kong saan mei yan</t>
  </si>
  <si>
    <t xml:space="preserve"> Breath Made Visible</t>
  </si>
  <si>
    <t xml:space="preserve"> Valkyrie</t>
  </si>
  <si>
    <t xml:space="preserve"> August Evening</t>
  </si>
  <si>
    <t xml:space="preserve"> Darbareye Elly</t>
  </si>
  <si>
    <t xml:space="preserve"> Bigfoot</t>
  </si>
  <si>
    <t xml:space="preserve"> Faded Memories</t>
  </si>
  <si>
    <t xml:space="preserve"> Waltz with Bashir</t>
  </si>
  <si>
    <t xml:space="preserve"> The Mutant Chronicles</t>
  </si>
  <si>
    <t xml:space="preserve"> For Sale By Owner</t>
  </si>
  <si>
    <t xml:space="preserve"> Diamond Dogs</t>
  </si>
  <si>
    <t xml:space="preserve"> Tokyo Sonata</t>
  </si>
  <si>
    <t xml:space="preserve"> Vincere</t>
  </si>
  <si>
    <t xml:space="preserve"> Poisoned by Polonium: Litvinenko File</t>
  </si>
  <si>
    <t xml:space="preserve"> Stone</t>
  </si>
  <si>
    <t xml:space="preserve"> Special</t>
  </si>
  <si>
    <t xml:space="preserve"> Futurama - Into the Wild Green Yonder</t>
  </si>
  <si>
    <t xml:space="preserve"> Love Story 2050</t>
  </si>
  <si>
    <t xml:space="preserve"> Ischeznuvshaya Imperiya</t>
  </si>
  <si>
    <t xml:space="preserve"> Tristan und Isolde at La Scala</t>
  </si>
  <si>
    <t xml:space="preserve"> Humboldt County</t>
  </si>
  <si>
    <t xml:space="preserve"> Transporter 3</t>
  </si>
  <si>
    <t xml:space="preserve"> Ball Don't Lie</t>
  </si>
  <si>
    <t xml:space="preserve"> Partir</t>
  </si>
  <si>
    <t xml:space="preserve"> Drag Me To Hell</t>
  </si>
  <si>
    <t xml:space="preserve"> Finding Amanda</t>
  </si>
  <si>
    <t xml:space="preserve"> Antarctica</t>
  </si>
  <si>
    <t xml:space="preserve"> The Last New Yorker</t>
  </si>
  <si>
    <t xml:space="preserve"> Tell-Tale</t>
  </si>
  <si>
    <t xml:space="preserve"> Venkovsky ucitel</t>
  </si>
  <si>
    <t xml:space="preserve"> The Day the Earth Stood Still</t>
  </si>
  <si>
    <t xml:space="preserve"> Afro Samurai: Resurrection</t>
  </si>
  <si>
    <t xml:space="preserve"> Command Performance</t>
  </si>
  <si>
    <t xml:space="preserve"> Termination Point</t>
  </si>
  <si>
    <t xml:space="preserve"> Calabash Brothers</t>
  </si>
  <si>
    <t>*Harry Potter and the Deathly Hallows: Part 1*</t>
  </si>
  <si>
    <t xml:space="preserve"> The Bracelet of Bordeaux</t>
  </si>
  <si>
    <t xml:space="preserve"> The Wrestler</t>
  </si>
  <si>
    <t xml:space="preserve"> Refusenik</t>
  </si>
  <si>
    <t xml:space="preserve"> Sagan</t>
  </si>
  <si>
    <t xml:space="preserve"> LOL (Laughing Out Loud) ®</t>
  </si>
  <si>
    <t xml:space="preserve"> Gunesi Gordum</t>
  </si>
  <si>
    <t xml:space="preserve"> Billo Barber</t>
  </si>
  <si>
    <t xml:space="preserve"> The Young Victoria</t>
  </si>
  <si>
    <t xml:space="preserve"> Guns</t>
  </si>
  <si>
    <t xml:space="preserve"> Christmas Town</t>
  </si>
  <si>
    <t xml:space="preserve"> Bra Boys</t>
  </si>
  <si>
    <t xml:space="preserve"> How to Train Your Dragon</t>
  </si>
  <si>
    <t xml:space="preserve"> Sex and the City</t>
  </si>
  <si>
    <t xml:space="preserve"> She's Out of My League</t>
  </si>
  <si>
    <t xml:space="preserve"> Big Fan</t>
  </si>
  <si>
    <t xml:space="preserve"> The New Daughter</t>
  </si>
  <si>
    <t xml:space="preserve"> Prince of Broadway</t>
  </si>
  <si>
    <t xml:space="preserve"> Seven Pounds</t>
  </si>
  <si>
    <t xml:space="preserve"> Endless Bummer</t>
  </si>
  <si>
    <t xml:space="preserve"> The Beacon</t>
  </si>
  <si>
    <t xml:space="preserve"> Lebanon</t>
  </si>
  <si>
    <t xml:space="preserve"> The Eye</t>
  </si>
  <si>
    <t xml:space="preserve"> American Cowslip</t>
  </si>
  <si>
    <t xml:space="preserve"> Twentieth Century Boys</t>
  </si>
  <si>
    <t xml:space="preserve"> Cowboy and Lucky</t>
  </si>
  <si>
    <t xml:space="preserve"> Storm</t>
  </si>
  <si>
    <t xml:space="preserve"> Cat City</t>
  </si>
  <si>
    <t xml:space="preserve"> Ca$h</t>
  </si>
  <si>
    <t xml:space="preserve"> I Come with the Rain</t>
  </si>
  <si>
    <t>Oscilloscope</t>
  </si>
  <si>
    <t xml:space="preserve"> Bedtime Stories</t>
  </si>
  <si>
    <t xml:space="preserve"> Julia</t>
  </si>
  <si>
    <t xml:space="preserve"> Lemon Tree</t>
  </si>
  <si>
    <t xml:space="preserve"> Chilgeup gongmuwon</t>
  </si>
  <si>
    <t xml:space="preserve"> The American</t>
  </si>
  <si>
    <t xml:space="preserve"> Plaguers</t>
  </si>
  <si>
    <t xml:space="preserve"> Ci ma</t>
  </si>
  <si>
    <t xml:space="preserve"> Over America</t>
  </si>
  <si>
    <t xml:space="preserve"> Chance Pe Dance</t>
  </si>
  <si>
    <t xml:space="preserve"> Street Dreams</t>
  </si>
  <si>
    <t xml:space="preserve"> Felon</t>
  </si>
  <si>
    <t xml:space="preserve"> earth</t>
  </si>
  <si>
    <t xml:space="preserve"> Kung Fu Panda</t>
  </si>
  <si>
    <t>Disney / Pixar</t>
  </si>
  <si>
    <t xml:space="preserve"> Evil</t>
  </si>
  <si>
    <t xml:space="preserve"> Resident Evil: Degeneration</t>
  </si>
  <si>
    <t xml:space="preserve"> All American Orgy</t>
  </si>
  <si>
    <t xml:space="preserve"> Main Aurr Mrs. Khanna</t>
  </si>
  <si>
    <t xml:space="preserve"> Love Comes Lately</t>
  </si>
  <si>
    <t xml:space="preserve"> Legend of the Guardians: The Owls of Ga'Hoole 3D</t>
  </si>
  <si>
    <t xml:space="preserve"> Watchmen: The Complete Motion Comic</t>
  </si>
  <si>
    <t xml:space="preserve"> The Girlfriend Experience</t>
  </si>
  <si>
    <t xml:space="preserve"> 127 Hours</t>
  </si>
  <si>
    <t xml:space="preserve"> Caos Calmo</t>
  </si>
  <si>
    <t xml:space="preserve"> Remarkable Power</t>
  </si>
  <si>
    <t xml:space="preserve"> Nobody's Perfect</t>
  </si>
  <si>
    <t xml:space="preserve"> Luftslottet som sprängdes</t>
  </si>
  <si>
    <t>*The Chronicles of Narnia: Prince Caspian*</t>
  </si>
  <si>
    <t xml:space="preserve"> Die Wilden Kerle 5</t>
  </si>
  <si>
    <t>15 May 2009</t>
  </si>
  <si>
    <t xml:space="preserve"> Vacations</t>
  </si>
  <si>
    <t xml:space="preserve"> Faster</t>
  </si>
  <si>
    <t xml:space="preserve"> Internet Dating</t>
  </si>
  <si>
    <t xml:space="preserve"> Frat Party</t>
  </si>
  <si>
    <t xml:space="preserve"> 16 to Life</t>
  </si>
  <si>
    <t xml:space="preserve"> Scar</t>
  </si>
  <si>
    <t>Interloper Films &amp; Abramorama</t>
  </si>
  <si>
    <t xml:space="preserve"> Three Investigators and the Secret of Terror Castle, The</t>
  </si>
  <si>
    <t xml:space="preserve"> MacGruber</t>
  </si>
  <si>
    <t xml:space="preserve"> All Inclusive</t>
  </si>
  <si>
    <t xml:space="preserve"> Little Big Top</t>
  </si>
  <si>
    <t xml:space="preserve"> Diminished Capacity</t>
  </si>
  <si>
    <t xml:space="preserve"> Ne te retourne pas</t>
  </si>
  <si>
    <t xml:space="preserve"> The Expendables</t>
  </si>
  <si>
    <t xml:space="preserve"> O... Çocuklari</t>
  </si>
  <si>
    <t xml:space="preserve"> Diary of a Wimpy Kid</t>
  </si>
  <si>
    <t xml:space="preserve"> The Haunted Airman</t>
  </si>
  <si>
    <t xml:space="preserve"> The Wannabes</t>
  </si>
  <si>
    <t>The Talking Pictures Company</t>
  </si>
  <si>
    <t xml:space="preserve"> Horton Hears a Who</t>
  </si>
  <si>
    <t xml:space="preserve"> Sherlock Holmes</t>
  </si>
  <si>
    <t xml:space="preserve"> Coco avant Chanel</t>
  </si>
  <si>
    <t xml:space="preserve"> Kinta</t>
  </si>
  <si>
    <t xml:space="preserve"> Scared Guys</t>
  </si>
  <si>
    <t>Rank</t>
  </si>
  <si>
    <t xml:space="preserve"> Bab'Aziz - The Prince Who Contemplated His Soul</t>
  </si>
  <si>
    <t xml:space="preserve"> Mid-August Lunch</t>
  </si>
  <si>
    <t xml:space="preserve"> The Express</t>
  </si>
  <si>
    <t xml:space="preserve"> The Penthouse</t>
  </si>
  <si>
    <t xml:space="preserve"> Journey to Promethea</t>
  </si>
  <si>
    <t xml:space="preserve"> Frontière(s)</t>
  </si>
  <si>
    <t>20th Century Fox</t>
  </si>
  <si>
    <t xml:space="preserve"> Rajneeti</t>
  </si>
  <si>
    <t xml:space="preserve"> Malice in Wonderland</t>
  </si>
  <si>
    <t xml:space="preserve"> Get Him to the Greek</t>
  </si>
  <si>
    <t xml:space="preserve"> Unrivaled</t>
  </si>
  <si>
    <t xml:space="preserve"> Uncertainty</t>
  </si>
  <si>
    <t xml:space="preserve"> Sleep Dealer</t>
  </si>
  <si>
    <t xml:space="preserve"> Joy Ride 2: Dead Ahead</t>
  </si>
  <si>
    <t xml:space="preserve"> I Could Never Be Your Woman</t>
  </si>
  <si>
    <t xml:space="preserve"> Endgame</t>
  </si>
  <si>
    <t xml:space="preserve"> Madagascar: Escape 2 Africa</t>
  </si>
  <si>
    <t xml:space="preserve"> The Good Soldier</t>
  </si>
  <si>
    <t xml:space="preserve"> Oggi Sposi</t>
  </si>
  <si>
    <t xml:space="preserve"> Stolen</t>
  </si>
  <si>
    <t xml:space="preserve"> Lake Mungo</t>
  </si>
  <si>
    <t xml:space="preserve"> Motel Hell</t>
  </si>
  <si>
    <t>New Yorker</t>
  </si>
  <si>
    <t xml:space="preserve"> Lullaby</t>
  </si>
  <si>
    <t xml:space="preserve"> Unstoppable</t>
  </si>
  <si>
    <t>Columbia</t>
  </si>
  <si>
    <t xml:space="preserve"> Paper Man</t>
  </si>
  <si>
    <t xml:space="preserve"> Old Dogs</t>
  </si>
  <si>
    <t xml:space="preserve"> Teeth</t>
  </si>
  <si>
    <t xml:space="preserve"> And Everything is Going Fine</t>
  </si>
  <si>
    <t>11 February 2005</t>
  </si>
  <si>
    <t xml:space="preserve"> Tennessee</t>
  </si>
  <si>
    <t xml:space="preserve"> Antichrist</t>
  </si>
  <si>
    <t xml:space="preserve"> The Legend of Secret Pass</t>
  </si>
  <si>
    <t xml:space="preserve"> The Dog Who Saved Christmas</t>
  </si>
  <si>
    <t xml:space="preserve"> Suck</t>
  </si>
  <si>
    <t xml:space="preserve"> Das Wilde Leben</t>
  </si>
  <si>
    <t xml:space="preserve"> Nick and Norah's Infinite Playlist</t>
  </si>
  <si>
    <t xml:space="preserve"> The Hungry Ghosts</t>
  </si>
  <si>
    <t xml:space="preserve"> Death of a Ghost Hunter</t>
  </si>
  <si>
    <t xml:space="preserve"> Open Window</t>
  </si>
  <si>
    <t xml:space="preserve"> Within</t>
  </si>
  <si>
    <t xml:space="preserve"> The Wedding Bros.</t>
  </si>
  <si>
    <t xml:space="preserve"> Mes amis, mes amours</t>
  </si>
  <si>
    <t xml:space="preserve"> New York</t>
  </si>
  <si>
    <t xml:space="preserve"> My Best Friend's Girl</t>
  </si>
  <si>
    <t xml:space="preserve"> Sticks and Stones</t>
  </si>
  <si>
    <t xml:space="preserve"> The Tempest</t>
  </si>
  <si>
    <t xml:space="preserve"> Little Town of Bethlehem</t>
  </si>
  <si>
    <t xml:space="preserve"> Blue State</t>
  </si>
  <si>
    <t xml:space="preserve"> Take Off</t>
  </si>
  <si>
    <t xml:space="preserve"> Le silence de Lorna</t>
  </si>
  <si>
    <t xml:space="preserve"> 10,000 B.C.</t>
  </si>
  <si>
    <t>Oscilloscope Pictures</t>
  </si>
  <si>
    <t>Outsider Pictures</t>
  </si>
  <si>
    <t xml:space="preserve"> Paranoid Park</t>
  </si>
  <si>
    <t xml:space="preserve"> Citizen Duane</t>
  </si>
  <si>
    <t>Palm</t>
  </si>
  <si>
    <t xml:space="preserve"> Lost Boys: The Tribe</t>
  </si>
  <si>
    <t xml:space="preserve"> Walt and El Grupo</t>
  </si>
  <si>
    <t xml:space="preserve"> Legally Blondes</t>
  </si>
  <si>
    <t>Mitropoulos Films</t>
  </si>
  <si>
    <t xml:space="preserve"> Kurbaan</t>
  </si>
  <si>
    <t xml:space="preserve"> A Serious Man</t>
  </si>
  <si>
    <t xml:space="preserve"> Ping Guo</t>
  </si>
  <si>
    <t xml:space="preserve"> 3 Idiots</t>
  </si>
  <si>
    <t xml:space="preserve"> Waking Sleeping Beauty</t>
  </si>
  <si>
    <t xml:space="preserve"> The Marine II</t>
  </si>
  <si>
    <t>$*938,212,738*</t>
  </si>
  <si>
    <t xml:space="preserve"> The Romantics</t>
  </si>
  <si>
    <t xml:space="preserve"> Soul Power</t>
  </si>
  <si>
    <t xml:space="preserve"> Perfect Combination</t>
  </si>
  <si>
    <t xml:space="preserve"> Be Kind Rewind</t>
  </si>
  <si>
    <t>Barking Cow</t>
  </si>
  <si>
    <t xml:space="preserve"> Blonde and Blonder</t>
  </si>
  <si>
    <t xml:space="preserve"> The Hottie and the Nottie</t>
  </si>
  <si>
    <t xml:space="preserve"> Cayman Went</t>
  </si>
  <si>
    <t xml:space="preserve"> Shanghai</t>
  </si>
  <si>
    <t xml:space="preserve"> What Doesn't Kill You</t>
  </si>
  <si>
    <t xml:space="preserve"> Bellamy</t>
  </si>
  <si>
    <t xml:space="preserve"> Give Em Hell Malone</t>
  </si>
  <si>
    <t xml:space="preserve"> Up in the Air</t>
  </si>
  <si>
    <t xml:space="preserve"> La misma luna</t>
  </si>
  <si>
    <t xml:space="preserve"> Dhamma Brothers, The</t>
  </si>
  <si>
    <t xml:space="preserve"> Nobel Son</t>
  </si>
  <si>
    <t xml:space="preserve"> Eagle Eye</t>
  </si>
  <si>
    <t xml:space="preserve"> Midnight Reckoning</t>
  </si>
  <si>
    <t xml:space="preserve"> The Donner Party</t>
  </si>
  <si>
    <t xml:space="preserve"> Ondine</t>
  </si>
  <si>
    <t xml:space="preserve"> Oy Vey! My Son is Gay!</t>
  </si>
  <si>
    <t xml:space="preserve"> Deux de la vague</t>
  </si>
  <si>
    <t xml:space="preserve"> Made of Honor</t>
  </si>
  <si>
    <t xml:space="preserve"> Mickey Mouse Clubhouse: Mickey's Adventures in Wonderland</t>
  </si>
  <si>
    <t xml:space="preserve"> The Mysteries of Pittsburgh</t>
  </si>
  <si>
    <t>Emerging</t>
  </si>
  <si>
    <t xml:space="preserve"> Boogie Man: The Lee Atwater Story</t>
  </si>
  <si>
    <t xml:space="preserve"> And Soon the Darkness</t>
  </si>
  <si>
    <t xml:space="preserve"> ICHI</t>
  </si>
  <si>
    <t xml:space="preserve"> Naked Ambition: An R Rated Look at an X Rated Industry</t>
  </si>
  <si>
    <t xml:space="preserve"> Rogue</t>
  </si>
  <si>
    <t xml:space="preserve"> Kit Kittredge: An American Girl</t>
  </si>
  <si>
    <t xml:space="preserve"> Shine a Light</t>
  </si>
  <si>
    <t xml:space="preserve"> Observe and Report</t>
  </si>
  <si>
    <t xml:space="preserve"> Douchebag</t>
  </si>
  <si>
    <t xml:space="preserve"> Wanted</t>
  </si>
  <si>
    <t xml:space="preserve"> Kisses</t>
  </si>
  <si>
    <t xml:space="preserve"> The Haunting of Molly Hartley</t>
  </si>
  <si>
    <t xml:space="preserve"> Say Goodnight</t>
  </si>
  <si>
    <t xml:space="preserve"> X Games 3D: The Movie</t>
  </si>
  <si>
    <t>*Indiana Jones and the Kingdom of the Crystal Skull*</t>
  </si>
  <si>
    <t xml:space="preserve"> American in China, An</t>
  </si>
  <si>
    <t xml:space="preserve"> Hoodwinked 2: Hood vs. Evil</t>
  </si>
  <si>
    <t xml:space="preserve"> Che, Part 1: The Argentine</t>
  </si>
  <si>
    <t xml:space="preserve"> Highlander: The Source</t>
  </si>
  <si>
    <t xml:space="preserve"> Motherhood</t>
  </si>
  <si>
    <t>HaleStorm</t>
  </si>
  <si>
    <t>$*527,071,022*</t>
  </si>
  <si>
    <t>Sony Pictures</t>
  </si>
  <si>
    <t xml:space="preserve"> Superhero Movie</t>
  </si>
  <si>
    <t xml:space="preserve"> Phyllis and Harold</t>
  </si>
  <si>
    <t>*Madagascar*</t>
  </si>
  <si>
    <t xml:space="preserve"> Brother's War</t>
  </si>
  <si>
    <t xml:space="preserve"> Furry Vengeance</t>
  </si>
  <si>
    <t xml:space="preserve"> Then She Found Me</t>
  </si>
  <si>
    <t xml:space="preserve"> Only the Brave</t>
  </si>
  <si>
    <t xml:space="preserve"> One Piece: Episode of Chopper: Bloom in the Winter, Miracle Sakura</t>
  </si>
  <si>
    <t xml:space="preserve"> Bombay to Bangkok</t>
  </si>
  <si>
    <t xml:space="preserve"> I Can't Think Straight</t>
  </si>
  <si>
    <t xml:space="preserve"> Made in Jamaica</t>
  </si>
  <si>
    <t xml:space="preserve"> Eden Log</t>
  </si>
  <si>
    <t xml:space="preserve"> Prodigal Sons</t>
  </si>
  <si>
    <t xml:space="preserve"> Power Kids</t>
  </si>
  <si>
    <t>Mitropolous Films</t>
  </si>
  <si>
    <t xml:space="preserve"> Vicky Cristina Barcelona</t>
  </si>
  <si>
    <t xml:space="preserve"> Ice Blues: A Donald Strachey Mystery</t>
  </si>
  <si>
    <t xml:space="preserve"> Looking for Eric</t>
  </si>
  <si>
    <t>25 December 2009</t>
  </si>
  <si>
    <t>19 November 2010</t>
  </si>
  <si>
    <t xml:space="preserve"> Tera Mera Ki Rishta</t>
  </si>
  <si>
    <t xml:space="preserve"> Valentino: The Last Emperor</t>
  </si>
  <si>
    <t xml:space="preserve"> Daniel y Ana</t>
  </si>
  <si>
    <t xml:space="preserve"> Tormented</t>
  </si>
  <si>
    <t>$*456,068,181*</t>
  </si>
  <si>
    <t xml:space="preserve"> Redbelt</t>
  </si>
  <si>
    <t xml:space="preserve"> Arrancame la Vida</t>
  </si>
  <si>
    <t xml:space="preserve"> Funny People</t>
  </si>
  <si>
    <t xml:space="preserve"> Duplicity</t>
  </si>
  <si>
    <t xml:space="preserve"> Gekijoban Kamen Raida Kiba Makaijo no O</t>
  </si>
  <si>
    <t xml:space="preserve"> Below the Earth's Surface</t>
  </si>
  <si>
    <t xml:space="preserve"> Cedar Rapids</t>
  </si>
  <si>
    <t xml:space="preserve"> Ben 10: Race Against Time</t>
  </si>
  <si>
    <t xml:space="preserve"> General Rouge no Gaisen</t>
  </si>
  <si>
    <t xml:space="preserve"> Louise Bourgeois</t>
  </si>
  <si>
    <t xml:space="preserve"> The Objective</t>
  </si>
  <si>
    <t xml:space="preserve"> Notorious</t>
  </si>
  <si>
    <t xml:space="preserve"> Pontypool</t>
  </si>
  <si>
    <t xml:space="preserve"> Jeff Dunham's Very Special Christmas Special</t>
  </si>
  <si>
    <t xml:space="preserve"> O'Horten</t>
  </si>
  <si>
    <t xml:space="preserve"> Yella</t>
  </si>
  <si>
    <t xml:space="preserve"> Battle in Seattle</t>
  </si>
  <si>
    <t xml:space="preserve"> No Bad Days</t>
  </si>
  <si>
    <t xml:space="preserve"> The Search for Santa Paws</t>
  </si>
  <si>
    <t xml:space="preserve"> Halo Legends</t>
  </si>
  <si>
    <t xml:space="preserve"> Nine Dead</t>
  </si>
  <si>
    <t>Magnet</t>
  </si>
  <si>
    <t xml:space="preserve"> Slave</t>
  </si>
  <si>
    <t xml:space="preserve"> Prom Wars</t>
  </si>
  <si>
    <t>Roadshow Attractions</t>
  </si>
  <si>
    <t xml:space="preserve"> The Librarian: Curse of the Judas Chalice</t>
  </si>
  <si>
    <t xml:space="preserve"> The Stick Up Kids</t>
  </si>
  <si>
    <t xml:space="preserve"> Watchmen</t>
  </si>
  <si>
    <t xml:space="preserve"> Everybody's Fine</t>
  </si>
  <si>
    <t xml:space="preserve"> No Problem</t>
  </si>
  <si>
    <t xml:space="preserve"> Next Day Air</t>
  </si>
  <si>
    <t xml:space="preserve"> Momma's Man</t>
  </si>
  <si>
    <t xml:space="preserve"> Wonderful World</t>
  </si>
  <si>
    <t xml:space="preserve"> Opus: The Last Christmas</t>
  </si>
  <si>
    <t xml:space="preserve"> Baghead</t>
  </si>
  <si>
    <t xml:space="preserve"> When You're Strange: A Film About The Doors</t>
  </si>
  <si>
    <t xml:space="preserve"> Post Grad</t>
  </si>
  <si>
    <t xml:space="preserve"> Welcome to the Rileys</t>
  </si>
  <si>
    <t xml:space="preserve"> Perestroika</t>
  </si>
  <si>
    <t xml:space="preserve"> Hemingways Garden of Eden</t>
  </si>
  <si>
    <t xml:space="preserve"> Aoki Ôkami: chi hate umi tsukiru made</t>
  </si>
  <si>
    <t xml:space="preserve"> Don't You Forget About Me</t>
  </si>
  <si>
    <t xml:space="preserve"> Alpha and Omega 3D</t>
  </si>
  <si>
    <t xml:space="preserve"> Kalamity</t>
  </si>
  <si>
    <t>*Harry Potter and the Order of the Phoenix*</t>
  </si>
  <si>
    <t xml:space="preserve"> Anos desnudos, Los</t>
  </si>
  <si>
    <t xml:space="preserve"> Kicking It</t>
  </si>
  <si>
    <t xml:space="preserve"> Zombieland</t>
  </si>
  <si>
    <t>May 26th, 2006</t>
  </si>
  <si>
    <t xml:space="preserve"> The Secret of Kells</t>
  </si>
  <si>
    <t>Indican Pictures</t>
  </si>
  <si>
    <t xml:space="preserve"> Hofshat Kaits</t>
  </si>
  <si>
    <t>26 March 2010</t>
  </si>
  <si>
    <t xml:space="preserve"> Bes Vakit</t>
  </si>
  <si>
    <t xml:space="preserve"> The Bounty Hunter</t>
  </si>
  <si>
    <t xml:space="preserve"> Lord, Save Us From Your Followers</t>
  </si>
  <si>
    <t xml:space="preserve"> Winter's Bone</t>
  </si>
  <si>
    <t xml:space="preserve"> Up the Yangtze</t>
  </si>
  <si>
    <t xml:space="preserve"> Pandorum</t>
  </si>
  <si>
    <t xml:space="preserve"> Art &amp; Copy</t>
  </si>
  <si>
    <t xml:space="preserve"> Charlie and Boots</t>
  </si>
  <si>
    <t xml:space="preserve"> The Other End of the Line</t>
  </si>
  <si>
    <t xml:space="preserve"> Boogie Woogie</t>
  </si>
  <si>
    <t xml:space="preserve"> Batman: Gotham Knight</t>
  </si>
  <si>
    <t xml:space="preserve"> October Country</t>
  </si>
  <si>
    <t xml:space="preserve"> Married Life</t>
  </si>
  <si>
    <t xml:space="preserve"> The Cell 2</t>
  </si>
  <si>
    <t xml:space="preserve"> Le Refuge</t>
  </si>
  <si>
    <t xml:space="preserve"> Chapter 27</t>
  </si>
  <si>
    <t xml:space="preserve"> The Last Full Measure</t>
  </si>
  <si>
    <t xml:space="preserve"> Land of the Lost</t>
  </si>
  <si>
    <t>Slowhand Cinema Releasing</t>
  </si>
  <si>
    <t xml:space="preserve"> Love and Other Impossible Pursuits</t>
  </si>
  <si>
    <t xml:space="preserve"> Human Condition Trilogy</t>
  </si>
  <si>
    <t>Cinema Guid</t>
  </si>
  <si>
    <t xml:space="preserve"> Hellboy 2: The Golden Army</t>
  </si>
  <si>
    <t xml:space="preserve"> 2012: Doomsday</t>
  </si>
  <si>
    <t xml:space="preserve"> G.I. Joe: The Rise of Cobra</t>
  </si>
  <si>
    <t xml:space="preserve"> La Rivière aux Castors</t>
  </si>
  <si>
    <t xml:space="preserve"> 2001 Maniacs: Field of Screams</t>
  </si>
  <si>
    <t xml:space="preserve"> Le combat dans l'île</t>
  </si>
  <si>
    <t xml:space="preserve"> High Security Vacations</t>
  </si>
  <si>
    <t xml:space="preserve"> Koski, Senki</t>
  </si>
  <si>
    <t xml:space="preserve"> Das Haus der schlafenden Schönen</t>
  </si>
  <si>
    <t xml:space="preserve"> Budrus</t>
  </si>
  <si>
    <t>Total US Gross</t>
  </si>
  <si>
    <t xml:space="preserve"> Wild Target</t>
  </si>
  <si>
    <t>MacGillivray</t>
  </si>
  <si>
    <t xml:space="preserve"> La Naissance des Pieuvres</t>
  </si>
  <si>
    <t>Rhino Films</t>
  </si>
  <si>
    <t xml:space="preserve"> Shadows of the Past</t>
  </si>
  <si>
    <t>Sony Classics</t>
  </si>
  <si>
    <t xml:space="preserve"> A Town Called Panic</t>
  </si>
  <si>
    <t xml:space="preserve"> The Guitar</t>
  </si>
  <si>
    <t xml:space="preserve"> The Last Rites of Ransom Pride</t>
  </si>
  <si>
    <t>Eleven Arts</t>
  </si>
  <si>
    <t xml:space="preserve"> Taking Chances</t>
  </si>
  <si>
    <t xml:space="preserve"> The World Unseen</t>
  </si>
  <si>
    <t xml:space="preserve"> Major Movie Star</t>
  </si>
  <si>
    <t xml:space="preserve"> Nine Nation Animation</t>
  </si>
  <si>
    <t xml:space="preserve"> Behind the Burly Q</t>
  </si>
  <si>
    <t xml:space="preserve"> Today's Special</t>
  </si>
  <si>
    <t>*How to Train Your Dragon*</t>
  </si>
  <si>
    <t xml:space="preserve"> The Good Heart</t>
  </si>
  <si>
    <t>*Transformers*</t>
  </si>
  <si>
    <t xml:space="preserve"> San qiang pai an jing qi</t>
  </si>
  <si>
    <t xml:space="preserve"> Beautiful Losers</t>
  </si>
  <si>
    <t xml:space="preserve"> Amanda</t>
  </si>
  <si>
    <t xml:space="preserve"> De Mai Tinh</t>
  </si>
  <si>
    <t xml:space="preserve"> The Christmas Cottage</t>
  </si>
  <si>
    <t xml:space="preserve"> LeapFrog: Math Adventure to the Moon</t>
  </si>
  <si>
    <t xml:space="preserve"> Lonely Street</t>
  </si>
  <si>
    <t xml:space="preserve"> Defamation</t>
  </si>
  <si>
    <t xml:space="preserve"> Gigantic</t>
  </si>
  <si>
    <t xml:space="preserve"> Wojna Polsko-Ruska</t>
  </si>
  <si>
    <t xml:space="preserve"> Anita O'Day: The Life of a Jazz Singer</t>
  </si>
  <si>
    <t>The World According to Shorts</t>
  </si>
  <si>
    <t xml:space="preserve"> Funny Games</t>
  </si>
  <si>
    <t xml:space="preserve"> Dark Crossing</t>
  </si>
  <si>
    <t xml:space="preserve"> Night Catches Us</t>
  </si>
  <si>
    <t xml:space="preserve"> Ripple Effect</t>
  </si>
  <si>
    <t xml:space="preserve"> Beverly Hills Chihuahua 2</t>
  </si>
  <si>
    <t xml:space="preserve"> Chai Lai Angels</t>
  </si>
  <si>
    <t xml:space="preserve"> Megafault</t>
  </si>
  <si>
    <t>Patikalar Productions</t>
  </si>
  <si>
    <t>Starz / Anchor Bay</t>
  </si>
  <si>
    <t>Eros</t>
  </si>
  <si>
    <t xml:space="preserve"> The Answer Man</t>
  </si>
  <si>
    <t xml:space="preserve"> Sanxia haoren</t>
  </si>
  <si>
    <t xml:space="preserve"> Ajami</t>
  </si>
  <si>
    <t xml:space="preserve"> Charlie Bartlett</t>
  </si>
  <si>
    <t xml:space="preserve"> Owl and the Sparrow</t>
  </si>
  <si>
    <t xml:space="preserve"> The Poker House</t>
  </si>
  <si>
    <t xml:space="preserve"> Amelia</t>
  </si>
  <si>
    <t xml:space="preserve"> Die Stille vor Bach</t>
  </si>
  <si>
    <t xml:space="preserve"> Jack Brooks: Monster Slayer</t>
  </si>
  <si>
    <t xml:space="preserve"> Ballast</t>
  </si>
  <si>
    <t xml:space="preserve"> Ben X</t>
  </si>
  <si>
    <t xml:space="preserve"> American Virgin</t>
  </si>
  <si>
    <t xml:space="preserve"> 13 Months of Sunshine</t>
  </si>
  <si>
    <t>Creative Differences</t>
  </si>
  <si>
    <t xml:space="preserve"> Under Our Skin</t>
  </si>
  <si>
    <t xml:space="preserve"> La Jeune Fille et les Loups</t>
  </si>
  <si>
    <t xml:space="preserve"> Rudo y Cursi</t>
  </si>
  <si>
    <t xml:space="preserve"> Cool It</t>
  </si>
  <si>
    <t xml:space="preserve"> Eye for an Eye</t>
  </si>
  <si>
    <t>10 June 2005</t>
  </si>
  <si>
    <t xml:space="preserve"> The Fantastic Mr. Fox</t>
  </si>
  <si>
    <t xml:space="preserve"> The Lazarus Project</t>
  </si>
  <si>
    <t xml:space="preserve"> Winter of Frozen Dreams</t>
  </si>
  <si>
    <t xml:space="preserve"> El lince perdido</t>
  </si>
  <si>
    <t xml:space="preserve"> Hitler Kaput!</t>
  </si>
  <si>
    <t xml:space="preserve"> Joheunnom nabbeunnom isanghannom</t>
  </si>
  <si>
    <t xml:space="preserve"> Staten Island</t>
  </si>
  <si>
    <t xml:space="preserve"> The Good Humor Man</t>
  </si>
  <si>
    <t xml:space="preserve"> C'est pas moi, je le jure!</t>
  </si>
  <si>
    <t xml:space="preserve"> Echelon Conspiracy</t>
  </si>
  <si>
    <t xml:space="preserve"> G-Force</t>
  </si>
  <si>
    <t>Lorber Films</t>
  </si>
  <si>
    <t xml:space="preserve"> Lymelife</t>
  </si>
  <si>
    <t xml:space="preserve"> Avant que j'oublie</t>
  </si>
  <si>
    <t xml:space="preserve"> Stay Cool</t>
  </si>
  <si>
    <t xml:space="preserve"> What's Done in the Dark</t>
  </si>
  <si>
    <t xml:space="preserve"> Control Alt Delete</t>
  </si>
  <si>
    <t>Paramount/Marvel</t>
  </si>
  <si>
    <t xml:space="preserve"> The Taking of Pelham 123</t>
  </si>
  <si>
    <t xml:space="preserve"> Stiletto</t>
  </si>
  <si>
    <t xml:space="preserve"> Doc West's Conscience: Part 1</t>
  </si>
  <si>
    <t xml:space="preserve"> Breaking Upwards</t>
  </si>
  <si>
    <t xml:space="preserve"> The Incredible Hulk</t>
  </si>
  <si>
    <t>Code Black</t>
  </si>
  <si>
    <t xml:space="preserve"> Loren Cass</t>
  </si>
  <si>
    <t xml:space="preserve"> Bio-Dead</t>
  </si>
  <si>
    <t>American Zoetrope</t>
  </si>
  <si>
    <t xml:space="preserve"> Que parezca un accidente</t>
  </si>
  <si>
    <t xml:space="preserve"> American Son</t>
  </si>
  <si>
    <t xml:space="preserve"> Deadline</t>
  </si>
  <si>
    <t>Focus Features</t>
  </si>
  <si>
    <t xml:space="preserve"> La Première étoile</t>
  </si>
  <si>
    <t xml:space="preserve"> Dark Country</t>
  </si>
  <si>
    <t xml:space="preserve"> The Sisterhood of the Traveling Pants 2</t>
  </si>
  <si>
    <t xml:space="preserve"> God Tussi Great Ho</t>
  </si>
  <si>
    <t xml:space="preserve"> Fighting for Life</t>
  </si>
  <si>
    <t xml:space="preserve"> The Human Centipede</t>
  </si>
  <si>
    <t xml:space="preserve"> The Legend of Pale Male</t>
  </si>
  <si>
    <t xml:space="preserve"> Rozygrysh</t>
  </si>
  <si>
    <t>Bleiberg Ent.</t>
  </si>
  <si>
    <t xml:space="preserve"> London to Brighton</t>
  </si>
  <si>
    <t xml:space="preserve"> Michael Jackson: Moonwalking - The True Story of Michael Jackson</t>
  </si>
  <si>
    <t xml:space="preserve"> Swing Vote</t>
  </si>
  <si>
    <t xml:space="preserve"> Flipped</t>
  </si>
  <si>
    <t xml:space="preserve"> Shadowland</t>
  </si>
  <si>
    <t xml:space="preserve"> The Legend of God's Gun</t>
  </si>
  <si>
    <t xml:space="preserve"> Los Girasoles Ciegos</t>
  </si>
  <si>
    <t xml:space="preserve"> Shrooms</t>
  </si>
  <si>
    <t xml:space="preserve"> Skin</t>
  </si>
  <si>
    <t xml:space="preserve"> Disco</t>
  </si>
  <si>
    <t xml:space="preserve"> Donkey Punch</t>
  </si>
  <si>
    <t xml:space="preserve"> Edge of Darkness</t>
  </si>
  <si>
    <t xml:space="preserve"> Kidnap</t>
  </si>
  <si>
    <t>5&amp;2</t>
  </si>
  <si>
    <t xml:space="preserve"> The Chronicles of Narnia: The Voyage of the Dawn Treader</t>
  </si>
  <si>
    <t xml:space="preserve"> Mother</t>
  </si>
  <si>
    <t xml:space="preserve"> The Most Dangerous Man in America: Daniel Ellsberg and the Pentagon Papers</t>
  </si>
  <si>
    <t xml:space="preserve"> Acts of Violence</t>
  </si>
  <si>
    <t xml:space="preserve"> Khatta Meetha</t>
  </si>
  <si>
    <t xml:space="preserve"> Ne touchez pas la hache</t>
  </si>
  <si>
    <t xml:space="preserve"> My Girlfriend's Boyfriend</t>
  </si>
  <si>
    <t>Screen Media</t>
  </si>
  <si>
    <t>Intl. Film Circuit</t>
  </si>
  <si>
    <t xml:space="preserve"> Body of Lies</t>
  </si>
  <si>
    <t xml:space="preserve"> Bare Knuckles</t>
  </si>
  <si>
    <t xml:space="preserve"> Deadfall Trail</t>
  </si>
  <si>
    <t>Koch Lorber</t>
  </si>
  <si>
    <t xml:space="preserve"> Beyond a Reasonable Doubt</t>
  </si>
  <si>
    <t xml:space="preserve"> That Evening Sun</t>
  </si>
  <si>
    <t xml:space="preserve"> Meno Male Che Ci Sei</t>
  </si>
  <si>
    <t xml:space="preserve"> Poli?ist, Adjectiv</t>
  </si>
  <si>
    <t xml:space="preserve"> Life After People</t>
  </si>
  <si>
    <t xml:space="preserve"> Chloe</t>
  </si>
  <si>
    <t xml:space="preserve"> Ramona and Beezus</t>
  </si>
  <si>
    <t xml:space="preserve"> The Nature of Existence</t>
  </si>
  <si>
    <t xml:space="preserve"> A Family Underground</t>
  </si>
  <si>
    <t>12/9/05</t>
  </si>
  <si>
    <t xml:space="preserve"> Bustin' Down the Door</t>
  </si>
  <si>
    <t>Magnolia</t>
  </si>
  <si>
    <t xml:space="preserve"> Loufa Kai Apallagi - I4</t>
  </si>
  <si>
    <t xml:space="preserve"> An American Affair</t>
  </si>
  <si>
    <t xml:space="preserve"> Unbeatable Harold</t>
  </si>
  <si>
    <t xml:space="preserve"> Za majikku awâ</t>
  </si>
  <si>
    <t xml:space="preserve"> Donne-moi la main</t>
  </si>
  <si>
    <t xml:space="preserve"> Mamma Mia!</t>
  </si>
  <si>
    <t xml:space="preserve"> Killshot</t>
  </si>
  <si>
    <t xml:space="preserve"> Surf Adventures 2</t>
  </si>
  <si>
    <t xml:space="preserve"> Sand and Sorrow</t>
  </si>
  <si>
    <t xml:space="preserve"> The Boat That Rocked</t>
  </si>
  <si>
    <t>*Pirates of the Caribbean: At World's End*</t>
  </si>
  <si>
    <t xml:space="preserve"> RocknRolla</t>
  </si>
  <si>
    <t xml:space="preserve"> Pour toujours, les Canadiens</t>
  </si>
  <si>
    <t xml:space="preserve"> Barbie in a Christmas Carol</t>
  </si>
  <si>
    <t xml:space="preserve"> The New Twenty</t>
  </si>
  <si>
    <t>Paramount/Lucasfilm</t>
  </si>
  <si>
    <t xml:space="preserve"> Le Piege Americain</t>
  </si>
  <si>
    <t xml:space="preserve"> Bob Marley Documentary</t>
  </si>
  <si>
    <t xml:space="preserve"> Rab Ne Bana Di Jodi</t>
  </si>
  <si>
    <t xml:space="preserve"> Une vieille maîtresse</t>
  </si>
  <si>
    <t xml:space="preserve"> A Blood Pledge</t>
  </si>
  <si>
    <t xml:space="preserve"> Lifelines</t>
  </si>
  <si>
    <t xml:space="preserve"> Imagine That</t>
  </si>
  <si>
    <t xml:space="preserve"> Mad Money</t>
  </si>
  <si>
    <t xml:space="preserve"> Gnomes and Trolls</t>
  </si>
  <si>
    <t xml:space="preserve"> Johnson Family Dinner</t>
  </si>
  <si>
    <t xml:space="preserve"> We Are Family</t>
  </si>
  <si>
    <t xml:space="preserve"> Driving Lessons</t>
  </si>
  <si>
    <t xml:space="preserve"> Rann</t>
  </si>
  <si>
    <t xml:space="preserve"> Van Diemen's Land</t>
  </si>
  <si>
    <t xml:space="preserve"> Manson, My Name is Evil</t>
  </si>
  <si>
    <t xml:space="preserve"> Strawberry Shortcake: Berrywood Here We Come</t>
  </si>
  <si>
    <t xml:space="preserve"> Boot Camp</t>
  </si>
  <si>
    <t xml:space="preserve"> Curious George 2: Follow That Monkey</t>
  </si>
  <si>
    <t xml:space="preserve"> Herb &amp; Dorothy</t>
  </si>
  <si>
    <t xml:space="preserve"> Still Waiting...</t>
  </si>
  <si>
    <t xml:space="preserve"> Afterschool</t>
  </si>
  <si>
    <t xml:space="preserve"> Last Chance Harvey</t>
  </si>
  <si>
    <t xml:space="preserve"> The Man Who Came Back</t>
  </si>
  <si>
    <t xml:space="preserve"> Le hérisson</t>
  </si>
  <si>
    <t xml:space="preserve"> Sama Wozu</t>
  </si>
  <si>
    <t xml:space="preserve"> The Shadow Within</t>
  </si>
  <si>
    <t xml:space="preserve"> The Imaginarium of Doctor Parnassus</t>
  </si>
  <si>
    <t xml:space="preserve"> Sunday</t>
  </si>
  <si>
    <t xml:space="preserve"> Across the Hall</t>
  </si>
  <si>
    <t xml:space="preserve"> Paa</t>
  </si>
  <si>
    <t xml:space="preserve"> Homecoming</t>
  </si>
  <si>
    <t xml:space="preserve"> How She Move</t>
  </si>
  <si>
    <t xml:space="preserve"> One Piece: Episode of Alabaster - Sabaku no Ojou to Kaizoku Tachi</t>
  </si>
  <si>
    <t xml:space="preserve"> Cape No. 7</t>
  </si>
  <si>
    <t xml:space="preserve"> Love Aaj Kal</t>
  </si>
  <si>
    <t xml:space="preserve"> Saving Marriage</t>
  </si>
  <si>
    <t xml:space="preserve"> Minutemen</t>
  </si>
  <si>
    <t xml:space="preserve"> Who's Your Monkey?</t>
  </si>
  <si>
    <t xml:space="preserve"> The First Basket</t>
  </si>
  <si>
    <t xml:space="preserve"> Brothers Three</t>
  </si>
  <si>
    <t xml:space="preserve"> Mancora</t>
  </si>
  <si>
    <t>Cinema Epoch</t>
  </si>
  <si>
    <t xml:space="preserve"> Aliens in the Attic</t>
  </si>
  <si>
    <t xml:space="preserve"> Moscow Zero</t>
  </si>
  <si>
    <t>2 April 2010</t>
  </si>
  <si>
    <t xml:space="preserve"> The Family That Preys</t>
  </si>
  <si>
    <t xml:space="preserve"> Looking for Palladin</t>
  </si>
  <si>
    <t xml:space="preserve"> The Ultimate Heist</t>
  </si>
  <si>
    <t xml:space="preserve"> à L'Intérieur</t>
  </si>
  <si>
    <t xml:space="preserve"> Aibô shirîzu Kanshiki Yonezawa Mamoru no jikenbo</t>
  </si>
  <si>
    <t xml:space="preserve"> Tru Loved</t>
  </si>
  <si>
    <t xml:space="preserve"> Teen Patti</t>
  </si>
  <si>
    <t xml:space="preserve"> Wonderful Town</t>
  </si>
  <si>
    <t xml:space="preserve"> Irreversi</t>
  </si>
  <si>
    <t xml:space="preserve"> Harimaya Bridge, The</t>
  </si>
  <si>
    <t xml:space="preserve"> Dachimawa Lee</t>
  </si>
  <si>
    <t>Janus</t>
  </si>
  <si>
    <t xml:space="preserve"> Astro Boy</t>
  </si>
  <si>
    <t xml:space="preserve"> White On Rice</t>
  </si>
  <si>
    <t xml:space="preserve"> Lbs.</t>
  </si>
  <si>
    <t xml:space="preserve"> Go Go Tales</t>
  </si>
  <si>
    <t xml:space="preserve"> Splice</t>
  </si>
  <si>
    <t xml:space="preserve"> Cover</t>
  </si>
  <si>
    <t xml:space="preserve"> N-Secure</t>
  </si>
  <si>
    <t>Romantic Troubadour</t>
  </si>
  <si>
    <t xml:space="preserve"> The Universe of Keith Haring</t>
  </si>
  <si>
    <t>*Ice Age: The Meltdown*</t>
  </si>
  <si>
    <t xml:space="preserve"> The Garden</t>
  </si>
  <si>
    <t xml:space="preserve"> The Fifth Commandment</t>
  </si>
  <si>
    <t xml:space="preserve"> All of Us</t>
  </si>
  <si>
    <t>Vici Films</t>
  </si>
  <si>
    <t xml:space="preserve"> Paan Singh Tomar</t>
  </si>
  <si>
    <t xml:space="preserve"> Ausbilder Schmidt</t>
  </si>
  <si>
    <t xml:space="preserve"> Road Train</t>
  </si>
  <si>
    <t xml:space="preserve"> Until the Light Takes Us</t>
  </si>
  <si>
    <t xml:space="preserve"> Jalsa</t>
  </si>
  <si>
    <t xml:space="preserve"> BoyBand</t>
  </si>
  <si>
    <t xml:space="preserve"> South of the Border</t>
  </si>
  <si>
    <t xml:space="preserve"> Year One</t>
  </si>
  <si>
    <t>Cinema Guild</t>
  </si>
  <si>
    <t xml:space="preserve"> Broderskab</t>
  </si>
  <si>
    <t xml:space="preserve"> Happy Tears</t>
  </si>
  <si>
    <t xml:space="preserve"> Ghost Cat</t>
  </si>
  <si>
    <t xml:space="preserve"> Cirque du Freak: The Vampire's Assistant</t>
  </si>
  <si>
    <t xml:space="preserve"> Strawberry Shortcake: The Glimmerberry Ball Movie</t>
  </si>
  <si>
    <t xml:space="preserve"> The Rage</t>
  </si>
  <si>
    <t>Picturehouse</t>
  </si>
  <si>
    <t xml:space="preserve"> Kimjongilia</t>
  </si>
  <si>
    <t xml:space="preserve"> The Ugly Truth</t>
  </si>
  <si>
    <t xml:space="preserve"> Stuntmen</t>
  </si>
  <si>
    <t xml:space="preserve"> Poultrygeist: Night of the Chicken Dead</t>
  </si>
  <si>
    <t xml:space="preserve"> Un conte de Noël</t>
  </si>
  <si>
    <t>11 July 2007</t>
  </si>
  <si>
    <t xml:space="preserve"> Penelope</t>
  </si>
  <si>
    <t xml:space="preserve"> Poltergeist</t>
  </si>
  <si>
    <t xml:space="preserve"> Jackie Chan Presents: Wushu</t>
  </si>
  <si>
    <t xml:space="preserve"> S. Darko</t>
  </si>
  <si>
    <t xml:space="preserve"> Ong-Bak 2</t>
  </si>
  <si>
    <t xml:space="preserve"> Elsewhere</t>
  </si>
  <si>
    <t xml:space="preserve"> Capitalism: A Love Story</t>
  </si>
  <si>
    <t xml:space="preserve"> Baby, Baby, Baby!</t>
  </si>
  <si>
    <t xml:space="preserve"> The Cross: The Arthur Blessitt Story</t>
  </si>
  <si>
    <t xml:space="preserve"> The Restless</t>
  </si>
  <si>
    <t xml:space="preserve"> Boarding Gate</t>
  </si>
  <si>
    <t xml:space="preserve"> La Teta Asustada</t>
  </si>
  <si>
    <t xml:space="preserve"> The Boys: The Sherman Brothers' Story</t>
  </si>
  <si>
    <t xml:space="preserve"> Pidtermyai huajai wawoon</t>
  </si>
  <si>
    <t xml:space="preserve"> Undisputed III: Redemption</t>
  </si>
  <si>
    <t xml:space="preserve"> The Bridge to Nowhere</t>
  </si>
  <si>
    <t xml:space="preserve"> Vsyo Mogut Koroli</t>
  </si>
  <si>
    <t xml:space="preserve"> Ghosts of Girlfriends Past</t>
  </si>
  <si>
    <t xml:space="preserve"> Public Enemies</t>
  </si>
  <si>
    <t xml:space="preserve"> The Devil's Tomb</t>
  </si>
  <si>
    <t xml:space="preserve"> Taxidermia</t>
  </si>
  <si>
    <t xml:space="preserve"> The Human Contract</t>
  </si>
  <si>
    <t xml:space="preserve"> My Life in Ruins</t>
  </si>
  <si>
    <t xml:space="preserve"> CSNY: Déjà Vu</t>
  </si>
  <si>
    <t>CBS Films</t>
  </si>
  <si>
    <t xml:space="preserve"> Harry Potter and the Half-Blood Prince</t>
  </si>
  <si>
    <t xml:space="preserve"> What Just Happened</t>
  </si>
  <si>
    <t xml:space="preserve"> The Other Guys</t>
  </si>
  <si>
    <t xml:space="preserve"> The Cake Eaters</t>
  </si>
  <si>
    <t xml:space="preserve"> Nights and Weekends</t>
  </si>
  <si>
    <t xml:space="preserve"> Batman: Under the Red Hood</t>
  </si>
  <si>
    <t xml:space="preserve"> Crips and Bloods: Made in America</t>
  </si>
  <si>
    <t xml:space="preserve"> Vision</t>
  </si>
  <si>
    <t xml:space="preserve"> Crazy on the Outside</t>
  </si>
  <si>
    <t xml:space="preserve"> Why Did I Get Married Too?</t>
  </si>
  <si>
    <t xml:space="preserve"> Guan lan</t>
  </si>
  <si>
    <t xml:space="preserve"> Young People Fucking</t>
  </si>
  <si>
    <t xml:space="preserve"> Double Trouble</t>
  </si>
  <si>
    <t xml:space="preserve"> Over Her Dead Body</t>
  </si>
  <si>
    <t xml:space="preserve"> The Brooklyn Heist</t>
  </si>
  <si>
    <t xml:space="preserve"> The X-Files: I Want to Believe</t>
  </si>
  <si>
    <t>Mangusta Productions</t>
  </si>
  <si>
    <t xml:space="preserve"> The Witches Hammer</t>
  </si>
  <si>
    <t xml:space="preserve"> The Least Among You</t>
  </si>
  <si>
    <t xml:space="preserve"> Trouble the Water</t>
  </si>
  <si>
    <t>Viva</t>
  </si>
  <si>
    <t>Icarus Films</t>
  </si>
  <si>
    <t xml:space="preserve"> Girls Rock!</t>
  </si>
  <si>
    <t xml:space="preserve"> The Pool Boys</t>
  </si>
  <si>
    <t>*Kung Fu Panda*</t>
  </si>
  <si>
    <t xml:space="preserve"> Comme les autres</t>
  </si>
  <si>
    <t xml:space="preserve"> Tiny Furniture</t>
  </si>
  <si>
    <t xml:space="preserve"> Zombies of Mass Destruction</t>
  </si>
  <si>
    <t xml:space="preserve"> What's Your Raashee?</t>
  </si>
  <si>
    <t xml:space="preserve"> Carnivorous</t>
  </si>
  <si>
    <t xml:space="preserve"> Caprica</t>
  </si>
  <si>
    <t xml:space="preserve"> Queen of the Sun</t>
  </si>
  <si>
    <t xml:space="preserve"> Heer Ranjha</t>
  </si>
  <si>
    <t xml:space="preserve"> Mongol</t>
  </si>
  <si>
    <t xml:space="preserve"> Murder.com</t>
  </si>
  <si>
    <t xml:space="preserve"> Standing Ovation</t>
  </si>
  <si>
    <t xml:space="preserve"> Ashes of Time Redux</t>
  </si>
  <si>
    <t xml:space="preserve"> Under the Sea 3-D</t>
  </si>
  <si>
    <t xml:space="preserve"> Maman est chez le coiffeur</t>
  </si>
  <si>
    <t xml:space="preserve"> Middle Men</t>
  </si>
  <si>
    <t xml:space="preserve"> Chrysalis</t>
  </si>
  <si>
    <t xml:space="preserve"> My One and Only</t>
  </si>
  <si>
    <t>Abramorama</t>
  </si>
  <si>
    <t>*Shrek Forever After*</t>
  </si>
  <si>
    <t xml:space="preserve"> 36 vues du Pic Saint Loup</t>
  </si>
  <si>
    <t xml:space="preserve"> Throw Down Your Heart</t>
  </si>
  <si>
    <t xml:space="preserve"> Chandni Chowk to China</t>
  </si>
  <si>
    <t xml:space="preserve"> Glass: A Portrait of Philip in Twelve Parts</t>
  </si>
  <si>
    <t xml:space="preserve"> Sugar</t>
  </si>
  <si>
    <t>Walking Shadows</t>
  </si>
  <si>
    <t xml:space="preserve"> Space Chimps</t>
  </si>
  <si>
    <t xml:space="preserve"> The Eclipse</t>
  </si>
  <si>
    <t xml:space="preserve"> Red Dawn</t>
  </si>
  <si>
    <t xml:space="preserve"> Crush</t>
  </si>
  <si>
    <t xml:space="preserve"> Legendary</t>
  </si>
  <si>
    <t xml:space="preserve"> Les herbes folles</t>
  </si>
  <si>
    <t xml:space="preserve"> Mary Queen of Scots</t>
  </si>
  <si>
    <t xml:space="preserve"> We Live in Public</t>
  </si>
  <si>
    <t xml:space="preserve"> Insidious</t>
  </si>
  <si>
    <t xml:space="preserve"> Låt den rätte komma in</t>
  </si>
  <si>
    <t xml:space="preserve"> Between Love &amp; Goodbye</t>
  </si>
  <si>
    <t xml:space="preserve"> Sputnik Mania</t>
  </si>
  <si>
    <t xml:space="preserve"> Big Stan</t>
  </si>
  <si>
    <t xml:space="preserve"> Sister Smile</t>
  </si>
  <si>
    <t xml:space="preserve"> How the Garcia Girls Spent Their Summer</t>
  </si>
  <si>
    <t xml:space="preserve"> The Missing Person</t>
  </si>
  <si>
    <t xml:space="preserve"> What If...</t>
  </si>
  <si>
    <t xml:space="preserve"> Extract</t>
  </si>
  <si>
    <t xml:space="preserve"> Rome &amp; Jewel</t>
  </si>
  <si>
    <t xml:space="preserve"> I Am Comic</t>
  </si>
  <si>
    <t>Zoe</t>
  </si>
  <si>
    <t xml:space="preserve"> Sherman's Way</t>
  </si>
  <si>
    <t xml:space="preserve"> The Lightkeepers</t>
  </si>
  <si>
    <t xml:space="preserve"> Little Ashes</t>
  </si>
  <si>
    <t xml:space="preserve"> Stiffs</t>
  </si>
  <si>
    <t xml:space="preserve"> Money Hai Toh Honey Hai</t>
  </si>
  <si>
    <t xml:space="preserve"> Che, Part 2: Guerrilla</t>
  </si>
  <si>
    <t xml:space="preserve"> Get Smart</t>
  </si>
  <si>
    <t xml:space="preserve"> Lost in the Woods</t>
  </si>
  <si>
    <t xml:space="preserve"> Run, Fat Boy, Run</t>
  </si>
  <si>
    <t xml:space="preserve"> I Want Your Money</t>
  </si>
  <si>
    <t xml:space="preserve"> Neuilly Sa Mère</t>
  </si>
  <si>
    <t>May 22, 2007</t>
  </si>
  <si>
    <t xml:space="preserve"> Wrong Turn at Tahoe</t>
  </si>
  <si>
    <t xml:space="preserve"> The Descent: Part 2</t>
  </si>
  <si>
    <t xml:space="preserve"> Last Battle Dreamer</t>
  </si>
  <si>
    <t xml:space="preserve"> Bronson</t>
  </si>
  <si>
    <t xml:space="preserve"> High School Musical: El Desafio</t>
  </si>
  <si>
    <t>Excel</t>
  </si>
  <si>
    <t>Kanbar</t>
  </si>
  <si>
    <t xml:space="preserve"> Pyaar Impossible</t>
  </si>
  <si>
    <t xml:space="preserve"> Sometimes in Life</t>
  </si>
  <si>
    <t xml:space="preserve"> Barry Munday</t>
  </si>
  <si>
    <t xml:space="preserve"> Lakeview Terrace</t>
  </si>
  <si>
    <t xml:space="preserve"> Dance Flick</t>
  </si>
  <si>
    <t xml:space="preserve"> Taking Woodstock</t>
  </si>
  <si>
    <t xml:space="preserve"> Standard Operating Procedure</t>
  </si>
  <si>
    <t xml:space="preserve"> Laila's Birthday</t>
  </si>
  <si>
    <t xml:space="preserve"> Suspect X</t>
  </si>
  <si>
    <t>Overture</t>
  </si>
  <si>
    <t xml:space="preserve"> Napoleon and Betsy</t>
  </si>
  <si>
    <t xml:space="preserve"> Tortured</t>
  </si>
  <si>
    <t xml:space="preserve"> The Storm Rider</t>
  </si>
  <si>
    <t xml:space="preserve"> It's Alive</t>
  </si>
  <si>
    <t xml:space="preserve"> Beastie Boys</t>
  </si>
  <si>
    <t xml:space="preserve"> Brontë</t>
  </si>
  <si>
    <t xml:space="preserve"> Spring 1941</t>
  </si>
  <si>
    <t xml:space="preserve"> Everybody Wants To Be Italian</t>
  </si>
  <si>
    <t xml:space="preserve"> Orphan</t>
  </si>
  <si>
    <t xml:space="preserve"> The Grand</t>
  </si>
  <si>
    <t xml:space="preserve"> Dear Zachary: a letter to a son about his father</t>
  </si>
  <si>
    <t xml:space="preserve"> The Secret Life of Bees</t>
  </si>
  <si>
    <t xml:space="preserve"> Lake City</t>
  </si>
  <si>
    <t xml:space="preserve"> Teza</t>
  </si>
  <si>
    <t xml:space="preserve"> Tales From the Script</t>
  </si>
  <si>
    <t xml:space="preserve"> Cold Souls</t>
  </si>
  <si>
    <t xml:space="preserve"> Confessions of an Action Star</t>
  </si>
  <si>
    <t xml:space="preserve"> De Dana Dan</t>
  </si>
  <si>
    <t>Paramount Vantage</t>
  </si>
  <si>
    <t xml:space="preserve"> You Again</t>
  </si>
  <si>
    <t xml:space="preserve"> Killing Kasztner</t>
  </si>
  <si>
    <t xml:space="preserve"> Our City Dreams</t>
  </si>
  <si>
    <t xml:space="preserve"> Another Gay Sequel</t>
  </si>
  <si>
    <t xml:space="preserve"> Le Grand Alibi</t>
  </si>
  <si>
    <t xml:space="preserve"> Frozen</t>
  </si>
  <si>
    <t xml:space="preserve"> The Next Three Days</t>
  </si>
  <si>
    <t xml:space="preserve"> Desperate Escape</t>
  </si>
  <si>
    <t xml:space="preserve"> Ajab Prem Ki Ghazab Kahani</t>
  </si>
  <si>
    <t xml:space="preserve"> Die Fälscher</t>
  </si>
  <si>
    <t xml:space="preserve"> Keroro Gunso the Super Movie 4: Gekishin Dragon Warriors</t>
  </si>
  <si>
    <t xml:space="preserve"> Banlieue 13 Ultimatum</t>
  </si>
  <si>
    <t xml:space="preserve"> The Song of Sparrows</t>
  </si>
  <si>
    <t xml:space="preserve"> Robot</t>
  </si>
  <si>
    <t xml:space="preserve"> War Made Easy: How Presidents &amp; Pundits Keep Spinning Us to Death</t>
  </si>
  <si>
    <t xml:space="preserve"> Angel &amp; the Badman</t>
  </si>
  <si>
    <t>Maverick</t>
  </si>
  <si>
    <t>Wolfe Twenty</t>
  </si>
  <si>
    <t xml:space="preserve"> Maiden Voyage: Ocean Hijack</t>
  </si>
  <si>
    <t>5 May 2006</t>
  </si>
  <si>
    <t xml:space="preserve"> O Ano em Que Meus Pais Saíram de Férias</t>
  </si>
  <si>
    <t xml:space="preserve"> Every Little Step</t>
  </si>
  <si>
    <t xml:space="preserve"> Jellyfish</t>
  </si>
  <si>
    <t xml:space="preserve"> Gekijoban Kamen Raida Den'o and Kiba Kuraimakkusu Deka</t>
  </si>
  <si>
    <t xml:space="preserve"> No-Do</t>
  </si>
  <si>
    <t>24 June 2009</t>
  </si>
  <si>
    <t xml:space="preserve"> Trailer Trash</t>
  </si>
  <si>
    <t xml:space="preserve"> Daddy's Home</t>
  </si>
  <si>
    <t xml:space="preserve"> Marriage of Figaro, The (2009)</t>
  </si>
  <si>
    <t xml:space="preserve"> Fireproof</t>
  </si>
  <si>
    <t xml:space="preserve"> Twisted: A Balloonamentary</t>
  </si>
  <si>
    <t xml:space="preserve"> Conviction</t>
  </si>
  <si>
    <t xml:space="preserve"> As Good as Dead</t>
  </si>
  <si>
    <t xml:space="preserve"> Grace</t>
  </si>
  <si>
    <t xml:space="preserve"> Hubble 3D</t>
  </si>
  <si>
    <t xml:space="preserve"> State of Play</t>
  </si>
  <si>
    <t xml:space="preserve"> A Good Day to be Black and Sexy</t>
  </si>
  <si>
    <t xml:space="preserve"> Homewrecker</t>
  </si>
  <si>
    <t xml:space="preserve"> The Time Traveler's Wife</t>
  </si>
  <si>
    <t xml:space="preserve"> A Mulher Invisível</t>
  </si>
  <si>
    <t xml:space="preserve"> Leatherheads</t>
  </si>
  <si>
    <t xml:space="preserve"> Obscene</t>
  </si>
  <si>
    <t xml:space="preserve"> No. 2</t>
  </si>
  <si>
    <t xml:space="preserve"> My iz budushego</t>
  </si>
  <si>
    <t xml:space="preserve"> Quid Pro Quo</t>
  </si>
  <si>
    <t xml:space="preserve"> Caregiver</t>
  </si>
  <si>
    <t xml:space="preserve"> Rock Slyde</t>
  </si>
  <si>
    <t xml:space="preserve"> Un secret</t>
  </si>
  <si>
    <t xml:space="preserve"> Carmen and Geoffrey</t>
  </si>
  <si>
    <t xml:space="preserve"> Terkel in Trouble</t>
  </si>
  <si>
    <t xml:space="preserve"> Noah's Arc: Jumping the Broom</t>
  </si>
  <si>
    <t>Yari Film Group</t>
  </si>
  <si>
    <t xml:space="preserve"> Fast Track</t>
  </si>
  <si>
    <t>Newmarket</t>
  </si>
  <si>
    <t xml:space="preserve"> Ninja Assassin</t>
  </si>
  <si>
    <t xml:space="preserve"> Precious (Based on the Novel Push by Sapphire)</t>
  </si>
  <si>
    <t xml:space="preserve"> R.T.T.</t>
  </si>
  <si>
    <t xml:space="preserve"> The Black Balloon</t>
  </si>
  <si>
    <t xml:space="preserve"> Shadowheart</t>
  </si>
  <si>
    <t xml:space="preserve"> Earth Days</t>
  </si>
  <si>
    <t xml:space="preserve"> Me &amp; You, Us, Forever</t>
  </si>
  <si>
    <t xml:space="preserve"> No Man's Land: The Rise of Reeker</t>
  </si>
  <si>
    <t xml:space="preserve"> Takers</t>
  </si>
  <si>
    <t xml:space="preserve"> Amexicano</t>
  </si>
  <si>
    <t xml:space="preserve"> Hannah Montana the Movie</t>
  </si>
  <si>
    <t xml:space="preserve"> Percy Jackson &amp; the Olympians: The Lightning Thief</t>
  </si>
  <si>
    <t>Summit</t>
  </si>
  <si>
    <t xml:space="preserve"> Modern Boy</t>
  </si>
  <si>
    <t xml:space="preserve"> Rent: Filmed Live on Broadway</t>
  </si>
  <si>
    <t xml:space="preserve"> A Bunch of Amateurs</t>
  </si>
  <si>
    <t xml:space="preserve"> A Summer in Genoa</t>
  </si>
  <si>
    <t xml:space="preserve"> The Reader</t>
  </si>
  <si>
    <t xml:space="preserve"> Diary of the Dead</t>
  </si>
  <si>
    <t xml:space="preserve"> Nothing But the Truth</t>
  </si>
  <si>
    <t>Cinema Libre</t>
  </si>
  <si>
    <t xml:space="preserve"> Blast</t>
  </si>
  <si>
    <t xml:space="preserve"> The Horse Boy</t>
  </si>
  <si>
    <t xml:space="preserve"> A Plumm Summer</t>
  </si>
  <si>
    <t xml:space="preserve"> Rachel Getting Married</t>
  </si>
  <si>
    <t xml:space="preserve"> After Dark's Horrorfest III</t>
  </si>
  <si>
    <t xml:space="preserve"> Okuribito</t>
  </si>
  <si>
    <t xml:space="preserve"> The Locator 2: Braxton Returns</t>
  </si>
  <si>
    <t xml:space="preserve"> Paranormal Activity 2</t>
  </si>
  <si>
    <t xml:space="preserve"> Paper Heart</t>
  </si>
  <si>
    <t xml:space="preserve"> St. Trinian's</t>
  </si>
  <si>
    <t xml:space="preserve"> Aussie &amp; Ted's Great Adventure</t>
  </si>
  <si>
    <t xml:space="preserve"> Scooby Doo! The Mystery Begins</t>
  </si>
  <si>
    <t xml:space="preserve"> Cruising Bar 2</t>
  </si>
  <si>
    <t xml:space="preserve"> Vivaldi</t>
  </si>
  <si>
    <t xml:space="preserve"> High Hopes</t>
  </si>
  <si>
    <t xml:space="preserve"> Nights in Rodanthe</t>
  </si>
  <si>
    <t xml:space="preserve"> Golmaal Returns</t>
  </si>
  <si>
    <t xml:space="preserve"> Day and Night</t>
  </si>
  <si>
    <t xml:space="preserve"> Live Music</t>
  </si>
  <si>
    <t xml:space="preserve"> Eiga Precure All-Stars DX Minna Tomodachi</t>
  </si>
  <si>
    <t>Emerging Pictures</t>
  </si>
  <si>
    <t xml:space="preserve"> The Gene Generation</t>
  </si>
  <si>
    <t xml:space="preserve"> Catch Your Mind</t>
  </si>
  <si>
    <t xml:space="preserve"> Fears of the Dark</t>
  </si>
  <si>
    <t xml:space="preserve"> The Bad Mother's Handbook</t>
  </si>
  <si>
    <t xml:space="preserve"> Public Enemy Returns</t>
  </si>
  <si>
    <t xml:space="preserve"> Sukiyaki Western Django</t>
  </si>
  <si>
    <t xml:space="preserve"> Winged Creatures</t>
  </si>
  <si>
    <t xml:space="preserve"> Jillian Michaels: 30 Day Shred</t>
  </si>
  <si>
    <t xml:space="preserve"> The Rum Diary</t>
  </si>
  <si>
    <t xml:space="preserve"> Creature of Darkness</t>
  </si>
  <si>
    <t xml:space="preserve"> Mickey Mouse Clubhouse - Mickey's Storybook Surprises</t>
  </si>
  <si>
    <t xml:space="preserve"> Robin Hood</t>
  </si>
  <si>
    <t xml:space="preserve"> Me and Orson Welles</t>
  </si>
  <si>
    <t xml:space="preserve"> Chaos</t>
  </si>
  <si>
    <t xml:space="preserve"> Smash His Camera</t>
  </si>
  <si>
    <t xml:space="preserve"> Sam and George</t>
  </si>
  <si>
    <t xml:space="preserve"> Shooting Star</t>
  </si>
  <si>
    <t>Empire Pictures</t>
  </si>
  <si>
    <t xml:space="preserve"> Stan Helsing: A Parody</t>
  </si>
  <si>
    <t>Arthouse Films</t>
  </si>
  <si>
    <t xml:space="preserve"> Billy: The Early Years of Billy Graham</t>
  </si>
  <si>
    <t xml:space="preserve"> Into the Shadows</t>
  </si>
  <si>
    <t xml:space="preserve"> Chris and Don: A Love Story</t>
  </si>
  <si>
    <t xml:space="preserve"> Shinjuku Incident</t>
  </si>
  <si>
    <t xml:space="preserve"> Life as We Know It</t>
  </si>
  <si>
    <t>Anywhere Road</t>
  </si>
  <si>
    <t xml:space="preserve"> 12 Rounds</t>
  </si>
  <si>
    <t xml:space="preserve"> An Education</t>
  </si>
  <si>
    <t xml:space="preserve"> The Fate</t>
  </si>
  <si>
    <t>DreamWorks Animation</t>
  </si>
  <si>
    <t xml:space="preserve"> Manatsu no Orion</t>
  </si>
  <si>
    <t xml:space="preserve"> Tropic Thunder</t>
  </si>
  <si>
    <t xml:space="preserve"> Let Them Chirp Awhile</t>
  </si>
  <si>
    <t xml:space="preserve"> Lejdis</t>
  </si>
  <si>
    <t xml:space="preserve"> Gekijô ban Naruto: Shippûden - Kizuna</t>
  </si>
  <si>
    <t xml:space="preserve"> Inu to watashi no 10 no yakusoku</t>
  </si>
  <si>
    <t xml:space="preserve"> The Beaches of Agnes</t>
  </si>
  <si>
    <t xml:space="preserve"> Crude</t>
  </si>
  <si>
    <t xml:space="preserve"> Linewatch</t>
  </si>
  <si>
    <t xml:space="preserve"> The International</t>
  </si>
  <si>
    <t xml:space="preserve"> Role Models</t>
  </si>
  <si>
    <t>Hannover House</t>
  </si>
  <si>
    <t xml:space="preserve"> Solitary Man</t>
  </si>
  <si>
    <t xml:space="preserve"> Horst Schlammer - Isch Kandidiere!</t>
  </si>
  <si>
    <t xml:space="preserve"> Medicine for Melancholy</t>
  </si>
  <si>
    <t xml:space="preserve"> Stone of Destiny</t>
  </si>
  <si>
    <t xml:space="preserve"> Knight and Day</t>
  </si>
  <si>
    <t xml:space="preserve"> The Keeper</t>
  </si>
  <si>
    <t>Image</t>
  </si>
  <si>
    <t xml:space="preserve"> Bikur Ha-Tizmoret</t>
  </si>
  <si>
    <t xml:space="preserve"> Border Town</t>
  </si>
  <si>
    <t xml:space="preserve"> TiMER</t>
  </si>
  <si>
    <t>Roadside Attraction</t>
  </si>
  <si>
    <t xml:space="preserve"> The Disappearance of Alice Creed</t>
  </si>
  <si>
    <t xml:space="preserve"> Passe-Passe</t>
  </si>
  <si>
    <t xml:space="preserve"> The Moonlight of Seoul</t>
  </si>
  <si>
    <t xml:space="preserve"> You and I</t>
  </si>
  <si>
    <t>Title</t>
  </si>
  <si>
    <t xml:space="preserve"> The Warlords</t>
  </si>
  <si>
    <t xml:space="preserve"> The Haunting in Connecticut</t>
  </si>
  <si>
    <t xml:space="preserve"> One Two Three</t>
  </si>
  <si>
    <t xml:space="preserve"> L'arnacouer</t>
  </si>
  <si>
    <t xml:space="preserve"> The Lottery</t>
  </si>
  <si>
    <t xml:space="preserve"> Christmas Angel</t>
  </si>
  <si>
    <t xml:space="preserve"> The Spy Next Door</t>
  </si>
  <si>
    <t xml:space="preserve"> Forgiveness</t>
  </si>
  <si>
    <t xml:space="preserve"> Bundy: A Legacy of Evil</t>
  </si>
  <si>
    <t xml:space="preserve"> Dark House</t>
  </si>
  <si>
    <t xml:space="preserve"> The Concert</t>
  </si>
  <si>
    <t xml:space="preserve"> Born to Be a Star</t>
  </si>
  <si>
    <t xml:space="preserve"> Did You Hear About the Morgans?</t>
  </si>
  <si>
    <t xml:space="preserve"> Scooby-Doo and the Goblin King</t>
  </si>
  <si>
    <t xml:space="preserve"> Daddy Cool</t>
  </si>
  <si>
    <t xml:space="preserve"> Hellbinders</t>
  </si>
  <si>
    <t xml:space="preserve"> Wrong Turn 3: Left for Dead</t>
  </si>
  <si>
    <t xml:space="preserve"> Staub</t>
  </si>
  <si>
    <t xml:space="preserve"> Red Tails</t>
  </si>
  <si>
    <t xml:space="preserve"> Happiness Runs</t>
  </si>
  <si>
    <t xml:space="preserve"> Not the Messiah: He's a Very Naughty Boy</t>
  </si>
  <si>
    <t xml:space="preserve"> The Messenger</t>
  </si>
  <si>
    <t xml:space="preserve"> Mr. Art Critic</t>
  </si>
  <si>
    <t xml:space="preserve"> The Battle of Red Cliff</t>
  </si>
  <si>
    <t xml:space="preserve"> Step Up 2 the Streets</t>
  </si>
  <si>
    <t xml:space="preserve"> Elegy</t>
  </si>
  <si>
    <t>Family1</t>
  </si>
  <si>
    <t xml:space="preserve"> Gigante</t>
  </si>
  <si>
    <t xml:space="preserve"> Truth Hall</t>
  </si>
  <si>
    <t>*Despicable Me*</t>
  </si>
  <si>
    <t xml:space="preserve"> Sixty Six</t>
  </si>
  <si>
    <t xml:space="preserve"> A Guerra dos Rocha</t>
  </si>
  <si>
    <t xml:space="preserve"> 5150, Rue des Ormes</t>
  </si>
  <si>
    <t xml:space="preserve"> Wedding Daze</t>
  </si>
  <si>
    <t xml:space="preserve"> Full Grown Men</t>
  </si>
  <si>
    <t xml:space="preserve"> The September Issue</t>
  </si>
  <si>
    <t xml:space="preserve"> Ek Vivah Aisa Nhi</t>
  </si>
  <si>
    <t xml:space="preserve"> Universal Soldier: Regeneration</t>
  </si>
  <si>
    <t xml:space="preserve"> The Death Factory Bloodletting</t>
  </si>
  <si>
    <t xml:space="preserve"> Veronika Decides to Die</t>
  </si>
  <si>
    <t xml:space="preserve"> Take Me Home Tonight</t>
  </si>
  <si>
    <t xml:space="preserve"> Dead Like Me: Life After Death</t>
  </si>
  <si>
    <t>Typecast Releasing</t>
  </si>
  <si>
    <t xml:space="preserve"> Hobby Farm</t>
  </si>
  <si>
    <t xml:space="preserve"> Do Knot Disturb</t>
  </si>
  <si>
    <t xml:space="preserve"> Celda 211</t>
  </si>
  <si>
    <t xml:space="preserve"> Eldorado</t>
  </si>
  <si>
    <t xml:space="preserve"> Fight Night</t>
  </si>
  <si>
    <t xml:space="preserve"> Thoda Pyaar Thoda Magic</t>
  </si>
  <si>
    <t xml:space="preserve"> The Resurrection</t>
  </si>
  <si>
    <t xml:space="preserve"> Wake Up Sid</t>
  </si>
  <si>
    <t xml:space="preserve"> The Hammer</t>
  </si>
  <si>
    <t xml:space="preserve"> Extraordinary Measures</t>
  </si>
  <si>
    <t xml:space="preserve"> A Four Letter Word</t>
  </si>
  <si>
    <t xml:space="preserve"> Hugh Hefner: Playboy, Activist and Rebel</t>
  </si>
  <si>
    <t xml:space="preserve"> Rak Sam Sao</t>
  </si>
  <si>
    <t xml:space="preserve"> Mammoth</t>
  </si>
  <si>
    <t xml:space="preserve"> Like Dandelion Dust</t>
  </si>
  <si>
    <t xml:space="preserve"> Mary Pickford, The Muse of All Movies</t>
  </si>
  <si>
    <t xml:space="preserve"> Dread</t>
  </si>
  <si>
    <t xml:space="preserve"> Powder Blue</t>
  </si>
  <si>
    <t xml:space="preserve"> Tangled</t>
  </si>
  <si>
    <t xml:space="preserve"> Broken Hill</t>
  </si>
  <si>
    <t xml:space="preserve"> La Bonheur de Pierre</t>
  </si>
  <si>
    <t xml:space="preserve"> Alexander. Nevsky Battle</t>
  </si>
  <si>
    <t xml:space="preserve"> Slumdog Millionaire</t>
  </si>
  <si>
    <t>United Artists</t>
  </si>
  <si>
    <t xml:space="preserve"> The Fall</t>
  </si>
  <si>
    <t xml:space="preserve"> Red Sands</t>
  </si>
  <si>
    <t xml:space="preserve"> Postal</t>
  </si>
  <si>
    <t>*Shrek the Third*</t>
  </si>
  <si>
    <t xml:space="preserve"> Just Wright</t>
  </si>
  <si>
    <t xml:space="preserve"> Five Dollars a Day</t>
  </si>
  <si>
    <t>First Run Features</t>
  </si>
  <si>
    <t>Strand Releasing</t>
  </si>
  <si>
    <t xml:space="preserve"> The People I've Slept With</t>
  </si>
  <si>
    <t xml:space="preserve"> The Edge of Love</t>
  </si>
  <si>
    <t xml:space="preserve"> An American Carol</t>
  </si>
  <si>
    <t xml:space="preserve"> Bride Wars</t>
  </si>
  <si>
    <t xml:space="preserve"> Cheri</t>
  </si>
  <si>
    <t xml:space="preserve"> New in Town</t>
  </si>
  <si>
    <t xml:space="preserve"> Sin Nombre</t>
  </si>
  <si>
    <t xml:space="preserve"> Life is Hot in Cracktown</t>
  </si>
  <si>
    <t xml:space="preserve"> Surfer, Dude</t>
  </si>
  <si>
    <t xml:space="preserve"> Of Time and the City</t>
  </si>
  <si>
    <t xml:space="preserve"> I Sell the Dead</t>
  </si>
  <si>
    <t xml:space="preserve"> The Book of Eli</t>
  </si>
  <si>
    <t xml:space="preserve"> Jerichow</t>
  </si>
  <si>
    <t xml:space="preserve"> Ghost Image</t>
  </si>
  <si>
    <t xml:space="preserve"> Le Fils d'épicier</t>
  </si>
  <si>
    <t xml:space="preserve"> Jyuryoku Pierrot</t>
  </si>
  <si>
    <t xml:space="preserve"> Poker Run</t>
  </si>
  <si>
    <t>15 July 2009</t>
  </si>
  <si>
    <t xml:space="preserve"> Safehouse</t>
  </si>
  <si>
    <t xml:space="preserve"> Unmistaken Child</t>
  </si>
  <si>
    <t xml:space="preserve"> Feast III: The Happy Finish</t>
  </si>
  <si>
    <t>After Dark</t>
  </si>
  <si>
    <t xml:space="preserve"> Dillinger is Dead</t>
  </si>
  <si>
    <t xml:space="preserve"> Mugabe and the White African</t>
  </si>
  <si>
    <t xml:space="preserve"> 2007 Academy Award Nominated Short Films</t>
  </si>
  <si>
    <t xml:space="preserve"> Homo Erectus</t>
  </si>
  <si>
    <t xml:space="preserve"> Kochaj i Tancz</t>
  </si>
  <si>
    <t xml:space="preserve"> Jim</t>
  </si>
  <si>
    <t xml:space="preserve"> Luang Pee Teng 2</t>
  </si>
  <si>
    <t>MSK Productions</t>
  </si>
  <si>
    <t xml:space="preserve"> The Perfect Sleep</t>
  </si>
  <si>
    <t xml:space="preserve"> Phoonk</t>
  </si>
  <si>
    <t xml:space="preserve"> Robert Blecker Wants Me Dead</t>
  </si>
  <si>
    <t xml:space="preserve"> Tigger and Pooh and a Musical Too</t>
  </si>
  <si>
    <t xml:space="preserve"> Blood on the Highway</t>
  </si>
  <si>
    <t>Neoclassics</t>
  </si>
  <si>
    <t xml:space="preserve"> Housebroken</t>
  </si>
  <si>
    <t xml:space="preserve"> Disengagement</t>
  </si>
  <si>
    <t xml:space="preserve"> Behind the Wall</t>
  </si>
  <si>
    <t xml:space="preserve"> Laid to Rest</t>
  </si>
  <si>
    <t xml:space="preserve"> Transylmania</t>
  </si>
  <si>
    <t xml:space="preserve"> Singh is Kinng</t>
  </si>
  <si>
    <t xml:space="preserve"> The Magician</t>
  </si>
  <si>
    <t xml:space="preserve"> The Hole 3D</t>
  </si>
  <si>
    <t xml:space="preserve"> Bait Shop</t>
  </si>
  <si>
    <t xml:space="preserve"> Rock On</t>
  </si>
  <si>
    <t xml:space="preserve"> Barney's Version</t>
  </si>
  <si>
    <t>*Up*</t>
  </si>
  <si>
    <t xml:space="preserve"> Albino Farm</t>
  </si>
  <si>
    <t xml:space="preserve"> An American Crime</t>
  </si>
  <si>
    <t xml:space="preserve"> Questa notte è ancora nostra</t>
  </si>
  <si>
    <t xml:space="preserve"> Lady MacBeth of Mtsensk District</t>
  </si>
  <si>
    <t xml:space="preserve"> Trash Humpers</t>
  </si>
  <si>
    <t xml:space="preserve"> Rest Stop: Don't Look Back</t>
  </si>
  <si>
    <t xml:space="preserve"> Neshoba: The Price of Freedom</t>
  </si>
  <si>
    <t xml:space="preserve"> Language of the Enemy</t>
  </si>
  <si>
    <t xml:space="preserve"> Dark Floors</t>
  </si>
  <si>
    <t xml:space="preserve"> See Prang</t>
  </si>
  <si>
    <t>Weinstein/Dimension</t>
  </si>
  <si>
    <t xml:space="preserve"> The Fourth Kind</t>
  </si>
  <si>
    <t>Overture Films</t>
  </si>
  <si>
    <t xml:space="preserve"> Love Happens</t>
  </si>
  <si>
    <t xml:space="preserve"> Die Teufelskicker</t>
  </si>
  <si>
    <t xml:space="preserve"> Stritreysery</t>
  </si>
  <si>
    <t xml:space="preserve"> Gangster Exchange</t>
  </si>
  <si>
    <t xml:space="preserve"> An Invisible Sign of My Own</t>
  </si>
  <si>
    <t xml:space="preserve"> Eiga: Kurosagi</t>
  </si>
  <si>
    <t xml:space="preserve"> Jaane Tu Ya Jaane Na</t>
  </si>
  <si>
    <t>*Sherlock Holmes*</t>
  </si>
  <si>
    <t xml:space="preserve"> W.</t>
  </si>
  <si>
    <t>2008 rank</t>
  </si>
  <si>
    <t xml:space="preserve"> The Perfect Game</t>
  </si>
  <si>
    <t xml:space="preserve"> Up</t>
  </si>
  <si>
    <t xml:space="preserve"> Nanjing! Nanjing!</t>
  </si>
  <si>
    <t xml:space="preserve"> Constantine's Sword</t>
  </si>
  <si>
    <t xml:space="preserve"> Stop-Loss</t>
  </si>
  <si>
    <t xml:space="preserve"> Neighbor</t>
  </si>
  <si>
    <t xml:space="preserve"> Sikandar</t>
  </si>
  <si>
    <t xml:space="preserve"> The Grandfathers</t>
  </si>
  <si>
    <t xml:space="preserve"> Starquest: The Odyssey</t>
  </si>
  <si>
    <t xml:space="preserve"> No Boundaries</t>
  </si>
  <si>
    <t>Vitagraph</t>
  </si>
  <si>
    <t xml:space="preserve"> Save Me</t>
  </si>
  <si>
    <t xml:space="preserve"> Calvin Marshall</t>
  </si>
  <si>
    <t xml:space="preserve"> Los Cronocrímenes</t>
  </si>
  <si>
    <t xml:space="preserve"> Chops</t>
  </si>
  <si>
    <t xml:space="preserve"> The Rocker</t>
  </si>
  <si>
    <t xml:space="preserve"> Noemie: Le Secret</t>
  </si>
  <si>
    <t xml:space="preserve"> Dead Space: Downfall</t>
  </si>
  <si>
    <t xml:space="preserve"> The Debt</t>
  </si>
  <si>
    <t>Samuel Goldwyn</t>
  </si>
  <si>
    <t xml:space="preserve"> Maneater</t>
  </si>
  <si>
    <t xml:space="preserve"> The Pineapple Express</t>
  </si>
  <si>
    <t xml:space="preserve"> Best Worst Movie</t>
  </si>
  <si>
    <t xml:space="preserve"> The Twilight Saga: Twilight/New Moon Combo</t>
  </si>
  <si>
    <t>ArtMattan</t>
  </si>
  <si>
    <t xml:space="preserve"> The Other Side</t>
  </si>
  <si>
    <t xml:space="preserve"> Chelsea on the Rocks</t>
  </si>
  <si>
    <t xml:space="preserve"> Hit and Run</t>
  </si>
  <si>
    <t xml:space="preserve"> Bionicle: The Legend Reborn</t>
  </si>
  <si>
    <t xml:space="preserve"> Gonzo: The Life and Work of Dr. Hunter S. Thompson</t>
  </si>
  <si>
    <t xml:space="preserve"> La fille de Monaco</t>
  </si>
  <si>
    <t xml:space="preserve"> A Man Who Was Superman</t>
  </si>
  <si>
    <t xml:space="preserve"> Nanny McPhee and the Big Bang</t>
  </si>
  <si>
    <t>*Quantum of Solace*</t>
  </si>
  <si>
    <t xml:space="preserve"> Street Bangaz</t>
  </si>
  <si>
    <t xml:space="preserve"> Australia</t>
  </si>
  <si>
    <t xml:space="preserve"> Blessed is the Match: The Life and Death and Hannah Senesh</t>
  </si>
  <si>
    <t xml:space="preserve"> La Danse</t>
  </si>
  <si>
    <t xml:space="preserve"> Scusa ma ti chiamo amore</t>
  </si>
  <si>
    <t xml:space="preserve"> Boy Next Door</t>
  </si>
  <si>
    <t xml:space="preserve"> Hadewijch</t>
  </si>
  <si>
    <t xml:space="preserve"> Bordertown</t>
  </si>
  <si>
    <t xml:space="preserve"> Auf der anderen Seite</t>
  </si>
  <si>
    <t xml:space="preserve"> The Two Escobars</t>
  </si>
  <si>
    <t xml:space="preserve"> The Damned United</t>
  </si>
  <si>
    <t xml:space="preserve"> Soul Men</t>
  </si>
  <si>
    <t xml:space="preserve"> Martyrs</t>
  </si>
  <si>
    <t xml:space="preserve"> Stonewall Uprising</t>
  </si>
  <si>
    <t xml:space="preserve"> Five Fingers</t>
  </si>
  <si>
    <t xml:space="preserve"> Phish 3D</t>
  </si>
  <si>
    <t xml:space="preserve"> Tsurugidake: Ten no Ki</t>
  </si>
  <si>
    <t xml:space="preserve"> Lourdes</t>
  </si>
  <si>
    <t xml:space="preserve"> Baby Mama</t>
  </si>
  <si>
    <t xml:space="preserve"> Choke</t>
  </si>
  <si>
    <t xml:space="preserve"> Closer to Heaven</t>
  </si>
  <si>
    <t xml:space="preserve"> Strawberry Shortcake: The Berryfest Princess Movie</t>
  </si>
  <si>
    <t xml:space="preserve"> Je vais te manquer</t>
  </si>
  <si>
    <t xml:space="preserve"> Full Battle Rattle</t>
  </si>
  <si>
    <t>Sumbadhat Productions</t>
  </si>
  <si>
    <t xml:space="preserve"> Paraiso Travel</t>
  </si>
  <si>
    <t xml:space="preserve"> Empty Nest</t>
  </si>
  <si>
    <t xml:space="preserve"> Body Armour</t>
  </si>
  <si>
    <t xml:space="preserve"> Rejsen til Saturn</t>
  </si>
  <si>
    <t xml:space="preserve"> Obsessed</t>
  </si>
  <si>
    <t>Hurricane</t>
  </si>
  <si>
    <t xml:space="preserve"> All Hat</t>
  </si>
  <si>
    <t xml:space="preserve"> Born</t>
  </si>
  <si>
    <t>*Clash of the Titans*</t>
  </si>
  <si>
    <t xml:space="preserve"> Planet 51</t>
  </si>
  <si>
    <t xml:space="preserve"> My Dad's Six Wives</t>
  </si>
  <si>
    <t xml:space="preserve"> Lion's Den</t>
  </si>
  <si>
    <t xml:space="preserve"> Semi-Pro</t>
  </si>
  <si>
    <t xml:space="preserve"> Aage Se Right</t>
  </si>
  <si>
    <t xml:space="preserve"> Sea Rex 3D: Journey to a Prehistoric World</t>
  </si>
  <si>
    <t xml:space="preserve"> Gentlemen Broncos</t>
  </si>
  <si>
    <t xml:space="preserve"> Snow Angels</t>
  </si>
  <si>
    <t xml:space="preserve"> Arn - Riket vid vägens slut</t>
  </si>
  <si>
    <t xml:space="preserve"> Body of War</t>
  </si>
  <si>
    <t xml:space="preserve"> The Informers</t>
  </si>
  <si>
    <t xml:space="preserve"> It Might Get Loud</t>
  </si>
  <si>
    <t>Toho</t>
  </si>
  <si>
    <t xml:space="preserve"> Mary</t>
  </si>
  <si>
    <t xml:space="preserve"> Kites</t>
  </si>
  <si>
    <t xml:space="preserve"> Barbie Mariposa</t>
  </si>
  <si>
    <t xml:space="preserve"> Obitaemyy ostrov</t>
  </si>
  <si>
    <t xml:space="preserve"> The Tale of Despereaux</t>
  </si>
  <si>
    <t xml:space="preserve"> You, The Living</t>
  </si>
  <si>
    <t xml:space="preserve"> American Journey, An</t>
  </si>
  <si>
    <t xml:space="preserve"> I Love You, Man</t>
  </si>
  <si>
    <t xml:space="preserve"> More Than a Game</t>
  </si>
  <si>
    <t xml:space="preserve"> Parlez-moi de la pluie</t>
  </si>
  <si>
    <t xml:space="preserve"> The Crimson Wing: Mystery of the Flamingos</t>
  </si>
  <si>
    <t xml:space="preserve"> A Very British Gangster</t>
  </si>
  <si>
    <t>IFC First Take</t>
  </si>
  <si>
    <t xml:space="preserve"> Nowhere Boy</t>
  </si>
  <si>
    <t xml:space="preserve"> Transmorphers: Fall of Man</t>
  </si>
  <si>
    <t xml:space="preserve"> Against the Dark</t>
  </si>
  <si>
    <t xml:space="preserve"> Arthur et la vengeance de Maltazard</t>
  </si>
  <si>
    <t xml:space="preserve"> Chocolate</t>
  </si>
  <si>
    <t xml:space="preserve"> Don't Be Afraid of the Dark</t>
  </si>
  <si>
    <t xml:space="preserve"> Twilight</t>
  </si>
  <si>
    <t xml:space="preserve"> Sci-Fi Movie</t>
  </si>
  <si>
    <t xml:space="preserve"> Hanami</t>
  </si>
  <si>
    <t xml:space="preserve"> Poison Ivy 4: The Secret Society</t>
  </si>
  <si>
    <t xml:space="preserve"> Cloverfield</t>
  </si>
  <si>
    <t xml:space="preserve"> Saw VI</t>
  </si>
  <si>
    <t xml:space="preserve"> Vexville</t>
  </si>
  <si>
    <t xml:space="preserve"> Si j'étais toi</t>
  </si>
  <si>
    <t xml:space="preserve"> The Wackness</t>
  </si>
  <si>
    <t xml:space="preserve"> Horton Hears a Who (TV Special)</t>
  </si>
  <si>
    <t xml:space="preserve"> Haunting of Winchester House</t>
  </si>
  <si>
    <t xml:space="preserve"> In Search of Beethoven</t>
  </si>
  <si>
    <t xml:space="preserve"> The Chronicles of Narnia: Prince Caspian</t>
  </si>
  <si>
    <t xml:space="preserve"> Wendy and Lucy</t>
  </si>
  <si>
    <t>Film Movement</t>
  </si>
  <si>
    <t xml:space="preserve"> Hunt to Kill</t>
  </si>
  <si>
    <t xml:space="preserve"> Date Night</t>
  </si>
  <si>
    <t xml:space="preserve"> Once Upon a Time</t>
  </si>
  <si>
    <t xml:space="preserve"> Road Trip: Beer Pong</t>
  </si>
  <si>
    <t>Worldwide gross</t>
  </si>
  <si>
    <t xml:space="preserve"> How to Be</t>
  </si>
  <si>
    <t xml:space="preserve"> Winnebago Man</t>
  </si>
  <si>
    <t xml:space="preserve"> National Treasure 3</t>
  </si>
  <si>
    <t xml:space="preserve"> Eiga doraemon: Shin. Nobita no uchû kaitakushi</t>
  </si>
  <si>
    <t xml:space="preserve"> The Red Canvas</t>
  </si>
  <si>
    <t xml:space="preserve"> Maria Stuarda at La Scala</t>
  </si>
  <si>
    <t>18 December 2009</t>
  </si>
  <si>
    <t>MGM/Fox</t>
  </si>
  <si>
    <t xml:space="preserve"> No Love in the City</t>
  </si>
  <si>
    <t xml:space="preserve"> Charlie St. Cloud</t>
  </si>
  <si>
    <t xml:space="preserve"> I Love You, Beth Cooper</t>
  </si>
  <si>
    <t xml:space="preserve"> Greenberg</t>
  </si>
  <si>
    <t xml:space="preserve"> Whaledreamers</t>
  </si>
  <si>
    <t xml:space="preserve"> The Curious Case of Benjamin Button</t>
  </si>
  <si>
    <t xml:space="preserve"> The Final Storm</t>
  </si>
  <si>
    <t xml:space="preserve"> Good Dick</t>
  </si>
  <si>
    <t xml:space="preserve"> The No. 1 Ladies' Detective Agency</t>
  </si>
  <si>
    <t xml:space="preserve"> Priest</t>
  </si>
  <si>
    <t>Film Sales Company</t>
  </si>
  <si>
    <t xml:space="preserve"> Seth MacFarlane's Cavalcade of Cartoon Comedy</t>
  </si>
  <si>
    <t xml:space="preserve"> (Untitled)</t>
  </si>
  <si>
    <t xml:space="preserve"> Polar Storm</t>
  </si>
  <si>
    <t xml:space="preserve"> Kal Kissne Dekha</t>
  </si>
  <si>
    <t xml:space="preserve"> Andrew Henry's Meadows</t>
  </si>
  <si>
    <t xml:space="preserve"> Little Fockers</t>
  </si>
  <si>
    <t xml:space="preserve"> National Lampoon's Cattle Call</t>
  </si>
  <si>
    <t xml:space="preserve"> Brick Lane</t>
  </si>
  <si>
    <t xml:space="preserve"> The Untouchables: Capone Rising</t>
  </si>
  <si>
    <t xml:space="preserve"> The Children of Huang Shi</t>
  </si>
  <si>
    <t xml:space="preserve"> Vaaranam Aayiram</t>
  </si>
  <si>
    <t>Arcangelo</t>
  </si>
  <si>
    <t xml:space="preserve"> Secretariat</t>
  </si>
  <si>
    <t xml:space="preserve"> Couples Retreat</t>
  </si>
  <si>
    <t xml:space="preserve"> How to Lose Friends &amp; Alienate People</t>
  </si>
  <si>
    <t xml:space="preserve"> Hacia la Oscuridad</t>
  </si>
  <si>
    <t xml:space="preserve"> Shoah</t>
  </si>
  <si>
    <t xml:space="preserve"> My Year Without Sex</t>
  </si>
  <si>
    <t xml:space="preserve"> The Boy in the Striped Pyjamas</t>
  </si>
  <si>
    <t xml:space="preserve"> Nos 18 ans</t>
  </si>
  <si>
    <t xml:space="preserve"> The Dolphin - Story of a Dreamer</t>
  </si>
  <si>
    <t xml:space="preserve"> Dalai Lama Renaissance</t>
  </si>
  <si>
    <t xml:space="preserve"> The Wedding Song</t>
  </si>
  <si>
    <t xml:space="preserve"> My Son, My Son, What Have Ye Done?</t>
  </si>
  <si>
    <t xml:space="preserve"> Forever Strong</t>
  </si>
  <si>
    <t>Films Seville</t>
  </si>
  <si>
    <t xml:space="preserve"> Lies and Illusions</t>
  </si>
  <si>
    <t xml:space="preserve"> Partners: The Movie</t>
  </si>
  <si>
    <t>22 December 2006</t>
  </si>
  <si>
    <t xml:space="preserve"> Brighton Rock</t>
  </si>
  <si>
    <t xml:space="preserve"> How Do You Know?</t>
  </si>
  <si>
    <t xml:space="preserve"> Man Jeuk</t>
  </si>
  <si>
    <t xml:space="preserve"> Stuck</t>
  </si>
  <si>
    <t xml:space="preserve"> Nail, The</t>
  </si>
  <si>
    <t xml:space="preserve"> Angels &amp; Demons</t>
  </si>
  <si>
    <t xml:space="preserve"> La Graine et le Mulet</t>
  </si>
  <si>
    <t xml:space="preserve"> Mirrors</t>
  </si>
  <si>
    <t>*Alice in Wonderland*</t>
  </si>
  <si>
    <t xml:space="preserve"> Mio Fratello è Figlio Unico</t>
  </si>
  <si>
    <t xml:space="preserve"> Free Style</t>
  </si>
  <si>
    <t>2 July 2008</t>
  </si>
  <si>
    <t>*Mr. &amp; Mrs. Smith*</t>
  </si>
  <si>
    <t xml:space="preserve"> Coco Chanel and Igor Stravinsky</t>
  </si>
  <si>
    <t xml:space="preserve"> I Love You, Phillip Morris</t>
  </si>
  <si>
    <t xml:space="preserve"> Night Train</t>
  </si>
  <si>
    <t xml:space="preserve"> Get Low</t>
  </si>
  <si>
    <t xml:space="preserve"> Bratz Girlz Really Rock</t>
  </si>
  <si>
    <t xml:space="preserve"> Munyurangabo</t>
  </si>
  <si>
    <t>Vitagraph Films</t>
  </si>
  <si>
    <t xml:space="preserve"> Love the Beast</t>
  </si>
  <si>
    <t xml:space="preserve"> Piranha 3D</t>
  </si>
  <si>
    <t xml:space="preserve"> Coyote County Loser</t>
  </si>
  <si>
    <t xml:space="preserve"> Run</t>
  </si>
  <si>
    <t xml:space="preserve"> Missionary Man</t>
  </si>
  <si>
    <t xml:space="preserve"> The Strip</t>
  </si>
  <si>
    <t xml:space="preserve"> Let God be the Judge</t>
  </si>
  <si>
    <t xml:space="preserve"> Le voyage du ballon rouge</t>
  </si>
  <si>
    <t xml:space="preserve"> Dulha Mil Gaya</t>
  </si>
  <si>
    <t>*Ratatouille*</t>
  </si>
  <si>
    <t xml:space="preserve"> Good Intentions</t>
  </si>
  <si>
    <t xml:space="preserve"> House</t>
  </si>
  <si>
    <t xml:space="preserve"> Saw VII 3D</t>
  </si>
  <si>
    <t xml:space="preserve"> Maldeamores</t>
  </si>
  <si>
    <t xml:space="preserve"> Last Night</t>
  </si>
  <si>
    <t>Freestyle/Darko</t>
  </si>
  <si>
    <t xml:space="preserve"> The Children</t>
  </si>
  <si>
    <t xml:space="preserve"> Day Zero</t>
  </si>
  <si>
    <t xml:space="preserve"> Management</t>
  </si>
  <si>
    <t xml:space="preserve"> Cornered</t>
  </si>
  <si>
    <t xml:space="preserve"> Megamind</t>
  </si>
  <si>
    <t xml:space="preserve"> Anaconda 4: Trail of Blood</t>
  </si>
  <si>
    <t>Zipporah</t>
  </si>
  <si>
    <t xml:space="preserve"> Season's Greetings</t>
  </si>
  <si>
    <t xml:space="preserve"> Hats Off</t>
  </si>
  <si>
    <t xml:space="preserve"> Last Brickmaker in America, The</t>
  </si>
  <si>
    <t xml:space="preserve"> And When Did You Last See Your Father?</t>
  </si>
  <si>
    <t xml:space="preserve"> Bolt</t>
  </si>
  <si>
    <t xml:space="preserve"> Rookies</t>
  </si>
  <si>
    <t xml:space="preserve"> World's Greatest Dad</t>
  </si>
  <si>
    <t xml:space="preserve"> Witless Protection</t>
  </si>
  <si>
    <t xml:space="preserve"> The Trotsky</t>
  </si>
  <si>
    <t xml:space="preserve"> Salt</t>
  </si>
  <si>
    <t xml:space="preserve"> [Rec] 2</t>
  </si>
  <si>
    <t xml:space="preserve"> The Errand of Angels</t>
  </si>
  <si>
    <t xml:space="preserve"> Gomorra</t>
  </si>
  <si>
    <t xml:space="preserve"> The Trial of the Chicago 7</t>
  </si>
  <si>
    <t xml:space="preserve"> Jonas Brothers: The 3D Concert Experience</t>
  </si>
  <si>
    <t>Paramount Famous Productions</t>
  </si>
  <si>
    <t xml:space="preserve"> Strange Culture</t>
  </si>
  <si>
    <t xml:space="preserve"> Mere Baap Pahle Aap</t>
  </si>
  <si>
    <t xml:space="preserve"> Barbie Presents Thumbelina</t>
  </si>
  <si>
    <t xml:space="preserve"> Down Terrace</t>
  </si>
  <si>
    <t xml:space="preserve"> Sun taam</t>
  </si>
  <si>
    <t xml:space="preserve"> All's Faire in Love</t>
  </si>
  <si>
    <t>Lifeline Entertainment</t>
  </si>
  <si>
    <t xml:space="preserve"> Phenom</t>
  </si>
  <si>
    <t xml:space="preserve"> Van Wilder: Freshman Year</t>
  </si>
  <si>
    <t xml:space="preserve"> Taxi to the Dark Side</t>
  </si>
  <si>
    <t xml:space="preserve"> Hero Wanted</t>
  </si>
  <si>
    <t xml:space="preserve"> William Kunstler: Disturbing the Universe</t>
  </si>
  <si>
    <t xml:space="preserve"> Baarìa</t>
  </si>
  <si>
    <t xml:space="preserve"> La Mission</t>
  </si>
  <si>
    <t xml:space="preserve"> The Marc Pease Experience</t>
  </si>
  <si>
    <t>First Independent Pictures</t>
  </si>
  <si>
    <t>*Happy Feet*</t>
  </si>
  <si>
    <t xml:space="preserve"> The Missing</t>
  </si>
  <si>
    <t xml:space="preserve"> Under and Alone</t>
  </si>
  <si>
    <t xml:space="preserve"> Waste Land</t>
  </si>
  <si>
    <t xml:space="preserve"> Wuthering Heights</t>
  </si>
  <si>
    <t>*Inception*</t>
  </si>
  <si>
    <t xml:space="preserve"> Mama, I Want to Sing!</t>
  </si>
  <si>
    <t xml:space="preserve"> Avatar</t>
  </si>
  <si>
    <t xml:space="preserve"> Going the Distance</t>
  </si>
  <si>
    <t xml:space="preserve"> Babine</t>
  </si>
  <si>
    <t>*Hitch*</t>
  </si>
  <si>
    <t xml:space="preserve"> The Game</t>
  </si>
  <si>
    <t xml:space="preserve"> Pájaros de Papel</t>
  </si>
  <si>
    <t xml:space="preserve"> The Bride &amp; The Grooms</t>
  </si>
  <si>
    <t xml:space="preserve"> Truck</t>
  </si>
  <si>
    <t xml:space="preserve"> Wolke Neun</t>
  </si>
  <si>
    <t xml:space="preserve"> Anvil! The Story of Anvil</t>
  </si>
  <si>
    <t xml:space="preserve"> 2010 Oscar Shorts</t>
  </si>
  <si>
    <t>Nocturnal Features</t>
  </si>
  <si>
    <t xml:space="preserve"> The Killing Room</t>
  </si>
  <si>
    <t xml:space="preserve"> Break-Up Artist, The</t>
  </si>
  <si>
    <t xml:space="preserve"> Colpo d'occhio</t>
  </si>
  <si>
    <t>Consolidated Pictures Group</t>
  </si>
  <si>
    <t xml:space="preserve"> Gotta Dance</t>
  </si>
  <si>
    <t xml:space="preserve"> The Six Wives of Henry Lefay</t>
  </si>
  <si>
    <t xml:space="preserve"> Il Papa di Giovanna</t>
  </si>
  <si>
    <t xml:space="preserve"> Hereafter</t>
  </si>
  <si>
    <t xml:space="preserve"> It's a Bash!</t>
  </si>
  <si>
    <t xml:space="preserve"> Le Petit Nicolas</t>
  </si>
  <si>
    <t xml:space="preserve"> Les sept jours du talion</t>
  </si>
  <si>
    <t xml:space="preserve"> Handsome Harry</t>
  </si>
  <si>
    <t xml:space="preserve"> Ice Twisters</t>
  </si>
  <si>
    <t xml:space="preserve"> Flickan som lekte med elden</t>
  </si>
  <si>
    <t xml:space="preserve"> Frozen River</t>
  </si>
  <si>
    <t xml:space="preserve"> New Year Parade</t>
  </si>
  <si>
    <t xml:space="preserve"> Beautiful Islands</t>
  </si>
  <si>
    <t xml:space="preserve"> Sex Drive</t>
  </si>
  <si>
    <t xml:space="preserve"> Multiple Sarcasms</t>
  </si>
  <si>
    <t xml:space="preserve"> Open House</t>
  </si>
  <si>
    <t>Reel Diva</t>
  </si>
  <si>
    <t>The Film Sales Company</t>
  </si>
  <si>
    <t>29 June 2005</t>
  </si>
  <si>
    <t xml:space="preserve"> Tekken</t>
  </si>
  <si>
    <t xml:space="preserve"> Circle of Pain</t>
  </si>
  <si>
    <t xml:space="preserve"> Un Prophète</t>
  </si>
  <si>
    <t>Capitol Films</t>
  </si>
  <si>
    <t>Embrem Entertainment</t>
  </si>
  <si>
    <t xml:space="preserve"> Disfigured</t>
  </si>
  <si>
    <t xml:space="preserve"> Mademoiselle Chambon</t>
  </si>
  <si>
    <t xml:space="preserve"> In Search of a Midnight Kiss</t>
  </si>
  <si>
    <t xml:space="preserve"> Examined Life</t>
  </si>
  <si>
    <t xml:space="preserve"> Louis</t>
  </si>
  <si>
    <t>DreamWorks</t>
  </si>
  <si>
    <t xml:space="preserve"> Il y a longtemps que je t'aime</t>
  </si>
  <si>
    <t>2007-05-04</t>
  </si>
  <si>
    <t xml:space="preserve"> L'armée du crime</t>
  </si>
  <si>
    <t xml:space="preserve"> Religulous</t>
  </si>
  <si>
    <t>Gigantic Pictures</t>
  </si>
  <si>
    <t xml:space="preserve"> The Final</t>
  </si>
  <si>
    <t xml:space="preserve"> La fille du RER</t>
  </si>
  <si>
    <t xml:space="preserve"> Mortadelo y Filemón. Misión: Salvar la Tierra</t>
  </si>
  <si>
    <t xml:space="preserve"> Sexy Killer</t>
  </si>
  <si>
    <t xml:space="preserve"> 17 Again</t>
  </si>
  <si>
    <t>Alliance Releasing</t>
  </si>
  <si>
    <t xml:space="preserve"> Outpost</t>
  </si>
  <si>
    <t xml:space="preserve"> Speed Racer</t>
  </si>
  <si>
    <t>Balcony Releasing</t>
  </si>
  <si>
    <t>June 29, 2007</t>
  </si>
  <si>
    <t xml:space="preserve"> One Missed Call</t>
  </si>
  <si>
    <t xml:space="preserve"> Fire Creek</t>
  </si>
  <si>
    <t xml:space="preserve"> Hidden Beauty</t>
  </si>
  <si>
    <t xml:space="preserve"> Gardens of the Night</t>
  </si>
  <si>
    <t xml:space="preserve"> The Stepfather</t>
  </si>
  <si>
    <t xml:space="preserve"> All the Best: Fun Begins</t>
  </si>
  <si>
    <t xml:space="preserve"> Phoebe in Wonderland</t>
  </si>
  <si>
    <t xml:space="preserve"> Enemies Among Us</t>
  </si>
  <si>
    <t>Alliance</t>
  </si>
  <si>
    <t xml:space="preserve"> Were the World Mine</t>
  </si>
  <si>
    <t xml:space="preserve"> A Woman of No Importance</t>
  </si>
  <si>
    <t xml:space="preserve"> L'affaire Farewell</t>
  </si>
  <si>
    <t xml:space="preserve"> Spoken Word</t>
  </si>
  <si>
    <t xml:space="preserve"> Gonggongui jeog 3</t>
  </si>
  <si>
    <t xml:space="preserve"> Angel of Death</t>
  </si>
  <si>
    <t xml:space="preserve"> Easy Virtue</t>
  </si>
  <si>
    <t xml:space="preserve"> Turn the River</t>
  </si>
  <si>
    <t xml:space="preserve"> Bright Star</t>
  </si>
  <si>
    <t xml:space="preserve"> The Traveler</t>
  </si>
  <si>
    <t xml:space="preserve"> Dismal</t>
  </si>
  <si>
    <t xml:space="preserve"> Whatever Works</t>
  </si>
  <si>
    <t xml:space="preserve"> Personal Effects</t>
  </si>
  <si>
    <t xml:space="preserve"> Repo! The Genetic Opera</t>
  </si>
  <si>
    <t>3D Entertainment</t>
  </si>
  <si>
    <t xml:space="preserve"> Break Ke Baad</t>
  </si>
  <si>
    <t xml:space="preserve"> Humble Pie</t>
  </si>
  <si>
    <t xml:space="preserve"> Dreamkiller</t>
  </si>
  <si>
    <t xml:space="preserve"> Rambo</t>
  </si>
  <si>
    <t xml:space="preserve"> Ciao</t>
  </si>
  <si>
    <t xml:space="preserve"> Rosencrantz and Guildenstein are Undead</t>
  </si>
  <si>
    <t xml:space="preserve"> Brüno</t>
  </si>
  <si>
    <t xml:space="preserve"> Secrets of the Furious Five</t>
  </si>
  <si>
    <t xml:space="preserve"> The Living Wake</t>
  </si>
  <si>
    <t xml:space="preserve"> Blindsight</t>
  </si>
  <si>
    <t xml:space="preserve"> The Ghost Writer</t>
  </si>
  <si>
    <t xml:space="preserve"> Off and Running</t>
  </si>
  <si>
    <t>Yash Raj Films</t>
  </si>
  <si>
    <t xml:space="preserve"> Lost for Words</t>
  </si>
  <si>
    <t xml:space="preserve"> Tripping the Rift: The Movie</t>
  </si>
  <si>
    <t xml:space="preserve"> Smother</t>
  </si>
  <si>
    <t xml:space="preserve"> Opa!</t>
  </si>
  <si>
    <t xml:space="preserve"> Thirst</t>
  </si>
  <si>
    <t xml:space="preserve"> Bhutto</t>
  </si>
  <si>
    <t xml:space="preserve"> Ace Ventura Jr.: Pet Detective</t>
  </si>
  <si>
    <t xml:space="preserve"> Push</t>
  </si>
  <si>
    <t xml:space="preserve"> Man Maid</t>
  </si>
  <si>
    <t xml:space="preserve"> Subject: I Love You</t>
  </si>
  <si>
    <t xml:space="preserve"> The Final Destination</t>
  </si>
  <si>
    <t xml:space="preserve"> Kollegiet</t>
  </si>
  <si>
    <t xml:space="preserve"> Babies</t>
  </si>
  <si>
    <t xml:space="preserve"> Knucklehead</t>
  </si>
  <si>
    <t xml:space="preserve"> Eyeborgs</t>
  </si>
  <si>
    <t xml:space="preserve"> George A. Romero's Survival of the Dead</t>
  </si>
  <si>
    <t xml:space="preserve"> You Might As Well Live</t>
  </si>
  <si>
    <t xml:space="preserve"> Silent Shame</t>
  </si>
  <si>
    <t xml:space="preserve"> Lake Tahoe</t>
  </si>
  <si>
    <t xml:space="preserve"> Five Minutes of Heaven</t>
  </si>
  <si>
    <t xml:space="preserve"> Princess Protection Program</t>
  </si>
  <si>
    <t xml:space="preserve"> Vice</t>
  </si>
  <si>
    <t xml:space="preserve"> Under the Mountain</t>
  </si>
  <si>
    <t xml:space="preserve"> Gake no ue no Ponyo</t>
  </si>
  <si>
    <t xml:space="preserve"> How to Make Love to a Woman</t>
  </si>
  <si>
    <t xml:space="preserve"> Hachiko: A Dog's Story</t>
  </si>
  <si>
    <t xml:space="preserve"> Flash of Genius</t>
  </si>
  <si>
    <t xml:space="preserve"> After Last Season</t>
  </si>
  <si>
    <t xml:space="preserve"> Gunfight at La Mesa</t>
  </si>
  <si>
    <t xml:space="preserve"> Blind Date</t>
  </si>
  <si>
    <t xml:space="preserve"> Prince</t>
  </si>
  <si>
    <t xml:space="preserve"> Grande ourse - La cle des possibles</t>
  </si>
  <si>
    <t xml:space="preserve"> Breakfast with Scot</t>
  </si>
  <si>
    <t xml:space="preserve"> Guest of Cindy Sherman</t>
  </si>
  <si>
    <t xml:space="preserve"> Velveteen Rabbit, The</t>
  </si>
  <si>
    <t xml:space="preserve"> Made in Dagenham</t>
  </si>
  <si>
    <t xml:space="preserve"> Rust</t>
  </si>
  <si>
    <t xml:space="preserve"> Dabangg</t>
  </si>
  <si>
    <t xml:space="preserve"> Tenderness</t>
  </si>
  <si>
    <t xml:space="preserve"> Beethoven's Big Break</t>
  </si>
  <si>
    <t xml:space="preserve"> Brideshead Revisited</t>
  </si>
  <si>
    <t xml:space="preserve"> Grown Ups</t>
  </si>
  <si>
    <t xml:space="preserve"> Boxing Gym</t>
  </si>
  <si>
    <t xml:space="preserve"> Angry Monk: Reflections on Tibet, The</t>
  </si>
  <si>
    <t xml:space="preserve"> Jiang shan mei ren</t>
  </si>
  <si>
    <t xml:space="preserve"> Dorian Gray</t>
  </si>
  <si>
    <t xml:space="preserve"> Me and My Monster</t>
  </si>
  <si>
    <t>Senator Films</t>
  </si>
  <si>
    <t xml:space="preserve"> All Hell to Pay</t>
  </si>
  <si>
    <t xml:space="preserve"> Sno Cone Inc.</t>
  </si>
  <si>
    <t xml:space="preserve"> Fashionistas</t>
  </si>
  <si>
    <t xml:space="preserve"> The Air I Breathe</t>
  </si>
  <si>
    <t>Walt Disney Video</t>
  </si>
  <si>
    <t xml:space="preserve"> A Lawyer Walks into a Bar</t>
  </si>
  <si>
    <t xml:space="preserve"> The Rebel</t>
  </si>
  <si>
    <t xml:space="preserve"> L'instinct de mort</t>
  </si>
  <si>
    <t xml:space="preserve"> Kabluey</t>
  </si>
  <si>
    <t xml:space="preserve"> Letters to God</t>
  </si>
  <si>
    <t xml:space="preserve"> Exit Through the Gift Shop</t>
  </si>
  <si>
    <t>March 31st, 2006</t>
  </si>
  <si>
    <t xml:space="preserve"> Shoot First and Pray You Live</t>
  </si>
  <si>
    <t xml:space="preserve"> Ball's Out: The Gary Houseman Story</t>
  </si>
  <si>
    <t xml:space="preserve"> Deal</t>
  </si>
  <si>
    <t xml:space="preserve"> Puen yai jom salad</t>
  </si>
  <si>
    <t>Shemaroo</t>
  </si>
  <si>
    <t xml:space="preserve"> Fame</t>
  </si>
  <si>
    <t xml:space="preserve"> Giniro No Season</t>
  </si>
  <si>
    <t xml:space="preserve"> The Sorcerer's Apprentice</t>
  </si>
  <si>
    <t xml:space="preserve"> Black</t>
  </si>
  <si>
    <t xml:space="preserve"> London Dreams</t>
  </si>
  <si>
    <t xml:space="preserve"> Polar Opposites</t>
  </si>
  <si>
    <t xml:space="preserve"> A Mother's Courage: Talking Back to Autism</t>
  </si>
  <si>
    <t xml:space="preserve"> Peter and Vandy</t>
  </si>
  <si>
    <t xml:space="preserve"> Narrows, The</t>
  </si>
  <si>
    <t xml:space="preserve"> Deception</t>
  </si>
  <si>
    <t xml:space="preserve"> Yes Man</t>
  </si>
  <si>
    <t xml:space="preserve"> Kicking the Dog</t>
  </si>
  <si>
    <t xml:space="preserve"> Eleven Minutes</t>
  </si>
  <si>
    <t xml:space="preserve"> 15 ans et demi</t>
  </si>
  <si>
    <t xml:space="preserve"> Ballerina</t>
  </si>
  <si>
    <t>Worldwide Gross</t>
  </si>
  <si>
    <t xml:space="preserve"> Crayon Shin-chan 16</t>
  </si>
  <si>
    <t xml:space="preserve"> How About You</t>
  </si>
  <si>
    <t xml:space="preserve"> Cloudy with a Chance of Meatballs</t>
  </si>
  <si>
    <t xml:space="preserve"> Big Man Japan</t>
  </si>
  <si>
    <t xml:space="preserve"> You Don't Mess With the Zohan</t>
  </si>
  <si>
    <t xml:space="preserve"> Le baiser du barbu</t>
  </si>
  <si>
    <t xml:space="preserve"> The Deported</t>
  </si>
  <si>
    <t xml:space="preserve"> Stellet licht</t>
  </si>
  <si>
    <t xml:space="preserve"> Fly Me To the Moon</t>
  </si>
  <si>
    <t xml:space="preserve"> Pride and Glory</t>
  </si>
  <si>
    <t xml:space="preserve"> Indestructible</t>
  </si>
  <si>
    <t xml:space="preserve"> Live!</t>
  </si>
  <si>
    <t xml:space="preserve"> Welcome (2009)</t>
  </si>
  <si>
    <t xml:space="preserve"> Among Dead Men</t>
  </si>
  <si>
    <t xml:space="preserve"> Radio City Christmas Spectacular Starring The Rockettes</t>
  </si>
  <si>
    <t xml:space="preserve"> Karthik Calling Karthik</t>
  </si>
  <si>
    <t xml:space="preserve"> God of Vampires</t>
  </si>
  <si>
    <t xml:space="preserve"> Without a Paddle: Nature's Calling</t>
  </si>
  <si>
    <t xml:space="preserve"> Don McKay</t>
  </si>
  <si>
    <t xml:space="preserve"> Haeundae</t>
  </si>
  <si>
    <t xml:space="preserve"> Something Like a Business</t>
  </si>
  <si>
    <t xml:space="preserve"> The Gray Man</t>
  </si>
  <si>
    <t xml:space="preserve"> Poema de Salvacion</t>
  </si>
  <si>
    <t xml:space="preserve"> Boy A</t>
  </si>
  <si>
    <t xml:space="preserve"> Sita Sings the Blues</t>
  </si>
  <si>
    <t xml:space="preserve"> Tetro</t>
  </si>
  <si>
    <t xml:space="preserve"> Love N' Dancing</t>
  </si>
  <si>
    <t xml:space="preserve"> Skate or Die</t>
  </si>
  <si>
    <t xml:space="preserve"> Jonah Hex</t>
  </si>
  <si>
    <t xml:space="preserve"> Red</t>
  </si>
  <si>
    <t xml:space="preserve"> Table for Three</t>
  </si>
  <si>
    <t>Kino</t>
  </si>
  <si>
    <t xml:space="preserve"> Sorority Row</t>
  </si>
  <si>
    <t xml:space="preserve"> Despicable Me</t>
  </si>
  <si>
    <t xml:space="preserve"> The Ramen Girl</t>
  </si>
  <si>
    <t xml:space="preserve"> Knife Edge</t>
  </si>
  <si>
    <t xml:space="preserve"> Open City</t>
  </si>
  <si>
    <t xml:space="preserve"> Who is Harry Nilsson (and Why is Everybody Talkin' About Him)?</t>
  </si>
  <si>
    <t xml:space="preserve"> The Wonder of it All</t>
  </si>
  <si>
    <t xml:space="preserve"> Barbie and the Three Musketeers</t>
  </si>
  <si>
    <t xml:space="preserve"> The Alphabet Killer</t>
  </si>
  <si>
    <t xml:space="preserve"> Rain Fall</t>
  </si>
  <si>
    <t xml:space="preserve"> Youssou N'Dour: Return to Goree</t>
  </si>
  <si>
    <t xml:space="preserve"> Chicago 10</t>
  </si>
  <si>
    <t xml:space="preserve"> War, Inc.</t>
  </si>
  <si>
    <t xml:space="preserve"> Agora</t>
  </si>
  <si>
    <t xml:space="preserve"> Beautiful Kate</t>
  </si>
  <si>
    <t>Disney/Walden</t>
  </si>
  <si>
    <t xml:space="preserve"> The Little Mermaid: Ariel's Beginning</t>
  </si>
  <si>
    <t xml:space="preserve"> El Tinte de la Fama</t>
  </si>
  <si>
    <t xml:space="preserve"> Lynch Mob</t>
  </si>
  <si>
    <t>*2012*</t>
  </si>
  <si>
    <t xml:space="preserve"> Expelled: No Intelligence Allowed</t>
  </si>
  <si>
    <t xml:space="preserve"> Cool Dog</t>
  </si>
  <si>
    <t xml:space="preserve"> Raaz 2: The Mystery Continues</t>
  </si>
  <si>
    <t xml:space="preserve"> The Lawless</t>
  </si>
  <si>
    <t xml:space="preserve"> The Greatest</t>
  </si>
  <si>
    <t xml:space="preserve"> Kabei</t>
  </si>
  <si>
    <t xml:space="preserve"> Make It Happen</t>
  </si>
  <si>
    <t xml:space="preserve"> Perrier's Bounty</t>
  </si>
  <si>
    <t xml:space="preserve"> Black Swan</t>
  </si>
  <si>
    <t xml:space="preserve"> Definitely, Maybe</t>
  </si>
  <si>
    <t xml:space="preserve"> Miss Conception</t>
  </si>
  <si>
    <t xml:space="preserve"> Drei</t>
  </si>
  <si>
    <t xml:space="preserve"> Milh Hadha al-Bahr</t>
  </si>
  <si>
    <t xml:space="preserve"> A Nightmare on Elm Street</t>
  </si>
  <si>
    <t xml:space="preserve"> Bad Lieutenant: Port of Call New Orleans</t>
  </si>
  <si>
    <t xml:space="preserve"> Yattàman</t>
  </si>
  <si>
    <t>Lightstorm/20th Century Fox</t>
  </si>
  <si>
    <t xml:space="preserve"> The Trouble With Romance</t>
  </si>
  <si>
    <t xml:space="preserve"> D.C. Sniper</t>
  </si>
  <si>
    <t xml:space="preserve"> The Princess and the Frog</t>
  </si>
  <si>
    <t xml:space="preserve"> National Lampoon's Bagboy</t>
  </si>
  <si>
    <t xml:space="preserve"> Arthur and the War of Two Worlds</t>
  </si>
  <si>
    <t xml:space="preserve"> Downloading Nancy</t>
  </si>
  <si>
    <t xml:space="preserve"> La Matassa</t>
  </si>
  <si>
    <t xml:space="preserve"> The Last Word</t>
  </si>
  <si>
    <t xml:space="preserve"> Skjult</t>
  </si>
  <si>
    <t xml:space="preserve"> Le père de mes enfants</t>
  </si>
  <si>
    <t xml:space="preserve"> Heroes</t>
  </si>
  <si>
    <t xml:space="preserve"> All Roads Lead Home</t>
  </si>
  <si>
    <t xml:space="preserve"> The Job</t>
  </si>
  <si>
    <t xml:space="preserve"> Yesterday Was a Lie</t>
  </si>
  <si>
    <t>Radical Media</t>
  </si>
  <si>
    <t>Empire Film Group</t>
  </si>
  <si>
    <t>*The Chronicles of Narnia:
The Lion, the Witch and the Wardrobe*</t>
  </si>
  <si>
    <t>Rocky Mountain Picture</t>
  </si>
  <si>
    <t xml:space="preserve"> Ezra</t>
  </si>
  <si>
    <t xml:space="preserve"> Blå Mænd</t>
  </si>
  <si>
    <t xml:space="preserve"> America the Beautiful</t>
  </si>
  <si>
    <t xml:space="preserve"> The Brothers Bloom</t>
  </si>
  <si>
    <t xml:space="preserve"> Fallen Idol: The Yuri Gagarin Conspiracy</t>
  </si>
  <si>
    <t xml:space="preserve"> Pretendiendo</t>
  </si>
  <si>
    <t>*Batman Begins*</t>
  </si>
  <si>
    <t xml:space="preserve"> Taken</t>
  </si>
  <si>
    <t xml:space="preserve"> Kaerlighed Pa Film</t>
  </si>
  <si>
    <t xml:space="preserve"> Extreme Movie</t>
  </si>
  <si>
    <t xml:space="preserve"> Youssou N'Dour: I Bring What I Love</t>
  </si>
  <si>
    <t xml:space="preserve"> Big Money Rustlas</t>
  </si>
  <si>
    <t xml:space="preserve"> Nature's Grave</t>
  </si>
  <si>
    <t>Resonance Pictures</t>
  </si>
  <si>
    <t xml:space="preserve"> Once Upon a Time in Korea</t>
  </si>
  <si>
    <t xml:space="preserve"> Tropa de Elite</t>
  </si>
  <si>
    <t xml:space="preserve"> The Last House on the Left</t>
  </si>
  <si>
    <t xml:space="preserve"> According to Greta</t>
  </si>
  <si>
    <t xml:space="preserve"> War Eagle, Arkansas</t>
  </si>
  <si>
    <t xml:space="preserve"> Casi Divas</t>
  </si>
  <si>
    <t xml:space="preserve"> Un Nonio Para Mi Mujer</t>
  </si>
  <si>
    <t xml:space="preserve"> Infected</t>
  </si>
  <si>
    <t xml:space="preserve"> Janky Promoters</t>
  </si>
  <si>
    <t xml:space="preserve"> Jackie Chan Kung Fu Master</t>
  </si>
  <si>
    <t xml:space="preserve"> Daybreakers</t>
  </si>
  <si>
    <t xml:space="preserve"> Sex and Death 101</t>
  </si>
  <si>
    <t xml:space="preserve"> (500) Days of Summer</t>
  </si>
  <si>
    <t xml:space="preserve"> Chîmu bachisuta no eikô</t>
  </si>
  <si>
    <t xml:space="preserve"> True Grit</t>
  </si>
  <si>
    <t xml:space="preserve"> The No Sit List</t>
  </si>
  <si>
    <t xml:space="preserve"> The Black Waters of Echo's Pond</t>
  </si>
  <si>
    <t xml:space="preserve"> My Name is Bruce</t>
  </si>
  <si>
    <t xml:space="preserve"> Alice in Wonderland</t>
  </si>
  <si>
    <t xml:space="preserve"> Ron White: Behavioral Problems</t>
  </si>
  <si>
    <t>*Ice Age: Dawn of the Dinosaurs*</t>
  </si>
  <si>
    <t xml:space="preserve"> Reprise</t>
  </si>
  <si>
    <t xml:space="preserve"> Right Hand Drive</t>
  </si>
  <si>
    <t xml:space="preserve"> De père en flic</t>
  </si>
  <si>
    <t xml:space="preserve"> Sunshine Cleaning</t>
  </si>
  <si>
    <t>United States and Canada</t>
  </si>
  <si>
    <t xml:space="preserve"> Dead Snow</t>
  </si>
  <si>
    <t>Warner Home Video</t>
  </si>
  <si>
    <t>Budget</t>
  </si>
  <si>
    <t xml:space="preserve"> The Canyon</t>
  </si>
  <si>
    <t xml:space="preserve"> 44 Inch Chest</t>
  </si>
  <si>
    <t xml:space="preserve"> It's a Free World...</t>
  </si>
  <si>
    <t xml:space="preserve"> Speed-Dating</t>
  </si>
  <si>
    <t xml:space="preserve"> Crazy Heart</t>
  </si>
  <si>
    <t xml:space="preserve"> White Material</t>
  </si>
  <si>
    <t xml:space="preserve"> Born of Earth</t>
  </si>
  <si>
    <t xml:space="preserve"> The Way We Get By</t>
  </si>
  <si>
    <t xml:space="preserve"> Icarus</t>
  </si>
  <si>
    <t xml:space="preserve"> La Niña en la Piedra</t>
  </si>
  <si>
    <t xml:space="preserve"> Le premier jour du reste de ta vie</t>
  </si>
  <si>
    <t xml:space="preserve"> Afghan Star</t>
  </si>
  <si>
    <t xml:space="preserve"> Skid Marks</t>
  </si>
  <si>
    <t>*Charlie and the Chocolate Factory*</t>
  </si>
  <si>
    <t>3 July 2007</t>
  </si>
  <si>
    <t xml:space="preserve"> Hagetaka</t>
  </si>
  <si>
    <t xml:space="preserve"> Serbis</t>
  </si>
  <si>
    <t>Artistic License</t>
  </si>
  <si>
    <t xml:space="preserve"> Shake Hands with the Devil</t>
  </si>
  <si>
    <t>Disney/Pixar</t>
  </si>
  <si>
    <t xml:space="preserve"> Autopsy</t>
  </si>
  <si>
    <t xml:space="preserve"> Operation: Endgame</t>
  </si>
  <si>
    <t xml:space="preserve"> WALL-E</t>
  </si>
  <si>
    <t xml:space="preserve"> Caller, The</t>
  </si>
  <si>
    <t xml:space="preserve"> Castle in the Sky</t>
  </si>
  <si>
    <t xml:space="preserve"> Country Strong</t>
  </si>
  <si>
    <t>IndiePix</t>
  </si>
  <si>
    <t xml:space="preserve"> The Night Stalker</t>
  </si>
  <si>
    <t xml:space="preserve"> Il regista di matrimoni</t>
  </si>
  <si>
    <t xml:space="preserve"> Ghajini</t>
  </si>
  <si>
    <t>Shadow</t>
  </si>
  <si>
    <t>Music Box Films</t>
  </si>
  <si>
    <t xml:space="preserve"> Wrath, The</t>
  </si>
  <si>
    <t xml:space="preserve"> Otto; Or, Up with Dead People</t>
  </si>
  <si>
    <t xml:space="preserve"> Open Graves</t>
  </si>
  <si>
    <t xml:space="preserve"> Sugar Boxx</t>
  </si>
  <si>
    <t xml:space="preserve"> Picture Me: A Model's Diary</t>
  </si>
  <si>
    <t xml:space="preserve"> Marwencol</t>
  </si>
  <si>
    <t xml:space="preserve"> Bloodline</t>
  </si>
  <si>
    <t xml:space="preserve"> Pray the Devil Back to Hell</t>
  </si>
  <si>
    <t xml:space="preserve"> Max Payne</t>
  </si>
  <si>
    <t>Adlab Films</t>
  </si>
  <si>
    <t xml:space="preserve"> Sleepwalking</t>
  </si>
  <si>
    <t xml:space="preserve"> Hanni und Nanni</t>
  </si>
  <si>
    <t xml:space="preserve"> Gegege no Kitaro: Sennen Noroi Uta</t>
  </si>
  <si>
    <t xml:space="preserve"> Malos Habitos</t>
  </si>
  <si>
    <t xml:space="preserve"> Genius Within: The Inner Life of Glenn Gould</t>
  </si>
  <si>
    <t xml:space="preserve"> Serious Moonlight</t>
  </si>
  <si>
    <t xml:space="preserve"> Chasseurs de dragons</t>
  </si>
  <si>
    <t xml:space="preserve"> The Matador</t>
  </si>
  <si>
    <t xml:space="preserve"> Waiting for Superman</t>
  </si>
  <si>
    <t xml:space="preserve"> Fugitive Pieces</t>
  </si>
  <si>
    <t xml:space="preserve"> Tracks in Time</t>
  </si>
  <si>
    <t xml:space="preserve"> Ender's Game</t>
  </si>
  <si>
    <t xml:space="preserve"> Go Go 70's</t>
  </si>
  <si>
    <t xml:space="preserve"> Prince of Persia: Sands of Time</t>
  </si>
  <si>
    <t xml:space="preserve"> Meitantei Conan: Senritsu no furu sukoa</t>
  </si>
  <si>
    <t xml:space="preserve"> Holy Rollers</t>
  </si>
  <si>
    <t xml:space="preserve"> The Horseman</t>
  </si>
  <si>
    <t xml:space="preserve"> Amusement</t>
  </si>
  <si>
    <t xml:space="preserve"> Valhalla Rising</t>
  </si>
  <si>
    <t xml:space="preserve"> Bathory</t>
  </si>
  <si>
    <t xml:space="preserve"> In a Dream</t>
  </si>
  <si>
    <t xml:space="preserve"> Los 2 lados de la cama</t>
  </si>
  <si>
    <t xml:space="preserve"> Wonder Woman 2009</t>
  </si>
  <si>
    <t xml:space="preserve"> Letters to Juliet</t>
  </si>
  <si>
    <t xml:space="preserve"> On the Rumba River</t>
  </si>
  <si>
    <t xml:space="preserve"> Cherry</t>
  </si>
  <si>
    <t xml:space="preserve"> Whiteout</t>
  </si>
  <si>
    <t xml:space="preserve"> The Adventures of Clutch Powers</t>
  </si>
  <si>
    <t xml:space="preserve"> Happy Valley</t>
  </si>
  <si>
    <t>Peace Arch</t>
  </si>
  <si>
    <t xml:space="preserve"> The True Confessions of Charlotte Doyle</t>
  </si>
  <si>
    <t xml:space="preserve"> Pulse 3</t>
  </si>
  <si>
    <t xml:space="preserve"> Blood and Bone</t>
  </si>
  <si>
    <t xml:space="preserve"> Starstruck</t>
  </si>
  <si>
    <t xml:space="preserve"> The Princess of Nebraska</t>
  </si>
  <si>
    <t xml:space="preserve"> The Exploding Girl</t>
  </si>
  <si>
    <t xml:space="preserve"> Peur(s) du noir</t>
  </si>
  <si>
    <t>7 May 2010</t>
  </si>
  <si>
    <t xml:space="preserve"> Fuera De Carta</t>
  </si>
  <si>
    <t>Seventh Art</t>
  </si>
  <si>
    <t xml:space="preserve"> Housefull</t>
  </si>
  <si>
    <t xml:space="preserve"> Selfless</t>
  </si>
  <si>
    <t xml:space="preserve"> Made in U.S.A.</t>
  </si>
  <si>
    <t xml:space="preserve"> Let Me In</t>
  </si>
  <si>
    <t xml:space="preserve"> Prodigy</t>
  </si>
  <si>
    <t xml:space="preserve"> Skyline</t>
  </si>
  <si>
    <t xml:space="preserve"> Detroit Metal City</t>
  </si>
  <si>
    <t xml:space="preserve"> Not Forgotten</t>
  </si>
  <si>
    <t>July 16, 2010</t>
  </si>
  <si>
    <t xml:space="preserve"> Double Take</t>
  </si>
  <si>
    <t xml:space="preserve"> Burma VJ</t>
  </si>
  <si>
    <t xml:space="preserve"> 13Teen</t>
  </si>
  <si>
    <t xml:space="preserve"> Sutures</t>
  </si>
  <si>
    <t xml:space="preserve"> Assassination of a High School President</t>
  </si>
  <si>
    <t xml:space="preserve"> Smokin Aces 2: Assassins Ball</t>
  </si>
  <si>
    <t xml:space="preserve"> The Joneses</t>
  </si>
  <si>
    <t>United Kingdom gross</t>
  </si>
  <si>
    <t xml:space="preserve"> Inception</t>
  </si>
  <si>
    <t xml:space="preserve"> The Hardy Men</t>
  </si>
  <si>
    <t xml:space="preserve"> Mystery Team</t>
  </si>
  <si>
    <t xml:space="preserve"> Treeless Mountain</t>
  </si>
  <si>
    <t xml:space="preserve"> The Switch</t>
  </si>
  <si>
    <t xml:space="preserve"> Devil Girl</t>
  </si>
  <si>
    <t xml:space="preserve"> Street Fighter: The Legend of Chun-Li</t>
  </si>
  <si>
    <t xml:space="preserve"> Shrek Forever After</t>
  </si>
  <si>
    <t xml:space="preserve"> Picture This!</t>
  </si>
  <si>
    <t xml:space="preserve"> Jodhaa Akbar</t>
  </si>
  <si>
    <t>Rocky Mountain</t>
  </si>
  <si>
    <t xml:space="preserve"> Freakonomics</t>
  </si>
  <si>
    <t xml:space="preserve"> Mister Lonely</t>
  </si>
  <si>
    <t>June 30, 2010</t>
  </si>
  <si>
    <t xml:space="preserve"> Beaufort</t>
  </si>
  <si>
    <t xml:space="preserve"> La fille coupée en deux</t>
  </si>
  <si>
    <t xml:space="preserve"> Resolved</t>
  </si>
  <si>
    <t xml:space="preserve"> Punisher: War Zone</t>
  </si>
  <si>
    <t>Film Desk</t>
  </si>
  <si>
    <t xml:space="preserve"> Pretty Ugly People</t>
  </si>
  <si>
    <t xml:space="preserve"> A Thousand Years of Good Prayers</t>
  </si>
  <si>
    <t xml:space="preserve"> Mega Shark vs. Crocosaurus</t>
  </si>
  <si>
    <t xml:space="preserve"> My Blueberry Nights</t>
  </si>
  <si>
    <t xml:space="preserve"> The Code</t>
  </si>
  <si>
    <t>United Kingdom</t>
  </si>
  <si>
    <t xml:space="preserve"> The Weathered Underground</t>
  </si>
  <si>
    <t xml:space="preserve"> Surveillance</t>
  </si>
  <si>
    <t xml:space="preserve"> Easy A</t>
  </si>
  <si>
    <t xml:space="preserve"> Dragon Hunters</t>
  </si>
  <si>
    <t xml:space="preserve"> Gunnin' for that #1 Spot</t>
  </si>
  <si>
    <t xml:space="preserve"> Go Fast</t>
  </si>
  <si>
    <t xml:space="preserve"> Prime Mover</t>
  </si>
  <si>
    <t xml:space="preserve"> Dakota Skye</t>
  </si>
  <si>
    <t xml:space="preserve"> Rolling</t>
  </si>
  <si>
    <t>Screen Media Films</t>
  </si>
  <si>
    <t xml:space="preserve"> Queen of the Lot</t>
  </si>
  <si>
    <t xml:space="preserve"> Fish Tank</t>
  </si>
  <si>
    <t xml:space="preserve"> Los abrazos rotos</t>
  </si>
  <si>
    <t>Lightning Media</t>
  </si>
  <si>
    <t xml:space="preserve"> Tournament, The</t>
  </si>
  <si>
    <t xml:space="preserve"> Absurdistan</t>
  </si>
  <si>
    <t xml:space="preserve"> Katt Williams: It's Pimpin' Pimpin'</t>
  </si>
  <si>
    <t xml:space="preserve"> Minor Details</t>
  </si>
  <si>
    <t xml:space="preserve"> Never Forever</t>
  </si>
  <si>
    <t xml:space="preserve"> Where is Winky's Horse?</t>
  </si>
  <si>
    <t xml:space="preserve"> Big Gay Musical</t>
  </si>
  <si>
    <t xml:space="preserve"> Dev D</t>
  </si>
  <si>
    <t xml:space="preserve"> Home of the Giants</t>
  </si>
  <si>
    <t xml:space="preserve"> The Soloist</t>
  </si>
  <si>
    <t xml:space="preserve"> The Boondock Saints 2: All Saints Day</t>
  </si>
  <si>
    <t xml:space="preserve"> Way of War</t>
  </si>
  <si>
    <t>Red Envelope</t>
  </si>
  <si>
    <t xml:space="preserve"> Shrink</t>
  </si>
  <si>
    <t xml:space="preserve"> Männersache</t>
  </si>
  <si>
    <t xml:space="preserve"> Vengeance</t>
  </si>
  <si>
    <t xml:space="preserve"> Parlami d'amore</t>
  </si>
  <si>
    <t>Future Films</t>
  </si>
  <si>
    <t xml:space="preserve"> Young @ Heart</t>
  </si>
  <si>
    <t>Liberation Ent.</t>
  </si>
  <si>
    <t>2005-06-15</t>
  </si>
  <si>
    <t xml:space="preserve"> The Last Resort</t>
  </si>
  <si>
    <t xml:space="preserve"> Hurt</t>
  </si>
  <si>
    <t xml:space="preserve"> Not Easily Broken</t>
  </si>
  <si>
    <t xml:space="preserve"> Gogol Bordello Non-Stop</t>
  </si>
  <si>
    <t xml:space="preserve"> Paris</t>
  </si>
  <si>
    <t xml:space="preserve"> The Tillman Story</t>
  </si>
  <si>
    <t xml:space="preserve"> Somewhere</t>
  </si>
  <si>
    <t xml:space="preserve"> After.Life</t>
  </si>
  <si>
    <t xml:space="preserve"> Rainbow Six</t>
  </si>
  <si>
    <t xml:space="preserve"> War Wolves</t>
  </si>
  <si>
    <t xml:space="preserve"> Time Share</t>
  </si>
  <si>
    <t xml:space="preserve"> Henry May Long</t>
  </si>
  <si>
    <t xml:space="preserve"> Cielito Lindo</t>
  </si>
  <si>
    <t xml:space="preserve"> Simon Says</t>
  </si>
  <si>
    <t xml:space="preserve"> Blue Valentine</t>
  </si>
  <si>
    <t xml:space="preserve"> The Red Baron</t>
  </si>
  <si>
    <t xml:space="preserve"> Fireball</t>
  </si>
  <si>
    <t xml:space="preserve"> Before the Rains</t>
  </si>
  <si>
    <t xml:space="preserve"> Spinning into Butter</t>
  </si>
  <si>
    <t xml:space="preserve"> Dead Awake</t>
  </si>
  <si>
    <t xml:space="preserve"> Samyi Luchshiy Film</t>
  </si>
  <si>
    <t xml:space="preserve"> Children of the Corn</t>
  </si>
  <si>
    <t xml:space="preserve"> Micmacs</t>
  </si>
  <si>
    <t>Arts Alliance America</t>
  </si>
  <si>
    <t xml:space="preserve"> Blue Gap Boy'z</t>
  </si>
  <si>
    <t xml:space="preserve"> Gospel According to Janis</t>
  </si>
  <si>
    <t>Cascade Films</t>
  </si>
  <si>
    <t xml:space="preserve"> Sof Shavua B'Tel Aviv</t>
  </si>
  <si>
    <t xml:space="preserve"> Will</t>
  </si>
  <si>
    <t xml:space="preserve"> Alexandra</t>
  </si>
  <si>
    <t xml:space="preserve"> Les amours imaginaires</t>
  </si>
  <si>
    <t xml:space="preserve"> Dark Matter</t>
  </si>
  <si>
    <t xml:space="preserve"> The Lovely Bones</t>
  </si>
  <si>
    <t>Regent Releasing</t>
  </si>
  <si>
    <t>InterPositive Media</t>
  </si>
  <si>
    <t xml:space="preserve"> SEAL Team</t>
  </si>
  <si>
    <t>Film Forum</t>
  </si>
  <si>
    <t xml:space="preserve"> Bandslam</t>
  </si>
  <si>
    <t xml:space="preserve"> Darkon</t>
  </si>
  <si>
    <t xml:space="preserve"> Taras Bulba</t>
  </si>
  <si>
    <t xml:space="preserve"> Trying to Get Good: The Jazz Odyssey of Jack Sheldon</t>
  </si>
  <si>
    <t xml:space="preserve"> Columbus Day</t>
  </si>
  <si>
    <t xml:space="preserve"> The Tourist</t>
  </si>
  <si>
    <t xml:space="preserve"> Art of War II: Betrayal, The</t>
  </si>
  <si>
    <t xml:space="preserve"> Catfish</t>
  </si>
  <si>
    <t xml:space="preserve"> Four Seasons Lodge</t>
  </si>
  <si>
    <t xml:space="preserve"> The Red Riding Trilogy: 1980</t>
  </si>
  <si>
    <t xml:space="preserve"> Callback</t>
  </si>
  <si>
    <t xml:space="preserve"> Merry Gentleman, The</t>
  </si>
  <si>
    <t xml:space="preserve"> The Calling</t>
  </si>
  <si>
    <t xml:space="preserve"> Behind Enemy Lines: Colombia</t>
  </si>
  <si>
    <t xml:space="preserve"> The Red Riding Trilogy: 1983</t>
  </si>
  <si>
    <t xml:space="preserve"> Hell's Tomb</t>
  </si>
  <si>
    <t xml:space="preserve"> Cliente</t>
  </si>
  <si>
    <t xml:space="preserve"> Eyes Wide Open</t>
  </si>
  <si>
    <t xml:space="preserve"> Suna-dokei</t>
  </si>
  <si>
    <t xml:space="preserve"> Daytime Drinking</t>
  </si>
  <si>
    <t xml:space="preserve"> Patrik, Age 1.5</t>
  </si>
  <si>
    <t xml:space="preserve"> Once Upon a Time in Mumbai</t>
  </si>
  <si>
    <t xml:space="preserve"> My Friends Tigger &amp; Pooh - Friendly Tails</t>
  </si>
  <si>
    <t xml:space="preserve"> 27 Dresses</t>
  </si>
  <si>
    <t>Full Circle Releasing</t>
  </si>
  <si>
    <t xml:space="preserve"> Raavan</t>
  </si>
  <si>
    <t xml:space="preserve"> Dante's Inferno</t>
  </si>
  <si>
    <t xml:space="preserve"> Mao's Last Dancer</t>
  </si>
  <si>
    <t xml:space="preserve"> L'Epine dans le Coeur</t>
  </si>
  <si>
    <t xml:space="preserve"> The Goods: Live Hard, Sell Hard</t>
  </si>
  <si>
    <t xml:space="preserve"> Tricks of a Woman</t>
  </si>
  <si>
    <t xml:space="preserve"> Drop</t>
  </si>
  <si>
    <t xml:space="preserve"> Eden Lake</t>
  </si>
  <si>
    <t xml:space="preserve"> The Lena Baker Story</t>
  </si>
  <si>
    <t xml:space="preserve"> Aisha</t>
  </si>
  <si>
    <t xml:space="preserve"> Sleeping and Waking</t>
  </si>
  <si>
    <t xml:space="preserve"> Harlan: In the Shadow of Jew Suss</t>
  </si>
  <si>
    <t xml:space="preserve"> U2 3D</t>
  </si>
  <si>
    <t xml:space="preserve"> Waiting for Armageddon</t>
  </si>
  <si>
    <t>Elephant Eye Films</t>
  </si>
  <si>
    <t>17 November 2006</t>
  </si>
  <si>
    <t xml:space="preserve"> Emma Smith: My Story</t>
  </si>
  <si>
    <t xml:space="preserve"> Justice League - The New Frontier</t>
  </si>
  <si>
    <t xml:space="preserve"> Only When I Dance</t>
  </si>
  <si>
    <t xml:space="preserve"> You're So Cupid</t>
  </si>
  <si>
    <t>*Superman Returns*</t>
  </si>
  <si>
    <t xml:space="preserve"> Viva</t>
  </si>
  <si>
    <t xml:space="preserve"> Would Be Kings</t>
  </si>
  <si>
    <t xml:space="preserve"> The Kids Are All Right</t>
  </si>
  <si>
    <t xml:space="preserve"> Transformers: Revenge of the Fallen</t>
  </si>
  <si>
    <t xml:space="preserve"> My Sexiest Year</t>
  </si>
  <si>
    <t xml:space="preserve"> Safari</t>
  </si>
  <si>
    <t xml:space="preserve"> My Sassy Girl</t>
  </si>
  <si>
    <t xml:space="preserve"> Star Wars: The Clone Wars</t>
  </si>
  <si>
    <t xml:space="preserve"> The Pink Panther 2</t>
  </si>
  <si>
    <t xml:space="preserve"> Kings of Pastry</t>
  </si>
  <si>
    <t xml:space="preserve"> In the Loop</t>
  </si>
  <si>
    <t xml:space="preserve"> U Me Aur Hum</t>
  </si>
  <si>
    <t xml:space="preserve"> The Beautiful Truth</t>
  </si>
  <si>
    <t xml:space="preserve"> Deadgirl</t>
  </si>
  <si>
    <t xml:space="preserve"> Princess Kaiulani</t>
  </si>
  <si>
    <t xml:space="preserve"> Red Roses and Petrol</t>
  </si>
  <si>
    <t xml:space="preserve"> The Other City</t>
  </si>
  <si>
    <t>Direct Cinema</t>
  </si>
  <si>
    <t xml:space="preserve"> Loins of Punjab Presents</t>
  </si>
  <si>
    <t xml:space="preserve"> Rough Cut</t>
  </si>
  <si>
    <t xml:space="preserve"> Hydra</t>
  </si>
  <si>
    <t xml:space="preserve"> Slap Shot 3: The Junior League</t>
  </si>
  <si>
    <t>International Film Circuit</t>
  </si>
  <si>
    <t xml:space="preserve"> Marfa si banii</t>
  </si>
  <si>
    <t xml:space="preserve"> Girl Scout</t>
  </si>
  <si>
    <t xml:space="preserve"> The Open Road</t>
  </si>
  <si>
    <t xml:space="preserve"> Sam's Lake</t>
  </si>
  <si>
    <t xml:space="preserve"> The Rise and Fall of Miss Thang</t>
  </si>
  <si>
    <t xml:space="preserve"> Ddeugeoun-geosi joh-a</t>
  </si>
  <si>
    <t xml:space="preserve"> The Secrets of Jonathan Sperry</t>
  </si>
  <si>
    <t xml:space="preserve"> Manuela and Manuel</t>
  </si>
  <si>
    <t xml:space="preserve"> Star Trek</t>
  </si>
  <si>
    <t xml:space="preserve"> More Than Blue</t>
  </si>
  <si>
    <t>July 1, 2009</t>
  </si>
  <si>
    <t xml:space="preserve"> Sandstorm</t>
  </si>
  <si>
    <t xml:space="preserve"> Cheech &amp; Chong's Hey Watch This</t>
  </si>
  <si>
    <t xml:space="preserve"> To Save a Life</t>
  </si>
  <si>
    <t xml:space="preserve"> Emma</t>
  </si>
  <si>
    <t xml:space="preserve"> On Broadway</t>
  </si>
  <si>
    <t xml:space="preserve"> Greetings from the Shore</t>
  </si>
  <si>
    <t xml:space="preserve"> Seraphine</t>
  </si>
  <si>
    <t xml:space="preserve"> Rejoice and Shout</t>
  </si>
  <si>
    <t xml:space="preserve"> Recep Ivedik</t>
  </si>
  <si>
    <t xml:space="preserve"> Space Chimps 2: Zartog Strikes Back</t>
  </si>
  <si>
    <t xml:space="preserve"> You Will Meet a Tall Dark Stranger</t>
  </si>
  <si>
    <t xml:space="preserve"> Tinker Bell and the Lost Treasure</t>
  </si>
  <si>
    <t xml:space="preserve"> Les femmes de l'ombre</t>
  </si>
  <si>
    <t>TVA</t>
  </si>
  <si>
    <t xml:space="preserve"> The Proposal</t>
  </si>
  <si>
    <t xml:space="preserve"> Tinker Bell</t>
  </si>
  <si>
    <t xml:space="preserve"> The Longshots</t>
  </si>
  <si>
    <t xml:space="preserve"> The Sickhouse</t>
  </si>
  <si>
    <t>Fox Home Entertainment</t>
  </si>
  <si>
    <t xml:space="preserve"> The H-Man Cometh</t>
  </si>
  <si>
    <t xml:space="preserve"> Choose Connor</t>
  </si>
  <si>
    <t xml:space="preserve"> The Twilight Saga: Eclipse</t>
  </si>
  <si>
    <t xml:space="preserve"> Crypt, The</t>
  </si>
  <si>
    <t>Disney</t>
  </si>
  <si>
    <t>Slowhand</t>
  </si>
  <si>
    <t>Sony</t>
  </si>
  <si>
    <t>Yash Raj</t>
  </si>
  <si>
    <t xml:space="preserve"> The Collector</t>
  </si>
  <si>
    <t xml:space="preserve"> Return of the Outlaws</t>
  </si>
  <si>
    <t>Shorts International</t>
  </si>
  <si>
    <t xml:space="preserve"> Into Temptation</t>
  </si>
  <si>
    <t xml:space="preserve"> The Trouble with Terkel</t>
  </si>
  <si>
    <t xml:space="preserve"> Samiy Luchshiy Film</t>
  </si>
  <si>
    <t>Paramount Pictures</t>
  </si>
  <si>
    <t xml:space="preserve"> Kiss Me Deadly</t>
  </si>
  <si>
    <t xml:space="preserve"> Inhale</t>
  </si>
  <si>
    <t xml:space="preserve"> Mickey Mouse Clubhouse: Minnie's Bow-Tique</t>
  </si>
  <si>
    <t xml:space="preserve"> Ant-Man</t>
  </si>
  <si>
    <t xml:space="preserve"> The Rebound</t>
  </si>
  <si>
    <t xml:space="preserve"> Outlander</t>
  </si>
  <si>
    <t xml:space="preserve"> Buried</t>
  </si>
  <si>
    <t xml:space="preserve"> Pandemic</t>
  </si>
  <si>
    <t xml:space="preserve"> A Casa de Alice</t>
  </si>
  <si>
    <t xml:space="preserve"> Direct Contact</t>
  </si>
  <si>
    <t xml:space="preserve"> He's Just Not That Into You</t>
  </si>
  <si>
    <t>Roadside Attractions</t>
  </si>
  <si>
    <t xml:space="preserve"> Purgatorio</t>
  </si>
  <si>
    <t xml:space="preserve"> Nine</t>
  </si>
  <si>
    <t xml:space="preserve"> Double Identity</t>
  </si>
  <si>
    <t xml:space="preserve"> Dance Julianne: Cardio Ballroom</t>
  </si>
  <si>
    <t xml:space="preserve"> The Human Experience</t>
  </si>
  <si>
    <t xml:space="preserve"> The Slammin' Salmon</t>
  </si>
  <si>
    <t xml:space="preserve"> Flammen og Citronen</t>
  </si>
  <si>
    <t xml:space="preserve"> The Escapist</t>
  </si>
  <si>
    <t xml:space="preserve"> Green Zone</t>
  </si>
  <si>
    <t xml:space="preserve"> The Uninvited</t>
  </si>
  <si>
    <t>2010-07-09</t>
  </si>
  <si>
    <t xml:space="preserve"> The Good Guy</t>
  </si>
  <si>
    <t xml:space="preserve"> Encounters at the End of the World</t>
  </si>
  <si>
    <t xml:space="preserve"> Outrage</t>
  </si>
  <si>
    <t xml:space="preserve"> The Cove</t>
  </si>
  <si>
    <t xml:space="preserve"> Enlighten Up!</t>
  </si>
  <si>
    <t xml:space="preserve"> Ping Pong Playa</t>
  </si>
  <si>
    <t xml:space="preserve"> The Virginity Hit</t>
  </si>
  <si>
    <t xml:space="preserve"> Beeswax</t>
  </si>
  <si>
    <t xml:space="preserve"> Gekijoban Saraba Kamen Raida Den'o Fainaru Kauntodaun</t>
  </si>
  <si>
    <t xml:space="preserve"> Parasyte</t>
  </si>
  <si>
    <t xml:space="preserve"> Fanboys</t>
  </si>
  <si>
    <t xml:space="preserve"> Cop Out</t>
  </si>
  <si>
    <t>Walt Disney Pictures</t>
  </si>
  <si>
    <t xml:space="preserve"> A Day in the Life</t>
  </si>
  <si>
    <t xml:space="preserve"> Loch Ness Terror</t>
  </si>
  <si>
    <t xml:space="preserve"> Nailed</t>
  </si>
  <si>
    <t>*WALL-E*</t>
  </si>
  <si>
    <t xml:space="preserve"> Spanish Movie</t>
  </si>
  <si>
    <t xml:space="preserve"> Harry Brown</t>
  </si>
  <si>
    <t xml:space="preserve"> Streets of Blood</t>
  </si>
  <si>
    <t xml:space="preserve"> Big Things</t>
  </si>
  <si>
    <t xml:space="preserve"> Dragonball Evolution</t>
  </si>
  <si>
    <t xml:space="preserve"> Legacy</t>
  </si>
  <si>
    <t>Area23a</t>
  </si>
  <si>
    <t xml:space="preserve"> The Promotion</t>
  </si>
  <si>
    <t xml:space="preserve"> He Who Finds a Wife</t>
  </si>
  <si>
    <t xml:space="preserve"> Genova</t>
  </si>
  <si>
    <t xml:space="preserve"> Jackass 3D</t>
  </si>
  <si>
    <t xml:space="preserve"> Killers</t>
  </si>
  <si>
    <t xml:space="preserve"> Mehbooba</t>
  </si>
  <si>
    <t xml:space="preserve"> Ishqiya</t>
  </si>
  <si>
    <t xml:space="preserve"> Royal Kill</t>
  </si>
  <si>
    <t xml:space="preserve"> Snow Buddies</t>
  </si>
  <si>
    <t xml:space="preserve"> Madea Goes To Jail</t>
  </si>
  <si>
    <t xml:space="preserve"> The Strangers</t>
  </si>
  <si>
    <t xml:space="preserve"> Knowing</t>
  </si>
  <si>
    <t>Paul Devlin Prod.</t>
  </si>
  <si>
    <t xml:space="preserve"> Sunday School Musical</t>
  </si>
  <si>
    <t xml:space="preserve"> Explicit Ills</t>
  </si>
  <si>
    <t xml:space="preserve"> Paco to Maho no Ehon</t>
  </si>
  <si>
    <t xml:space="preserve"> April Showers</t>
  </si>
  <si>
    <t xml:space="preserve"> Racing Dreams</t>
  </si>
  <si>
    <t xml:space="preserve"> Predators</t>
  </si>
  <si>
    <t xml:space="preserve"> Tony Manero</t>
  </si>
  <si>
    <t xml:space="preserve"> Hank and Mike</t>
  </si>
  <si>
    <t xml:space="preserve"> I.O.U.S.A.</t>
  </si>
  <si>
    <t>Pixar</t>
  </si>
  <si>
    <t xml:space="preserve"> Yama no Anata: Tokuichi no Koi</t>
  </si>
  <si>
    <t xml:space="preserve"> Dead Noon</t>
  </si>
  <si>
    <t xml:space="preserve"> Frankie Machine</t>
  </si>
  <si>
    <t xml:space="preserve"> 35 Rhums</t>
  </si>
  <si>
    <t xml:space="preserve"> Visual Acoustics</t>
  </si>
  <si>
    <t xml:space="preserve"> Cairo Time</t>
  </si>
  <si>
    <t xml:space="preserve"> Alvin and the Chipmunks: The Squeakquel</t>
  </si>
  <si>
    <t xml:space="preserve"> Little Einsteins: The Christmas Wish</t>
  </si>
  <si>
    <t>*300*</t>
  </si>
  <si>
    <t xml:space="preserve"> In Search of Memory</t>
  </si>
  <si>
    <t xml:space="preserve"> Don Giovanni</t>
  </si>
  <si>
    <t xml:space="preserve"> Beauty and the Beast</t>
  </si>
  <si>
    <t xml:space="preserve"> I Hate Luv Storys</t>
  </si>
  <si>
    <t xml:space="preserve"> The First Saturday in May</t>
  </si>
  <si>
    <t xml:space="preserve"> Snowmen</t>
  </si>
  <si>
    <t xml:space="preserve"> Solnstse</t>
  </si>
  <si>
    <t xml:space="preserve"> Town Creek</t>
  </si>
  <si>
    <t>MGM/UA</t>
  </si>
  <si>
    <t>$*585,349,010*</t>
  </si>
  <si>
    <t xml:space="preserve"> Crimes of the Past</t>
  </si>
  <si>
    <t xml:space="preserve"> Planet Hulk</t>
  </si>
  <si>
    <t>Lavender House</t>
  </si>
  <si>
    <t xml:space="preserve"> Keurosing</t>
  </si>
  <si>
    <t xml:space="preserve"> The Smell of Success</t>
  </si>
  <si>
    <t xml:space="preserve"> Gamer</t>
  </si>
  <si>
    <t xml:space="preserve"> Il Divo</t>
  </si>
  <si>
    <t xml:space="preserve"> Vanquisher</t>
  </si>
  <si>
    <t>Distributor</t>
  </si>
  <si>
    <t>*Mission: Impossible III*</t>
  </si>
  <si>
    <t xml:space="preserve"> Jeszcze Raz</t>
  </si>
  <si>
    <t>MGM/Columbia</t>
  </si>
  <si>
    <t xml:space="preserve"> Les Liens du sang</t>
  </si>
  <si>
    <t xml:space="preserve"> Shaolin Girl</t>
  </si>
  <si>
    <t xml:space="preserve"> Mother and Child</t>
  </si>
  <si>
    <t xml:space="preserve"> The Lost and Found Family</t>
  </si>
  <si>
    <t>November 20, 2009</t>
  </si>
  <si>
    <t xml:space="preserve"> Lifted</t>
  </si>
  <si>
    <t xml:space="preserve"> Who Does She Think She Is?</t>
  </si>
  <si>
    <t xml:space="preserve"> The Unborn</t>
  </si>
  <si>
    <t xml:space="preserve"> Chain Letter</t>
  </si>
  <si>
    <t xml:space="preserve"> Case 39</t>
  </si>
  <si>
    <t>2005-07-15</t>
  </si>
  <si>
    <t xml:space="preserve"> It's Complicated</t>
  </si>
  <si>
    <t xml:space="preserve"> Alpha Male</t>
  </si>
  <si>
    <t xml:space="preserve"> Another Cinderella Story</t>
  </si>
  <si>
    <t xml:space="preserve"> The Seamstress</t>
  </si>
  <si>
    <t>Strand</t>
  </si>
  <si>
    <t xml:space="preserve"> Monsters</t>
  </si>
  <si>
    <t xml:space="preserve"> Tron: Legacy</t>
  </si>
  <si>
    <t xml:space="preserve"> Humpday</t>
  </si>
  <si>
    <t xml:space="preserve"> Gulaal</t>
  </si>
  <si>
    <t>*Avatar*</t>
  </si>
  <si>
    <t xml:space="preserve"> House of the Devil, The</t>
  </si>
  <si>
    <t>Universal Studios</t>
  </si>
  <si>
    <t xml:space="preserve"> The Stone Angel</t>
  </si>
  <si>
    <t>27 July 2007</t>
  </si>
  <si>
    <t xml:space="preserve"> Miss Pettigrew Lives for a Day</t>
  </si>
  <si>
    <t xml:space="preserve"> Dream Boy</t>
  </si>
  <si>
    <t xml:space="preserve"> Ce qu'il faut pour vivre</t>
  </si>
  <si>
    <t>Fox Home</t>
  </si>
  <si>
    <t xml:space="preserve"> Kambakkht Ishq</t>
  </si>
  <si>
    <t xml:space="preserve"> Trailer Park Boys: Countdown to Liquor Day</t>
  </si>
  <si>
    <t xml:space="preserve"> Meet Bill</t>
  </si>
  <si>
    <t xml:space="preserve"> The Cry of the Owl</t>
  </si>
  <si>
    <t xml:space="preserve"> X-Men Origins: Wolverine</t>
  </si>
  <si>
    <t xml:space="preserve"> Real Dad</t>
  </si>
  <si>
    <t xml:space="preserve"> Lottery Ticket</t>
  </si>
  <si>
    <t xml:space="preserve"> Strength of Water</t>
  </si>
  <si>
    <t xml:space="preserve"> The Bank Job</t>
  </si>
  <si>
    <t xml:space="preserve"> Ne Le Dis à Personne</t>
  </si>
  <si>
    <t xml:space="preserve"> Virus Undead</t>
  </si>
  <si>
    <t>Lionsgate</t>
  </si>
  <si>
    <t xml:space="preserve"> Obsluhoval jsem anglického krále</t>
  </si>
  <si>
    <t xml:space="preserve"> College</t>
  </si>
  <si>
    <t>Monterey Media</t>
  </si>
  <si>
    <t>Zeitgeist</t>
  </si>
  <si>
    <t xml:space="preserve"> Eden</t>
  </si>
  <si>
    <t xml:space="preserve"> Shank</t>
  </si>
  <si>
    <t xml:space="preserve"> Rush: Beyond the Lighted Stage</t>
  </si>
  <si>
    <t xml:space="preserve"> American Zombie</t>
  </si>
  <si>
    <t xml:space="preserve"> While She Was Out</t>
  </si>
  <si>
    <t xml:space="preserve"> Spring Breakdown</t>
  </si>
  <si>
    <t xml:space="preserve"> Udaan</t>
  </si>
  <si>
    <t>North America</t>
  </si>
  <si>
    <t xml:space="preserve"> Battle for Terra</t>
  </si>
  <si>
    <t xml:space="preserve"> Traitor</t>
  </si>
  <si>
    <t xml:space="preserve"> Plus tard</t>
  </si>
  <si>
    <t xml:space="preserve"> Babo</t>
  </si>
  <si>
    <t xml:space="preserve"> Super Capers</t>
  </si>
  <si>
    <t xml:space="preserve"> Baby</t>
  </si>
  <si>
    <t xml:space="preserve"> Inglourious Basterds</t>
  </si>
  <si>
    <t xml:space="preserve"> Noise</t>
  </si>
  <si>
    <t xml:space="preserve"> Vivere</t>
  </si>
  <si>
    <t xml:space="preserve"> Sticky and Sweet Tour</t>
  </si>
  <si>
    <t xml:space="preserve"> Wolf Moon</t>
  </si>
  <si>
    <t xml:space="preserve"> Am Limit</t>
  </si>
  <si>
    <t xml:space="preserve"> Un'Estate Ai Caraibi</t>
  </si>
  <si>
    <t xml:space="preserve"> An American Girl: Chrissa Stands Strong</t>
  </si>
  <si>
    <t xml:space="preserve"> From Mexico with Love</t>
  </si>
  <si>
    <t xml:space="preserve"> Indiana Jones and the Kingdom of the Crystal Skull</t>
  </si>
  <si>
    <t xml:space="preserve"> Dear John</t>
  </si>
  <si>
    <t xml:space="preserve"> Life 101: Angel's Secret</t>
  </si>
  <si>
    <t xml:space="preserve"> Green Day Live at Fox Theater</t>
  </si>
  <si>
    <t xml:space="preserve"> Yuvraaj</t>
  </si>
  <si>
    <t xml:space="preserve"> Armored</t>
  </si>
  <si>
    <t xml:space="preserve"> Katt Williams: Pimpadelic</t>
  </si>
  <si>
    <t xml:space="preserve"> Drool</t>
  </si>
  <si>
    <t xml:space="preserve"> Bluebeard</t>
  </si>
  <si>
    <t xml:space="preserve"> Women in Trouble</t>
  </si>
  <si>
    <t xml:space="preserve"> Padre Nuestro</t>
  </si>
  <si>
    <t xml:space="preserve"> 21 and a Wakeup</t>
  </si>
  <si>
    <t xml:space="preserve"> Shorts</t>
  </si>
  <si>
    <t>2006-05-19</t>
  </si>
  <si>
    <t xml:space="preserve"> La Forza del Destino</t>
  </si>
  <si>
    <t xml:space="preserve"> Saint John of Las Vegas</t>
  </si>
  <si>
    <t xml:space="preserve"> Shrek the Halls</t>
  </si>
  <si>
    <t xml:space="preserve"> The Lucky Ones</t>
  </si>
  <si>
    <t xml:space="preserve"> La Conjura de El Escorial</t>
  </si>
  <si>
    <t xml:space="preserve"> The Hitman Diaries: Charlie Valentine</t>
  </si>
  <si>
    <t xml:space="preserve"> JCVD</t>
  </si>
  <si>
    <t xml:space="preserve"> The Killing of John Lennon</t>
  </si>
  <si>
    <t xml:space="preserve"> Drona</t>
  </si>
  <si>
    <t xml:space="preserve"> Wickie und die starken Männer</t>
  </si>
  <si>
    <t xml:space="preserve"> The Korean</t>
  </si>
  <si>
    <t xml:space="preserve"> Runnin' Down a Dream: Tom Petty and the Heartbreakers</t>
  </si>
  <si>
    <t xml:space="preserve"> Skateland</t>
  </si>
  <si>
    <t>21 December 2007</t>
  </si>
  <si>
    <t xml:space="preserve"> Black &amp; Blue</t>
  </si>
  <si>
    <t xml:space="preserve"> Necessary Evil</t>
  </si>
  <si>
    <t xml:space="preserve"> San suk si gin</t>
  </si>
  <si>
    <t xml:space="preserve"> Shi Yue Wei Cheng</t>
  </si>
  <si>
    <t xml:space="preserve"> Madama Butterfly</t>
  </si>
  <si>
    <t xml:space="preserve"> Die Rote Zora</t>
  </si>
  <si>
    <t xml:space="preserve"> Les doigts croches</t>
  </si>
  <si>
    <t xml:space="preserve"> Trapped in the 5150</t>
  </si>
  <si>
    <t xml:space="preserve"> Thomas &amp; Friends: The Great Discovery</t>
  </si>
  <si>
    <t xml:space="preserve"> Defendor</t>
  </si>
  <si>
    <t xml:space="preserve"> Suicide Girls Must Die</t>
  </si>
  <si>
    <t xml:space="preserve"> Se Eu Fosse Voce 2</t>
  </si>
  <si>
    <t xml:space="preserve"> Lovers of Six Years</t>
  </si>
  <si>
    <t xml:space="preserve"> Black Lightning</t>
  </si>
  <si>
    <t xml:space="preserve"> Smart People</t>
  </si>
  <si>
    <t xml:space="preserve"> What We Do Is Secret</t>
  </si>
  <si>
    <t xml:space="preserve"> La Linea</t>
  </si>
  <si>
    <t xml:space="preserve"> Roadside Romeo</t>
  </si>
  <si>
    <t xml:space="preserve"> The Secret of Loch Ness</t>
  </si>
  <si>
    <t xml:space="preserve"> Alien Trespass</t>
  </si>
  <si>
    <t xml:space="preserve"> The Wild Stallion</t>
  </si>
  <si>
    <t xml:space="preserve"> Dogtooth</t>
  </si>
  <si>
    <t xml:space="preserve"> The A-Team</t>
  </si>
  <si>
    <t>Pureland Pictures</t>
  </si>
  <si>
    <t xml:space="preserve"> Doctor Dolittle 4: Tail to the Chief</t>
  </si>
  <si>
    <t xml:space="preserve"> The Flyboys</t>
  </si>
  <si>
    <t xml:space="preserve"> Scott Pilgrim vs. The World</t>
  </si>
  <si>
    <t>UTV Motion Pictures</t>
  </si>
  <si>
    <t xml:space="preserve"> Noble Things</t>
  </si>
  <si>
    <t>Variance Films</t>
  </si>
  <si>
    <t xml:space="preserve"> Circle</t>
  </si>
  <si>
    <t xml:space="preserve"> Burn After Reading</t>
  </si>
  <si>
    <t xml:space="preserve"> Vampires Suck</t>
  </si>
  <si>
    <t xml:space="preserve"> Beyond Belief</t>
  </si>
  <si>
    <t xml:space="preserve"> The Accidental Husband</t>
  </si>
  <si>
    <t>National Lampoon</t>
  </si>
  <si>
    <t xml:space="preserve"> Four Lions</t>
  </si>
  <si>
    <t xml:space="preserve"> The Riverman</t>
  </si>
  <si>
    <t xml:space="preserve"> Terminator Salvation: The Future Begins</t>
  </si>
  <si>
    <t xml:space="preserve"> Beautiful</t>
  </si>
  <si>
    <t xml:space="preserve"> College Road Trip</t>
  </si>
  <si>
    <t xml:space="preserve"> Stranded: I've Come from a Plane that Crashed on the Mountains</t>
  </si>
  <si>
    <t xml:space="preserve"> Coffin Rock</t>
  </si>
  <si>
    <t xml:space="preserve"> Kiss the Bride</t>
  </si>
  <si>
    <t xml:space="preserve"> Dead Man Running</t>
  </si>
  <si>
    <t xml:space="preserve"> Bangkok Dangerous</t>
  </si>
  <si>
    <t xml:space="preserve"> Paranormal Activity</t>
  </si>
  <si>
    <t>Rogue</t>
  </si>
  <si>
    <t xml:space="preserve"> Tuyade Hunshi</t>
  </si>
  <si>
    <t xml:space="preserve"> La Question Humaine</t>
  </si>
  <si>
    <t>18 July 2008</t>
  </si>
  <si>
    <t xml:space="preserve"> Meu Nome Nao E Johnny</t>
  </si>
  <si>
    <t>Bev Pictures</t>
  </si>
  <si>
    <t xml:space="preserve"> Killing on Carnival Row</t>
  </si>
  <si>
    <t xml:space="preserve"> Passengers</t>
  </si>
  <si>
    <t xml:space="preserve"> Dinner for Schmucks</t>
  </si>
  <si>
    <t xml:space="preserve"> Animal Kingdom</t>
  </si>
  <si>
    <t xml:space="preserve"> Hamlet 2</t>
  </si>
  <si>
    <t xml:space="preserve"> Beer for My Horses</t>
  </si>
  <si>
    <t xml:space="preserve"> After the Cup: Sons of Sakhnin United</t>
  </si>
  <si>
    <t xml:space="preserve"> The Reeds</t>
  </si>
  <si>
    <t xml:space="preserve"> Just Another Day</t>
  </si>
  <si>
    <t>World Wide Motion Pictures</t>
  </si>
  <si>
    <t xml:space="preserve"> Louise Michel</t>
  </si>
  <si>
    <t xml:space="preserve"> One Day You'll Understand</t>
  </si>
  <si>
    <t xml:space="preserve"> Not Quite Hollywood</t>
  </si>
  <si>
    <t xml:space="preserve"> Play the Game</t>
  </si>
  <si>
    <t xml:space="preserve"> L'empreinte de l'ange</t>
  </si>
  <si>
    <t xml:space="preserve"> No Impact Man</t>
  </si>
  <si>
    <t xml:space="preserve"> Terrorist Next Door, The</t>
  </si>
  <si>
    <t xml:space="preserve"> Butterfly Effect 3: Revelations, The</t>
  </si>
  <si>
    <t xml:space="preserve"> God and Gays: Bridging the Gap</t>
  </si>
  <si>
    <t xml:space="preserve"> How to Rob a Bank</t>
  </si>
  <si>
    <t xml:space="preserve"> Peepli Live</t>
  </si>
  <si>
    <t xml:space="preserve"> Man on Wire</t>
  </si>
  <si>
    <t xml:space="preserve"> High School Musical 3: Senior Year</t>
  </si>
  <si>
    <t xml:space="preserve"> J'ai tué me mère</t>
  </si>
  <si>
    <t xml:space="preserve"> Kick-Ass</t>
  </si>
  <si>
    <t>Warner Independent Pictyres</t>
  </si>
  <si>
    <t xml:space="preserve"> The Foot Fist Way</t>
  </si>
  <si>
    <t xml:space="preserve"> Trucker</t>
  </si>
  <si>
    <t xml:space="preserve"> Mirageman</t>
  </si>
  <si>
    <t xml:space="preserve"> Countdown to Zero</t>
  </si>
  <si>
    <t xml:space="preserve"> Where in the World is Osama Bin Laden?</t>
  </si>
  <si>
    <t xml:space="preserve"> Ice Age: Dawn of the Dinosaurs</t>
  </si>
  <si>
    <t xml:space="preserve"> The Karate Kid</t>
  </si>
  <si>
    <t xml:space="preserve"> Fireflies in the Garden</t>
  </si>
  <si>
    <t xml:space="preserve"> Bitch Slap</t>
  </si>
  <si>
    <t xml:space="preserve"> The Heavy</t>
  </si>
  <si>
    <t xml:space="preserve"> The Hills Run Red</t>
  </si>
  <si>
    <t>Domestic gross</t>
  </si>
  <si>
    <t xml:space="preserve"> My Mexican Shivah</t>
  </si>
  <si>
    <t xml:space="preserve"> Vince Vaughn's Wild West Comedy Show: 30 Days &amp; 30 Nights - Hollywood to the Heartland</t>
  </si>
  <si>
    <t xml:space="preserve"> Game of Death</t>
  </si>
  <si>
    <t>New Line</t>
  </si>
  <si>
    <t xml:space="preserve"> The Day the Earth Stopped</t>
  </si>
  <si>
    <t xml:space="preserve"> Edgar Allan Poe's Ligeia</t>
  </si>
  <si>
    <t xml:space="preserve"> Cop Dog</t>
  </si>
  <si>
    <t>Lantern Lane</t>
  </si>
  <si>
    <t xml:space="preserve"> Our Family Wedding</t>
  </si>
  <si>
    <t>Truly Indie</t>
  </si>
  <si>
    <t xml:space="preserve"> Four Christmases</t>
  </si>
  <si>
    <t>$*960,996,492*</t>
  </si>
  <si>
    <t xml:space="preserve"> Lovely, Still</t>
  </si>
  <si>
    <t xml:space="preserve"> Morning Glory</t>
  </si>
  <si>
    <t xml:space="preserve"> Kenny</t>
  </si>
  <si>
    <t xml:space="preserve"> Watercolors</t>
  </si>
  <si>
    <t xml:space="preserve"> Military Intelligence and You!</t>
  </si>
  <si>
    <t xml:space="preserve"> Never Surrender</t>
  </si>
  <si>
    <t xml:space="preserve"> Jordon Saffron: Taste This!</t>
  </si>
  <si>
    <t xml:space="preserve"> The Grudge 3</t>
  </si>
  <si>
    <t xml:space="preserve"> Cadillac Records</t>
  </si>
  <si>
    <t xml:space="preserve"> Det rode kapel</t>
  </si>
  <si>
    <t>First Run/Icarus</t>
  </si>
  <si>
    <t xml:space="preserve"> If God Wants</t>
  </si>
  <si>
    <t>Australia Gross</t>
  </si>
  <si>
    <t xml:space="preserve"> Subtle Seduction</t>
  </si>
  <si>
    <t xml:space="preserve"> Love Ain't Suppose to Hurt II - The Wedding</t>
  </si>
  <si>
    <t xml:space="preserve"> First Sunday</t>
  </si>
  <si>
    <t xml:space="preserve"> Chak Jawana</t>
  </si>
  <si>
    <t xml:space="preserve"> Waiting City, The</t>
  </si>
  <si>
    <t xml:space="preserve"> Paul Blart: Mall Cop</t>
  </si>
  <si>
    <t xml:space="preserve"> Perfect Life</t>
  </si>
  <si>
    <t xml:space="preserve"> Moon</t>
  </si>
  <si>
    <t xml:space="preserve"> Bottle Shock</t>
  </si>
  <si>
    <t xml:space="preserve"> Caught in the Crossfire</t>
  </si>
  <si>
    <t>14 December 2005</t>
  </si>
  <si>
    <t>Big Pictures</t>
  </si>
  <si>
    <t>14 December 2007</t>
  </si>
  <si>
    <t>U.S./Canada Gross</t>
  </si>
  <si>
    <t xml:space="preserve"> Finding Bliss</t>
  </si>
  <si>
    <t xml:space="preserve"> Boogeyman 2</t>
  </si>
  <si>
    <t xml:space="preserve"> Kitaro And The Millennium Curse</t>
  </si>
  <si>
    <t xml:space="preserve"> Boogeyman 3</t>
  </si>
  <si>
    <t xml:space="preserve"> Solomon Kane</t>
  </si>
  <si>
    <t xml:space="preserve"> CJ7</t>
  </si>
  <si>
    <t xml:space="preserve"> Brooklyn's Finest</t>
  </si>
  <si>
    <t xml:space="preserve"> Happy-Go-Lucky</t>
  </si>
  <si>
    <t>Fox Home Ent</t>
  </si>
  <si>
    <t xml:space="preserve"> La Leon</t>
  </si>
  <si>
    <t xml:space="preserve"> Linha de Passe</t>
  </si>
  <si>
    <t>*Mamma Mia!*</t>
  </si>
  <si>
    <t xml:space="preserve"> In Search Of</t>
  </si>
  <si>
    <t xml:space="preserve"> Booky and the Secret Santa</t>
  </si>
  <si>
    <t xml:space="preserve"> Disgrace</t>
  </si>
  <si>
    <t xml:space="preserve"> No Greater Love</t>
  </si>
  <si>
    <t xml:space="preserve"> Twelve</t>
  </si>
  <si>
    <t xml:space="preserve"> Labor Pains</t>
  </si>
  <si>
    <t xml:space="preserve"> Three and Out</t>
  </si>
  <si>
    <t xml:space="preserve"> Doraemon: Nobita to Midori no kyojinten</t>
  </si>
  <si>
    <t xml:space="preserve"> Goose on the Loose</t>
  </si>
  <si>
    <t xml:space="preserve"> Far Cry</t>
  </si>
  <si>
    <t xml:space="preserve"> Superman: The Man of Steel</t>
  </si>
  <si>
    <t xml:space="preserve"> Thomas &amp; Friends: Hero of the Rails</t>
  </si>
  <si>
    <t xml:space="preserve"> The Limits of Control</t>
  </si>
  <si>
    <t xml:space="preserve"> Chop Shop</t>
  </si>
  <si>
    <t xml:space="preserve"> The Men Who Stare at Goats</t>
  </si>
  <si>
    <t xml:space="preserve"> Year of the Fish</t>
  </si>
  <si>
    <t xml:space="preserve"> Guzaarish</t>
  </si>
  <si>
    <t xml:space="preserve"> Eichmann</t>
  </si>
  <si>
    <t xml:space="preserve"> Children of Invention</t>
  </si>
  <si>
    <t>*The Hangover*</t>
  </si>
  <si>
    <t xml:space="preserve"> Hook Ya Crook</t>
  </si>
  <si>
    <t xml:space="preserve"> Boone's Lick</t>
  </si>
  <si>
    <t>Maya</t>
  </si>
  <si>
    <t xml:space="preserve"> The Happening</t>
  </si>
  <si>
    <t xml:space="preserve"> On His Majesty's Secret Service</t>
  </si>
  <si>
    <t xml:space="preserve"> American Casino</t>
  </si>
  <si>
    <t xml:space="preserve"> Battle of the Warriors</t>
  </si>
  <si>
    <t xml:space="preserve"> Chuzhaya</t>
  </si>
  <si>
    <t xml:space="preserve"> The Warrior's Way</t>
  </si>
  <si>
    <t xml:space="preserve"> Don't Look Up</t>
  </si>
  <si>
    <t>*The Twilight Saga: New Moon*</t>
  </si>
  <si>
    <t xml:space="preserve"> Faith Like Potatoes</t>
  </si>
  <si>
    <t xml:space="preserve"> Barbie and the Diamond Castle</t>
  </si>
  <si>
    <t xml:space="preserve"> HardWired</t>
  </si>
  <si>
    <t>Terra Ent.</t>
  </si>
  <si>
    <t xml:space="preserve"> The Wild Hunt</t>
  </si>
  <si>
    <t xml:space="preserve"> Client 9: The Rise and Fall of Eliot Spitzer</t>
  </si>
  <si>
    <t xml:space="preserve"> The Sword with no Name</t>
  </si>
  <si>
    <t xml:space="preserve"> D.C. Showcase Delivery</t>
  </si>
  <si>
    <t xml:space="preserve"> Oh My God</t>
  </si>
  <si>
    <t xml:space="preserve"> Wizards of Waverly Place: The Movie</t>
  </si>
  <si>
    <t>*Pirates of the Caribbean: Dead Man's Chest*</t>
  </si>
  <si>
    <t xml:space="preserve"> Hana yori dango: Fainaru</t>
  </si>
  <si>
    <t xml:space="preserve"> Les Beaux Gosses</t>
  </si>
  <si>
    <t xml:space="preserve"> Purple Violets</t>
  </si>
  <si>
    <t xml:space="preserve"> The Ministers</t>
  </si>
  <si>
    <t>Equinox</t>
  </si>
  <si>
    <t xml:space="preserve"> Lola Montes</t>
  </si>
  <si>
    <t xml:space="preserve"> The Back-up Plan</t>
  </si>
  <si>
    <t xml:space="preserve"> Dead of Winter</t>
  </si>
  <si>
    <t xml:space="preserve"> Formosa Betrayed</t>
  </si>
  <si>
    <t xml:space="preserve"> Trainwreck: My Life as an Idiot</t>
  </si>
  <si>
    <t xml:space="preserve"> Tashan</t>
  </si>
  <si>
    <t xml:space="preserve"> August</t>
  </si>
  <si>
    <t xml:space="preserve"> Tommy and the Cool Mule</t>
  </si>
  <si>
    <t xml:space="preserve"> Facing Ali</t>
  </si>
  <si>
    <t xml:space="preserve"> Reunion</t>
  </si>
  <si>
    <t>5 March 2010</t>
  </si>
  <si>
    <t xml:space="preserve"> Baja Beach Bums</t>
  </si>
  <si>
    <t xml:space="preserve"> La Traviata at La Scala</t>
  </si>
  <si>
    <t xml:space="preserve"> Leap Year</t>
  </si>
  <si>
    <t xml:space="preserve"> The Lone Ranger</t>
  </si>
  <si>
    <t>Brink Film</t>
  </si>
  <si>
    <t xml:space="preserve"> Fraude</t>
  </si>
  <si>
    <t xml:space="preserve"> Son of Rambow: A Home Movie</t>
  </si>
  <si>
    <t xml:space="preserve"> Brothers</t>
  </si>
  <si>
    <t>Waldo West Productions</t>
  </si>
  <si>
    <t xml:space="preserve"> Crying With Laughter</t>
  </si>
  <si>
    <t xml:space="preserve"> The Winning Season</t>
  </si>
  <si>
    <t xml:space="preserve"> A Wink and a Smile</t>
  </si>
  <si>
    <t xml:space="preserve"> Carbon Nation</t>
  </si>
  <si>
    <t xml:space="preserve"> Nothing Like the Holidays</t>
  </si>
  <si>
    <t xml:space="preserve"> A Christmas Proposal</t>
  </si>
  <si>
    <t xml:space="preserve"> Kasi az Gorbehaye Irani Khabar Nadareh</t>
  </si>
  <si>
    <t>Studio 18</t>
  </si>
  <si>
    <t xml:space="preserve"> Prom Night</t>
  </si>
  <si>
    <t>Cyan Pictures</t>
  </si>
  <si>
    <t xml:space="preserve"> Nanette</t>
  </si>
  <si>
    <t xml:space="preserve"> Wüstenblume</t>
  </si>
  <si>
    <t xml:space="preserve"> The Last Lullaby</t>
  </si>
  <si>
    <t xml:space="preserve"> OSS 117</t>
  </si>
  <si>
    <t xml:space="preserve"> Edgar Allan Poe's House of Usher</t>
  </si>
  <si>
    <t xml:space="preserve"> I am Love</t>
  </si>
  <si>
    <t xml:space="preserve"> The Box</t>
  </si>
  <si>
    <t xml:space="preserve"> Confessions of a Shopaholic</t>
  </si>
  <si>
    <t xml:space="preserve"> Rabbit Hole</t>
  </si>
  <si>
    <t xml:space="preserve"> Forever the Moment</t>
  </si>
  <si>
    <t xml:space="preserve"> Mes stars et moi</t>
  </si>
  <si>
    <t xml:space="preserve"> Henry Poole Is Here</t>
  </si>
  <si>
    <t xml:space="preserve"> Love Ranch</t>
  </si>
  <si>
    <t>5 June 2009</t>
  </si>
  <si>
    <t>22 May 2008</t>
  </si>
  <si>
    <t>Studio</t>
  </si>
  <si>
    <t xml:space="preserve"> Blindness</t>
  </si>
  <si>
    <t xml:space="preserve"> Jack Ketchum's The Lost</t>
  </si>
  <si>
    <t>*Cars*</t>
  </si>
  <si>
    <t xml:space="preserve"> Youth in Revolt</t>
  </si>
  <si>
    <t>Arthouse</t>
  </si>
  <si>
    <t xml:space="preserve"> National Lampoon Presents: One, Two, Many</t>
  </si>
  <si>
    <t xml:space="preserve"> Delgo</t>
  </si>
  <si>
    <t xml:space="preserve"> Devil</t>
  </si>
  <si>
    <t xml:space="preserve"> Cthulhu</t>
  </si>
  <si>
    <t xml:space="preserve"> Phantom Punch</t>
  </si>
  <si>
    <t xml:space="preserve"> Mang Shan</t>
  </si>
  <si>
    <t>Topics Entertainment</t>
  </si>
  <si>
    <t xml:space="preserve"> Romulus, My Father</t>
  </si>
  <si>
    <t xml:space="preserve"> The Showdown</t>
  </si>
  <si>
    <t xml:space="preserve"> Elsa &amp; Fred</t>
  </si>
  <si>
    <t xml:space="preserve"> Tre</t>
  </si>
  <si>
    <t xml:space="preserve"> The Babysitters</t>
  </si>
  <si>
    <t xml:space="preserve"> Everlasting Moments</t>
  </si>
  <si>
    <t xml:space="preserve"> Frozen Kiss</t>
  </si>
  <si>
    <t xml:space="preserve"> Evilution</t>
  </si>
  <si>
    <t>Magnolia Pictures</t>
  </si>
  <si>
    <t xml:space="preserve"> Flicka 2</t>
  </si>
  <si>
    <t xml:space="preserve"> Farmhouse</t>
  </si>
  <si>
    <t>Bigger Picture</t>
  </si>
  <si>
    <t xml:space="preserve"> 2009 Oscar Shorts</t>
  </si>
  <si>
    <t xml:space="preserve"> Maria Bethania: Music is Perfume</t>
  </si>
  <si>
    <t>Comedy Central</t>
  </si>
  <si>
    <t xml:space="preserve"> Chaos Theory</t>
  </si>
  <si>
    <t xml:space="preserve"> Gunless</t>
  </si>
  <si>
    <t xml:space="preserve"> Wa Pei</t>
  </si>
  <si>
    <t xml:space="preserve"> Diagnosis Death</t>
  </si>
  <si>
    <t xml:space="preserve"> De Storm</t>
  </si>
  <si>
    <t xml:space="preserve"> 6 Guns</t>
  </si>
  <si>
    <t xml:space="preserve"> Nie klam, kochanie</t>
  </si>
  <si>
    <t xml:space="preserve"> Crazy</t>
  </si>
  <si>
    <t xml:space="preserve"> From Paris With Love</t>
  </si>
  <si>
    <t xml:space="preserve"> I Hate Valentine's Day</t>
  </si>
  <si>
    <t xml:space="preserve"> Freeway Killer</t>
  </si>
  <si>
    <t xml:space="preserve"> Skills Like This</t>
  </si>
  <si>
    <t xml:space="preserve"> Garfield's Pet Force</t>
  </si>
  <si>
    <t xml:space="preserve"> Last Stop for Paul</t>
  </si>
  <si>
    <t xml:space="preserve"> Roman Polanski: Wanted and Desired</t>
  </si>
  <si>
    <t xml:space="preserve"> Bald</t>
  </si>
  <si>
    <t xml:space="preserve"> The Lodger</t>
  </si>
  <si>
    <t xml:space="preserve"> Space Buddies</t>
  </si>
  <si>
    <t xml:space="preserve"> Meet Dave</t>
  </si>
  <si>
    <t xml:space="preserve"> Afterwards</t>
  </si>
  <si>
    <t xml:space="preserve"> Red Hill</t>
  </si>
  <si>
    <t xml:space="preserve"> Les Insoumis</t>
  </si>
  <si>
    <t>Janus Films</t>
  </si>
  <si>
    <t xml:space="preserve"> The Devil's Ground</t>
  </si>
  <si>
    <t xml:space="preserve"> Kung Fu Hip-Hop</t>
  </si>
  <si>
    <t xml:space="preserve"> G.P. 506</t>
  </si>
  <si>
    <t xml:space="preserve"> The Meerkats</t>
  </si>
  <si>
    <t xml:space="preserve"> Haebyonui Yoin</t>
  </si>
  <si>
    <t xml:space="preserve"> The Hogfather</t>
  </si>
  <si>
    <t xml:space="preserve"> Tsukiji Uogashi Sandaime</t>
  </si>
  <si>
    <t xml:space="preserve"> Carmo</t>
  </si>
  <si>
    <t xml:space="preserve"> Enter the Void</t>
  </si>
  <si>
    <t>*The Simpsons Movie*</t>
  </si>
  <si>
    <t xml:space="preserve"> Anamorph</t>
  </si>
  <si>
    <t xml:space="preserve"> Jack Brown Genius</t>
  </si>
  <si>
    <t xml:space="preserve"> In Bruges</t>
  </si>
  <si>
    <t xml:space="preserve"> Wallace and Gromit: A Matter of Loaf or Death</t>
  </si>
  <si>
    <t xml:space="preserve"> North Face</t>
  </si>
  <si>
    <t xml:space="preserve"> All Good Things</t>
  </si>
  <si>
    <t xml:space="preserve"> Metamorphosis</t>
  </si>
  <si>
    <t xml:space="preserve"> Yonkers Joe</t>
  </si>
  <si>
    <t xml:space="preserve"> Geulimja Salin</t>
  </si>
  <si>
    <t xml:space="preserve"> If Love Hadn't Left Me</t>
  </si>
  <si>
    <t xml:space="preserve"> American Teen</t>
  </si>
  <si>
    <t xml:space="preserve"> Kirot</t>
  </si>
  <si>
    <t xml:space="preserve"> Lower Learning</t>
  </si>
  <si>
    <t xml:space="preserve"> Great Directors</t>
  </si>
  <si>
    <t xml:space="preserve"> The Dukes</t>
  </si>
  <si>
    <t xml:space="preserve"> Gospel Hill</t>
  </si>
  <si>
    <t xml:space="preserve"> 88 Minutes</t>
  </si>
  <si>
    <t xml:space="preserve"> Underworld 3: Rise of the Lycans</t>
  </si>
  <si>
    <t xml:space="preserve"> Walking on Dead Fish</t>
  </si>
  <si>
    <t xml:space="preserve"> Life Before Her Eyes</t>
  </si>
  <si>
    <t xml:space="preserve"> Entre les murs</t>
  </si>
  <si>
    <t xml:space="preserve"> The Elephant King</t>
  </si>
  <si>
    <t xml:space="preserve"> Meet the Spartans</t>
  </si>
  <si>
    <t xml:space="preserve"> Vacancy 2: The First Cut</t>
  </si>
  <si>
    <t xml:space="preserve"> My Mom's New Boyfriend</t>
  </si>
  <si>
    <t xml:space="preserve"> Long Shot</t>
  </si>
  <si>
    <t xml:space="preserve"> 2 Million Stupid Women</t>
  </si>
  <si>
    <t xml:space="preserve"> Wetlands Preserved: The Story of an Activist Rock Club</t>
  </si>
  <si>
    <t xml:space="preserve"> Shi Quan Jiu Mei</t>
  </si>
  <si>
    <t>*Transformers: Revenge of the Fallen*</t>
  </si>
  <si>
    <t xml:space="preserve"> Ugly aur Pagli</t>
  </si>
  <si>
    <t xml:space="preserve"> Tout est Parfait</t>
  </si>
  <si>
    <t xml:space="preserve"> Amar</t>
  </si>
  <si>
    <t xml:space="preserve"> Roman de Gare</t>
  </si>
  <si>
    <t>Cinema Purgatorio</t>
  </si>
  <si>
    <t xml:space="preserve"> American High School</t>
  </si>
  <si>
    <t xml:space="preserve"> The Yes Men Fix the World</t>
  </si>
  <si>
    <t xml:space="preserve"> Stargate - Continuum</t>
  </si>
  <si>
    <t xml:space="preserve"> Neil Young: Trunk Show</t>
  </si>
  <si>
    <t>Universal/Rogue</t>
  </si>
  <si>
    <t xml:space="preserve"> 13 Semester</t>
  </si>
  <si>
    <t xml:space="preserve"> Wall Street 2: Money Never Sleeps</t>
  </si>
  <si>
    <t xml:space="preserve"> American Pie Presents: The Book of Love</t>
  </si>
  <si>
    <t xml:space="preserve"> Black and White</t>
  </si>
  <si>
    <t xml:space="preserve"> Portrait in Sepia Tone</t>
  </si>
  <si>
    <t xml:space="preserve"> The Hangover</t>
  </si>
  <si>
    <t xml:space="preserve"> The Echo</t>
  </si>
  <si>
    <t xml:space="preserve"> Giallo</t>
  </si>
  <si>
    <t xml:space="preserve"> Red Cliff</t>
  </si>
  <si>
    <t xml:space="preserve"> Dil Bole Hadippa!</t>
  </si>
  <si>
    <t xml:space="preserve"> Dark Streets</t>
  </si>
  <si>
    <t xml:space="preserve"> Never Back Down</t>
  </si>
  <si>
    <t xml:space="preserve"> Kanaria</t>
  </si>
  <si>
    <t xml:space="preserve"> Helen</t>
  </si>
  <si>
    <t xml:space="preserve"> American Swing</t>
  </si>
  <si>
    <t xml:space="preserve"> Green Lantern: First Flight</t>
  </si>
  <si>
    <t xml:space="preserve"> Objectified</t>
  </si>
  <si>
    <t xml:space="preserve"> The Little Traitor</t>
  </si>
  <si>
    <t xml:space="preserve"> Cravings</t>
  </si>
  <si>
    <t xml:space="preserve"> Altitude</t>
  </si>
  <si>
    <t xml:space="preserve"> The Invention of Lying</t>
  </si>
  <si>
    <t xml:space="preserve"> Hors de Prix</t>
  </si>
  <si>
    <t xml:space="preserve"> Boku no kanojo wa saibôgu</t>
  </si>
  <si>
    <t xml:space="preserve"> Backseat</t>
  </si>
  <si>
    <t xml:space="preserve"> Living in Emergency</t>
  </si>
  <si>
    <t xml:space="preserve"> Carnera: The Walking Mountain</t>
  </si>
  <si>
    <t xml:space="preserve"> Hounddog</t>
  </si>
  <si>
    <t xml:space="preserve"> Confessions of a Ex-Doofus-Itchy Footed Mutha</t>
  </si>
  <si>
    <t xml:space="preserve"> Belly 2: Millionaire Boyz Club</t>
  </si>
  <si>
    <t>Icarus</t>
  </si>
  <si>
    <t xml:space="preserve"> Don Carlo</t>
  </si>
  <si>
    <t xml:space="preserve"> 8: The Mormon Proposition</t>
  </si>
  <si>
    <t xml:space="preserve"> Stealing America: Vote by Vote</t>
  </si>
  <si>
    <t xml:space="preserve"> L'ennemi public n°1</t>
  </si>
  <si>
    <t xml:space="preserve"> The Chosen One</t>
  </si>
  <si>
    <t xml:space="preserve"> Demon Warriors</t>
  </si>
  <si>
    <t xml:space="preserve"> Allah Made Me Funny</t>
  </si>
  <si>
    <t xml:space="preserve"> Glorious 39</t>
  </si>
  <si>
    <t xml:space="preserve"> The Strawberry Shortcake Movie: Sky's the Limit</t>
  </si>
  <si>
    <t xml:space="preserve"> H2O Extreme</t>
  </si>
  <si>
    <t>$*890,871,626*</t>
  </si>
  <si>
    <t xml:space="preserve"> The Blue Tooth Virgin</t>
  </si>
  <si>
    <t>Thunderstruck</t>
  </si>
  <si>
    <t xml:space="preserve"> Love Hurts</t>
  </si>
  <si>
    <t xml:space="preserve"> The Climber's High</t>
  </si>
  <si>
    <t xml:space="preserve"> Cabin Fever 2: Spring Fever</t>
  </si>
  <si>
    <t xml:space="preserve"> In the Electric Mist</t>
  </si>
  <si>
    <t>Bauer Martinez</t>
  </si>
  <si>
    <t xml:space="preserve"> Proud American</t>
  </si>
  <si>
    <t xml:space="preserve"> Another Harvest Moon</t>
  </si>
  <si>
    <t xml:space="preserve"> Kings of the Evening</t>
  </si>
  <si>
    <t>Walt Disney Co.</t>
  </si>
  <si>
    <t xml:space="preserve"> The Indian</t>
  </si>
  <si>
    <t xml:space="preserve"> My Name is Khan</t>
  </si>
  <si>
    <t xml:space="preserve"> Cyrus</t>
  </si>
  <si>
    <t xml:space="preserve"> Contre-Enquete</t>
  </si>
  <si>
    <t xml:space="preserve"> Never Let Me Go</t>
  </si>
  <si>
    <t xml:space="preserve"> Videocracy</t>
  </si>
  <si>
    <t xml:space="preserve"> Squeal</t>
  </si>
  <si>
    <t>*Star Wars Episode III: Revenge of the Sith*</t>
  </si>
  <si>
    <t xml:space="preserve"> Where the Wild Things Are</t>
  </si>
  <si>
    <t>*Spider-Man 3*</t>
  </si>
  <si>
    <t xml:space="preserve"> Guy and Madeline on a Park Bench</t>
  </si>
  <si>
    <t xml:space="preserve"> One Good Man</t>
  </si>
  <si>
    <t xml:space="preserve"> Little Hercules in 3D</t>
  </si>
  <si>
    <t xml:space="preserve"> Bring It On: Fight to the Finish</t>
  </si>
  <si>
    <t xml:space="preserve"> Drillbit Taylor</t>
  </si>
  <si>
    <t xml:space="preserve"> The Last Station</t>
  </si>
  <si>
    <t xml:space="preserve"> 24 City</t>
  </si>
  <si>
    <t>*Iron Man*</t>
  </si>
  <si>
    <t xml:space="preserve"> Friday the 13th</t>
  </si>
  <si>
    <t xml:space="preserve"> Alle Anderen</t>
  </si>
  <si>
    <t xml:space="preserve"> Jumper</t>
  </si>
  <si>
    <t xml:space="preserve"> Forgiving the Franklins</t>
  </si>
  <si>
    <t>Regent</t>
  </si>
  <si>
    <t>Freestyle</t>
  </si>
  <si>
    <t>Imaginasian Ent.</t>
  </si>
  <si>
    <t>Rocky Mountain Pictures</t>
  </si>
  <si>
    <t>MGM</t>
  </si>
  <si>
    <t xml:space="preserve"> City Island</t>
  </si>
  <si>
    <t xml:space="preserve"> Saint Misbehavin': The Wavy Gravy Movie</t>
  </si>
  <si>
    <t xml:space="preserve"> Altiplano</t>
  </si>
  <si>
    <t xml:space="preserve"> Toy Story 3</t>
  </si>
  <si>
    <t>MGA</t>
  </si>
  <si>
    <t xml:space="preserve"> Stomp the Yard: The Homecoming</t>
  </si>
  <si>
    <t>Phase 4 Films</t>
  </si>
  <si>
    <t xml:space="preserve"> The Red Riding Trilogy</t>
  </si>
  <si>
    <t xml:space="preserve"> Burning Bright</t>
  </si>
  <si>
    <t xml:space="preserve"> Kada Kien Su Karma</t>
  </si>
  <si>
    <t xml:space="preserve"> Answer This</t>
  </si>
  <si>
    <t xml:space="preserve"> Sarkar Raj</t>
  </si>
  <si>
    <t xml:space="preserve"> Good Hair</t>
  </si>
  <si>
    <t xml:space="preserve"> The Monastery: Mr. Vig and the Nun</t>
  </si>
  <si>
    <t xml:space="preserve"> Mr. Warmth: The Don Rickles Project</t>
  </si>
  <si>
    <t xml:space="preserve"> Topp Twins Untouchable Girls</t>
  </si>
  <si>
    <t xml:space="preserve"> Oscar et la dame Rose</t>
  </si>
  <si>
    <t>Vivafilm</t>
  </si>
  <si>
    <t xml:space="preserve"> The Secret in Their Eyes</t>
  </si>
  <si>
    <t xml:space="preserve"> The Oath</t>
  </si>
  <si>
    <t xml:space="preserve"> Daddy Longlegs</t>
  </si>
  <si>
    <t>2006-11-20</t>
  </si>
  <si>
    <t xml:space="preserve"> Hannah Montana/Miley Cyrus: Best of Both Worlds Concert Tour</t>
  </si>
  <si>
    <t xml:space="preserve"> Bhoothnath</t>
  </si>
  <si>
    <t xml:space="preserve"> Black Mold Exposure</t>
  </si>
  <si>
    <t xml:space="preserve"> Flying By</t>
  </si>
  <si>
    <t>Rainbow Releasing</t>
  </si>
  <si>
    <t xml:space="preserve"> Sister's Keeper</t>
  </si>
  <si>
    <t xml:space="preserve"> The King's Speech</t>
  </si>
  <si>
    <t>$*709,709,780*</t>
  </si>
  <si>
    <t xml:space="preserve"> Freche Mädchen</t>
  </si>
  <si>
    <t xml:space="preserve"> Lost Shoes</t>
  </si>
  <si>
    <t>Dokument Films</t>
  </si>
  <si>
    <t>Gener8Xion Entertainment</t>
  </si>
  <si>
    <t xml:space="preserve"> Deadland</t>
  </si>
  <si>
    <t xml:space="preserve"> Battle for Haditha</t>
  </si>
  <si>
    <t xml:space="preserve"> The Living and the Dead</t>
  </si>
  <si>
    <t xml:space="preserve"> Mutluluk</t>
  </si>
  <si>
    <t xml:space="preserve"> A Film Unfinished</t>
  </si>
  <si>
    <t xml:space="preserve"> Rage</t>
  </si>
  <si>
    <t xml:space="preserve"> 2012: Time for Change</t>
  </si>
  <si>
    <t xml:space="preserve"> Hot Tub Time Machine</t>
  </si>
  <si>
    <t xml:space="preserve"> Son of Sam</t>
  </si>
  <si>
    <t xml:space="preserve"> Kráska v nesnázich</t>
  </si>
  <si>
    <t xml:space="preserve"> Coco Chanel</t>
  </si>
  <si>
    <t xml:space="preserve"> Happily N'Ever After 2: Snow White</t>
  </si>
  <si>
    <t xml:space="preserve"> Harvard Beats Yale</t>
  </si>
  <si>
    <t>*Harry Potter and the Half-Blood Prince*</t>
  </si>
  <si>
    <t xml:space="preserve"> Remember the Daze</t>
  </si>
  <si>
    <t xml:space="preserve"> The Twilight Saga: New Moon</t>
  </si>
  <si>
    <t>Here Films</t>
  </si>
  <si>
    <t>Osiris</t>
  </si>
  <si>
    <t xml:space="preserve"> Crossroads</t>
  </si>
  <si>
    <t>Magic Lamp Releasing</t>
  </si>
  <si>
    <t xml:space="preserve"> Il Trittico at Fenice</t>
  </si>
  <si>
    <t xml:space="preserve"> Dirty Tricks</t>
  </si>
  <si>
    <t xml:space="preserve"> Jack and Jill vs. the World</t>
  </si>
  <si>
    <t>Warner Independent Pictures</t>
  </si>
  <si>
    <t xml:space="preserve"> The Vicious Kind</t>
  </si>
  <si>
    <t xml:space="preserve"> Ninja</t>
  </si>
  <si>
    <t xml:space="preserve"> Trick 'r Treat</t>
  </si>
  <si>
    <t xml:space="preserve"> The Stoning of Soraya M.</t>
  </si>
  <si>
    <t>*I Am Legend*</t>
  </si>
  <si>
    <t xml:space="preserve"> Home</t>
  </si>
  <si>
    <t xml:space="preserve"> Violet Tendencies</t>
  </si>
  <si>
    <t xml:space="preserve"> Without the King</t>
  </si>
  <si>
    <t xml:space="preserve"> The Doorman</t>
  </si>
  <si>
    <t xml:space="preserve"> Anonyma - Eine Frau in Berlin</t>
  </si>
  <si>
    <t xml:space="preserve"> The Forbidden Kingdom</t>
  </si>
  <si>
    <t xml:space="preserve"> Morgan's Summit</t>
  </si>
  <si>
    <t xml:space="preserve"> Expired</t>
  </si>
  <si>
    <t xml:space="preserve"> Spiral</t>
  </si>
  <si>
    <t xml:space="preserve"> Book of Songs</t>
  </si>
  <si>
    <t>Vivendi</t>
  </si>
  <si>
    <t xml:space="preserve"> Impulse</t>
  </si>
  <si>
    <t xml:space="preserve"> The Women</t>
  </si>
  <si>
    <t xml:space="preserve"> Footloose</t>
  </si>
  <si>
    <t xml:space="preserve"> Death Race</t>
  </si>
  <si>
    <t xml:space="preserve"> Morirse está en Hebreo</t>
  </si>
  <si>
    <t xml:space="preserve"> Four Boxes</t>
  </si>
  <si>
    <t>Apparition</t>
  </si>
  <si>
    <t xml:space="preserve"> Fix</t>
  </si>
  <si>
    <t xml:space="preserve"> Iron Man 2</t>
  </si>
  <si>
    <t xml:space="preserve"> Synecdoche, New York</t>
  </si>
  <si>
    <t xml:space="preserve"> Race</t>
  </si>
  <si>
    <t>First Look</t>
  </si>
  <si>
    <t>November 07, 2008</t>
  </si>
  <si>
    <t xml:space="preserve"> Bounty (2009)</t>
  </si>
  <si>
    <t xml:space="preserve"> Weisse Band: Eine deutsche Kindergeschichte, Das</t>
  </si>
  <si>
    <t xml:space="preserve"> When in Rome</t>
  </si>
  <si>
    <t>*$623,707,397*</t>
  </si>
  <si>
    <t xml:space="preserve"> Jennifer's Body</t>
  </si>
  <si>
    <t xml:space="preserve"> Breaking Point</t>
  </si>
  <si>
    <t xml:space="preserve"> The Unforeseen</t>
  </si>
  <si>
    <t xml:space="preserve"> Day of the Dead</t>
  </si>
  <si>
    <t>Cinevolve</t>
  </si>
  <si>
    <t xml:space="preserve"> I Do… I Did</t>
  </si>
  <si>
    <t>Pathological Pictures</t>
  </si>
  <si>
    <t xml:space="preserve"> 48 heures par jour</t>
  </si>
  <si>
    <t xml:space="preserve"> Miss March</t>
  </si>
  <si>
    <t xml:space="preserve"> Doctor Dolittle: Million Dollar Mutts</t>
  </si>
  <si>
    <t xml:space="preserve"> The End of Poverty?</t>
  </si>
  <si>
    <t xml:space="preserve"> The Private Lives of Pippa Lee</t>
  </si>
  <si>
    <t xml:space="preserve"> Goal! 3</t>
  </si>
  <si>
    <t xml:space="preserve"> Les Chansons d'Amour</t>
  </si>
  <si>
    <t xml:space="preserve"> Conquistadora</t>
  </si>
  <si>
    <t xml:space="preserve"> Recount</t>
  </si>
  <si>
    <t xml:space="preserve"> Yellow Handkerchief, The</t>
  </si>
  <si>
    <t xml:space="preserve"> The House Bunny</t>
  </si>
  <si>
    <t xml:space="preserve"> Dean Spanley</t>
  </si>
  <si>
    <t xml:space="preserve"> Spread</t>
  </si>
  <si>
    <t xml:space="preserve"> Pirates II: Stagnettis Revenge</t>
  </si>
  <si>
    <t>27 May 2005</t>
  </si>
  <si>
    <t xml:space="preserve"> Raging Inferno</t>
  </si>
  <si>
    <t xml:space="preserve"> Live Fast, Die Young</t>
  </si>
  <si>
    <t xml:space="preserve"> Shelter</t>
  </si>
  <si>
    <t xml:space="preserve"> Where God Left His Shoes</t>
  </si>
  <si>
    <t xml:space="preserve"> Quelque chose à te dire</t>
  </si>
  <si>
    <t xml:space="preserve"> Quantum of Solace</t>
  </si>
  <si>
    <t xml:space="preserve"> Alice</t>
  </si>
  <si>
    <t xml:space="preserve"> Messengers 2: The Scarecrow</t>
  </si>
  <si>
    <t xml:space="preserve"> 180 South</t>
  </si>
  <si>
    <t xml:space="preserve"> Descendant</t>
  </si>
  <si>
    <t xml:space="preserve"> Beverly Hills Chihuahua</t>
  </si>
  <si>
    <t xml:space="preserve"> Black Crescent Moon</t>
  </si>
  <si>
    <t xml:space="preserve"> Grand Canyon Adventure: River at Risk</t>
  </si>
  <si>
    <t xml:space="preserve"> Megapiranha</t>
  </si>
  <si>
    <t xml:space="preserve"> Vantage Point</t>
  </si>
  <si>
    <t xml:space="preserve"> Garrison</t>
  </si>
  <si>
    <t xml:space="preserve"> Saw V</t>
  </si>
  <si>
    <t xml:space="preserve"> Qian bu gou yong II</t>
  </si>
  <si>
    <t>Balcony</t>
  </si>
  <si>
    <t xml:space="preserve"> Cane Toads: The Conquest</t>
  </si>
  <si>
    <t xml:space="preserve"> Restrepo</t>
  </si>
  <si>
    <t xml:space="preserve"> Fritt Vilt 2</t>
  </si>
  <si>
    <t>*X-Men: The Last Stand*</t>
  </si>
  <si>
    <t xml:space="preserve"> Moving Midway</t>
  </si>
  <si>
    <t xml:space="preserve"> Possession</t>
  </si>
  <si>
    <t xml:space="preserve"> La Herencia Valdemar</t>
  </si>
  <si>
    <t xml:space="preserve"> Life During Wartime</t>
  </si>
  <si>
    <t xml:space="preserve"> Dhoondte Reh Jaoge</t>
  </si>
  <si>
    <t xml:space="preserve"> Burlesque</t>
  </si>
  <si>
    <t>*Madagascar: Escape 2 Africa*</t>
  </si>
  <si>
    <t xml:space="preserve"> The Thorn in the Heart</t>
  </si>
  <si>
    <t xml:space="preserve"> Act of God</t>
  </si>
  <si>
    <t xml:space="preserve"> On the Other Hand, Death: A Donald Strachey Mystery</t>
  </si>
  <si>
    <t xml:space="preserve"> Gran Torino</t>
  </si>
  <si>
    <t xml:space="preserve"> Grimm Love</t>
  </si>
  <si>
    <t xml:space="preserve"> Solo Quiero Caminar</t>
  </si>
  <si>
    <t xml:space="preserve"> Driven to Kill</t>
  </si>
  <si>
    <t xml:space="preserve"> Just Add Water</t>
  </si>
  <si>
    <t>27 June 2008</t>
  </si>
  <si>
    <t xml:space="preserve"> Yomei Ikkagetsu no Hanayome</t>
  </si>
  <si>
    <t xml:space="preserve"> Sommer</t>
  </si>
  <si>
    <t xml:space="preserve"> Fast &amp; Furious</t>
  </si>
  <si>
    <t xml:space="preserve"> Astérix aux Jeux Olympiques</t>
  </si>
  <si>
    <t xml:space="preserve"> Bienvenue chez les Ch'tis</t>
  </si>
  <si>
    <t xml:space="preserve"> Zombie Strippers</t>
  </si>
  <si>
    <t xml:space="preserve"> Seed</t>
  </si>
  <si>
    <t xml:space="preserve"> Flash Point (2007, Hong Kong)</t>
  </si>
  <si>
    <t xml:space="preserve"> Clash of the Titans</t>
  </si>
  <si>
    <t xml:space="preserve"> Untraceable</t>
  </si>
  <si>
    <t xml:space="preserve"> Amalfi: Rewards of the Goddess</t>
  </si>
  <si>
    <t xml:space="preserve"> Shoot Down</t>
  </si>
  <si>
    <t xml:space="preserve"> Wild Child</t>
  </si>
  <si>
    <t xml:space="preserve"> Alamar</t>
  </si>
  <si>
    <t xml:space="preserve"> Kill Switch</t>
  </si>
  <si>
    <t xml:space="preserve"> King of Paper Chasin'</t>
  </si>
  <si>
    <t xml:space="preserve"> The Order of Myths</t>
  </si>
  <si>
    <t xml:space="preserve"> The Blind Side</t>
  </si>
  <si>
    <t xml:space="preserve"> Desu Noto 3: L: Change the World</t>
  </si>
  <si>
    <t xml:space="preserve"> Bodyguard: A New Beginning</t>
  </si>
  <si>
    <t xml:space="preserve"> Die Welle</t>
  </si>
  <si>
    <t xml:space="preserve"> The Visitor</t>
  </si>
  <si>
    <t xml:space="preserve"> Crossing Over</t>
  </si>
  <si>
    <t>Triumph Films</t>
  </si>
  <si>
    <t xml:space="preserve"> Sunny</t>
  </si>
  <si>
    <t xml:space="preserve"> Yoo-Hoo, Mrs. Goldberg</t>
  </si>
  <si>
    <t>Variance</t>
  </si>
  <si>
    <t>Gigantic Releasing</t>
  </si>
  <si>
    <t xml:space="preserve"> Jake's Corner</t>
  </si>
  <si>
    <t xml:space="preserve"> Three Monkeys</t>
  </si>
  <si>
    <t xml:space="preserve"> Hancock</t>
  </si>
  <si>
    <t xml:space="preserve"> Nim's Island</t>
  </si>
  <si>
    <t>First Run</t>
  </si>
  <si>
    <t xml:space="preserve"> Crank 2: High Voltage</t>
  </si>
  <si>
    <t xml:space="preserve"> I'm Not Like That No More</t>
  </si>
  <si>
    <t xml:space="preserve"> Grey Gardens</t>
  </si>
  <si>
    <t>Movie</t>
  </si>
  <si>
    <t xml:space="preserve"> Un Giorno Perfetto</t>
  </si>
  <si>
    <t xml:space="preserve"> Shuttle</t>
  </si>
  <si>
    <t xml:space="preserve"> Howl</t>
  </si>
  <si>
    <t xml:space="preserve"> Screamers: The Hunting</t>
  </si>
  <si>
    <t>DreamWorks / Paramount</t>
  </si>
  <si>
    <t xml:space="preserve"> See What I'm Saying</t>
  </si>
  <si>
    <t xml:space="preserve"> Offshore</t>
  </si>
  <si>
    <t>18 May 2007</t>
  </si>
  <si>
    <t xml:space="preserve"> Running on Empty Dreams</t>
  </si>
  <si>
    <t xml:space="preserve"> Jerusalema</t>
  </si>
  <si>
    <t xml:space="preserve"> Samson &amp; Delilah</t>
  </si>
  <si>
    <t xml:space="preserve"> The Ruins</t>
  </si>
  <si>
    <t xml:space="preserve"> Gooby</t>
  </si>
  <si>
    <t xml:space="preserve"> Anaconda 3: Offspring</t>
  </si>
  <si>
    <t xml:space="preserve"> My Friends Tigger &amp; Pooh - Hundred Acre Wood Haunt</t>
  </si>
  <si>
    <t xml:space="preserve"> Baby on Board</t>
  </si>
  <si>
    <t xml:space="preserve"> The Divine Weapon</t>
  </si>
  <si>
    <t xml:space="preserve"> Camp Rock</t>
  </si>
  <si>
    <t xml:space="preserve"> Adrenaline of Love</t>
  </si>
  <si>
    <t xml:space="preserve"> The Maid</t>
  </si>
  <si>
    <t xml:space="preserve"> Journey to the Center of the Earth</t>
  </si>
  <si>
    <t>Anchor Bay</t>
  </si>
  <si>
    <t xml:space="preserve"> American Radical: The Trials of Norman Finkelstein</t>
  </si>
  <si>
    <t>Paramount Classics</t>
  </si>
  <si>
    <t xml:space="preserve"> Take</t>
  </si>
  <si>
    <t>Mitropolous</t>
  </si>
  <si>
    <t xml:space="preserve"> Forgetting Sarah Marshall</t>
  </si>
  <si>
    <t xml:space="preserve"> Che, El Ar the Argentine</t>
  </si>
  <si>
    <t xml:space="preserve"> Night of the Demons</t>
  </si>
  <si>
    <t xml:space="preserve"> Street Warrior</t>
  </si>
  <si>
    <t xml:space="preserve"> Fraulein</t>
  </si>
  <si>
    <t xml:space="preserve"> Fuel</t>
  </si>
  <si>
    <t xml:space="preserve"> Walled In</t>
  </si>
  <si>
    <t xml:space="preserve"> The Outside</t>
  </si>
  <si>
    <t xml:space="preserve"> Blood: The Last Vampire</t>
  </si>
  <si>
    <t xml:space="preserve"> Gidarida Michyeo</t>
  </si>
  <si>
    <t xml:space="preserve"> Passchendaele</t>
  </si>
  <si>
    <t xml:space="preserve"> Adam Resurrected</t>
  </si>
  <si>
    <t xml:space="preserve"> Toe to Toe</t>
  </si>
  <si>
    <t xml:space="preserve"> Flashbacks of a Fool</t>
  </si>
  <si>
    <t xml:space="preserve"> Another Year</t>
  </si>
  <si>
    <t>*Casino Royale*</t>
  </si>
  <si>
    <t xml:space="preserve"> Donkey X</t>
  </si>
  <si>
    <t xml:space="preserve"> The Skeptic</t>
  </si>
  <si>
    <t xml:space="preserve"> Sorte Kugler</t>
  </si>
  <si>
    <t xml:space="preserve"> Jack Goes Boating</t>
  </si>
  <si>
    <t xml:space="preserve"> The Next Avengers: Heroes of Tomorrow</t>
  </si>
  <si>
    <t xml:space="preserve"> Nic and Tristan Go Mega Dega</t>
  </si>
  <si>
    <t xml:space="preserve"> Dolphins and Whales Tribes of the Ocean 3D</t>
  </si>
  <si>
    <t xml:space="preserve"> What Goes Up</t>
  </si>
  <si>
    <t xml:space="preserve"> Haunted Echoes</t>
  </si>
  <si>
    <t xml:space="preserve"> Running with Arnold</t>
  </si>
  <si>
    <t>*Iron Man 2*</t>
  </si>
  <si>
    <t xml:space="preserve"> The Brotherhood V: Alumni</t>
  </si>
  <si>
    <t xml:space="preserve"> Triangle</t>
  </si>
  <si>
    <t xml:space="preserve"> Leap Frog: Let's Go to School</t>
  </si>
  <si>
    <t xml:space="preserve"> The Town</t>
  </si>
  <si>
    <t xml:space="preserve"> Pig Hunt</t>
  </si>
  <si>
    <t xml:space="preserve"> William S. Burroughs: A Man Within</t>
  </si>
  <si>
    <t xml:space="preserve"> Krazzy 4</t>
  </si>
  <si>
    <t>*Hancock*</t>
  </si>
  <si>
    <t xml:space="preserve"> Mutants</t>
  </si>
  <si>
    <t>MTI</t>
  </si>
  <si>
    <t>16 May 2008</t>
  </si>
  <si>
    <t xml:space="preserve"> Wrong Side of Town</t>
  </si>
  <si>
    <t xml:space="preserve"> Kakushi toride no san akunin</t>
  </si>
  <si>
    <t xml:space="preserve"> Futurama - The Beast with a Billion Backs</t>
  </si>
  <si>
    <t xml:space="preserve"> Inside Job</t>
  </si>
  <si>
    <t xml:space="preserve"> The Losers</t>
  </si>
  <si>
    <t xml:space="preserve"> Polytechnique</t>
  </si>
  <si>
    <t xml:space="preserve"> Group Sex</t>
  </si>
  <si>
    <t xml:space="preserve"> Righteous Kill</t>
  </si>
  <si>
    <t xml:space="preserve"> Open Season 2</t>
  </si>
  <si>
    <t xml:space="preserve"> The Providence Effect</t>
  </si>
  <si>
    <t xml:space="preserve"> Into the Blue 2: The Reef</t>
  </si>
  <si>
    <t xml:space="preserve"> The 40 Year Old Virgin Who Knocked Up Sarah Marshall and Felt Superbad About It</t>
  </si>
  <si>
    <t xml:space="preserve"> The Cry</t>
  </si>
  <si>
    <t xml:space="preserve"> Fantastic Voyage</t>
  </si>
  <si>
    <t>Australia gross</t>
  </si>
  <si>
    <t xml:space="preserve"> Afutâ suk$ucirc;ru</t>
  </si>
  <si>
    <t xml:space="preserve"> 8 x 10 Tasveer</t>
  </si>
  <si>
    <t xml:space="preserve"> Der Baader Meinhof Komplex</t>
  </si>
  <si>
    <t>CAVU</t>
  </si>
  <si>
    <t xml:space="preserve"> Just Like the Son</t>
  </si>
  <si>
    <t xml:space="preserve"> The Other Man</t>
  </si>
  <si>
    <t xml:space="preserve"> Free Willy: Escape From Pirate's Cove</t>
  </si>
  <si>
    <t>First Look DVD</t>
  </si>
  <si>
    <t>Argot Pictures</t>
  </si>
  <si>
    <t xml:space="preserve"> Three Kingdoms: Resurrection of the Dragon</t>
  </si>
  <si>
    <t xml:space="preserve"> Shark City</t>
  </si>
  <si>
    <t xml:space="preserve"> Yaavarum Nalam</t>
  </si>
  <si>
    <t xml:space="preserve"> Autumn</t>
  </si>
  <si>
    <t xml:space="preserve"> La Rondine</t>
  </si>
  <si>
    <t xml:space="preserve"> Casino Jack</t>
  </si>
  <si>
    <t xml:space="preserve"> Kuraimâzu hai</t>
  </si>
  <si>
    <t xml:space="preserve"> The Graves</t>
  </si>
  <si>
    <t xml:space="preserve"> For Colored Girls Who Have Considered Suicide When the Rainbow is Enuf</t>
  </si>
  <si>
    <t xml:space="preserve"> Bar Starz</t>
  </si>
  <si>
    <t xml:space="preserve"> Elvis and Annabelle</t>
  </si>
  <si>
    <t xml:space="preserve"> Columbus Circle</t>
  </si>
  <si>
    <t xml:space="preserve"> The Love Guru</t>
  </si>
  <si>
    <t xml:space="preserve"> Meet the Browns</t>
  </si>
  <si>
    <t xml:space="preserve"> Harold</t>
  </si>
  <si>
    <t xml:space="preserve"> Scooby-Doo! Curse of the Lake Monster</t>
  </si>
  <si>
    <t>Australia</t>
  </si>
  <si>
    <t xml:space="preserve"> It Came From Kuchar</t>
  </si>
  <si>
    <t xml:space="preserve"> Finn on the Fly</t>
  </si>
  <si>
    <t xml:space="preserve"> Wild Things 4</t>
  </si>
  <si>
    <t xml:space="preserve"> The Prisoners</t>
  </si>
  <si>
    <t xml:space="preserve"> Fog Warning</t>
  </si>
  <si>
    <t xml:space="preserve"> L'heure d'été</t>
  </si>
  <si>
    <t xml:space="preserve"> All About Steve</t>
  </si>
  <si>
    <t xml:space="preserve"> Mercy</t>
  </si>
  <si>
    <t xml:space="preserve"> Babylon A.D.</t>
  </si>
  <si>
    <t xml:space="preserve"> The Great Buck Howard</t>
  </si>
  <si>
    <t xml:space="preserve"> Kung Fu Cyborg</t>
  </si>
  <si>
    <t xml:space="preserve"> Henri-Georges Clouzot's Inferno</t>
  </si>
  <si>
    <t xml:space="preserve"> Á Deriva</t>
  </si>
  <si>
    <t xml:space="preserve"> Christmas on Mars</t>
  </si>
  <si>
    <t xml:space="preserve"> Pulse 2: Afterlife</t>
  </si>
  <si>
    <t xml:space="preserve"> Io, Loro e Lara</t>
  </si>
  <si>
    <t xml:space="preserve"> Weather Girl</t>
  </si>
  <si>
    <t xml:space="preserve"> Adam</t>
  </si>
  <si>
    <t xml:space="preserve"> Dare Not Walk Alone</t>
  </si>
  <si>
    <t xml:space="preserve"> Love and Debate</t>
  </si>
  <si>
    <t xml:space="preserve"> The Drawn Together Movie: The Movie</t>
  </si>
  <si>
    <t xml:space="preserve"> Oye Lucky! Lucky Oye!</t>
  </si>
  <si>
    <t>Universal</t>
  </si>
  <si>
    <t xml:space="preserve"> Chatterbox</t>
  </si>
  <si>
    <t xml:space="preserve"> Jade Warrior</t>
  </si>
  <si>
    <t xml:space="preserve"> Verdone</t>
  </si>
  <si>
    <t>Peace Arch Releasing</t>
  </si>
  <si>
    <t xml:space="preserve"> Women Without Men</t>
  </si>
  <si>
    <t xml:space="preserve"> Adulthood</t>
  </si>
  <si>
    <t xml:space="preserve"> Keep Coming Back</t>
  </si>
  <si>
    <t xml:space="preserve"> I Can Do Bad All By Myself</t>
  </si>
  <si>
    <t>Sidetrack Films</t>
  </si>
  <si>
    <t xml:space="preserve"> American Bandits</t>
  </si>
  <si>
    <t xml:space="preserve"> The Cool School</t>
  </si>
  <si>
    <t xml:space="preserve"> The Trial</t>
  </si>
  <si>
    <t xml:space="preserve"> Fast Lane</t>
  </si>
  <si>
    <t xml:space="preserve"> Weapons</t>
  </si>
  <si>
    <t xml:space="preserve"> Serge Gainsbourg, vie heroique</t>
  </si>
  <si>
    <t xml:space="preserve"> Halloween 2</t>
  </si>
  <si>
    <t xml:space="preserve"> Rise of the Footsoldier</t>
  </si>
  <si>
    <t xml:space="preserve"> Law Abiding Citizen</t>
  </si>
  <si>
    <t xml:space="preserve"> Cats &amp; Dogs: The Revenge of Kitty Galore</t>
  </si>
  <si>
    <t xml:space="preserve"> Ocean of Pearls</t>
  </si>
  <si>
    <t xml:space="preserve"> Made for Each Other</t>
  </si>
  <si>
    <t xml:space="preserve"> The Burning Plain</t>
  </si>
  <si>
    <t xml:space="preserve"> Wool-hak-kyo I-ti</t>
  </si>
  <si>
    <t xml:space="preserve"> Baby and Me</t>
  </si>
  <si>
    <t xml:space="preserve"> Michael Jackson's This Is It</t>
  </si>
  <si>
    <t xml:space="preserve"> Scooby-Doo and the Samurai Sword</t>
  </si>
  <si>
    <t xml:space="preserve"> Fist of the Warrior</t>
  </si>
  <si>
    <t>Lafayette Films</t>
  </si>
  <si>
    <t xml:space="preserve"> Perro come perro</t>
  </si>
  <si>
    <t>2007 Rank</t>
  </si>
  <si>
    <t xml:space="preserve"> The Thaw</t>
  </si>
  <si>
    <t xml:space="preserve"> Misconceptions</t>
  </si>
  <si>
    <t xml:space="preserve"> My Dog Tulip</t>
  </si>
  <si>
    <t xml:space="preserve"> In the Name of the King: A Dungeon Siege Tale</t>
  </si>
  <si>
    <t xml:space="preserve"> Appaloosa</t>
  </si>
  <si>
    <t xml:space="preserve"> The Pirates Who Don't Do Anything: A VeggieTales Movie</t>
  </si>
  <si>
    <t xml:space="preserve"> Unstable Fables - Tortoise vs. Hare</t>
  </si>
  <si>
    <t xml:space="preserve"> City of Ember</t>
  </si>
  <si>
    <t xml:space="preserve"> The Chaser</t>
  </si>
  <si>
    <t xml:space="preserve"> La personne aux deux personnes</t>
  </si>
  <si>
    <t xml:space="preserve"> Hulk VS.</t>
  </si>
  <si>
    <t xml:space="preserve"> District 9</t>
  </si>
  <si>
    <t xml:space="preserve"> Carriers</t>
  </si>
  <si>
    <t xml:space="preserve"> The Dark Knight</t>
  </si>
  <si>
    <t xml:space="preserve"> Is Anybody There?</t>
  </si>
  <si>
    <t xml:space="preserve"> Whiz Kids</t>
  </si>
  <si>
    <t xml:space="preserve"> Oceans</t>
  </si>
  <si>
    <t xml:space="preserve"> Goodbye Solo</t>
  </si>
  <si>
    <t xml:space="preserve"> RoboCop</t>
  </si>
  <si>
    <t>DreamWorks/Paramount</t>
  </si>
  <si>
    <t xml:space="preserve"> Accidents Happen</t>
  </si>
  <si>
    <t xml:space="preserve"> Stone Bros.</t>
  </si>
  <si>
    <t xml:space="preserve"> Ghost Town</t>
  </si>
  <si>
    <t xml:space="preserve"> Camille</t>
  </si>
  <si>
    <t xml:space="preserve"> Marmaduke</t>
  </si>
  <si>
    <t xml:space="preserve"> The Art of Being Straight</t>
  </si>
  <si>
    <t xml:space="preserve"> Drifter: Henry Lee Lucas</t>
  </si>
  <si>
    <t xml:space="preserve"> Amreeka</t>
  </si>
  <si>
    <t xml:space="preserve"> The Business of Being Born</t>
  </si>
  <si>
    <t>2005-05-04</t>
  </si>
  <si>
    <t>*Night at the Museum*</t>
  </si>
  <si>
    <t xml:space="preserve"> New York, I Love You</t>
  </si>
  <si>
    <t>14 November 2008</t>
  </si>
  <si>
    <t>Arts Alliance</t>
  </si>
  <si>
    <t xml:space="preserve"> Revolutionary Road</t>
  </si>
  <si>
    <t>May 18, 2010</t>
  </si>
  <si>
    <t xml:space="preserve"> The 41-Year-Old Virgin Who Knocked Up Sarah Marshall and Felt Superbad About It</t>
  </si>
  <si>
    <t xml:space="preserve"> Good</t>
  </si>
  <si>
    <t xml:space="preserve"> Attack on Darfur</t>
  </si>
  <si>
    <t xml:space="preserve"> Murder in Fashion</t>
  </si>
  <si>
    <t>Tontine Films</t>
  </si>
  <si>
    <t xml:space="preserve"> The Dark Lurking</t>
  </si>
  <si>
    <t xml:space="preserve"> The Telling</t>
  </si>
  <si>
    <t xml:space="preserve"> Moonlight Serenade</t>
  </si>
  <si>
    <t>November 18, 2005</t>
  </si>
  <si>
    <t xml:space="preserve"> Last Train Home</t>
  </si>
  <si>
    <t xml:space="preserve"> La Ventana</t>
  </si>
  <si>
    <t xml:space="preserve"> Passport to Love</t>
  </si>
  <si>
    <t xml:space="preserve"> C Me Dance</t>
  </si>
  <si>
    <t>Maya Releasing</t>
  </si>
  <si>
    <t xml:space="preserve"> Street Kings</t>
  </si>
  <si>
    <t xml:space="preserve"> Pressure Cooker</t>
  </si>
  <si>
    <t xml:space="preserve"> If I Die Tonight</t>
  </si>
  <si>
    <t xml:space="preserve"> Humanity's End</t>
  </si>
  <si>
    <t xml:space="preserve"> Through the Glass</t>
  </si>
  <si>
    <t xml:space="preserve"> Nightwatching</t>
  </si>
  <si>
    <t xml:space="preserve"> What Would Jesus Do?</t>
  </si>
  <si>
    <t xml:space="preserve"> Angus, Thongs and Perfect Snogging</t>
  </si>
  <si>
    <t xml:space="preserve"> I'm No Dummy</t>
  </si>
  <si>
    <t xml:space="preserve"> Company K</t>
  </si>
  <si>
    <t xml:space="preserve"> The Killer Inside Me</t>
  </si>
  <si>
    <t xml:space="preserve"> Race to Witch Mountain</t>
  </si>
  <si>
    <t xml:space="preserve"> Iron Man</t>
  </si>
  <si>
    <t xml:space="preserve"> Futurama - Bender's Game</t>
  </si>
  <si>
    <t xml:space="preserve"> Çilgin Dersane Kampta</t>
  </si>
  <si>
    <t xml:space="preserve"> Carlos</t>
  </si>
  <si>
    <t xml:space="preserve"> Dreams With Sharp Teeth</t>
  </si>
  <si>
    <t xml:space="preserve"> My Sister's Keeper</t>
  </si>
  <si>
    <t xml:space="preserve"> The Scorpion King 2: Rise of a Warrior</t>
  </si>
  <si>
    <t xml:space="preserve"> Creation</t>
  </si>
  <si>
    <t xml:space="preserve"> Bachna Ae Haseeno</t>
  </si>
  <si>
    <t xml:space="preserve"> Streetballers</t>
  </si>
  <si>
    <t xml:space="preserve"> Tokyo!</t>
  </si>
  <si>
    <t xml:space="preserve"> Remember Me</t>
  </si>
  <si>
    <t xml:space="preserve"> Night at the Museum: Battle of the Smithsonian</t>
  </si>
  <si>
    <t xml:space="preserve"> Yihe yuan</t>
  </si>
  <si>
    <t xml:space="preserve"> Ahead of Time</t>
  </si>
  <si>
    <t xml:space="preserve"> Aashayein</t>
  </si>
  <si>
    <t xml:space="preserve"> Shutter Island</t>
  </si>
  <si>
    <t xml:space="preserve"> The Informant</t>
  </si>
  <si>
    <t xml:space="preserve"> The Poker Club</t>
  </si>
  <si>
    <t xml:space="preserve"> Portal</t>
  </si>
  <si>
    <t>Warner Bros.</t>
  </si>
  <si>
    <t xml:space="preserve"> Crowley</t>
  </si>
  <si>
    <t xml:space="preserve"> Rob Zombie Presents The Haunted World of El Superbeasto</t>
  </si>
  <si>
    <t>Mile End Films</t>
  </si>
  <si>
    <t xml:space="preserve"> Two Tigers</t>
  </si>
  <si>
    <t xml:space="preserve"> In Tranzit</t>
  </si>
  <si>
    <t>Third Rail</t>
  </si>
  <si>
    <t xml:space="preserve"> Shutter</t>
  </si>
  <si>
    <t xml:space="preserve"> Tulpan</t>
  </si>
  <si>
    <t>Miramax</t>
  </si>
  <si>
    <t xml:space="preserve"> Clock Tower</t>
  </si>
  <si>
    <t xml:space="preserve"> The Wildest Dream</t>
  </si>
  <si>
    <t xml:space="preserve"> Lake Placid 2</t>
  </si>
  <si>
    <t xml:space="preserve"> Mortal Kombat 3: Devastation</t>
  </si>
  <si>
    <t>6 June 2008</t>
  </si>
  <si>
    <t xml:space="preserve"> The Last Exorcism</t>
  </si>
  <si>
    <t xml:space="preserve"> Steppin: The Movie</t>
  </si>
  <si>
    <t xml:space="preserve"> A Single Man</t>
  </si>
  <si>
    <t xml:space="preserve"> Joan Rivers: A Piece of Work</t>
  </si>
  <si>
    <t xml:space="preserve"> Samson and Delilah (San Francisco Opera)</t>
  </si>
  <si>
    <t xml:space="preserve"> Watchmen: Tales of the Black Freighter and Under the Hood</t>
  </si>
  <si>
    <t xml:space="preserve"> Justice League: Crisis on Two Earths</t>
  </si>
  <si>
    <t xml:space="preserve"> Le renard et l'enfant</t>
  </si>
  <si>
    <t xml:space="preserve"> Sodot Ha</t>
  </si>
  <si>
    <t>ThinkFilm</t>
  </si>
  <si>
    <t>2008-05-02</t>
  </si>
  <si>
    <t xml:space="preserve"> Touching Home</t>
  </si>
  <si>
    <t xml:space="preserve"> Cidade dos Homens</t>
  </si>
  <si>
    <t xml:space="preserve"> Before I Self Destruct</t>
  </si>
  <si>
    <t xml:space="preserve"> John Rabe</t>
  </si>
  <si>
    <t xml:space="preserve"> Hurricane Season</t>
  </si>
  <si>
    <t>DreamWorks SKG</t>
  </si>
  <si>
    <t>Music Box</t>
  </si>
  <si>
    <t xml:space="preserve"> Storm Warning</t>
  </si>
  <si>
    <t xml:space="preserve"> L'enfant prodige</t>
  </si>
  <si>
    <t xml:space="preserve"> The Loss of a Teardrop Diamond</t>
  </si>
  <si>
    <t xml:space="preserve"> Fighting</t>
  </si>
  <si>
    <t xml:space="preserve"> Doomsday</t>
  </si>
  <si>
    <t xml:space="preserve"> Trumbo</t>
  </si>
  <si>
    <t xml:space="preserve"> Food, Inc.</t>
  </si>
  <si>
    <t xml:space="preserve"> Coach</t>
  </si>
  <si>
    <t xml:space="preserve"> Otis</t>
  </si>
  <si>
    <t xml:space="preserve"> Death Warrior</t>
  </si>
  <si>
    <t xml:space="preserve"> Beetle Queen Conquers Tokyo</t>
  </si>
  <si>
    <t xml:space="preserve"> My Winnipeg</t>
  </si>
  <si>
    <t xml:space="preserve"> Centurion</t>
  </si>
  <si>
    <t xml:space="preserve"> Luck by Chance</t>
  </si>
  <si>
    <t xml:space="preserve"> Fados</t>
  </si>
  <si>
    <t xml:space="preserve"> Smoke Jumper</t>
  </si>
  <si>
    <t xml:space="preserve"> The Clique</t>
  </si>
  <si>
    <t xml:space="preserve"> The Wolf Man</t>
  </si>
  <si>
    <t xml:space="preserve"> Satan</t>
  </si>
  <si>
    <t xml:space="preserve"> A Perfect Getaway</t>
  </si>
  <si>
    <t xml:space="preserve"> Flowers in the Shadow</t>
  </si>
  <si>
    <t xml:space="preserve"> Exiles, The</t>
  </si>
  <si>
    <t xml:space="preserve"> Mission Istaanbul</t>
  </si>
  <si>
    <t xml:space="preserve"> Disney's A Christmas Carol</t>
  </si>
  <si>
    <t xml:space="preserve"> Revanche</t>
  </si>
  <si>
    <t>Better World</t>
  </si>
  <si>
    <t xml:space="preserve"> The Incredible Shrinking Man</t>
  </si>
  <si>
    <t xml:space="preserve"> Unthinkable</t>
  </si>
  <si>
    <t xml:space="preserve"> Mega Shark vs. Giant Octopus</t>
  </si>
  <si>
    <t xml:space="preserve"> Strange Powers: Stephin Merritt and the Magnetic Fields</t>
  </si>
  <si>
    <t xml:space="preserve"> Run For Your Life</t>
  </si>
  <si>
    <t xml:space="preserve"> Changeling</t>
  </si>
  <si>
    <t xml:space="preserve"> Sweetgrass</t>
  </si>
  <si>
    <t xml:space="preserve"> Feast II: Sloppy Seconds</t>
  </si>
  <si>
    <t xml:space="preserve"> Pistol Whipped</t>
  </si>
  <si>
    <t xml:space="preserve"> Enfin Veuve</t>
  </si>
  <si>
    <t xml:space="preserve"> Talento de Barrio</t>
  </si>
  <si>
    <t xml:space="preserve"> Sex Positive</t>
  </si>
  <si>
    <t xml:space="preserve"> Scott Walker: 30 Century Man</t>
  </si>
  <si>
    <t xml:space="preserve"> Harry Potter and the Deathly Hallows: Part I</t>
  </si>
  <si>
    <t>Lionsgate Home</t>
  </si>
  <si>
    <t xml:space="preserve"> The Oogieloves in the BIG Balloon Adventure</t>
  </si>
  <si>
    <t xml:space="preserve"> Heartless</t>
  </si>
  <si>
    <t xml:space="preserve"> What Happens in Vegas...</t>
  </si>
  <si>
    <t xml:space="preserve"> 12 in a Box</t>
  </si>
  <si>
    <t xml:space="preserve"> Small Town Saturday Night</t>
  </si>
  <si>
    <t xml:space="preserve"> The Horsemen</t>
  </si>
  <si>
    <t xml:space="preserve"> The Runaways</t>
  </si>
  <si>
    <t xml:space="preserve"> Leaves of Grass</t>
  </si>
  <si>
    <t xml:space="preserve"> Wasington</t>
  </si>
  <si>
    <t xml:space="preserve"> Stopping Power</t>
  </si>
  <si>
    <t xml:space="preserve"> My Bloody Valentine</t>
  </si>
  <si>
    <t xml:space="preserve"> A Shine of Rainbows</t>
  </si>
  <si>
    <t xml:space="preserve"> Kwong saan mei yan</t>
  </si>
  <si>
    <t xml:space="preserve"> Harold &amp; Kumar Escape from Guantanamo Bay</t>
  </si>
  <si>
    <t xml:space="preserve"> Costa Rican Summer</t>
  </si>
  <si>
    <t>*King Kong*</t>
  </si>
  <si>
    <t xml:space="preserve"> Fire and Ice</t>
  </si>
  <si>
    <t xml:space="preserve"> Cropsey</t>
  </si>
  <si>
    <t xml:space="preserve"> Mardi Gras</t>
  </si>
  <si>
    <t>*The Dark Knight*</t>
  </si>
  <si>
    <t xml:space="preserve"> The Pleasure of Being Robbed</t>
  </si>
  <si>
    <t xml:space="preserve"> Balls Out: Gary the Tennis Coach</t>
  </si>
  <si>
    <t xml:space="preserve"> Take Out</t>
  </si>
  <si>
    <t xml:space="preserve"> Bao Chi Tong Hua</t>
  </si>
  <si>
    <t xml:space="preserve"> Gli Ultimi Della Strada</t>
  </si>
  <si>
    <t xml:space="preserve"> Nursery University</t>
  </si>
  <si>
    <t xml:space="preserve"> America Betrayed</t>
  </si>
  <si>
    <t xml:space="preserve"> Captain Abu Raed</t>
  </si>
  <si>
    <t xml:space="preserve"> Stargate - The Ark of Truth</t>
  </si>
  <si>
    <t xml:space="preserve"> Indigo</t>
  </si>
  <si>
    <t xml:space="preserve"> Hell Ride</t>
  </si>
  <si>
    <t xml:space="preserve"> Soul Kitchen</t>
  </si>
  <si>
    <t xml:space="preserve"> Taking Chance</t>
  </si>
  <si>
    <t>Palisades</t>
  </si>
  <si>
    <t xml:space="preserve"> Legion</t>
  </si>
  <si>
    <t>Viva Entertainment</t>
  </si>
  <si>
    <t xml:space="preserve"> Valley of the Hearts Delight</t>
  </si>
  <si>
    <t xml:space="preserve"> Heavy Metal in Baghdad</t>
  </si>
  <si>
    <t xml:space="preserve"> Julie &amp; Julia</t>
  </si>
  <si>
    <t xml:space="preserve"> Virtual JFK: Vietnam If Kennedy Had Lived</t>
  </si>
  <si>
    <t xml:space="preserve"> Un été sans point ni coup sûr</t>
  </si>
  <si>
    <t xml:space="preserve"> Lost City Raiders</t>
  </si>
  <si>
    <t xml:space="preserve"> La Ligne Brisée</t>
  </si>
  <si>
    <t xml:space="preserve"> Bart Got a Room</t>
  </si>
  <si>
    <t xml:space="preserve"> Valentine's Day</t>
  </si>
  <si>
    <t xml:space="preserve"> Invictus</t>
  </si>
  <si>
    <t xml:space="preserve"> Dolan's Cadillac</t>
  </si>
  <si>
    <t xml:space="preserve"> Story of Bonnie and Clyde, The</t>
  </si>
  <si>
    <t xml:space="preserve"> Death in Love</t>
  </si>
  <si>
    <t xml:space="preserve"> The Boys are Back</t>
  </si>
  <si>
    <t xml:space="preserve"> The Stranger</t>
  </si>
  <si>
    <t xml:space="preserve"> Terra Nova</t>
  </si>
  <si>
    <t xml:space="preserve"> Ghosted</t>
  </si>
  <si>
    <t xml:space="preserve"> Smile Pretty</t>
  </si>
  <si>
    <t xml:space="preserve"> Two Lovers</t>
  </si>
  <si>
    <t xml:space="preserve"> Lesbian Vampire Killers</t>
  </si>
  <si>
    <t xml:space="preserve"> Twilight in Forks: Saga of the Real Town</t>
  </si>
  <si>
    <t xml:space="preserve"> Goal! 2: Living the Dream...</t>
  </si>
  <si>
    <t xml:space="preserve"> Vida de familia</t>
  </si>
  <si>
    <t xml:space="preserve"> Ricky</t>
  </si>
  <si>
    <t xml:space="preserve"> Westbrick Murders</t>
  </si>
  <si>
    <t xml:space="preserve"> I Do &amp; I Don't</t>
  </si>
  <si>
    <t xml:space="preserve"> The Spiderwick Chronicles</t>
  </si>
  <si>
    <t xml:space="preserve"> Los paranoicos</t>
  </si>
  <si>
    <t xml:space="preserve"> Kill Buljo</t>
  </si>
  <si>
    <t>18 June 2010</t>
  </si>
  <si>
    <t xml:space="preserve"> 71: Into the Fire</t>
  </si>
  <si>
    <t xml:space="preserve"> One Peace at a Time</t>
  </si>
  <si>
    <t xml:space="preserve"> Repo Men</t>
  </si>
  <si>
    <t xml:space="preserve"> The Oxford Murders</t>
  </si>
  <si>
    <t>*The Da Vinci Code*</t>
  </si>
  <si>
    <t xml:space="preserve"> Towelhead</t>
  </si>
  <si>
    <t xml:space="preserve"> Monster Beach Party</t>
  </si>
  <si>
    <t xml:space="preserve"> Backwoods</t>
  </si>
  <si>
    <t xml:space="preserve"> Kleiner Dodo</t>
  </si>
  <si>
    <t xml:space="preserve"> Seuls two</t>
  </si>
  <si>
    <t xml:space="preserve"> Holding Trevor</t>
  </si>
  <si>
    <t xml:space="preserve"> Frontrunners</t>
  </si>
  <si>
    <t xml:space="preserve"> Logan</t>
  </si>
  <si>
    <t xml:space="preserve"> Midnight Meat Train</t>
  </si>
  <si>
    <t xml:space="preserve"> The Cremaster Cycle</t>
  </si>
  <si>
    <t xml:space="preserve"> Beatdown</t>
  </si>
  <si>
    <t xml:space="preserve"> Shall We Kiss?</t>
  </si>
  <si>
    <t xml:space="preserve"> Defiance</t>
  </si>
  <si>
    <t xml:space="preserve"> Convention</t>
  </si>
  <si>
    <t xml:space="preserve"> White Wedding</t>
  </si>
  <si>
    <t xml:space="preserve"> The Art of the Steal</t>
  </si>
  <si>
    <t xml:space="preserve"> Love and Other Drugs</t>
  </si>
  <si>
    <t xml:space="preserve"> The Art of War III: Retribution</t>
  </si>
  <si>
    <t xml:space="preserve"> Scooby Doo: Abracadabra-Doo</t>
  </si>
  <si>
    <t>*Angels &amp; Demons*</t>
  </si>
  <si>
    <t xml:space="preserve"> Unsettled</t>
  </si>
  <si>
    <t>Paramount</t>
  </si>
  <si>
    <t xml:space="preserve"> Westminster Wife Show</t>
  </si>
  <si>
    <t xml:space="preserve"> Basement Jack</t>
  </si>
  <si>
    <t xml:space="preserve"> Raging Phoenix</t>
  </si>
  <si>
    <t xml:space="preserve"> Ip Man</t>
  </si>
  <si>
    <t xml:space="preserve"> Frost/Nixon</t>
  </si>
  <si>
    <t xml:space="preserve"> Somers Town</t>
  </si>
  <si>
    <t xml:space="preserve"> The Duchess</t>
  </si>
  <si>
    <t>$*798,958,162*</t>
  </si>
  <si>
    <t xml:space="preserve"> The Flock</t>
  </si>
  <si>
    <t>*Toy Story 3*</t>
  </si>
  <si>
    <t xml:space="preserve"> Nishi no majo ga shinda</t>
  </si>
  <si>
    <t xml:space="preserve"> Surrogates</t>
  </si>
  <si>
    <t xml:space="preserve"> The Betrayed</t>
  </si>
  <si>
    <t xml:space="preserve"> Hello</t>
  </si>
  <si>
    <t>Buena Vista</t>
  </si>
  <si>
    <t xml:space="preserve"> Call of the Wild 3D</t>
  </si>
  <si>
    <t xml:space="preserve"> Black Dynamite</t>
  </si>
  <si>
    <t xml:space="preserve"> Garden Party</t>
  </si>
  <si>
    <t xml:space="preserve"> De Taali</t>
  </si>
  <si>
    <t>U.K. Gross</t>
  </si>
  <si>
    <t xml:space="preserve"> Tired of Kissing Frogs</t>
  </si>
  <si>
    <t xml:space="preserve"> Rocket Singh: Salesman of the Year</t>
  </si>
  <si>
    <t xml:space="preserve"> Veer</t>
  </si>
  <si>
    <t xml:space="preserve"> American Violet</t>
  </si>
  <si>
    <t xml:space="preserve"> Monsters vs. Aliens</t>
  </si>
  <si>
    <t xml:space="preserve"> Chun Feng Chen Zui De Ye Wan</t>
  </si>
  <si>
    <t xml:space="preserve"> Incendiary</t>
  </si>
  <si>
    <t xml:space="preserve"> The Signal</t>
  </si>
  <si>
    <t xml:space="preserve"> Un'Estate al mare</t>
  </si>
  <si>
    <t xml:space="preserve"> The Afterlight</t>
  </si>
  <si>
    <t xml:space="preserve"> Dancing Across Borders</t>
  </si>
  <si>
    <t xml:space="preserve"> Resident Evil: Afterlife 3D</t>
  </si>
  <si>
    <t xml:space="preserve"> The Crazies</t>
  </si>
  <si>
    <t xml:space="preserve"> The Poughkeepsie Tapes</t>
  </si>
  <si>
    <t xml:space="preserve"> The Last International Playboy</t>
  </si>
  <si>
    <t xml:space="preserve"> Peacock</t>
  </si>
  <si>
    <t xml:space="preserve"> Krabat</t>
  </si>
  <si>
    <t xml:space="preserve"> The Last Song</t>
  </si>
  <si>
    <t xml:space="preserve"> The Steam Experiment</t>
  </si>
  <si>
    <t xml:space="preserve"> Affaire de famille</t>
  </si>
  <si>
    <t xml:space="preserve"> Terry Fator: Live from Las Vegas</t>
  </si>
  <si>
    <t xml:space="preserve"> Midgets vs Mascots</t>
  </si>
  <si>
    <t xml:space="preserve"> Women's Team Handball</t>
  </si>
  <si>
    <t>Lion's Gate</t>
  </si>
  <si>
    <t xml:space="preserve"> Beyond the Epic Run</t>
  </si>
  <si>
    <t>Rialto</t>
  </si>
  <si>
    <t xml:space="preserve"> Strange Wilderness</t>
  </si>
  <si>
    <t xml:space="preserve"> Montana (Russia, 2008)</t>
  </si>
  <si>
    <t xml:space="preserve"> The Social Network</t>
  </si>
  <si>
    <t xml:space="preserve"> Superman/Batman: Public Enemies</t>
  </si>
  <si>
    <t>UTV</t>
  </si>
  <si>
    <t xml:space="preserve"> Fifty Dead Men Walking</t>
  </si>
  <si>
    <t xml:space="preserve"> BearCity</t>
  </si>
  <si>
    <t xml:space="preserve"> Just Say Love</t>
  </si>
  <si>
    <t xml:space="preserve"> Tamo i ovde</t>
  </si>
  <si>
    <t xml:space="preserve"> Little Chenier</t>
  </si>
  <si>
    <t xml:space="preserve"> Giorni e nuvole</t>
  </si>
  <si>
    <t xml:space="preserve"> Biutiful</t>
  </si>
  <si>
    <t xml:space="preserve"> When Love Begins...</t>
  </si>
  <si>
    <t xml:space="preserve"> Tyson</t>
  </si>
  <si>
    <t xml:space="preserve"> Tom and Jerry's Greatest Chases, Volume 2</t>
  </si>
  <si>
    <t xml:space="preserve"> Death at a Funeral</t>
  </si>
  <si>
    <t xml:space="preserve"> MR 73</t>
  </si>
  <si>
    <t xml:space="preserve"> Beautiful Ohio</t>
  </si>
  <si>
    <t xml:space="preserve"> Lost Boys: The Thirst</t>
  </si>
  <si>
    <t xml:space="preserve"> Irene in Time</t>
  </si>
  <si>
    <t xml:space="preserve"> The Hurt Locker</t>
  </si>
  <si>
    <t>*Harry Potter and the Goblet of Fire*</t>
  </si>
  <si>
    <t xml:space="preserve"> Tom and Jerry's Greatest Chases, Volume 3</t>
  </si>
  <si>
    <t xml:space="preserve"> The Experiment</t>
  </si>
  <si>
    <t xml:space="preserve"> Splinterheads</t>
  </si>
  <si>
    <t xml:space="preserve"> Fatal</t>
  </si>
  <si>
    <t xml:space="preserve"> The Betrayal</t>
  </si>
  <si>
    <t xml:space="preserve"> Book of Blood</t>
  </si>
  <si>
    <t xml:space="preserve"> Short Order</t>
  </si>
  <si>
    <t xml:space="preserve"> Shoot on Sight</t>
  </si>
  <si>
    <t xml:space="preserve"> Rare Exports: A Christmas Tale</t>
  </si>
  <si>
    <t xml:space="preserve"> Marley &amp; Me</t>
  </si>
  <si>
    <t xml:space="preserve"> Pokemon 2009</t>
  </si>
  <si>
    <t xml:space="preserve"> Time and Tide</t>
  </si>
  <si>
    <t xml:space="preserve"> Pokemon 2008</t>
  </si>
  <si>
    <t xml:space="preserve"> Summer's Moon</t>
  </si>
  <si>
    <t xml:space="preserve"> Rush - Snakes &amp; Arrows Live</t>
  </si>
  <si>
    <t xml:space="preserve"> We're the Millers</t>
  </si>
  <si>
    <t xml:space="preserve"> Frankie and Alice</t>
  </si>
  <si>
    <t xml:space="preserve"> The Tooth Fairy</t>
  </si>
  <si>
    <t xml:space="preserve"> The Other Boleyn Girl</t>
  </si>
  <si>
    <t xml:space="preserve"> Black Water Transit</t>
  </si>
  <si>
    <t xml:space="preserve"> Dare</t>
  </si>
  <si>
    <t xml:space="preserve"> Warrior</t>
  </si>
  <si>
    <t>IFC Films</t>
  </si>
  <si>
    <t xml:space="preserve"> I'm Still Here</t>
  </si>
  <si>
    <t xml:space="preserve"> Tyler Perry's Marriage Counselor</t>
  </si>
  <si>
    <t xml:space="preserve"> American Grindhouse</t>
  </si>
  <si>
    <t xml:space="preserve"> Carlitos y el campo de los seños</t>
  </si>
  <si>
    <t xml:space="preserve"> La Soga</t>
  </si>
  <si>
    <t xml:space="preserve"> La terza madre</t>
  </si>
  <si>
    <t xml:space="preserve"> You Won't Miss Me</t>
  </si>
  <si>
    <t xml:space="preserve"> The Daisy Chain</t>
  </si>
  <si>
    <t>Dimension</t>
  </si>
  <si>
    <t xml:space="preserve"> Filth and Wisdom</t>
  </si>
  <si>
    <t xml:space="preserve"> Mr. Troop Mom</t>
  </si>
  <si>
    <t>AdLab Films</t>
  </si>
  <si>
    <t xml:space="preserve"> High Life</t>
  </si>
  <si>
    <t xml:space="preserve"> Operation Filmmaker</t>
  </si>
  <si>
    <t xml:space="preserve"> Mentiras y Gordas</t>
  </si>
  <si>
    <t xml:space="preserve"> Amhurst</t>
  </si>
  <si>
    <t xml:space="preserve"> Doubt</t>
  </si>
  <si>
    <t xml:space="preserve"> Delhi 6</t>
  </si>
  <si>
    <t xml:space="preserve"> Hausu</t>
  </si>
  <si>
    <t xml:space="preserve"> Dans une galaxie pres de chez vous 2</t>
  </si>
  <si>
    <t xml:space="preserve"> Ikigami</t>
  </si>
  <si>
    <t>Blank</t>
  </si>
  <si>
    <t>text?</t>
  </si>
  <si>
    <t>date</t>
  </si>
  <si>
    <t>Sum of all</t>
  </si>
  <si>
    <t>Total Revenue</t>
  </si>
  <si>
    <t>Count</t>
  </si>
  <si>
    <t>Anchor Bay Entertainment</t>
  </si>
  <si>
    <t>First Look Pictures</t>
  </si>
  <si>
    <t>Sony Pictures Classics</t>
  </si>
  <si>
    <t>Giant Screen Films</t>
  </si>
  <si>
    <t>Weinstein</t>
  </si>
  <si>
    <t>Chicago Releasing</t>
  </si>
  <si>
    <t>FreeStyle Releasing</t>
  </si>
  <si>
    <t>Palm Pictures</t>
  </si>
  <si>
    <t>7th Art</t>
  </si>
  <si>
    <t>Off Hollywood Pictures</t>
  </si>
  <si>
    <t>Kidtoon Films</t>
  </si>
  <si>
    <t>Lifesize</t>
  </si>
  <si>
    <t>Viz Pictures</t>
  </si>
  <si>
    <t>Film Sales Co.</t>
  </si>
  <si>
    <t>Argot</t>
  </si>
  <si>
    <t>Newroz</t>
  </si>
  <si>
    <t>Vagrant</t>
  </si>
  <si>
    <t>Paramount Vantange</t>
  </si>
  <si>
    <t>Iron Man</t>
  </si>
  <si>
    <t>City Lights Pictures</t>
  </si>
  <si>
    <t>Magic Lamp</t>
  </si>
  <si>
    <t>Wildcat Releasing</t>
  </si>
  <si>
    <t>Black Diamond Pictures</t>
  </si>
  <si>
    <t>The Bigger Picture</t>
  </si>
  <si>
    <t>600 West</t>
  </si>
  <si>
    <t>Railroad Square</t>
  </si>
  <si>
    <t>Shemaroo ent.</t>
  </si>
  <si>
    <t>Luminous Velocity Releasing</t>
  </si>
  <si>
    <t>Milestone</t>
  </si>
  <si>
    <t>Menemsha Films</t>
  </si>
  <si>
    <t>Excel Entertainment</t>
  </si>
  <si>
    <t>Linn Prods.</t>
  </si>
  <si>
    <t>Pocket Releasing</t>
  </si>
  <si>
    <t>Adlab</t>
  </si>
  <si>
    <t>Moderncine</t>
  </si>
  <si>
    <t>AV Productions</t>
  </si>
  <si>
    <t>Jung'n'Restless</t>
  </si>
  <si>
    <t>Lifesize Ent.</t>
  </si>
  <si>
    <t>Somerset Films</t>
  </si>
  <si>
    <t>The Movie Partners</t>
  </si>
  <si>
    <t>Hanover House</t>
  </si>
  <si>
    <t>Reel Diva Consultants</t>
  </si>
  <si>
    <t>Toei</t>
  </si>
  <si>
    <t>Weinstein Ci.</t>
  </si>
  <si>
    <t>Bullz Eye</t>
  </si>
  <si>
    <t>Fida Film</t>
  </si>
  <si>
    <t>Gaumont</t>
  </si>
  <si>
    <t>CJ</t>
  </si>
  <si>
    <t>FilmAuro</t>
  </si>
  <si>
    <t>StudioCanal</t>
  </si>
  <si>
    <t>PictureHouse</t>
  </si>
  <si>
    <t xml:space="preserve"> As You Like It</t>
  </si>
  <si>
    <t xml:space="preserve"> Ice at the Bottom of the World, The</t>
  </si>
  <si>
    <t xml:space="preserve"> Alatriste</t>
  </si>
  <si>
    <t xml:space="preserve"> The Banquet</t>
  </si>
  <si>
    <t xml:space="preserve"> Ramanujan</t>
  </si>
  <si>
    <t xml:space="preserve"> El orfanato</t>
  </si>
  <si>
    <t xml:space="preserve"> Honeydripper</t>
  </si>
  <si>
    <t xml:space="preserve"> Two Stupid Eggs</t>
  </si>
  <si>
    <t xml:space="preserve"> Actrices</t>
  </si>
  <si>
    <t xml:space="preserve"> Dangerous Games</t>
  </si>
  <si>
    <t xml:space="preserve"> There Will Be Blood</t>
  </si>
  <si>
    <t xml:space="preserve"> Jackass 2.5</t>
  </si>
  <si>
    <t xml:space="preserve"> Persepolis</t>
  </si>
  <si>
    <t xml:space="preserve"> Arn - Tempelriddaren</t>
  </si>
  <si>
    <t xml:space="preserve"> The Great Debaters</t>
  </si>
  <si>
    <t xml:space="preserve"> Aliens vs. Predator - Requiem</t>
  </si>
  <si>
    <t xml:space="preserve"> The Water Horse: Legend of the Deep</t>
  </si>
  <si>
    <t xml:space="preserve"> The Bucket List</t>
  </si>
  <si>
    <t xml:space="preserve"> Imaginary Witness: Hollywood and the Holocaust</t>
  </si>
  <si>
    <t xml:space="preserve"> American Pie Presents - Beta House</t>
  </si>
  <si>
    <t xml:space="preserve"> Bleach: The Diamond Dust Rebellion</t>
  </si>
  <si>
    <t xml:space="preserve"> Walk Hard: The Dewey Cox Story</t>
  </si>
  <si>
    <t xml:space="preserve"> National Treasure: The Book of Secrets</t>
  </si>
  <si>
    <t xml:space="preserve"> Steep</t>
  </si>
  <si>
    <t xml:space="preserve"> Charlie Wilson's War</t>
  </si>
  <si>
    <t xml:space="preserve"> Welcome</t>
  </si>
  <si>
    <t xml:space="preserve"> P.S., I Love You</t>
  </si>
  <si>
    <t xml:space="preserve"> Blonde Ambition</t>
  </si>
  <si>
    <t xml:space="preserve"> Taare Zameen Par</t>
  </si>
  <si>
    <t xml:space="preserve"> Kutsal Damacana</t>
  </si>
  <si>
    <t xml:space="preserve"> Sweeney Todd: The Demon Barber of Fleet Street</t>
  </si>
  <si>
    <t xml:space="preserve"> Ironiya Sudby. Prodolzhenie</t>
  </si>
  <si>
    <t xml:space="preserve"> Miss Gold Digger</t>
  </si>
  <si>
    <t xml:space="preserve"> Ji Jie Hao</t>
  </si>
  <si>
    <t xml:space="preserve"> My Love</t>
  </si>
  <si>
    <t xml:space="preserve"> Keinohrhasen</t>
  </si>
  <si>
    <t xml:space="preserve"> Flakes</t>
  </si>
  <si>
    <t xml:space="preserve"> Bring It On: In It to Win It</t>
  </si>
  <si>
    <t xml:space="preserve"> Alvin and the Chipmunks</t>
  </si>
  <si>
    <t xml:space="preserve"> Arranged</t>
  </si>
  <si>
    <t xml:space="preserve"> Una Moglie Bellissima</t>
  </si>
  <si>
    <t xml:space="preserve"> Shotgun Stories</t>
  </si>
  <si>
    <t xml:space="preserve"> I am Legend</t>
  </si>
  <si>
    <t xml:space="preserve"> Tamagocchi Doki Doki!</t>
  </si>
  <si>
    <t xml:space="preserve"> Natale in Crociera</t>
  </si>
  <si>
    <t xml:space="preserve"> The Kite Runner</t>
  </si>
  <si>
    <t xml:space="preserve"> Niwemang</t>
  </si>
  <si>
    <t xml:space="preserve"> Youth Without Youth</t>
  </si>
  <si>
    <t xml:space="preserve"> Look</t>
  </si>
  <si>
    <t xml:space="preserve"> Venus and Mars</t>
  </si>
  <si>
    <t xml:space="preserve"> Saekjeuk shigong 2</t>
  </si>
  <si>
    <t xml:space="preserve"> Tau ming chong</t>
  </si>
  <si>
    <t xml:space="preserve"> Virgin Territory</t>
  </si>
  <si>
    <t xml:space="preserve"> Nanking</t>
  </si>
  <si>
    <t xml:space="preserve"> Big City</t>
  </si>
  <si>
    <t xml:space="preserve"> Kabadayi</t>
  </si>
  <si>
    <t xml:space="preserve"> Si c'était lui</t>
  </si>
  <si>
    <t xml:space="preserve"> The Perfect Holiday</t>
  </si>
  <si>
    <t xml:space="preserve"> A Tale of Mari and Three Puppies</t>
  </si>
  <si>
    <t xml:space="preserve"> Man in the Chair</t>
  </si>
  <si>
    <t xml:space="preserve"> Oublier Cheyenne</t>
  </si>
  <si>
    <t xml:space="preserve"> Aida at La Scala</t>
  </si>
  <si>
    <t xml:space="preserve"> Grace Is Gone</t>
  </si>
  <si>
    <t xml:space="preserve"> It's a Boy-Girl Thing</t>
  </si>
  <si>
    <t xml:space="preserve"> Noëlle</t>
  </si>
  <si>
    <t xml:space="preserve"> Atonement</t>
  </si>
  <si>
    <t xml:space="preserve"> The Walker</t>
  </si>
  <si>
    <t xml:space="preserve"> Dirty Laundry</t>
  </si>
  <si>
    <t xml:space="preserve"> L'âge des ténèbres</t>
  </si>
  <si>
    <t xml:space="preserve"> The Amateurs</t>
  </si>
  <si>
    <t xml:space="preserve"> Revolver</t>
  </si>
  <si>
    <t xml:space="preserve"> The Singing Revolution</t>
  </si>
  <si>
    <t xml:space="preserve"> 'Tis Autumn: The Search for Jackie Paris</t>
  </si>
  <si>
    <t xml:space="preserve"> Dus Kahaniyaan</t>
  </si>
  <si>
    <t xml:space="preserve"> His Dark Materials: The Golden Compass</t>
  </si>
  <si>
    <t xml:space="preserve"> Strength and Honour</t>
  </si>
  <si>
    <t xml:space="preserve"> Timber Falls</t>
  </si>
  <si>
    <t xml:space="preserve"> Tony N' Tina's Wedding</t>
  </si>
  <si>
    <t xml:space="preserve"> Billy the Kid</t>
  </si>
  <si>
    <t xml:space="preserve"> El Violin</t>
  </si>
  <si>
    <t xml:space="preserve"> L'auberge rouge</t>
  </si>
  <si>
    <t xml:space="preserve"> Juno</t>
  </si>
  <si>
    <t xml:space="preserve"> Tous à l'Ouest: Une aventure de Lucky Luke</t>
  </si>
  <si>
    <t xml:space="preserve"> Tsubaki Sanjûrô</t>
  </si>
  <si>
    <t xml:space="preserve"> Winx Club - Il Segreto Del Regno Perduto</t>
  </si>
  <si>
    <t xml:space="preserve"> Oswald's Ghost</t>
  </si>
  <si>
    <t xml:space="preserve"> The Sasquatch Gang</t>
  </si>
  <si>
    <t xml:space="preserve"> Intervention</t>
  </si>
  <si>
    <t xml:space="preserve"> Crónica de una fuga</t>
  </si>
  <si>
    <t xml:space="preserve"> Last Door, The</t>
  </si>
  <si>
    <t xml:space="preserve"> Divine Intervention (2007)</t>
  </si>
  <si>
    <t xml:space="preserve"> Awake</t>
  </si>
  <si>
    <t xml:space="preserve"> The Rocket</t>
  </si>
  <si>
    <t xml:space="preserve"> Badland</t>
  </si>
  <si>
    <t xml:space="preserve"> Sex and Breakfast</t>
  </si>
  <si>
    <t xml:space="preserve"> Protagonist</t>
  </si>
  <si>
    <t xml:space="preserve"> He Was a Quiet Man</t>
  </si>
  <si>
    <t xml:space="preserve"> Aaja Nachle</t>
  </si>
  <si>
    <t xml:space="preserve"> Le Scaphandre et le Papillon</t>
  </si>
  <si>
    <t xml:space="preserve"> The Santa Clause Brothers</t>
  </si>
  <si>
    <t xml:space="preserve"> Warum Männer nicht zuhören und Frauen schlecht einparken</t>
  </si>
  <si>
    <t xml:space="preserve"> One Foundation</t>
  </si>
  <si>
    <t xml:space="preserve"> Uri Dongne</t>
  </si>
  <si>
    <t xml:space="preserve"> The Savages</t>
  </si>
  <si>
    <t xml:space="preserve"> Futurama - Bender's Big Score</t>
  </si>
  <si>
    <t xml:space="preserve"> Sure Shot Dombrowski</t>
  </si>
  <si>
    <t xml:space="preserve"> Starting Out in the Evening</t>
  </si>
  <si>
    <t xml:space="preserve"> [Rec]</t>
  </si>
  <si>
    <t xml:space="preserve"> Middonaito Îguru</t>
  </si>
  <si>
    <t xml:space="preserve"> Lezioni di Cioccolato</t>
  </si>
  <si>
    <t xml:space="preserve"> Milano-Palermo: il ritorno</t>
  </si>
  <si>
    <t xml:space="preserve"> Everything's Cool: A Toxic Comedy About Global Warming</t>
  </si>
  <si>
    <t xml:space="preserve"> Ce soir, je dors chez toi</t>
  </si>
  <si>
    <t xml:space="preserve"> Yiddish Theater: A Love Story</t>
  </si>
  <si>
    <t xml:space="preserve"> Hitman</t>
  </si>
  <si>
    <t xml:space="preserve"> Nina's Heavenly Delights</t>
  </si>
  <si>
    <t xml:space="preserve"> This Christmas</t>
  </si>
  <si>
    <t xml:space="preserve"> Dhan Dhana Dhan Goal</t>
  </si>
  <si>
    <t xml:space="preserve"> Les deux mondes</t>
  </si>
  <si>
    <t xml:space="preserve"> August Rush</t>
  </si>
  <si>
    <t xml:space="preserve"> Survivre avec les Loups</t>
  </si>
  <si>
    <t xml:space="preserve"> I'm Not There</t>
  </si>
  <si>
    <t xml:space="preserve"> The Mist</t>
  </si>
  <si>
    <t xml:space="preserve"> Enchanted</t>
  </si>
  <si>
    <t xml:space="preserve"> France, La</t>
  </si>
  <si>
    <t xml:space="preserve"> My Friends Tigger &amp; Pooh - Super Sleuth Christmas Movie</t>
  </si>
  <si>
    <t xml:space="preserve"> The Beyonce Experience</t>
  </si>
  <si>
    <t xml:space="preserve"> Smiley Face</t>
  </si>
  <si>
    <t xml:space="preserve"> Dialogue avec mon jardinier</t>
  </si>
  <si>
    <t xml:space="preserve"> Mr. Magorium's Wonder Emporium</t>
  </si>
  <si>
    <t xml:space="preserve"> Beowulf</t>
  </si>
  <si>
    <t xml:space="preserve"> Beyaz Melek</t>
  </si>
  <si>
    <t xml:space="preserve"> Matrimonio alle Bahamas</t>
  </si>
  <si>
    <t xml:space="preserve"> What Would Jesus Buy?</t>
  </si>
  <si>
    <t xml:space="preserve"> Strákarnir okkar</t>
  </si>
  <si>
    <t xml:space="preserve"> Love in the Time of Cholera</t>
  </si>
  <si>
    <t xml:space="preserve"> Redacted</t>
  </si>
  <si>
    <t xml:space="preserve"> Margot at the Wedding</t>
  </si>
  <si>
    <t xml:space="preserve"> Southland Tales</t>
  </si>
  <si>
    <t xml:space="preserve"> Faut que ça danse!</t>
  </si>
  <si>
    <t xml:space="preserve"> One More Chance</t>
  </si>
  <si>
    <t xml:space="preserve"> Seven Days</t>
  </si>
  <si>
    <t xml:space="preserve"> Urban Justice</t>
  </si>
  <si>
    <t xml:space="preserve"> Eiga Yes! PreCure 5: Kagami no Kuni no Miracle Daiboken!</t>
  </si>
  <si>
    <t xml:space="preserve"> Fred Claus</t>
  </si>
  <si>
    <t xml:space="preserve"> After Dark's Horrorfest 2007</t>
  </si>
  <si>
    <t xml:space="preserve"> Saawariya</t>
  </si>
  <si>
    <t xml:space="preserve"> Steal a Pencil for Me</t>
  </si>
  <si>
    <t xml:space="preserve"> Holly</t>
  </si>
  <si>
    <t xml:space="preserve"> The Life of Reilly</t>
  </si>
  <si>
    <t xml:space="preserve"> Lions for Lambs</t>
  </si>
  <si>
    <t xml:space="preserve"> War Dance</t>
  </si>
  <si>
    <t xml:space="preserve"> Come tu mi vuoi</t>
  </si>
  <si>
    <t xml:space="preserve"> I'll Believe You</t>
  </si>
  <si>
    <t xml:space="preserve"> The Sensation of Sight</t>
  </si>
  <si>
    <t xml:space="preserve"> No Country for Old Men</t>
  </si>
  <si>
    <t xml:space="preserve"> Mr. Blue Sky</t>
  </si>
  <si>
    <t xml:space="preserve"> Christmas in Wonderland</t>
  </si>
  <si>
    <t xml:space="preserve"> P2</t>
  </si>
  <si>
    <t xml:space="preserve"> Om Shanti Om</t>
  </si>
  <si>
    <t xml:space="preserve"> Choking Man</t>
  </si>
  <si>
    <t xml:space="preserve"> Electric Apricot</t>
  </si>
  <si>
    <t xml:space="preserve"> Three Investigators and the Secret of Skeleton Island, The</t>
  </si>
  <si>
    <t xml:space="preserve"> Bon Jovi: The Lost Highway</t>
  </si>
  <si>
    <t xml:space="preserve"> Pixar Short Film Collection - Volume 1</t>
  </si>
  <si>
    <t xml:space="preserve"> Sky of Love</t>
  </si>
  <si>
    <t xml:space="preserve"> Darfur Now</t>
  </si>
  <si>
    <t xml:space="preserve"> Quantum Hoops</t>
  </si>
  <si>
    <t xml:space="preserve"> Bushi no ichibun</t>
  </si>
  <si>
    <t xml:space="preserve"> The Tracey Fragments</t>
  </si>
  <si>
    <t xml:space="preserve"> Fat Girls</t>
  </si>
  <si>
    <t xml:space="preserve"> American Gangster</t>
  </si>
  <si>
    <t xml:space="preserve"> Joe Strummer: The Future is Unwritten</t>
  </si>
  <si>
    <t xml:space="preserve"> Park</t>
  </si>
  <si>
    <t xml:space="preserve"> Bee Movie</t>
  </si>
  <si>
    <t xml:space="preserve"> The Martian Child</t>
  </si>
  <si>
    <t xml:space="preserve"> Surviving My Mother</t>
  </si>
  <si>
    <t xml:space="preserve"> The Bodybuilder and I</t>
  </si>
  <si>
    <t xml:space="preserve"> Always zoku san-chôme no yûhi</t>
  </si>
  <si>
    <t xml:space="preserve"> La Leyenda de la Nahuala</t>
  </si>
  <si>
    <t xml:space="preserve"> Le Grand Chef</t>
  </si>
  <si>
    <t xml:space="preserve"> L'Heure Zéro</t>
  </si>
  <si>
    <t xml:space="preserve"> Kurôzu zero</t>
  </si>
  <si>
    <t xml:space="preserve"> Black Irish</t>
  </si>
  <si>
    <t xml:space="preserve"> 4 luni, 3 saptamani si 2 zile</t>
  </si>
  <si>
    <t xml:space="preserve"> Nulevoy Kilometr</t>
  </si>
  <si>
    <t xml:space="preserve"> Before the Devil Knows You're Dead</t>
  </si>
  <si>
    <t xml:space="preserve"> Dan in Real Life</t>
  </si>
  <si>
    <t xml:space="preserve"> Ostrov</t>
  </si>
  <si>
    <t xml:space="preserve"> Jab We Met</t>
  </si>
  <si>
    <t xml:space="preserve"> Music Within</t>
  </si>
  <si>
    <t xml:space="preserve"> The Rocket Post</t>
  </si>
  <si>
    <t xml:space="preserve"> Mr. Untouchable</t>
  </si>
  <si>
    <t xml:space="preserve"> Jimmy Carter: Man From Plains</t>
  </si>
  <si>
    <t xml:space="preserve"> Saw IV</t>
  </si>
  <si>
    <t xml:space="preserve"> Bella</t>
  </si>
  <si>
    <t xml:space="preserve"> Slipstream</t>
  </si>
  <si>
    <t xml:space="preserve"> Rails &amp; Ties</t>
  </si>
  <si>
    <t xml:space="preserve"> Wie man sein leben kocht</t>
  </si>
  <si>
    <t xml:space="preserve"> Lissi und der wilde Kaiser</t>
  </si>
  <si>
    <t xml:space="preserve"> M</t>
  </si>
  <si>
    <t xml:space="preserve"> Le Deuxième souffle</t>
  </si>
  <si>
    <t xml:space="preserve"> Lagerfeld Confidential</t>
  </si>
  <si>
    <t xml:space="preserve"> Le Coeur des hommes 2</t>
  </si>
  <si>
    <t xml:space="preserve"> Appurushido Ex Machina</t>
  </si>
  <si>
    <t xml:space="preserve"> Wristcutters: A Love Story</t>
  </si>
  <si>
    <t xml:space="preserve"> Election Day, The</t>
  </si>
  <si>
    <t xml:space="preserve"> Controlled Chaos</t>
  </si>
  <si>
    <t xml:space="preserve"> Arnolds Park</t>
  </si>
  <si>
    <t xml:space="preserve"> Meeting Resistance</t>
  </si>
  <si>
    <t xml:space="preserve"> Moondance Alexander</t>
  </si>
  <si>
    <t xml:space="preserve"> 30 Days of Night</t>
  </si>
  <si>
    <t xml:space="preserve"> Las 13 Rosas</t>
  </si>
  <si>
    <t xml:space="preserve"> The Man From Earth</t>
  </si>
  <si>
    <t xml:space="preserve"> Fuego</t>
  </si>
  <si>
    <t xml:space="preserve"> Black White + Gray...</t>
  </si>
  <si>
    <t xml:space="preserve"> Things We Lost in the Fire</t>
  </si>
  <si>
    <t xml:space="preserve"> Azuloscurocasinegro</t>
  </si>
  <si>
    <t xml:space="preserve"> Gone, Baby, Gone</t>
  </si>
  <si>
    <t xml:space="preserve"> The Ten Commandments</t>
  </si>
  <si>
    <t xml:space="preserve"> Out of the Blue</t>
  </si>
  <si>
    <t xml:space="preserve"> Sarah Landon and the Paranormal Hour</t>
  </si>
  <si>
    <t xml:space="preserve"> Reservation Road</t>
  </si>
  <si>
    <t xml:space="preserve"> Local Color</t>
  </si>
  <si>
    <t xml:space="preserve"> Rendition</t>
  </si>
  <si>
    <t xml:space="preserve"> The Comebacks</t>
  </si>
  <si>
    <t xml:space="preserve"> Hing dai</t>
  </si>
  <si>
    <t xml:space="preserve"> Going by the Book</t>
  </si>
  <si>
    <t xml:space="preserve"> Shadows in the Palace</t>
  </si>
  <si>
    <t xml:space="preserve"> Den Vyborov</t>
  </si>
  <si>
    <t xml:space="preserve"> Eoggaeneomeoeui Yeoni</t>
  </si>
  <si>
    <t xml:space="preserve"> El Greco</t>
  </si>
  <si>
    <t xml:space="preserve"> Boy s tenyu 2</t>
  </si>
  <si>
    <t xml:space="preserve"> O Jerusalem</t>
  </si>
  <si>
    <t xml:space="preserve"> Return to House on Haunted Hill</t>
  </si>
  <si>
    <t xml:space="preserve"> Passage to Zarahemla</t>
  </si>
  <si>
    <t xml:space="preserve"> La Chinoise</t>
  </si>
  <si>
    <t xml:space="preserve"> The Final Season</t>
  </si>
  <si>
    <t xml:space="preserve"> Sleuth</t>
  </si>
  <si>
    <t xml:space="preserve"> King Corn</t>
  </si>
  <si>
    <t xml:space="preserve"> Khadak</t>
  </si>
  <si>
    <t xml:space="preserve"> Bhool Bhulaiyaa</t>
  </si>
  <si>
    <t xml:space="preserve"> Why Did I Get Married?</t>
  </si>
  <si>
    <t xml:space="preserve"> Canvas</t>
  </si>
  <si>
    <t xml:space="preserve"> Elizabeth: The Golden Age</t>
  </si>
  <si>
    <t xml:space="preserve"> Berkeley</t>
  </si>
  <si>
    <t xml:space="preserve"> Naked Boys Singing</t>
  </si>
  <si>
    <t xml:space="preserve"> L'avocat de la terreur</t>
  </si>
  <si>
    <t xml:space="preserve"> SMS - Sotto mentite spoglie</t>
  </si>
  <si>
    <t xml:space="preserve"> We Own the Night</t>
  </si>
  <si>
    <t xml:space="preserve"> Lars and the Real Girl</t>
  </si>
  <si>
    <t xml:space="preserve"> Laaga Chunari Mein Daag</t>
  </si>
  <si>
    <t xml:space="preserve"> Alles is Liefde</t>
  </si>
  <si>
    <t xml:space="preserve"> Golda's Balcony</t>
  </si>
  <si>
    <t xml:space="preserve"> Control</t>
  </si>
  <si>
    <t xml:space="preserve"> Wrong Turn 2 - Dead End</t>
  </si>
  <si>
    <t xml:space="preserve"> The Seeker: The Dark is Rising</t>
  </si>
  <si>
    <t xml:space="preserve"> Finishing the Game</t>
  </si>
  <si>
    <t xml:space="preserve"> Feel the Noise</t>
  </si>
  <si>
    <t xml:space="preserve"> Michael Clayton</t>
  </si>
  <si>
    <t xml:space="preserve"> Weirdsville</t>
  </si>
  <si>
    <t xml:space="preserve"> The Heartbreak Kid</t>
  </si>
  <si>
    <t xml:space="preserve"> L'Ennemi Intime</t>
  </si>
  <si>
    <t xml:space="preserve"> The Good Night</t>
  </si>
  <si>
    <t xml:space="preserve"> My Kid Could Paint That</t>
  </si>
  <si>
    <t xml:space="preserve"> Broken</t>
  </si>
  <si>
    <t xml:space="preserve"> Desert Bayou</t>
  </si>
  <si>
    <t xml:space="preserve"> For the Bible Tells Me So</t>
  </si>
  <si>
    <t xml:space="preserve"> Sea Monsters: A Prehistoric Adventure</t>
  </si>
  <si>
    <t xml:space="preserve"> Apocalypse Code</t>
  </si>
  <si>
    <t xml:space="preserve"> Quebec sur Ordonnace</t>
  </si>
  <si>
    <t xml:space="preserve"> L'Orchestra di Piazza Vittorio</t>
  </si>
  <si>
    <t xml:space="preserve"> Happiness</t>
  </si>
  <si>
    <t xml:space="preserve"> The Girl Next Door</t>
  </si>
  <si>
    <t xml:space="preserve"> Lake of Fire</t>
  </si>
  <si>
    <t xml:space="preserve"> Kurt Cobain: About a Son</t>
  </si>
  <si>
    <t xml:space="preserve"> Tie saam gok</t>
  </si>
  <si>
    <t xml:space="preserve"> The Darjeeling Limited</t>
  </si>
  <si>
    <t xml:space="preserve"> Closed Note</t>
  </si>
  <si>
    <t xml:space="preserve"> The Feast of Love</t>
  </si>
  <si>
    <t xml:space="preserve"> The Price of Sugar</t>
  </si>
  <si>
    <t xml:space="preserve"> Johnny Gaddaar</t>
  </si>
  <si>
    <t xml:space="preserve"> Trade</t>
  </si>
  <si>
    <t xml:space="preserve"> Itty Bitty Titty Committee</t>
  </si>
  <si>
    <t xml:space="preserve"> Se jie</t>
  </si>
  <si>
    <t xml:space="preserve"> The Game Plan</t>
  </si>
  <si>
    <t xml:space="preserve"> The Kingdom</t>
  </si>
  <si>
    <t xml:space="preserve"> Outsourced</t>
  </si>
  <si>
    <t xml:space="preserve"> 99 francs</t>
  </si>
  <si>
    <t xml:space="preserve"> Antônia - O Filme</t>
  </si>
  <si>
    <t xml:space="preserve"> Adrift in Manhattan</t>
  </si>
  <si>
    <t xml:space="preserve"> Sydney White</t>
  </si>
  <si>
    <t xml:space="preserve"> The Assassination of Jesse James by the Coward Robert Ford</t>
  </si>
  <si>
    <t xml:space="preserve"> Dhol</t>
  </si>
  <si>
    <t xml:space="preserve"> Mei ren yi jiu</t>
  </si>
  <si>
    <t xml:space="preserve"> L'homme de sa vie</t>
  </si>
  <si>
    <t xml:space="preserve"> Katyn</t>
  </si>
  <si>
    <t xml:space="preserve"> Imprint</t>
  </si>
  <si>
    <t xml:space="preserve"> Randy and the Mob</t>
  </si>
  <si>
    <t xml:space="preserve"> The Jane Austen Book Club</t>
  </si>
  <si>
    <t xml:space="preserve"> Into the Wild</t>
  </si>
  <si>
    <t xml:space="preserve"> Resident Evil: Extinction</t>
  </si>
  <si>
    <t xml:space="preserve"> Good Luck Chuck</t>
  </si>
  <si>
    <t xml:space="preserve"> A Love</t>
  </si>
  <si>
    <t xml:space="preserve"> L'Invité</t>
  </si>
  <si>
    <t xml:space="preserve"> The Mafia, The Salesman</t>
  </si>
  <si>
    <t xml:space="preserve"> The Last Winter</t>
  </si>
  <si>
    <t xml:space="preserve"> Jeff Dunham - Spark of Insanity</t>
  </si>
  <si>
    <t xml:space="preserve"> Barbie as The Island Princess</t>
  </si>
  <si>
    <t xml:space="preserve"> Superman - Doomsday</t>
  </si>
  <si>
    <t xml:space="preserve"> Mr. Woodcock</t>
  </si>
  <si>
    <t xml:space="preserve"> Ira and Abby</t>
  </si>
  <si>
    <t xml:space="preserve"> The Return</t>
  </si>
  <si>
    <t xml:space="preserve"> Pete Seeger: The Power of Song</t>
  </si>
  <si>
    <t xml:space="preserve"> Nanhe Jaisalmer</t>
  </si>
  <si>
    <t xml:space="preserve"> Closing the Ring</t>
  </si>
  <si>
    <t xml:space="preserve"> D-War</t>
  </si>
  <si>
    <t xml:space="preserve"> Eastern Promises</t>
  </si>
  <si>
    <t xml:space="preserve"> Silk</t>
  </si>
  <si>
    <t xml:space="preserve"> Return with Honor - Missionary</t>
  </si>
  <si>
    <t xml:space="preserve"> The King of California</t>
  </si>
  <si>
    <t xml:space="preserve"> Across the Universe</t>
  </si>
  <si>
    <t xml:space="preserve"> December Boys</t>
  </si>
  <si>
    <t xml:space="preserve"> Angels in the Dust</t>
  </si>
  <si>
    <t xml:space="preserve"> Moving McAllister</t>
  </si>
  <si>
    <t xml:space="preserve"> The Rape of Europe</t>
  </si>
  <si>
    <t xml:space="preserve"> Great World of Sound</t>
  </si>
  <si>
    <t xml:space="preserve"> The Brave One</t>
  </si>
  <si>
    <t xml:space="preserve"> In the Valley of Elah</t>
  </si>
  <si>
    <t xml:space="preserve"> My Brother's Wedding</t>
  </si>
  <si>
    <t xml:space="preserve"> Two Faces of My Girlfriend</t>
  </si>
  <si>
    <t xml:space="preserve"> Kidnapping Granny K</t>
  </si>
  <si>
    <t xml:space="preserve"> Forever</t>
  </si>
  <si>
    <t xml:space="preserve"> The Happy Life</t>
  </si>
  <si>
    <t xml:space="preserve"> La Vérité ou Presque</t>
  </si>
  <si>
    <t xml:space="preserve"> Dirty Sanchez</t>
  </si>
  <si>
    <t xml:space="preserve"> The Girl in the Park</t>
  </si>
  <si>
    <t xml:space="preserve"> Hero</t>
  </si>
  <si>
    <t xml:space="preserve"> Darling</t>
  </si>
  <si>
    <t xml:space="preserve"> In the Shadow of the Moon</t>
  </si>
  <si>
    <t xml:space="preserve"> Milarepa</t>
  </si>
  <si>
    <t xml:space="preserve"> Der Unbekannte Soldat</t>
  </si>
  <si>
    <t xml:space="preserve"> Ha-Buah</t>
  </si>
  <si>
    <t xml:space="preserve"> The Hunting Party</t>
  </si>
  <si>
    <t xml:space="preserve"> The Inner Life of Martin Frost</t>
  </si>
  <si>
    <t xml:space="preserve"> The House</t>
  </si>
  <si>
    <t xml:space="preserve"> Hatchet</t>
  </si>
  <si>
    <t xml:space="preserve"> Shoot 'Em Up</t>
  </si>
  <si>
    <t xml:space="preserve"> Fierce People</t>
  </si>
  <si>
    <t xml:space="preserve"> Dhamaal</t>
  </si>
  <si>
    <t xml:space="preserve"> Romance and Cigarettes</t>
  </si>
  <si>
    <t xml:space="preserve"> 3:10 to Yuma</t>
  </si>
  <si>
    <t xml:space="preserve"> The Brothers Solomon</t>
  </si>
  <si>
    <t xml:space="preserve"> Antidope</t>
  </si>
  <si>
    <t xml:space="preserve"> My Father</t>
  </si>
  <si>
    <t xml:space="preserve"> I Want Someone To Eat Cheese With</t>
  </si>
  <si>
    <t xml:space="preserve"> The Murder Game</t>
  </si>
  <si>
    <t xml:space="preserve"> The Death and Life of Bobby Z</t>
  </si>
  <si>
    <t xml:space="preserve"> Chill Out Scooby-Doo!</t>
  </si>
  <si>
    <t xml:space="preserve"> Disney Princess Enchanted Tales - Follow Your Dreams</t>
  </si>
  <si>
    <t xml:space="preserve"> Strawberry Shortcake: Let's Dance</t>
  </si>
  <si>
    <t xml:space="preserve"> Evangerion Shin Gekijoban: Jo</t>
  </si>
  <si>
    <t xml:space="preserve"> Death Sentence</t>
  </si>
  <si>
    <t xml:space="preserve"> Halloween</t>
  </si>
  <si>
    <t xml:space="preserve"> La Carta Esferica</t>
  </si>
  <si>
    <t xml:space="preserve"> Self Medicated</t>
  </si>
  <si>
    <t xml:space="preserve"> Fong juk</t>
  </si>
  <si>
    <t xml:space="preserve"> The Nines</t>
  </si>
  <si>
    <t xml:space="preserve"> Vanaja</t>
  </si>
  <si>
    <t xml:space="preserve"> Ceux Qui Restent</t>
  </si>
  <si>
    <t xml:space="preserve"> Naraka 19</t>
  </si>
  <si>
    <t xml:space="preserve"> Ladron que roba a ladron</t>
  </si>
  <si>
    <t xml:space="preserve"> Freshman Orientation</t>
  </si>
  <si>
    <t xml:space="preserve"> A Man Named Pearl</t>
  </si>
  <si>
    <t xml:space="preserve"> The Worst Guy Ever</t>
  </si>
  <si>
    <t xml:space="preserve"> Muay Thai Chaiya</t>
  </si>
  <si>
    <t xml:space="preserve"> Kein Bund fürs Leben</t>
  </si>
  <si>
    <t xml:space="preserve"> Quiet City</t>
  </si>
  <si>
    <t xml:space="preserve"> Balls of Fury</t>
  </si>
  <si>
    <t xml:space="preserve"> Mickey's Clubhouse - Mickey's Treat</t>
  </si>
  <si>
    <t xml:space="preserve"> Tengoku de kimi ni aetara</t>
  </si>
  <si>
    <t xml:space="preserve"> 10 Questions for the Dalai Lama</t>
  </si>
  <si>
    <t xml:space="preserve"> Den brysomme mannen</t>
  </si>
  <si>
    <t xml:space="preserve"> Saving Sarah</t>
  </si>
  <si>
    <t xml:space="preserve"> Skid Row</t>
  </si>
  <si>
    <t xml:space="preserve"> Mr. Bean's Holiday</t>
  </si>
  <si>
    <t xml:space="preserve"> Illegal Tender</t>
  </si>
  <si>
    <t xml:space="preserve"> Right at Your Door</t>
  </si>
  <si>
    <t xml:space="preserve"> Club de los Suicidas, El</t>
  </si>
  <si>
    <t xml:space="preserve"> The Nanny Diaries</t>
  </si>
  <si>
    <t xml:space="preserve"> September Dawn</t>
  </si>
  <si>
    <t xml:space="preserve"> Dedication</t>
  </si>
  <si>
    <t xml:space="preserve"> Eye of the Dolphin</t>
  </si>
  <si>
    <t xml:space="preserve"> Deep Water</t>
  </si>
  <si>
    <t xml:space="preserve"> War</t>
  </si>
  <si>
    <t xml:space="preserve"> Resurrecting the Champ</t>
  </si>
  <si>
    <t xml:space="preserve"> Closing Escrow</t>
  </si>
  <si>
    <t xml:space="preserve"> Hey Baby</t>
  </si>
  <si>
    <t xml:space="preserve"> The Hottest State</t>
  </si>
  <si>
    <t xml:space="preserve"> Glyanets</t>
  </si>
  <si>
    <t xml:space="preserve"> Swindler in My Mom's House</t>
  </si>
  <si>
    <t xml:space="preserve"> Someone Behind You</t>
  </si>
  <si>
    <t xml:space="preserve"> Hannah Takes the Stairs</t>
  </si>
  <si>
    <t xml:space="preserve"> Sarangbang Seonsu-wa Eomeoni</t>
  </si>
  <si>
    <t xml:space="preserve"> 3 amis</t>
  </si>
  <si>
    <t xml:space="preserve"> Flood</t>
  </si>
  <si>
    <t xml:space="preserve"> The Invasion</t>
  </si>
  <si>
    <t xml:space="preserve"> The King of Kong</t>
  </si>
  <si>
    <t xml:space="preserve"> El Bufalo de la Noche</t>
  </si>
  <si>
    <t xml:space="preserve"> 7 días</t>
  </si>
  <si>
    <t xml:space="preserve"> American Fusion</t>
  </si>
  <si>
    <t xml:space="preserve"> High School Musical 2</t>
  </si>
  <si>
    <t xml:space="preserve"> Xiang ri kui</t>
  </si>
  <si>
    <t xml:space="preserve"> Buddha Mar Gaya</t>
  </si>
  <si>
    <t xml:space="preserve"> La Strada di Levi</t>
  </si>
  <si>
    <t xml:space="preserve"> Marigold</t>
  </si>
  <si>
    <t xml:space="preserve"> Manda Bala</t>
  </si>
  <si>
    <t xml:space="preserve"> 11th Hour</t>
  </si>
  <si>
    <t xml:space="preserve"> Superbad</t>
  </si>
  <si>
    <t xml:space="preserve"> The Last Legion</t>
  </si>
  <si>
    <t xml:space="preserve"> Changing Partners</t>
  </si>
  <si>
    <t xml:space="preserve"> Delirious</t>
  </si>
  <si>
    <t xml:space="preserve"> Sukkar banat</t>
  </si>
  <si>
    <t xml:space="preserve"> O Céu de Suely</t>
  </si>
  <si>
    <t xml:space="preserve"> Underground Rendez-vous</t>
  </si>
  <si>
    <t xml:space="preserve"> A Love Story</t>
  </si>
  <si>
    <t xml:space="preserve"> Tian tang kou</t>
  </si>
  <si>
    <t xml:space="preserve"> Doctor Strange</t>
  </si>
  <si>
    <t xml:space="preserve"> Khuu Raet</t>
  </si>
  <si>
    <t xml:space="preserve"> Return</t>
  </si>
  <si>
    <t xml:space="preserve"> Skinwalkers</t>
  </si>
  <si>
    <t xml:space="preserve"> Rush Hour 3</t>
  </si>
  <si>
    <t xml:space="preserve"> Deux jours à Paris</t>
  </si>
  <si>
    <t xml:space="preserve"> A Stone's Throw</t>
  </si>
  <si>
    <t xml:space="preserve"> Chak De India</t>
  </si>
  <si>
    <t xml:space="preserve"> The List</t>
  </si>
  <si>
    <t xml:space="preserve"> Cut Sleeve Boys</t>
  </si>
  <si>
    <t xml:space="preserve"> Descent</t>
  </si>
  <si>
    <t xml:space="preserve"> Rocket Science</t>
  </si>
  <si>
    <t xml:space="preserve"> Stardust</t>
  </si>
  <si>
    <t xml:space="preserve"> Daddy Day Camp</t>
  </si>
  <si>
    <t xml:space="preserve"> Crossing the Line</t>
  </si>
  <si>
    <t xml:space="preserve"> Dans Paris</t>
  </si>
  <si>
    <t xml:space="preserve"> Gekijô ban naruto: Shippûden</t>
  </si>
  <si>
    <t xml:space="preserve"> Epitaph</t>
  </si>
  <si>
    <t xml:space="preserve"> Masked Rider Den-o</t>
  </si>
  <si>
    <t xml:space="preserve"> Care Bears: Oopsy Does It!</t>
  </si>
  <si>
    <t xml:space="preserve"> Gandhi, My Father</t>
  </si>
  <si>
    <t xml:space="preserve"> La faute à Fidel</t>
  </si>
  <si>
    <t xml:space="preserve"> If I Didn't Care</t>
  </si>
  <si>
    <t xml:space="preserve"> The Bourne Ultimatum</t>
  </si>
  <si>
    <t xml:space="preserve"> Beed-e majnoon</t>
  </si>
  <si>
    <t xml:space="preserve"> Kaidan</t>
  </si>
  <si>
    <t xml:space="preserve"> Naruto Shippuden: The Movie</t>
  </si>
  <si>
    <t xml:space="preserve"> Ouija</t>
  </si>
  <si>
    <t xml:space="preserve"> Cash</t>
  </si>
  <si>
    <t xml:space="preserve"> Secret (2007, Hong Kong)</t>
  </si>
  <si>
    <t xml:space="preserve"> Hot Rod</t>
  </si>
  <si>
    <t xml:space="preserve"> The Ten</t>
  </si>
  <si>
    <t xml:space="preserve"> Becoming Jane</t>
  </si>
  <si>
    <t xml:space="preserve"> Underdog</t>
  </si>
  <si>
    <t xml:space="preserve"> Bratz</t>
  </si>
  <si>
    <t xml:space="preserve"> Dao huo xian</t>
  </si>
  <si>
    <t xml:space="preserve"> Bu neng shuo de. mi mi</t>
  </si>
  <si>
    <t xml:space="preserve"> Sommer '04</t>
  </si>
  <si>
    <t xml:space="preserve"> El Cantante</t>
  </si>
  <si>
    <t xml:space="preserve"> Bratz Kidz - Sleep-Over Adventure</t>
  </si>
  <si>
    <t xml:space="preserve"> The Darwin Awards</t>
  </si>
  <si>
    <t xml:space="preserve"> Laura Smiles</t>
  </si>
  <si>
    <t xml:space="preserve"> Butterfly on a Wheel</t>
  </si>
  <si>
    <t xml:space="preserve"> No End In Sight</t>
  </si>
  <si>
    <t xml:space="preserve"> No Reservations</t>
  </si>
  <si>
    <t xml:space="preserve"> The Camden 28</t>
  </si>
  <si>
    <t xml:space="preserve"> Transformation: The Life &amp; Legacy of Werner Erhard</t>
  </si>
  <si>
    <t xml:space="preserve"> Who's Your Caddy?</t>
  </si>
  <si>
    <t xml:space="preserve"> I Know Who Killed Me</t>
  </si>
  <si>
    <t xml:space="preserve"> Molière</t>
  </si>
  <si>
    <t xml:space="preserve"> May 18</t>
  </si>
  <si>
    <t xml:space="preserve"> Muoi</t>
  </si>
  <si>
    <t xml:space="preserve"> The Iron Man</t>
  </si>
  <si>
    <t xml:space="preserve"> Isam Samawang</t>
  </si>
  <si>
    <t xml:space="preserve"> The Simpsons Movie</t>
  </si>
  <si>
    <t xml:space="preserve"> Hwaryeohan hyuga</t>
  </si>
  <si>
    <t xml:space="preserve"> The Devil Came on Horseback</t>
  </si>
  <si>
    <t xml:space="preserve"> This is England</t>
  </si>
  <si>
    <t xml:space="preserve"> Arctic Tale</t>
  </si>
  <si>
    <t xml:space="preserve"> El telón de azúcar</t>
  </si>
  <si>
    <t xml:space="preserve"> The Contract</t>
  </si>
  <si>
    <t xml:space="preserve"> Atasco en la Nacional</t>
  </si>
  <si>
    <t xml:space="preserve"> The People's Movie: Arnold's Park</t>
  </si>
  <si>
    <t xml:space="preserve"> Ma Tante Aline</t>
  </si>
  <si>
    <t xml:space="preserve"> Invisible Target</t>
  </si>
  <si>
    <t xml:space="preserve"> Your Mommy Kills Animals</t>
  </si>
  <si>
    <t xml:space="preserve"> Kung Fu Tootsie</t>
  </si>
  <si>
    <t xml:space="preserve"> Sunshine</t>
  </si>
  <si>
    <t xml:space="preserve"> Hairspray</t>
  </si>
  <si>
    <t xml:space="preserve"> In Search of Mozart</t>
  </si>
  <si>
    <t xml:space="preserve"> I Now Pronounce You Chuck and Larry</t>
  </si>
  <si>
    <t xml:space="preserve"> Partner</t>
  </si>
  <si>
    <t xml:space="preserve"> David &amp; Layla</t>
  </si>
  <si>
    <t xml:space="preserve"> Cashback</t>
  </si>
  <si>
    <t xml:space="preserve"> Falling for Grace</t>
  </si>
  <si>
    <t xml:space="preserve"> Goya's Ghosts</t>
  </si>
  <si>
    <t xml:space="preserve"> Nan er ben se</t>
  </si>
  <si>
    <t xml:space="preserve"> Summercamp!</t>
  </si>
  <si>
    <t xml:space="preserve"> Cama adentro</t>
  </si>
  <si>
    <t xml:space="preserve"> Perfect Creature</t>
  </si>
  <si>
    <t xml:space="preserve"> El Inmigrante</t>
  </si>
  <si>
    <t xml:space="preserve"> The Cut</t>
  </si>
  <si>
    <t xml:space="preserve"> Hula gâru</t>
  </si>
  <si>
    <t xml:space="preserve"> Shi gan</t>
  </si>
  <si>
    <t xml:space="preserve"> Shortcut to Happiness</t>
  </si>
  <si>
    <t xml:space="preserve"> Captivity</t>
  </si>
  <si>
    <t xml:space="preserve"> Talk to Me</t>
  </si>
  <si>
    <t xml:space="preserve"> Tekkon Kinkreet</t>
  </si>
  <si>
    <t xml:space="preserve"> Pokemon 2007: Diamond &amp; Pearl</t>
  </si>
  <si>
    <t xml:space="preserve"> Naqaab</t>
  </si>
  <si>
    <t xml:space="preserve"> Monkey Magic</t>
  </si>
  <si>
    <t xml:space="preserve"> Interview</t>
  </si>
  <si>
    <t xml:space="preserve"> Purun, The Soap Bubble</t>
  </si>
  <si>
    <t xml:space="preserve"> Harry Potter and the Order of the Phoenix</t>
  </si>
  <si>
    <t xml:space="preserve"> Drama/Mex</t>
  </si>
  <si>
    <t xml:space="preserve"> Contractor, The</t>
  </si>
  <si>
    <t xml:space="preserve"> Kidtoons Comics</t>
  </si>
  <si>
    <t xml:space="preserve"> Rockaway</t>
  </si>
  <si>
    <t xml:space="preserve"> Khon fai bin</t>
  </si>
  <si>
    <t xml:space="preserve"> Incorregibles</t>
  </si>
  <si>
    <t xml:space="preserve"> Heartbreak Hotel (2007, Sweden)</t>
  </si>
  <si>
    <t xml:space="preserve"> Je Deteste les Enfantes des Autres</t>
  </si>
  <si>
    <t xml:space="preserve"> Joshua</t>
  </si>
  <si>
    <t xml:space="preserve"> El Método</t>
  </si>
  <si>
    <t xml:space="preserve"> Flying: Confessions of a Free Woman</t>
  </si>
  <si>
    <t xml:space="preserve"> Rescue Dawn</t>
  </si>
  <si>
    <t xml:space="preserve"> Introducing the Dwights</t>
  </si>
  <si>
    <t xml:space="preserve"> Cherry Crush</t>
  </si>
  <si>
    <t xml:space="preserve"> License to Wed</t>
  </si>
  <si>
    <t xml:space="preserve"> Transformers</t>
  </si>
  <si>
    <t xml:space="preserve"> Nitro</t>
  </si>
  <si>
    <t xml:space="preserve"> Evening</t>
  </si>
  <si>
    <t xml:space="preserve"> Fallen</t>
  </si>
  <si>
    <t xml:space="preserve"> Aap Kaa Surroor</t>
  </si>
  <si>
    <t xml:space="preserve"> Cafe Solo o Con Ellas</t>
  </si>
  <si>
    <t xml:space="preserve"> Cherche Fiance Tout Frais Payes</t>
  </si>
  <si>
    <t xml:space="preserve"> Hooked On You</t>
  </si>
  <si>
    <t xml:space="preserve"> Ghosts of Cité Soleil</t>
  </si>
  <si>
    <t xml:space="preserve"> Ratatouille</t>
  </si>
  <si>
    <t xml:space="preserve"> Apne</t>
  </si>
  <si>
    <t xml:space="preserve"> Vitus</t>
  </si>
  <si>
    <t xml:space="preserve"> Ye Shanghai</t>
  </si>
  <si>
    <t xml:space="preserve"> Chacun sa nuit</t>
  </si>
  <si>
    <t xml:space="preserve"> Secret of the Magic Gourd, The</t>
  </si>
  <si>
    <t xml:space="preserve"> Doulos, Le</t>
  </si>
  <si>
    <t xml:space="preserve"> Dr. Bronner's Magic Soapbox</t>
  </si>
  <si>
    <t xml:space="preserve"> Over the GW</t>
  </si>
  <si>
    <t xml:space="preserve"> Live Free or Die Hard</t>
  </si>
  <si>
    <t xml:space="preserve"> In Between Days</t>
  </si>
  <si>
    <t xml:space="preserve"> High School Musical, The Concert</t>
  </si>
  <si>
    <t xml:space="preserve"> Black House</t>
  </si>
  <si>
    <t xml:space="preserve"> Gen Zong</t>
  </si>
  <si>
    <t xml:space="preserve"> Fragiles</t>
  </si>
  <si>
    <t xml:space="preserve"> Grindhouse - Planet Terror</t>
  </si>
  <si>
    <t xml:space="preserve"> Lady Chatterley</t>
  </si>
  <si>
    <t xml:space="preserve"> Colma: The Musical</t>
  </si>
  <si>
    <t xml:space="preserve"> Haunted Samurai, The</t>
  </si>
  <si>
    <t xml:space="preserve"> Yellow</t>
  </si>
  <si>
    <t xml:space="preserve"> Hei Wong Ji Wong</t>
  </si>
  <si>
    <t xml:space="preserve"> Sicko</t>
  </si>
  <si>
    <t xml:space="preserve"> Evan Almighty</t>
  </si>
  <si>
    <t xml:space="preserve"> Broken English</t>
  </si>
  <si>
    <t xml:space="preserve"> Black Sheep</t>
  </si>
  <si>
    <t xml:space="preserve"> You Kill Me</t>
  </si>
  <si>
    <t xml:space="preserve"> A Mighty Heart</t>
  </si>
  <si>
    <t xml:space="preserve"> Klimt</t>
  </si>
  <si>
    <t xml:space="preserve"> Manufactured Landscapes</t>
  </si>
  <si>
    <t xml:space="preserve"> Fehér Tenyér</t>
  </si>
  <si>
    <t xml:space="preserve"> Maiko haaaan!!!</t>
  </si>
  <si>
    <t xml:space="preserve"> Au-delà de la haine</t>
  </si>
  <si>
    <t xml:space="preserve"> Czech Dream</t>
  </si>
  <si>
    <t xml:space="preserve"> Nancy Drew</t>
  </si>
  <si>
    <t xml:space="preserve"> Sivaji</t>
  </si>
  <si>
    <t xml:space="preserve"> Eagle vs Shark</t>
  </si>
  <si>
    <t xml:space="preserve"> Fantastic Four: Rise of the Silver Surfer</t>
  </si>
  <si>
    <t xml:space="preserve"> Pierrot Le Fou</t>
  </si>
  <si>
    <t xml:space="preserve"> Fido</t>
  </si>
  <si>
    <t xml:space="preserve"> Vikaren</t>
  </si>
  <si>
    <t xml:space="preserve"> DOA: Dead or Alive</t>
  </si>
  <si>
    <t xml:space="preserve"> Unborn in the USA: Inside the War on Abortion</t>
  </si>
  <si>
    <t xml:space="preserve"> Steak</t>
  </si>
  <si>
    <t xml:space="preserve"> Blood and Tears</t>
  </si>
  <si>
    <t xml:space="preserve"> The Trials of Darryl Hunt</t>
  </si>
  <si>
    <t xml:space="preserve"> When the Road Bends: Tales of a Gypsy Caravan</t>
  </si>
  <si>
    <t xml:space="preserve"> Jhoom Barabar Jhoom</t>
  </si>
  <si>
    <t xml:space="preserve"> Lo Kong Ching Chuen</t>
  </si>
  <si>
    <t xml:space="preserve"> Irina Palm</t>
  </si>
  <si>
    <t xml:space="preserve"> Gomez vs. Tavares</t>
  </si>
  <si>
    <t xml:space="preserve"> Macbeth</t>
  </si>
  <si>
    <t xml:space="preserve"> Strajk - Die Heldin von Danzig</t>
  </si>
  <si>
    <t xml:space="preserve"> South by Southwest Live</t>
  </si>
  <si>
    <t xml:space="preserve"> Laitakaupungin valot</t>
  </si>
  <si>
    <t xml:space="preserve"> Ocean's Thirteen</t>
  </si>
  <si>
    <t xml:space="preserve"> You're Gonna Miss Me</t>
  </si>
  <si>
    <t xml:space="preserve"> Hostel: Part II</t>
  </si>
  <si>
    <t xml:space="preserve"> Surf's Up</t>
  </si>
  <si>
    <t xml:space="preserve"> La Môme</t>
  </si>
  <si>
    <t xml:space="preserve"> My Bollywood Bride</t>
  </si>
  <si>
    <t xml:space="preserve"> Steel Toes</t>
  </si>
  <si>
    <t xml:space="preserve"> Belle Toujours</t>
  </si>
  <si>
    <t xml:space="preserve"> A fost sau n-a fost?</t>
  </si>
  <si>
    <t xml:space="preserve"> Hwang Jin-yi</t>
  </si>
  <si>
    <t xml:space="preserve"> Holly Hobbie and Friends - Friends Forever</t>
  </si>
  <si>
    <t xml:space="preserve"> Paano kita Iibigin</t>
  </si>
  <si>
    <t xml:space="preserve"> Fool and Final</t>
  </si>
  <si>
    <t xml:space="preserve"> Rise: Blood Hunter</t>
  </si>
  <si>
    <t xml:space="preserve"> The Last Hangman</t>
  </si>
  <si>
    <t xml:space="preserve"> Yuki Ni Negau Koto</t>
  </si>
  <si>
    <t xml:space="preserve"> Dnevnoy dozor</t>
  </si>
  <si>
    <t xml:space="preserve"> And Then Came Love</t>
  </si>
  <si>
    <t xml:space="preserve"> Gracie</t>
  </si>
  <si>
    <t xml:space="preserve"> Knocked Up</t>
  </si>
  <si>
    <t xml:space="preserve"> Mr. Brooks</t>
  </si>
  <si>
    <t xml:space="preserve"> Crazy Love</t>
  </si>
  <si>
    <t xml:space="preserve"> Wu Kong Da Zhan Er Lang Shen</t>
  </si>
  <si>
    <t xml:space="preserve"> Four Lane Highway</t>
  </si>
  <si>
    <t xml:space="preserve"> Sono Toki Wa Kare Ni Yoroshiku</t>
  </si>
  <si>
    <t xml:space="preserve"> I'm Reed Fish</t>
  </si>
  <si>
    <t xml:space="preserve"> Dai-Nipponjin</t>
  </si>
  <si>
    <t xml:space="preserve"> Teng Nong Khon Maha-Hia</t>
  </si>
  <si>
    <t xml:space="preserve"> Bug</t>
  </si>
  <si>
    <t xml:space="preserve"> Nuovomondo</t>
  </si>
  <si>
    <t xml:space="preserve"> Shoot Out at Lokhandwala</t>
  </si>
  <si>
    <t xml:space="preserve"> Steel City</t>
  </si>
  <si>
    <t xml:space="preserve"> Angel-A</t>
  </si>
  <si>
    <t xml:space="preserve"> Pirates of the Caribbean: At World's End</t>
  </si>
  <si>
    <t xml:space="preserve"> Cheeni Kum</t>
  </si>
  <si>
    <t xml:space="preserve"> Ten Canoes</t>
  </si>
  <si>
    <t xml:space="preserve"> Paprika</t>
  </si>
  <si>
    <t xml:space="preserve"> La Disparue de Deauville</t>
  </si>
  <si>
    <t xml:space="preserve"> Amu</t>
  </si>
  <si>
    <t xml:space="preserve"> The Evil Twin</t>
  </si>
  <si>
    <t xml:space="preserve"> Milyang</t>
  </si>
  <si>
    <t xml:space="preserve"> I Have Never Forgotten You: The Life &amp; Legacy of Simon Wiesenthal</t>
  </si>
  <si>
    <t xml:space="preserve"> Malon 9 Kochavim</t>
  </si>
  <si>
    <t xml:space="preserve"> Direktøren for det hele</t>
  </si>
  <si>
    <t xml:space="preserve"> Pacchigi! Love &amp; Peace</t>
  </si>
  <si>
    <t xml:space="preserve"> Severance</t>
  </si>
  <si>
    <t xml:space="preserve"> Nue propriété</t>
  </si>
  <si>
    <t xml:space="preserve"> Memories of Tomorrow</t>
  </si>
  <si>
    <t xml:space="preserve"> Fay Grim</t>
  </si>
  <si>
    <t xml:space="preserve"> The Last Time</t>
  </si>
  <si>
    <t xml:space="preserve"> Even Money</t>
  </si>
  <si>
    <t xml:space="preserve"> Alter Ego</t>
  </si>
  <si>
    <t xml:space="preserve"> Magicians</t>
  </si>
  <si>
    <t xml:space="preserve"> The Wendell Baker Story</t>
  </si>
  <si>
    <t xml:space="preserve"> Hollywood Dreams</t>
  </si>
  <si>
    <t xml:space="preserve"> Flandres</t>
  </si>
  <si>
    <t xml:space="preserve"> Shrek the Third</t>
  </si>
  <si>
    <t xml:space="preserve"> Once</t>
  </si>
  <si>
    <t xml:space="preserve"> Ore wa, kimi no tame ni koso shini ni iku</t>
  </si>
  <si>
    <t xml:space="preserve"> Bizan</t>
  </si>
  <si>
    <t xml:space="preserve"> Show Business</t>
  </si>
  <si>
    <t xml:space="preserve"> Life in a... Metro</t>
  </si>
  <si>
    <t xml:space="preserve"> 28 Weeks Later</t>
  </si>
  <si>
    <t xml:space="preserve"> The Hip Hop Project</t>
  </si>
  <si>
    <t xml:space="preserve"> The Ex</t>
  </si>
  <si>
    <t xml:space="preserve"> Casting About</t>
  </si>
  <si>
    <t xml:space="preserve"> Home of the Brave</t>
  </si>
  <si>
    <t xml:space="preserve"> Chalk</t>
  </si>
  <si>
    <t xml:space="preserve"> Georgia Rule</t>
  </si>
  <si>
    <t xml:space="preserve"> Duck</t>
  </si>
  <si>
    <t xml:space="preserve"> Brooklyn Rules</t>
  </si>
  <si>
    <t xml:space="preserve"> Blind Dating</t>
  </si>
  <si>
    <t xml:space="preserve"> Provoked: A True Story</t>
  </si>
  <si>
    <t xml:space="preserve"> Delta Farce</t>
  </si>
  <si>
    <t xml:space="preserve"> The Salon</t>
  </si>
  <si>
    <t xml:space="preserve"> Unstoppable Marriage</t>
  </si>
  <si>
    <t xml:space="preserve"> Hei yan quan</t>
  </si>
  <si>
    <t xml:space="preserve"> Brand Upon the Brain!</t>
  </si>
  <si>
    <t xml:space="preserve"> Allegro</t>
  </si>
  <si>
    <t xml:space="preserve"> Day Night Day Night</t>
  </si>
  <si>
    <t xml:space="preserve"> Looking for an Icon</t>
  </si>
  <si>
    <t xml:space="preserve"> Eloise in Hollywood</t>
  </si>
  <si>
    <t xml:space="preserve"> Paris, je t'aime</t>
  </si>
  <si>
    <t xml:space="preserve"> Civic Duty</t>
  </si>
  <si>
    <t xml:space="preserve"> Gringo Wedding</t>
  </si>
  <si>
    <t xml:space="preserve"> The Treatment</t>
  </si>
  <si>
    <t xml:space="preserve"> L'Iceberg</t>
  </si>
  <si>
    <t xml:space="preserve"> Disappearances</t>
  </si>
  <si>
    <t xml:space="preserve"> Spider-Man 3</t>
  </si>
  <si>
    <t xml:space="preserve"> Away From Her</t>
  </si>
  <si>
    <t xml:space="preserve"> The Flying Scotsman</t>
  </si>
  <si>
    <t xml:space="preserve"> Lucky You</t>
  </si>
  <si>
    <t xml:space="preserve"> Waitress</t>
  </si>
  <si>
    <t xml:space="preserve"> Sandlot 3: Heading Home, The</t>
  </si>
  <si>
    <t xml:space="preserve"> Gegege No Kitarô</t>
  </si>
  <si>
    <t xml:space="preserve"> Fakers</t>
  </si>
  <si>
    <t xml:space="preserve"> Something to Cheer About</t>
  </si>
  <si>
    <t xml:space="preserve"> Wind Chill</t>
  </si>
  <si>
    <t xml:space="preserve"> Les amitiés maléfiques</t>
  </si>
  <si>
    <t xml:space="preserve"> Sing Now or Forever Hold Your Peace</t>
  </si>
  <si>
    <t xml:space="preserve"> Kickin It Old Skool</t>
  </si>
  <si>
    <t xml:space="preserve"> Next</t>
  </si>
  <si>
    <t xml:space="preserve"> Dog Problem, The</t>
  </si>
  <si>
    <t xml:space="preserve"> The Condemned</t>
  </si>
  <si>
    <t xml:space="preserve"> Snow Cake</t>
  </si>
  <si>
    <t xml:space="preserve"> The Invisible</t>
  </si>
  <si>
    <t xml:space="preserve"> Jindabyne</t>
  </si>
  <si>
    <t xml:space="preserve"> J'Veux Pas Que Tu T'en Ailles</t>
  </si>
  <si>
    <t xml:space="preserve"> Diggers</t>
  </si>
  <si>
    <t xml:space="preserve"> Ta Ra Rum Pum</t>
  </si>
  <si>
    <t xml:space="preserve"> Bunteu</t>
  </si>
  <si>
    <t xml:space="preserve"> Americanizing Shelley</t>
  </si>
  <si>
    <t xml:space="preserve"> Love and Other Disasters</t>
  </si>
  <si>
    <t xml:space="preserve"> Zoo</t>
  </si>
  <si>
    <t xml:space="preserve"> Pur Week-end</t>
  </si>
  <si>
    <t xml:space="preserve"> Hak se wui yi wo wai kwai</t>
  </si>
  <si>
    <t xml:space="preserve"> Crayon Shinchan 15</t>
  </si>
  <si>
    <t xml:space="preserve"> Detective Conan: Jolly Roger in Deep Azure</t>
  </si>
  <si>
    <t xml:space="preserve"> La doublure</t>
  </si>
  <si>
    <t xml:space="preserve"> Stephanie Daley</t>
  </si>
  <si>
    <t xml:space="preserve"> The Tripper</t>
  </si>
  <si>
    <t xml:space="preserve"> Hot Fuzz</t>
  </si>
  <si>
    <t xml:space="preserve"> Vacancy</t>
  </si>
  <si>
    <t xml:space="preserve"> Fracture</t>
  </si>
  <si>
    <t xml:space="preserve"> In the Land of Women</t>
  </si>
  <si>
    <t xml:space="preserve"> That Beautiful Somewhere</t>
  </si>
  <si>
    <t xml:space="preserve"> Downtown: A Street Tale</t>
  </si>
  <si>
    <t xml:space="preserve"> Believe</t>
  </si>
  <si>
    <t xml:space="preserve"> Alice Neel</t>
  </si>
  <si>
    <t xml:space="preserve"> Adios Momo</t>
  </si>
  <si>
    <t xml:space="preserve"> Meet Mr. Dadddy</t>
  </si>
  <si>
    <t xml:space="preserve"> My Tutor Friend 2</t>
  </si>
  <si>
    <t xml:space="preserve"> Sang sattawat</t>
  </si>
  <si>
    <t xml:space="preserve"> Tokyo Tower: Mom and Me and Sometimes Dad</t>
  </si>
  <si>
    <t xml:space="preserve"> Year of the Dog</t>
  </si>
  <si>
    <t xml:space="preserve"> Aqua Teen Hunger Force: The Movie</t>
  </si>
  <si>
    <t xml:space="preserve"> Red Road</t>
  </si>
  <si>
    <t xml:space="preserve"> Goodbye Bafana</t>
  </si>
  <si>
    <t xml:space="preserve"> Disturbia</t>
  </si>
  <si>
    <t xml:space="preserve"> Vollidiot</t>
  </si>
  <si>
    <t xml:space="preserve"> Everything's Gone Green</t>
  </si>
  <si>
    <t xml:space="preserve"> Pathfinder</t>
  </si>
  <si>
    <t xml:space="preserve"> Coeurs</t>
  </si>
  <si>
    <t xml:space="preserve"> Perfect Stranger</t>
  </si>
  <si>
    <t xml:space="preserve"> Lonely Hearts</t>
  </si>
  <si>
    <t xml:space="preserve"> Slow Burn</t>
  </si>
  <si>
    <t xml:space="preserve"> Hatsujô kateikyôshi: sensei no aijiru</t>
  </si>
  <si>
    <t xml:space="preserve"> Dreaming Lhasa</t>
  </si>
  <si>
    <t xml:space="preserve"> Redline</t>
  </si>
  <si>
    <t xml:space="preserve"> Paradise Murdered</t>
  </si>
  <si>
    <t xml:space="preserve"> Rock the Bells</t>
  </si>
  <si>
    <t xml:space="preserve"> Jack Smith and the Destruction of Atlantis</t>
  </si>
  <si>
    <t xml:space="preserve"> Mail Narok Muay Yok Lor</t>
  </si>
  <si>
    <t xml:space="preserve"> My Father, The Genius</t>
  </si>
  <si>
    <t xml:space="preserve"> Wilden Huhner und die Liebe, Die</t>
  </si>
  <si>
    <t xml:space="preserve"> Waiting for a Miracle</t>
  </si>
  <si>
    <t xml:space="preserve"> Grindhouse</t>
  </si>
  <si>
    <t xml:space="preserve"> Prix a Payer, Le</t>
  </si>
  <si>
    <t xml:space="preserve"> The TV Set</t>
  </si>
  <si>
    <t xml:space="preserve"> The Hoax</t>
  </si>
  <si>
    <t xml:space="preserve"> The Night of the White Pants</t>
  </si>
  <si>
    <t xml:space="preserve"> Daratt</t>
  </si>
  <si>
    <t xml:space="preserve"> The Dance</t>
  </si>
  <si>
    <t xml:space="preserve"> Fighting Words</t>
  </si>
  <si>
    <t xml:space="preserve"> Cop, the Criminal and the Clown, The</t>
  </si>
  <si>
    <t xml:space="preserve"> Zwartboek</t>
  </si>
  <si>
    <t xml:space="preserve"> Los Muertos</t>
  </si>
  <si>
    <t xml:space="preserve"> Greg et Gentillon</t>
  </si>
  <si>
    <t xml:space="preserve"> Derzkie Dni</t>
  </si>
  <si>
    <t xml:space="preserve"> Demandez la Permission aux Enfants</t>
  </si>
  <si>
    <t xml:space="preserve"> Whole New Thing</t>
  </si>
  <si>
    <t xml:space="preserve"> Show Must Go On, The</t>
  </si>
  <si>
    <t xml:space="preserve"> The Reaping</t>
  </si>
  <si>
    <t xml:space="preserve"> Are We Done Yet?</t>
  </si>
  <si>
    <t xml:space="preserve"> Firehouse Dog</t>
  </si>
  <si>
    <t xml:space="preserve"> Galapagos: The Islands That Changed the World</t>
  </si>
  <si>
    <t xml:space="preserve"> The Naked Brothers Band - The Movie</t>
  </si>
  <si>
    <t xml:space="preserve"> Meet the Robinsons</t>
  </si>
  <si>
    <t xml:space="preserve"> Dinosaurs Alive</t>
  </si>
  <si>
    <t xml:space="preserve"> The Hawk is Dying</t>
  </si>
  <si>
    <t xml:space="preserve"> Race You to the Bottom</t>
  </si>
  <si>
    <t xml:space="preserve"> The Lookout</t>
  </si>
  <si>
    <t xml:space="preserve"> Blades of Glory</t>
  </si>
  <si>
    <t xml:space="preserve"> Efter brylluppet</t>
  </si>
  <si>
    <t xml:space="preserve"> Live Free or Die</t>
  </si>
  <si>
    <t xml:space="preserve"> Tete de Maman, La</t>
  </si>
  <si>
    <t xml:space="preserve"> Hellphone</t>
  </si>
  <si>
    <t xml:space="preserve"> Summer in Berlin</t>
  </si>
  <si>
    <t xml:space="preserve"> Ten 'Til Noon</t>
  </si>
  <si>
    <t xml:space="preserve"> Radiant City</t>
  </si>
  <si>
    <t xml:space="preserve"> Faet</t>
  </si>
  <si>
    <t xml:space="preserve"> Small Town Rivals</t>
  </si>
  <si>
    <t xml:space="preserve"> U-Carmen e-Khayelitsha</t>
  </si>
  <si>
    <t xml:space="preserve"> The Marsh</t>
  </si>
  <si>
    <t xml:space="preserve"> The Hills Have Eyes II</t>
  </si>
  <si>
    <t xml:space="preserve"> Offside</t>
  </si>
  <si>
    <t xml:space="preserve"> Colour Me Kubrick: A True...ish Story</t>
  </si>
  <si>
    <t xml:space="preserve"> The Piccadilly Cowboy</t>
  </si>
  <si>
    <t xml:space="preserve"> Ensemble, c'est tout</t>
  </si>
  <si>
    <t xml:space="preserve"> Cobra Verde</t>
  </si>
  <si>
    <t xml:space="preserve"> Boy Culture</t>
  </si>
  <si>
    <t xml:space="preserve"> Reign Over Me</t>
  </si>
  <si>
    <t xml:space="preserve"> What Love Is</t>
  </si>
  <si>
    <t xml:space="preserve"> Sharkwater</t>
  </si>
  <si>
    <t xml:space="preserve"> Mem-o-re</t>
  </si>
  <si>
    <t xml:space="preserve"> Namastey London</t>
  </si>
  <si>
    <t xml:space="preserve"> Journey from the Fall</t>
  </si>
  <si>
    <t xml:space="preserve"> Pride</t>
  </si>
  <si>
    <t xml:space="preserve"> First Snow</t>
  </si>
  <si>
    <t xml:space="preserve"> Air Guitar Nation</t>
  </si>
  <si>
    <t xml:space="preserve"> The Last Mimzy</t>
  </si>
  <si>
    <t xml:space="preserve"> TMNT</t>
  </si>
  <si>
    <t xml:space="preserve"> The Prisoner or: How I Planned to Kill Tony Blair</t>
  </si>
  <si>
    <t xml:space="preserve"> Shooter</t>
  </si>
  <si>
    <t xml:space="preserve"> Go Diego Go! Underwater Mystery</t>
  </si>
  <si>
    <t xml:space="preserve"> Mickey's Clubhouse - Mickey's Great Clubhouse Hunt</t>
  </si>
  <si>
    <t xml:space="preserve"> Unfair: The Movie</t>
  </si>
  <si>
    <t xml:space="preserve"> Neues Vom Wixxer</t>
  </si>
  <si>
    <t xml:space="preserve"> Il 7 E L'8</t>
  </si>
  <si>
    <t xml:space="preserve"> Premonition</t>
  </si>
  <si>
    <t xml:space="preserve"> Dead Silence</t>
  </si>
  <si>
    <t xml:space="preserve"> Nomad</t>
  </si>
  <si>
    <t xml:space="preserve"> American Cannibal</t>
  </si>
  <si>
    <t xml:space="preserve"> My Brother</t>
  </si>
  <si>
    <t xml:space="preserve"> Caffeine</t>
  </si>
  <si>
    <t xml:space="preserve"> The Wind That Shakes the Barley</t>
  </si>
  <si>
    <t xml:space="preserve"> Tortilla Heaven</t>
  </si>
  <si>
    <t xml:space="preserve"> Behind the Mask: The Rise of Leslie Vernon</t>
  </si>
  <si>
    <t xml:space="preserve"> I Think I Love My Wife</t>
  </si>
  <si>
    <t xml:space="preserve"> Hat Trick</t>
  </si>
  <si>
    <t xml:space="preserve"> Adam's Apples</t>
  </si>
  <si>
    <t xml:space="preserve"> Big Bang</t>
  </si>
  <si>
    <t xml:space="preserve"> Blockade</t>
  </si>
  <si>
    <t xml:space="preserve"> A Little Trip to Heaven</t>
  </si>
  <si>
    <t xml:space="preserve"> Baby Einstein - My First Signs</t>
  </si>
  <si>
    <t xml:space="preserve"> Sublime</t>
  </si>
  <si>
    <t xml:space="preserve"> Barbie Fairytopia - Magic of the Rainbow</t>
  </si>
  <si>
    <t xml:space="preserve"> Doraemon: Nobita's Great Adventure into the Underworld</t>
  </si>
  <si>
    <t xml:space="preserve"> Battery</t>
  </si>
  <si>
    <t xml:space="preserve"> The Namesake</t>
  </si>
  <si>
    <t xml:space="preserve"> Beyond the Gates</t>
  </si>
  <si>
    <t xml:space="preserve"> Islander</t>
  </si>
  <si>
    <t xml:space="preserve"> Gwoemul</t>
  </si>
  <si>
    <t xml:space="preserve"> Bodyguard Na Liam 2</t>
  </si>
  <si>
    <t xml:space="preserve"> Ho Voglia Di Te</t>
  </si>
  <si>
    <t xml:space="preserve"> Outlaw</t>
  </si>
  <si>
    <t xml:space="preserve"> Maxed Out: Hard Times, Easy Credit and the Era of Predatory Lenders</t>
  </si>
  <si>
    <t xml:space="preserve"> Ninas Mal</t>
  </si>
  <si>
    <t xml:space="preserve"> Believe in Me</t>
  </si>
  <si>
    <t xml:space="preserve"> The Ultimate Gift</t>
  </si>
  <si>
    <t xml:space="preserve"> Les Témoins</t>
  </si>
  <si>
    <t xml:space="preserve"> Les anges exterminateurs</t>
  </si>
  <si>
    <t xml:space="preserve"> Dukes of Hazzard: The Beginning, The</t>
  </si>
  <si>
    <t xml:space="preserve"> Genghis Khan: To the Ends of the Earth and Sea</t>
  </si>
  <si>
    <t xml:space="preserve"> Cats of Mirikitan, The</t>
  </si>
  <si>
    <t xml:space="preserve"> Black Snake Moan</t>
  </si>
  <si>
    <t xml:space="preserve"> Zodiac</t>
  </si>
  <si>
    <t xml:space="preserve"> Two Weeks</t>
  </si>
  <si>
    <t xml:space="preserve"> Nishabh</t>
  </si>
  <si>
    <t xml:space="preserve"> Rock Bottom</t>
  </si>
  <si>
    <t xml:space="preserve"> Gangsta Rap</t>
  </si>
  <si>
    <t xml:space="preserve"> Full of It</t>
  </si>
  <si>
    <t xml:space="preserve"> Wild Hogs</t>
  </si>
  <si>
    <t xml:space="preserve"> Michou D'Auber</t>
  </si>
  <si>
    <t xml:space="preserve"> Testosteron (Poland, 2007)</t>
  </si>
  <si>
    <t xml:space="preserve"> Lubov Morkov</t>
  </si>
  <si>
    <t xml:space="preserve"> Mon Fils à Moi</t>
  </si>
  <si>
    <t xml:space="preserve"> Wild Tigers I Have Known</t>
  </si>
  <si>
    <t xml:space="preserve"> Die Große Stille</t>
  </si>
  <si>
    <t xml:space="preserve"> Journey to the End of the Night</t>
  </si>
  <si>
    <t xml:space="preserve"> Bratz - Fashion Pixiez</t>
  </si>
  <si>
    <t xml:space="preserve"> Disney's Little Einsteins - The Legend of the Golden Pyramid</t>
  </si>
  <si>
    <t xml:space="preserve"> Carlos Santana &amp; Wayne Shorter - Live at Montreux</t>
  </si>
  <si>
    <t xml:space="preserve"> Land Before Time XII, The - The Great Day of the Flyers</t>
  </si>
  <si>
    <t xml:space="preserve"> Nine Inch Nails Live: Beside You in Time</t>
  </si>
  <si>
    <t xml:space="preserve"> You Are Alone</t>
  </si>
  <si>
    <t xml:space="preserve"> Cha no aji</t>
  </si>
  <si>
    <t xml:space="preserve"> Gray Matters</t>
  </si>
  <si>
    <t xml:space="preserve"> The Abandoned</t>
  </si>
  <si>
    <t xml:space="preserve"> Glastonbury</t>
  </si>
  <si>
    <t xml:space="preserve"> The Astronaut Farmer</t>
  </si>
  <si>
    <t xml:space="preserve"> The Number 23</t>
  </si>
  <si>
    <t xml:space="preserve"> Amazing Grace</t>
  </si>
  <si>
    <t xml:space="preserve"> Je Crois Que Je L'Aime</t>
  </si>
  <si>
    <t xml:space="preserve"> Nos Voisins Dhamtsu</t>
  </si>
  <si>
    <t xml:space="preserve"> Dance Avec Lui</t>
  </si>
  <si>
    <t xml:space="preserve"> Paragraf 78</t>
  </si>
  <si>
    <t xml:space="preserve"> Sluga Gosudarev</t>
  </si>
  <si>
    <t xml:space="preserve"> Premium</t>
  </si>
  <si>
    <t xml:space="preserve"> Starter for Ten</t>
  </si>
  <si>
    <t xml:space="preserve"> Reno 911!: Miami</t>
  </si>
  <si>
    <t xml:space="preserve"> Saturno Contro</t>
  </si>
  <si>
    <t xml:space="preserve"> Curious George - Zoo Night and Other Animal Stories</t>
  </si>
  <si>
    <t xml:space="preserve"> River's End</t>
  </si>
  <si>
    <t xml:space="preserve"> C.R.A.Z.Y.</t>
  </si>
  <si>
    <t xml:space="preserve"> Ma Fille, Mon Ange</t>
  </si>
  <si>
    <t xml:space="preserve"> Bridge to Terabithia</t>
  </si>
  <si>
    <t xml:space="preserve"> Indigènes</t>
  </si>
  <si>
    <t xml:space="preserve"> Taxi 4</t>
  </si>
  <si>
    <t xml:space="preserve"> Karov La Bayit</t>
  </si>
  <si>
    <t xml:space="preserve"> Breach</t>
  </si>
  <si>
    <t xml:space="preserve"> Ghost Rider</t>
  </si>
  <si>
    <t xml:space="preserve"> 2006 Academy Award Nominated Short Films</t>
  </si>
  <si>
    <t xml:space="preserve"> Fauteils d'orchestre</t>
  </si>
  <si>
    <t xml:space="preserve"> Antikörper</t>
  </si>
  <si>
    <t xml:space="preserve"> Grbavica</t>
  </si>
  <si>
    <t xml:space="preserve"> Eklavya - The Royal Guard</t>
  </si>
  <si>
    <t xml:space="preserve"> Café Setareh</t>
  </si>
  <si>
    <t xml:space="preserve"> Moon To</t>
  </si>
  <si>
    <t xml:space="preserve"> Miracle on 1st Street</t>
  </si>
  <si>
    <t xml:space="preserve"> Bok-Myun-Dal-Ho</t>
  </si>
  <si>
    <t xml:space="preserve"> King Naresuan 2</t>
  </si>
  <si>
    <t xml:space="preserve"> Notte Prima Degli Esami: Oggi</t>
  </si>
  <si>
    <t xml:space="preserve"> Bamako</t>
  </si>
  <si>
    <t xml:space="preserve"> Music and Lyrics</t>
  </si>
  <si>
    <t xml:space="preserve"> Daddy's Little Girls</t>
  </si>
  <si>
    <t xml:space="preserve"> Mou gaan dou II</t>
  </si>
  <si>
    <t xml:space="preserve"> Finesse Mitchell: Live</t>
  </si>
  <si>
    <t xml:space="preserve"> Man About Town</t>
  </si>
  <si>
    <t xml:space="preserve"> Mou gaan dou III: Jung gik mou gaan</t>
  </si>
  <si>
    <t xml:space="preserve"> Ging chaat goo si juk jaap</t>
  </si>
  <si>
    <t xml:space="preserve"> Bubble Fiction: Boom or Bust</t>
  </si>
  <si>
    <t xml:space="preserve"> Black Friday</t>
  </si>
  <si>
    <t xml:space="preserve"> The Last Sin Eater</t>
  </si>
  <si>
    <t xml:space="preserve"> Operation Homecoming</t>
  </si>
  <si>
    <t xml:space="preserve"> Das Leben der Anderen</t>
  </si>
  <si>
    <t xml:space="preserve"> Burning Annie</t>
  </si>
  <si>
    <t xml:space="preserve"> Norbit</t>
  </si>
  <si>
    <t xml:space="preserve"> Rys</t>
  </si>
  <si>
    <t xml:space="preserve"> Notes on Marie Menken</t>
  </si>
  <si>
    <t xml:space="preserve"> Hannibal Rising</t>
  </si>
  <si>
    <t xml:space="preserve"> Gim Gwanjang Dae Gim Gwanjang</t>
  </si>
  <si>
    <t xml:space="preserve"> Day for an Affair, A</t>
  </si>
  <si>
    <t xml:space="preserve"> Odette Toulemonde</t>
  </si>
  <si>
    <t xml:space="preserve"> Elmo's World - What Makes You Happy?</t>
  </si>
  <si>
    <t xml:space="preserve"> Cinderella III: A Twist in Time</t>
  </si>
  <si>
    <t xml:space="preserve"> En el hoyo</t>
  </si>
  <si>
    <t xml:space="preserve"> Puccini for Beginners</t>
  </si>
  <si>
    <t xml:space="preserve"> Constellation</t>
  </si>
  <si>
    <t xml:space="preserve"> Fired!</t>
  </si>
  <si>
    <t xml:space="preserve"> Raising Flagg</t>
  </si>
  <si>
    <t xml:space="preserve"> Because I Said So</t>
  </si>
  <si>
    <t xml:space="preserve"> East of Havana</t>
  </si>
  <si>
    <t xml:space="preserve"> Die Wilden Kerle 4</t>
  </si>
  <si>
    <t xml:space="preserve"> L'îlle Aux Trésors</t>
  </si>
  <si>
    <t xml:space="preserve"> La Cena Per Farli Conoscere</t>
  </si>
  <si>
    <t xml:space="preserve"> Kilómetro 31</t>
  </si>
  <si>
    <t xml:space="preserve"> The Messengers</t>
  </si>
  <si>
    <t xml:space="preserve"> Partition</t>
  </si>
  <si>
    <t xml:space="preserve"> The Situation</t>
  </si>
  <si>
    <t xml:space="preserve"> Can Mr. Smith Get to Washington Anymore?</t>
  </si>
  <si>
    <t xml:space="preserve"> Swaidek Koronny</t>
  </si>
  <si>
    <t xml:space="preserve"> Voice of a Murderer</t>
  </si>
  <si>
    <t xml:space="preserve"> An Unreasonable Man</t>
  </si>
  <si>
    <t xml:space="preserve"> The Pool</t>
  </si>
  <si>
    <t xml:space="preserve"> Prey</t>
  </si>
  <si>
    <t xml:space="preserve"> Farce of the Penguins</t>
  </si>
  <si>
    <t xml:space="preserve"> Celtic Woman - A New Journey: Live at Slane Castle, Ireland</t>
  </si>
  <si>
    <t xml:space="preserve"> The Gathering</t>
  </si>
  <si>
    <t xml:space="preserve"> Diary of a Worm ... And More Great Animal Tales</t>
  </si>
  <si>
    <t xml:space="preserve"> Dororo</t>
  </si>
  <si>
    <t xml:space="preserve"> Seraphim Falls</t>
  </si>
  <si>
    <t xml:space="preserve"> Smokin' Aces</t>
  </si>
  <si>
    <t xml:space="preserve"> G.I. Jesus</t>
  </si>
  <si>
    <t xml:space="preserve"> Pars Vite Et Reviens Tard</t>
  </si>
  <si>
    <t xml:space="preserve"> A Grande Familia</t>
  </si>
  <si>
    <t xml:space="preserve"> Il Ne Faut Jurer de Rien</t>
  </si>
  <si>
    <t xml:space="preserve"> Funny Money</t>
  </si>
  <si>
    <t xml:space="preserve"> Catch and Release</t>
  </si>
  <si>
    <t xml:space="preserve"> Epic Movie</t>
  </si>
  <si>
    <t xml:space="preserve"> Blood and Chocolate</t>
  </si>
  <si>
    <t xml:space="preserve"> Salaam-e-Ishq (A Tribute to Love)</t>
  </si>
  <si>
    <t xml:space="preserve"> The Perfect Couple</t>
  </si>
  <si>
    <t xml:space="preserve"> The Invincible Iron Man</t>
  </si>
  <si>
    <t xml:space="preserve"> John Pinette / I'm Starvin'</t>
  </si>
  <si>
    <t xml:space="preserve"> Four Sheets to the Wind</t>
  </si>
  <si>
    <t xml:space="preserve"> Sacco and Vanzetti</t>
  </si>
  <si>
    <t xml:space="preserve"> Lovewrecked</t>
  </si>
  <si>
    <t xml:space="preserve"> The Holy Mountain</t>
  </si>
  <si>
    <t xml:space="preserve"> Luo Ye Gui Gen</t>
  </si>
  <si>
    <t xml:space="preserve"> China Blue</t>
  </si>
  <si>
    <t xml:space="preserve"> Truands</t>
  </si>
  <si>
    <t xml:space="preserve"> The Hitcher</t>
  </si>
  <si>
    <t xml:space="preserve"> Manuale D'Amore 2</t>
  </si>
  <si>
    <t xml:space="preserve"> Italianetz</t>
  </si>
  <si>
    <t xml:space="preserve"> Dlaczego Nie!</t>
  </si>
  <si>
    <t xml:space="preserve"> Anja Og Viktor - Braendende Kaerlighed</t>
  </si>
  <si>
    <t xml:space="preserve"> Robot Taekwon V</t>
  </si>
  <si>
    <t xml:space="preserve"> Mapado 2</t>
  </si>
  <si>
    <t xml:space="preserve"> Jacquou le Croquant</t>
  </si>
  <si>
    <t xml:space="preserve"> Alone with Her</t>
  </si>
  <si>
    <t xml:space="preserve"> Sun Yat Fai Lok</t>
  </si>
  <si>
    <t xml:space="preserve"> Undisputed II - Last Man Standing</t>
  </si>
  <si>
    <t xml:space="preserve"> Go, Diego, Go! - The Great Jaguar Rescue</t>
  </si>
  <si>
    <t xml:space="preserve"> Purgatory House</t>
  </si>
  <si>
    <t xml:space="preserve"> Love Never to End</t>
  </si>
  <si>
    <t xml:space="preserve"> Jump In!</t>
  </si>
  <si>
    <t xml:space="preserve"> Stomp the Yard</t>
  </si>
  <si>
    <t xml:space="preserve"> God Grew Tired of Us: The Story of Lost Boys of Sudan</t>
  </si>
  <si>
    <t xml:space="preserve"> Fah talai jone</t>
  </si>
  <si>
    <t xml:space="preserve"> Primeval</t>
  </si>
  <si>
    <t xml:space="preserve"> Mein Fuhrer: The Truly Truest Truth About Adolf Hitler</t>
  </si>
  <si>
    <t xml:space="preserve"> Verdict on Auschwitz: The Frankfurt Trial 1963-1965</t>
  </si>
  <si>
    <t xml:space="preserve"> Alpha Dog</t>
  </si>
  <si>
    <t xml:space="preserve"> Guru</t>
  </si>
  <si>
    <t xml:space="preserve"> Le Serpent</t>
  </si>
  <si>
    <t xml:space="preserve"> Herb</t>
  </si>
  <si>
    <t xml:space="preserve"> Maskeli Besler</t>
  </si>
  <si>
    <t xml:space="preserve"> Happily N'Ever After</t>
  </si>
  <si>
    <t xml:space="preserve"> Thr3e</t>
  </si>
  <si>
    <t xml:space="preserve"> Code Name: The Cleaner</t>
  </si>
  <si>
    <t xml:space="preserve"> White Noise 2: The Light</t>
  </si>
  <si>
    <t xml:space="preserve"> Freedom Writers</t>
  </si>
  <si>
    <t xml:space="preserve"> Comedy of Power</t>
  </si>
  <si>
    <t xml:space="preserve"> The Breed</t>
  </si>
  <si>
    <t xml:space="preserve"> Factory Girl</t>
  </si>
  <si>
    <t xml:space="preserve"> Tigre e la neve, La</t>
  </si>
  <si>
    <t xml:space="preserve"> El Laberinto del Fauno</t>
  </si>
  <si>
    <t xml:space="preserve"> Inconscientes</t>
  </si>
  <si>
    <t xml:space="preserve"> The Dead Girl</t>
  </si>
  <si>
    <t xml:space="preserve"> Miss Potter</t>
  </si>
  <si>
    <t xml:space="preserve"> Zhara</t>
  </si>
  <si>
    <t xml:space="preserve"> Jopog Manura 3</t>
  </si>
  <si>
    <t xml:space="preserve"> Volkodav</t>
  </si>
  <si>
    <t xml:space="preserve"> Perfume: The Story of a Murderer</t>
  </si>
  <si>
    <t xml:space="preserve"> Dane Cook's Tourgasm</t>
  </si>
  <si>
    <t xml:space="preserve"> Black Christmas</t>
  </si>
  <si>
    <t xml:space="preserve"> Children of Men</t>
  </si>
  <si>
    <t xml:space="preserve"> Notes on a Scandal</t>
  </si>
  <si>
    <t xml:space="preserve"> Oh-Oku, the Women of the Inner Palace</t>
  </si>
  <si>
    <t xml:space="preserve"> Heroes de la Famille, Le</t>
  </si>
  <si>
    <t xml:space="preserve"> We Are... Marshall</t>
  </si>
  <si>
    <t xml:space="preserve"> Gota Kanal 2 - kanalkampen</t>
  </si>
  <si>
    <t xml:space="preserve"> Bhagam Bhag</t>
  </si>
  <si>
    <t xml:space="preserve"> The Good Shepherd</t>
  </si>
  <si>
    <t xml:space="preserve"> Words of My Perfect Teacher</t>
  </si>
  <si>
    <t xml:space="preserve"> Night at the Museum</t>
  </si>
  <si>
    <t xml:space="preserve"> Restless, The (2006)</t>
  </si>
  <si>
    <t xml:space="preserve"> Seung Sing</t>
  </si>
  <si>
    <t xml:space="preserve"> Venus</t>
  </si>
  <si>
    <t xml:space="preserve"> Man cheng jin dai huang jin jia</t>
  </si>
  <si>
    <t xml:space="preserve"> Old Miss Diary</t>
  </si>
  <si>
    <t xml:space="preserve"> Rocky Balboa</t>
  </si>
  <si>
    <t xml:space="preserve"> Mon meilleur ami</t>
  </si>
  <si>
    <t xml:space="preserve"> Matthew Barney: No Restraint</t>
  </si>
  <si>
    <t xml:space="preserve"> Letters from Iwo Jima</t>
  </si>
  <si>
    <t xml:space="preserve"> The Painted Veil</t>
  </si>
  <si>
    <t xml:space="preserve"> American Pie Presents: The Naked Mile</t>
  </si>
  <si>
    <t xml:space="preserve"> Biggest Loser Workout, Vol. 2, The</t>
  </si>
  <si>
    <t xml:space="preserve"> Dobutsu No Mori</t>
  </si>
  <si>
    <t xml:space="preserve"> Murder of the Inugami Clan</t>
  </si>
  <si>
    <t xml:space="preserve"> Bleach Memories of Nobody</t>
  </si>
  <si>
    <t xml:space="preserve"> Kabul Express</t>
  </si>
  <si>
    <t xml:space="preserve"> Romeo et Juliette</t>
  </si>
  <si>
    <t xml:space="preserve"> Eragon</t>
  </si>
  <si>
    <t xml:space="preserve"> Arthur et les Minimoys</t>
  </si>
  <si>
    <t xml:space="preserve"> Dreamgirls</t>
  </si>
  <si>
    <t xml:space="preserve"> Charlotte's Web</t>
  </si>
  <si>
    <t xml:space="preserve"> The Pursuit of Happyness</t>
  </si>
  <si>
    <t xml:space="preserve"> The Secret Life of Words</t>
  </si>
  <si>
    <t xml:space="preserve"> Breaking and Entering</t>
  </si>
  <si>
    <t xml:space="preserve"> Olè</t>
  </si>
  <si>
    <t xml:space="preserve"> Natale a New York</t>
  </si>
  <si>
    <t xml:space="preserve"> The Good German</t>
  </si>
  <si>
    <t xml:space="preserve"> 200 Pounds Beauty</t>
  </si>
  <si>
    <t xml:space="preserve"> El Topo</t>
  </si>
  <si>
    <t xml:space="preserve"> The Fox and the Hound 2</t>
  </si>
  <si>
    <t xml:space="preserve"> Air Buddies</t>
  </si>
  <si>
    <t xml:space="preserve"> Nana 2</t>
  </si>
  <si>
    <t xml:space="preserve"> The Holiday</t>
  </si>
  <si>
    <t xml:space="preserve"> Ever Again</t>
  </si>
  <si>
    <t xml:space="preserve"> Mr. Leather</t>
  </si>
  <si>
    <t xml:space="preserve"> Blood Diamond</t>
  </si>
  <si>
    <t xml:space="preserve"> Madame Irma</t>
  </si>
  <si>
    <t xml:space="preserve"> Apocalypto</t>
  </si>
  <si>
    <t xml:space="preserve"> Off the Black</t>
  </si>
  <si>
    <t>Odeon Films</t>
  </si>
  <si>
    <t xml:space="preserve"> Monkey Warfare</t>
  </si>
  <si>
    <t xml:space="preserve"> Unaccompanied Minors</t>
  </si>
  <si>
    <t xml:space="preserve"> Baabul</t>
  </si>
  <si>
    <t xml:space="preserve"> Guadalupe</t>
  </si>
  <si>
    <t xml:space="preserve"> The Empire in Africa</t>
  </si>
  <si>
    <t xml:space="preserve"> Screamers</t>
  </si>
  <si>
    <t xml:space="preserve"> Seducing Mr. Perfect</t>
  </si>
  <si>
    <t xml:space="preserve"> Saibogujiman Kwenchana</t>
  </si>
  <si>
    <t xml:space="preserve"> Family Law</t>
  </si>
  <si>
    <t xml:space="preserve"> Inland Empire</t>
  </si>
  <si>
    <t xml:space="preserve"> Mauvaise Foi</t>
  </si>
  <si>
    <t xml:space="preserve"> The Nativity Story</t>
  </si>
  <si>
    <t xml:space="preserve"> Turistas</t>
  </si>
  <si>
    <t xml:space="preserve"> Unnatural and Accidental</t>
  </si>
  <si>
    <t xml:space="preserve"> 3 Needles</t>
  </si>
  <si>
    <t xml:space="preserve"> Ten Items or Less</t>
  </si>
  <si>
    <t xml:space="preserve"> Four Eyed Monsters</t>
  </si>
  <si>
    <t xml:space="preserve"> Van Wilder Deux: The Rise of Taj</t>
  </si>
  <si>
    <t xml:space="preserve"> The Architect</t>
  </si>
  <si>
    <t xml:space="preserve"> Dreamland</t>
  </si>
  <si>
    <t xml:space="preserve"> The Power of Fear</t>
  </si>
  <si>
    <t xml:space="preserve"> Dane Cook - Vicious Circle</t>
  </si>
  <si>
    <t xml:space="preserve"> The Cheetah Girls 2</t>
  </si>
  <si>
    <t xml:space="preserve"> Molly: An American Girl on the Home Front</t>
  </si>
  <si>
    <t xml:space="preserve"> Muk Gong</t>
  </si>
  <si>
    <t xml:space="preserve"> Ever Since the World Ended</t>
  </si>
  <si>
    <t xml:space="preserve"> Anplagghed Al Cinema</t>
  </si>
  <si>
    <t xml:space="preserve"> Kurtlar vadisi - Irak</t>
  </si>
  <si>
    <t xml:space="preserve"> Unser täglich Brot</t>
  </si>
  <si>
    <t xml:space="preserve"> Abduction: The Megumi Yokota Story</t>
  </si>
  <si>
    <t xml:space="preserve"> The Mayflower</t>
  </si>
  <si>
    <t xml:space="preserve"> Dhoom 2</t>
  </si>
  <si>
    <t xml:space="preserve"> Deck the Halls</t>
  </si>
  <si>
    <t xml:space="preserve"> Opal Dreams</t>
  </si>
  <si>
    <t xml:space="preserve"> Déjà Vu</t>
  </si>
  <si>
    <t xml:space="preserve"> The Work and the Glory III: A House Divided</t>
  </si>
  <si>
    <t xml:space="preserve"> Tenacious D in: The Pick of Destiny</t>
  </si>
  <si>
    <t xml:space="preserve"> The Fountain</t>
  </si>
  <si>
    <t xml:space="preserve"> Backstage</t>
  </si>
  <si>
    <t xml:space="preserve"> Eating Out 2: Sloppy Seconds</t>
  </si>
  <si>
    <t xml:space="preserve"> The History Boys</t>
  </si>
  <si>
    <t xml:space="preserve"> El Aura</t>
  </si>
  <si>
    <t xml:space="preserve"> Encounter Point</t>
  </si>
  <si>
    <t xml:space="preserve"> Piano Tuner of Earthquakes</t>
  </si>
  <si>
    <t xml:space="preserve"> Casino Royale</t>
  </si>
  <si>
    <t xml:space="preserve"> Hannari - Geisha Modern</t>
  </si>
  <si>
    <t xml:space="preserve"> 8 Films to Die For</t>
  </si>
  <si>
    <t xml:space="preserve"> Let's Go to Prison</t>
  </si>
  <si>
    <t xml:space="preserve"> Happy Feet</t>
  </si>
  <si>
    <t xml:space="preserve"> Hood of Horror</t>
  </si>
  <si>
    <t xml:space="preserve"> Fast Food Nation</t>
  </si>
  <si>
    <t xml:space="preserve"> For Your Consideration</t>
  </si>
  <si>
    <t xml:space="preserve"> Bobby</t>
  </si>
  <si>
    <t xml:space="preserve"> Wo Ist Fred?</t>
  </si>
  <si>
    <t xml:space="preserve"> Candy</t>
  </si>
  <si>
    <t xml:space="preserve"> 2 ou 3 choses que je sais d'elle</t>
  </si>
  <si>
    <t xml:space="preserve"> Sexy Teacher</t>
  </si>
  <si>
    <t xml:space="preserve"> Huhwihaji anha</t>
  </si>
  <si>
    <t xml:space="preserve"> How the Lack of Love Affects Two Men</t>
  </si>
  <si>
    <t xml:space="preserve"> Who the #$^% is Jackson Pollock?</t>
  </si>
  <si>
    <t xml:space="preserve"> Flannel Pajamas</t>
  </si>
  <si>
    <t xml:space="preserve"> Paul McCartney - The Space Within US</t>
  </si>
  <si>
    <t xml:space="preserve"> Mickey's Clubhouse - Mickey Saves Santa</t>
  </si>
  <si>
    <t xml:space="preserve"> Pollyworld</t>
  </si>
  <si>
    <t xml:space="preserve"> Relative Strangers</t>
  </si>
  <si>
    <t>AFD</t>
  </si>
  <si>
    <t xml:space="preserve"> A New Day In Old Sana'a</t>
  </si>
  <si>
    <t xml:space="preserve"> F*ck</t>
  </si>
  <si>
    <t xml:space="preserve"> Cautiva</t>
  </si>
  <si>
    <t xml:space="preserve"> Cave of the Yellow Dog</t>
  </si>
  <si>
    <t xml:space="preserve"> Harsh Times</t>
  </si>
  <si>
    <t xml:space="preserve"> Coffee Date</t>
  </si>
  <si>
    <t xml:space="preserve"> Maple Palm</t>
  </si>
  <si>
    <t xml:space="preserve"> Fur</t>
  </si>
  <si>
    <t xml:space="preserve"> Copying Beethoven</t>
  </si>
  <si>
    <t xml:space="preserve"> Samoan Wedding</t>
  </si>
  <si>
    <t xml:space="preserve"> A Good Year</t>
  </si>
  <si>
    <t xml:space="preserve"> Stranger Than Fiction</t>
  </si>
  <si>
    <t xml:space="preserve"> Come Early Morning</t>
  </si>
  <si>
    <t xml:space="preserve"> Night of the Living Dead 3-D</t>
  </si>
  <si>
    <t xml:space="preserve"> Cruel Winter Blues</t>
  </si>
  <si>
    <t xml:space="preserve"> Love Me Not</t>
  </si>
  <si>
    <t>Typecast</t>
  </si>
  <si>
    <t xml:space="preserve"> Iraq in Fragments</t>
  </si>
  <si>
    <t xml:space="preserve"> Secret, The</t>
  </si>
  <si>
    <t xml:space="preserve"> A Christmas Carol</t>
  </si>
  <si>
    <t xml:space="preserve"> Prête-Moi Ta Main</t>
  </si>
  <si>
    <t xml:space="preserve"> Stalking Santa</t>
  </si>
  <si>
    <t xml:space="preserve"> Umrao Jaan</t>
  </si>
  <si>
    <t xml:space="preserve"> The Santa Clause 3: The Escape Clause</t>
  </si>
  <si>
    <t xml:space="preserve"> Unknown</t>
  </si>
  <si>
    <t xml:space="preserve"> Flushed Away</t>
  </si>
  <si>
    <t xml:space="preserve"> Volver</t>
  </si>
  <si>
    <t xml:space="preserve"> Desu Noto 2</t>
  </si>
  <si>
    <t xml:space="preserve"> Borat</t>
  </si>
  <si>
    <t xml:space="preserve"> Romántico</t>
  </si>
  <si>
    <t xml:space="preserve"> Kissology - Volume 1 (1974-1977)</t>
  </si>
  <si>
    <t xml:space="preserve"> Yoga Booty Ballet Complete Workout System</t>
  </si>
  <si>
    <t xml:space="preserve"> Terrorstorm - A History of Government Sponsored Terrorism</t>
  </si>
  <si>
    <t xml:space="preserve"> The Alibi</t>
  </si>
  <si>
    <t xml:space="preserve"> You On A Diet Workout</t>
  </si>
  <si>
    <t xml:space="preserve"> Kisarazu Cat's Eye: World Series</t>
  </si>
  <si>
    <t xml:space="preserve"> The Bridge</t>
  </si>
  <si>
    <t xml:space="preserve"> Catch a Fire</t>
  </si>
  <si>
    <t xml:space="preserve"> Azur and Asmar</t>
  </si>
  <si>
    <t xml:space="preserve"> Color of the Cross</t>
  </si>
  <si>
    <t xml:space="preserve"> Conversations with God</t>
  </si>
  <si>
    <t xml:space="preserve"> Absolute Wilson</t>
  </si>
  <si>
    <t xml:space="preserve"> Saw III</t>
  </si>
  <si>
    <t xml:space="preserve"> 7 Zwerge - Der Wald Ist Nicht Genug</t>
  </si>
  <si>
    <t xml:space="preserve"> Romeo &amp; Juliet: Sealed with a Kiss</t>
  </si>
  <si>
    <t xml:space="preserve"> The Genius Club</t>
  </si>
  <si>
    <t xml:space="preserve"> 20 centiímetros</t>
  </si>
  <si>
    <t xml:space="preserve"> Iklimler</t>
  </si>
  <si>
    <t xml:space="preserve"> Christmas at Maxwell's</t>
  </si>
  <si>
    <t xml:space="preserve"> Soap</t>
  </si>
  <si>
    <t xml:space="preserve"> Death of a President</t>
  </si>
  <si>
    <t xml:space="preserve"> Babel</t>
  </si>
  <si>
    <t xml:space="preserve"> Cruel World</t>
  </si>
  <si>
    <t xml:space="preserve"> Shut Up and Sing</t>
  </si>
  <si>
    <t xml:space="preserve"> Cocaine Cowboys</t>
  </si>
  <si>
    <t xml:space="preserve"> Rules of the Game</t>
  </si>
  <si>
    <t xml:space="preserve"> Hokkabaz</t>
  </si>
  <si>
    <t xml:space="preserve"> Poltergay</t>
  </si>
  <si>
    <t xml:space="preserve"> Exit: The Right to Die</t>
  </si>
  <si>
    <t xml:space="preserve"> Hearty Paws</t>
  </si>
  <si>
    <t xml:space="preserve"> Gaeulro</t>
  </si>
  <si>
    <t xml:space="preserve"> Flicka</t>
  </si>
  <si>
    <t xml:space="preserve"> Aguirre: The Wrath of God</t>
  </si>
  <si>
    <t xml:space="preserve"> Tim Burton's The Nightmare Before Christmas 3D</t>
  </si>
  <si>
    <t xml:space="preserve"> Running With Scissors</t>
  </si>
  <si>
    <t xml:space="preserve"> La Sconosciuta</t>
  </si>
  <si>
    <t xml:space="preserve"> Stay</t>
  </si>
  <si>
    <t xml:space="preserve"> Conventioneers</t>
  </si>
  <si>
    <t xml:space="preserve"> Masai: The Rain Warriors</t>
  </si>
  <si>
    <t xml:space="preserve"> Marie Antoinette</t>
  </si>
  <si>
    <t xml:space="preserve"> The Prestige</t>
  </si>
  <si>
    <t xml:space="preserve"> Don</t>
  </si>
  <si>
    <t xml:space="preserve"> Jonestown: The Life and Death of People's Temple</t>
  </si>
  <si>
    <t xml:space="preserve"> Justice</t>
  </si>
  <si>
    <t xml:space="preserve"> Requiem</t>
  </si>
  <si>
    <t xml:space="preserve"> Jaan-E-Maan</t>
  </si>
  <si>
    <t xml:space="preserve"> Flags of Our Fathers</t>
  </si>
  <si>
    <t xml:space="preserve"> Righteous Ties</t>
  </si>
  <si>
    <t xml:space="preserve"> 51 Birch Street</t>
  </si>
  <si>
    <t xml:space="preserve"> Behind Enemy Lines II: Axis of Evil</t>
  </si>
  <si>
    <t xml:space="preserve"> Rest Stop</t>
  </si>
  <si>
    <t xml:space="preserve"> The Marine</t>
  </si>
  <si>
    <t xml:space="preserve"> Tideland</t>
  </si>
  <si>
    <t xml:space="preserve"> Infamous</t>
  </si>
  <si>
    <t xml:space="preserve"> Man of the Year</t>
  </si>
  <si>
    <t xml:space="preserve"> Out of Place: Memories of Edward Said</t>
  </si>
  <si>
    <t xml:space="preserve"> The Grudge 2</t>
  </si>
  <si>
    <t xml:space="preserve"> Alex Rider: Operation Stormbreaker</t>
  </si>
  <si>
    <t xml:space="preserve"> Hard Scrambled</t>
  </si>
  <si>
    <t xml:space="preserve"> Zerophilia</t>
  </si>
  <si>
    <t xml:space="preserve"> Deliver Us From Evil</t>
  </si>
  <si>
    <t xml:space="preserve"> Sweet Land</t>
  </si>
  <si>
    <t xml:space="preserve"> One Night with the King</t>
  </si>
  <si>
    <t xml:space="preserve"> Nearing Grace</t>
  </si>
  <si>
    <t xml:space="preserve"> Mechenosets</t>
  </si>
  <si>
    <t xml:space="preserve"> So Much So Fast</t>
  </si>
  <si>
    <t xml:space="preserve"> The Butterfly Effect 2</t>
  </si>
  <si>
    <t xml:space="preserve"> Strawberry Shortcake: The Sweet Dreams Movie</t>
  </si>
  <si>
    <t xml:space="preserve"> The Texas Chainsaw Massacre: The Beginning</t>
  </si>
  <si>
    <t xml:space="preserve"> Cheech</t>
  </si>
  <si>
    <t xml:space="preserve"> Little Children</t>
  </si>
  <si>
    <t xml:space="preserve"> Kettle of Fish</t>
  </si>
  <si>
    <t xml:space="preserve"> Le Grand Meulnes</t>
  </si>
  <si>
    <t xml:space="preserve"> The Domestic Import</t>
  </si>
  <si>
    <t xml:space="preserve"> Deutschland: Ein Sommermarchen</t>
  </si>
  <si>
    <t xml:space="preserve"> Employee of the Month</t>
  </si>
  <si>
    <t xml:space="preserve"> Tales of the Rat Fink</t>
  </si>
  <si>
    <t xml:space="preserve"> Los Borgia</t>
  </si>
  <si>
    <t xml:space="preserve"> Mannat</t>
  </si>
  <si>
    <t xml:space="preserve"> Issues</t>
  </si>
  <si>
    <t xml:space="preserve"> The Departed</t>
  </si>
  <si>
    <t xml:space="preserve"> Trailer Park Boys: The Movie</t>
  </si>
  <si>
    <t xml:space="preserve"> 49 Up</t>
  </si>
  <si>
    <t xml:space="preserve"> Zindagi Rocks</t>
  </si>
  <si>
    <t xml:space="preserve"> Love is the Drug</t>
  </si>
  <si>
    <t xml:space="preserve"> Shortbus</t>
  </si>
  <si>
    <t xml:space="preserve"> Black Gold</t>
  </si>
  <si>
    <t xml:space="preserve"> Love's Abiding Joy</t>
  </si>
  <si>
    <t xml:space="preserve"> Blood Tea and Red String</t>
  </si>
  <si>
    <t xml:space="preserve"> Wrestling with Angels</t>
  </si>
  <si>
    <t xml:space="preserve"> So Goes the Nation</t>
  </si>
  <si>
    <t xml:space="preserve"> The Woods</t>
  </si>
  <si>
    <t xml:space="preserve"> Nada SoSo</t>
  </si>
  <si>
    <t xml:space="preserve"> The Queen</t>
  </si>
  <si>
    <t xml:space="preserve"> LoudQuietLoud: A Film About The Pixies</t>
  </si>
  <si>
    <t xml:space="preserve"> A Guide to Recognizing Your Saints</t>
  </si>
  <si>
    <t xml:space="preserve"> The Journals of Knud Rasmussen</t>
  </si>
  <si>
    <t xml:space="preserve"> The Strange Case of Dr. Jekyll and Mr. Hyde</t>
  </si>
  <si>
    <t xml:space="preserve"> Rob-B-Hood</t>
  </si>
  <si>
    <t xml:space="preserve"> Be With Me</t>
  </si>
  <si>
    <t xml:space="preserve"> Facing the Giants</t>
  </si>
  <si>
    <t xml:space="preserve"> Broken Sky</t>
  </si>
  <si>
    <t xml:space="preserve"> School for Scoundrels</t>
  </si>
  <si>
    <t xml:space="preserve"> The Guardian</t>
  </si>
  <si>
    <t xml:space="preserve"> Open Season</t>
  </si>
  <si>
    <t xml:space="preserve"> Radio Star</t>
  </si>
  <si>
    <t xml:space="preserve"> Tazza: The High Rollers</t>
  </si>
  <si>
    <t xml:space="preserve"> The Last King of Scotland</t>
  </si>
  <si>
    <t xml:space="preserve"> Bratz: Passion 4 Fashion Diamondz</t>
  </si>
  <si>
    <t xml:space="preserve"> Khosla Ka Ghosla</t>
  </si>
  <si>
    <t xml:space="preserve"> President</t>
  </si>
  <si>
    <t xml:space="preserve"> Les Aristos</t>
  </si>
  <si>
    <t xml:space="preserve"> Jackass: Number Two</t>
  </si>
  <si>
    <t xml:space="preserve"> American Hardcore</t>
  </si>
  <si>
    <t>Warner Independent pictures</t>
  </si>
  <si>
    <t xml:space="preserve"> La science des rêves</t>
  </si>
  <si>
    <t xml:space="preserve"> Huo Yuan Jia</t>
  </si>
  <si>
    <t xml:space="preserve"> All the King's Men</t>
  </si>
  <si>
    <t xml:space="preserve"> Alien Autopsy</t>
  </si>
  <si>
    <t xml:space="preserve"> Renaissance</t>
  </si>
  <si>
    <t xml:space="preserve"> Kaptein Sabeltann</t>
  </si>
  <si>
    <t xml:space="preserve"> Feast</t>
  </si>
  <si>
    <t xml:space="preserve"> Flyboys</t>
  </si>
  <si>
    <t xml:space="preserve"> The Blossoming of Maximo Oliveros</t>
  </si>
  <si>
    <t xml:space="preserve"> Bandidas</t>
  </si>
  <si>
    <t xml:space="preserve"> Married to the Mafia 3</t>
  </si>
  <si>
    <t xml:space="preserve"> Solo Con Tu Pareja</t>
  </si>
  <si>
    <t xml:space="preserve"> U2 - Zoo TV Live From Sydney</t>
  </si>
  <si>
    <t xml:space="preserve"> Scooby-Doo in Pirates Ahoy!</t>
  </si>
  <si>
    <t xml:space="preserve"> Barbie in the 12 Dancing Princesses</t>
  </si>
  <si>
    <t xml:space="preserve"> Colin Fitz Lives!</t>
  </si>
  <si>
    <t xml:space="preserve"> Ultraman Mebius &amp; Ultraman Brothers</t>
  </si>
  <si>
    <t xml:space="preserve"> The Last Kiss</t>
  </si>
  <si>
    <t xml:space="preserve"> The Black Dahlia</t>
  </si>
  <si>
    <t xml:space="preserve"> Haven</t>
  </si>
  <si>
    <t xml:space="preserve"> Quand J'Etais Chanteur</t>
  </si>
  <si>
    <t xml:space="preserve"> Artie Lange's Beer League</t>
  </si>
  <si>
    <t xml:space="preserve"> Jesus Camp</t>
  </si>
  <si>
    <t xml:space="preserve"> Keeping Mum</t>
  </si>
  <si>
    <t xml:space="preserve"> Musica Latina</t>
  </si>
  <si>
    <t xml:space="preserve"> Ambrose Bierce: Civil War Stories</t>
  </si>
  <si>
    <t xml:space="preserve"> Pyar Ke Side Effects</t>
  </si>
  <si>
    <t xml:space="preserve"> Aurora Borealis</t>
  </si>
  <si>
    <t xml:space="preserve"> The Ground Truth: After the Killing Ends</t>
  </si>
  <si>
    <t xml:space="preserve"> The U.S. vs John Lennon</t>
  </si>
  <si>
    <t xml:space="preserve"> Jimmy and Judy</t>
  </si>
  <si>
    <t xml:space="preserve"> Zen Noir</t>
  </si>
  <si>
    <t xml:space="preserve"> We Go Way Back</t>
  </si>
  <si>
    <t xml:space="preserve"> Gridiron Gang</t>
  </si>
  <si>
    <t xml:space="preserve"> Everyone's Hero</t>
  </si>
  <si>
    <t xml:space="preserve"> Confetti</t>
  </si>
  <si>
    <t xml:space="preserve"> Maundy Thursday</t>
  </si>
  <si>
    <t xml:space="preserve"> Al Franken: God Spoke</t>
  </si>
  <si>
    <t xml:space="preserve"> Fullmetal Alchemist The Movie: The Conqueror of Shamballa</t>
  </si>
  <si>
    <t xml:space="preserve"> Dragon Ball Z - Movie 13: Wrath of the Dragon</t>
  </si>
  <si>
    <t xml:space="preserve"> Tom yum goong</t>
  </si>
  <si>
    <t xml:space="preserve"> Sherrybaby</t>
  </si>
  <si>
    <t xml:space="preserve"> Hollywoodland</t>
  </si>
  <si>
    <t xml:space="preserve"> Le petit lieutenant</t>
  </si>
  <si>
    <t xml:space="preserve"> Salvadore Allende</t>
  </si>
  <si>
    <t xml:space="preserve"> Iraq for Sale: The War Profiteers</t>
  </si>
  <si>
    <t xml:space="preserve"> Je Vais Bien, Ne T'en Fais Pas</t>
  </si>
  <si>
    <t xml:space="preserve"> The Covenant</t>
  </si>
  <si>
    <t xml:space="preserve"> Red Doors</t>
  </si>
  <si>
    <t xml:space="preserve"> I Trust You To Kill Me</t>
  </si>
  <si>
    <t xml:space="preserve"> Broken Bridges</t>
  </si>
  <si>
    <t xml:space="preserve"> Man Push Cart</t>
  </si>
  <si>
    <t xml:space="preserve"> Three Fellas</t>
  </si>
  <si>
    <t xml:space="preserve"> Between Love and Hate</t>
  </si>
  <si>
    <t xml:space="preserve"> Saint of 9/11</t>
  </si>
  <si>
    <t xml:space="preserve"> Bubot Niyar</t>
  </si>
  <si>
    <t xml:space="preserve"> Familia rodante</t>
  </si>
  <si>
    <t xml:space="preserve"> 10 Minute Solution: Rapid Results Pilates</t>
  </si>
  <si>
    <t xml:space="preserve"> Lage Raho Munnabhai</t>
  </si>
  <si>
    <t xml:space="preserve"> Looking for Kitty</t>
  </si>
  <si>
    <t xml:space="preserve"> Qian li zou dan qi</t>
  </si>
  <si>
    <t xml:space="preserve"> Lassie</t>
  </si>
  <si>
    <t xml:space="preserve"> Crossover</t>
  </si>
  <si>
    <t xml:space="preserve"> Mutual Appreciation</t>
  </si>
  <si>
    <t xml:space="preserve"> Idiocracy</t>
  </si>
  <si>
    <t xml:space="preserve"> Crank</t>
  </si>
  <si>
    <t xml:space="preserve"> The Wicker Man</t>
  </si>
  <si>
    <t xml:space="preserve"> This Film is Not Yet Rated</t>
  </si>
  <si>
    <t xml:space="preserve"> Like a Virgin</t>
  </si>
  <si>
    <t xml:space="preserve"> Brother Bear 2</t>
  </si>
  <si>
    <t xml:space="preserve"> Udon</t>
  </si>
  <si>
    <t xml:space="preserve"> Queens</t>
  </si>
  <si>
    <t xml:space="preserve"> Beerfest</t>
  </si>
  <si>
    <t xml:space="preserve"> Invincible</t>
  </si>
  <si>
    <t xml:space="preserve"> Selon Charlie</t>
  </si>
  <si>
    <t xml:space="preserve"> Old Joy</t>
  </si>
  <si>
    <t xml:space="preserve"> How to Eat Fried Worms</t>
  </si>
  <si>
    <t xml:space="preserve"> Suicide Killers</t>
  </si>
  <si>
    <t xml:space="preserve"> Fratricide</t>
  </si>
  <si>
    <t xml:space="preserve"> The Quiet</t>
  </si>
  <si>
    <t xml:space="preserve"> Idlewild</t>
  </si>
  <si>
    <t xml:space="preserve"> Holy Daddy</t>
  </si>
  <si>
    <t xml:space="preserve"> Ice Bar</t>
  </si>
  <si>
    <t xml:space="preserve"> No Mercy for the Rude</t>
  </si>
  <si>
    <t xml:space="preserve"> Princesas</t>
  </si>
  <si>
    <t xml:space="preserve"> Little Einsteins: Mission Celebration</t>
  </si>
  <si>
    <t xml:space="preserve"> Hanada Shonen-shi</t>
  </si>
  <si>
    <t xml:space="preserve"> 10th &amp; Wolf</t>
  </si>
  <si>
    <t xml:space="preserve"> Accepted</t>
  </si>
  <si>
    <t xml:space="preserve"> Trust the Man</t>
  </si>
  <si>
    <t xml:space="preserve"> Factotum</t>
  </si>
  <si>
    <t xml:space="preserve"> Material Girls</t>
  </si>
  <si>
    <t xml:space="preserve"> Snakes on a Plane</t>
  </si>
  <si>
    <t xml:space="preserve"> My First Wedding</t>
  </si>
  <si>
    <t xml:space="preserve"> The Illusionist</t>
  </si>
  <si>
    <t xml:space="preserve"> King Leopold's Ghost</t>
  </si>
  <si>
    <t xml:space="preserve"> The Pusher Trilogy</t>
  </si>
  <si>
    <t xml:space="preserve"> Vajra Sky Over Tibet</t>
  </si>
  <si>
    <t xml:space="preserve"> Cinderella</t>
  </si>
  <si>
    <t xml:space="preserve"> George Bush Goes to Heaven</t>
  </si>
  <si>
    <t xml:space="preserve"> I'll Always Know What You Did Last Summer</t>
  </si>
  <si>
    <t xml:space="preserve"> Pulse</t>
  </si>
  <si>
    <t xml:space="preserve"> Casa de Areia</t>
  </si>
  <si>
    <t>Fabrication Films</t>
  </si>
  <si>
    <t xml:space="preserve"> Conversations with Other Women</t>
  </si>
  <si>
    <t xml:space="preserve"> Kabhi Alvida Naa Kehna</t>
  </si>
  <si>
    <t xml:space="preserve"> Viva Pedro</t>
  </si>
  <si>
    <t xml:space="preserve"> Sílení</t>
  </si>
  <si>
    <t xml:space="preserve"> Half Nelson</t>
  </si>
  <si>
    <t xml:space="preserve"> The Trouble with Men and Women</t>
  </si>
  <si>
    <t>Kindred Media Group</t>
  </si>
  <si>
    <t xml:space="preserve"> Waltzing Anna</t>
  </si>
  <si>
    <t xml:space="preserve"> La Tourneuse de Pages</t>
  </si>
  <si>
    <t xml:space="preserve"> Zoom</t>
  </si>
  <si>
    <t xml:space="preserve"> Calvaire</t>
  </si>
  <si>
    <t xml:space="preserve"> Step Up</t>
  </si>
  <si>
    <t xml:space="preserve"> Dasepo Naughty Girls</t>
  </si>
  <si>
    <t xml:space="preserve"> Lump of Sugar</t>
  </si>
  <si>
    <t xml:space="preserve"> World Trade Center</t>
  </si>
  <si>
    <t xml:space="preserve"> Lunacy</t>
  </si>
  <si>
    <t xml:space="preserve"> Poster Boy</t>
  </si>
  <si>
    <t xml:space="preserve"> Bring It On: All or Nothing</t>
  </si>
  <si>
    <t xml:space="preserve"> Ultimate Avengers 2: Rise of the Panther</t>
  </si>
  <si>
    <t xml:space="preserve"> Masked Rider Kabuto</t>
  </si>
  <si>
    <t xml:space="preserve"> Hair High</t>
  </si>
  <si>
    <t xml:space="preserve"> The Descent</t>
  </si>
  <si>
    <t xml:space="preserve"> Quinceanera</t>
  </si>
  <si>
    <t xml:space="preserve"> La Demoiselle d'honneur</t>
  </si>
  <si>
    <t xml:space="preserve"> Shock to the System</t>
  </si>
  <si>
    <t xml:space="preserve"> My Favorite Hitler Youth: Just Like You &amp; Me</t>
  </si>
  <si>
    <t xml:space="preserve"> Anthony Kaun Hai</t>
  </si>
  <si>
    <t xml:space="preserve"> Barnyard: The Original Party Animals</t>
  </si>
  <si>
    <t xml:space="preserve"> Talladega Nights: The Ballad of Ricky Bobby</t>
  </si>
  <si>
    <t xml:space="preserve"> Shaadi Karke Phas Gaye Yaar</t>
  </si>
  <si>
    <t xml:space="preserve"> Sukob</t>
  </si>
  <si>
    <t xml:space="preserve"> Jailbait</t>
  </si>
  <si>
    <t xml:space="preserve"> My Country My Country</t>
  </si>
  <si>
    <t xml:space="preserve"> Bon Cop, Bad Cop</t>
  </si>
  <si>
    <t xml:space="preserve"> The Night Listener</t>
  </si>
  <si>
    <t xml:space="preserve"> To Sir With Love</t>
  </si>
  <si>
    <t xml:space="preserve"> Fly Daddy</t>
  </si>
  <si>
    <t>Tartan</t>
  </si>
  <si>
    <t xml:space="preserve"> In My Father's Den</t>
  </si>
  <si>
    <t xml:space="preserve"> Gedo Senki</t>
  </si>
  <si>
    <t xml:space="preserve"> Miami Vice</t>
  </si>
  <si>
    <t xml:space="preserve"> Scoop</t>
  </si>
  <si>
    <t xml:space="preserve"> Photographer, His Wife, Her Lover</t>
  </si>
  <si>
    <t xml:space="preserve"> Dragon Tiger Gate</t>
  </si>
  <si>
    <t xml:space="preserve"> Darshan, The Embrace</t>
  </si>
  <si>
    <t xml:space="preserve"> The Ant Bully</t>
  </si>
  <si>
    <t xml:space="preserve"> 13 Tzameti</t>
  </si>
  <si>
    <t xml:space="preserve"> I Like Killling Flies</t>
  </si>
  <si>
    <t xml:space="preserve"> America: Freedom to Fascism</t>
  </si>
  <si>
    <t xml:space="preserve"> Brothers of the Head</t>
  </si>
  <si>
    <t xml:space="preserve"> John Tucker Must Die</t>
  </si>
  <si>
    <t xml:space="preserve"> Another Gay Movie</t>
  </si>
  <si>
    <t xml:space="preserve"> Omkara</t>
  </si>
  <si>
    <t xml:space="preserve"> Nobody Knows About Sex</t>
  </si>
  <si>
    <t xml:space="preserve"> Little Miss Sunshine</t>
  </si>
  <si>
    <t xml:space="preserve"> Pokemon: Advanced Generation 2006</t>
  </si>
  <si>
    <t xml:space="preserve"> The Sinking of Japan</t>
  </si>
  <si>
    <t xml:space="preserve"> The Doctor, the Tornado and the Kentucky Kid</t>
  </si>
  <si>
    <t xml:space="preserve"> Three Days of Rain</t>
  </si>
  <si>
    <t xml:space="preserve"> Hui Buh - Das Schlossgespenst</t>
  </si>
  <si>
    <t xml:space="preserve"> The Case of the Grinning Cat</t>
  </si>
  <si>
    <t xml:space="preserve"> The World According to Shorts</t>
  </si>
  <si>
    <t xml:space="preserve"> Been Rich All My Life</t>
  </si>
  <si>
    <t xml:space="preserve"> My Super Ex-Girlfriend</t>
  </si>
  <si>
    <t xml:space="preserve"> Lady in the Water</t>
  </si>
  <si>
    <t xml:space="preserve"> Azumi</t>
  </si>
  <si>
    <t xml:space="preserve"> Boy's Briefs 4</t>
  </si>
  <si>
    <t xml:space="preserve"> Clerks II</t>
  </si>
  <si>
    <t xml:space="preserve"> Wondrous Oblivion</t>
  </si>
  <si>
    <t xml:space="preserve"> Ils</t>
  </si>
  <si>
    <t xml:space="preserve"> Shadowboxer</t>
  </si>
  <si>
    <t xml:space="preserve"> Monster House</t>
  </si>
  <si>
    <t xml:space="preserve"> Hanbando</t>
  </si>
  <si>
    <t xml:space="preserve"> Mad Cowgirl</t>
  </si>
  <si>
    <t xml:space="preserve"> Edison Force</t>
  </si>
  <si>
    <t xml:space="preserve"> The Groomsmen</t>
  </si>
  <si>
    <t xml:space="preserve"> Changing Times</t>
  </si>
  <si>
    <t xml:space="preserve"> Excellent Cadavers</t>
  </si>
  <si>
    <t xml:space="preserve"> Edmond</t>
  </si>
  <si>
    <t xml:space="preserve"> Le temps qui reste</t>
  </si>
  <si>
    <t xml:space="preserve"> Mini's First Time</t>
  </si>
  <si>
    <t xml:space="preserve"> Brave Story</t>
  </si>
  <si>
    <t xml:space="preserve"> The Oh in Ohio</t>
  </si>
  <si>
    <t xml:space="preserve"> You, Me and Dupree</t>
  </si>
  <si>
    <t xml:space="preserve"> Little Man</t>
  </si>
  <si>
    <t xml:space="preserve"> Gabrielle</t>
  </si>
  <si>
    <t xml:space="preserve"> The Color of Olives</t>
  </si>
  <si>
    <t xml:space="preserve"> Pink Floyd - Pulse</t>
  </si>
  <si>
    <t xml:space="preserve"> A Scanner Darkly</t>
  </si>
  <si>
    <t xml:space="preserve"> Le Secret de ma Mere</t>
  </si>
  <si>
    <t xml:space="preserve"> Pirates of the Caribbean: Dead Man's Chest</t>
  </si>
  <si>
    <t xml:space="preserve"> Once in a Lifetime: the Extraordinary Story of the New York Cosmos</t>
  </si>
  <si>
    <t xml:space="preserve"> Kill Your Idols</t>
  </si>
  <si>
    <t xml:space="preserve"> Vers le sud</t>
  </si>
  <si>
    <t xml:space="preserve"> Islam: What the West Needs to Know</t>
  </si>
  <si>
    <t xml:space="preserve"> The Devil Wears Prada</t>
  </si>
  <si>
    <t xml:space="preserve"> Nos Jours Heureux</t>
  </si>
  <si>
    <t xml:space="preserve"> The Blood of My Brother: A Story of Death in Iraq</t>
  </si>
  <si>
    <t xml:space="preserve"> Fengkuang de Shitou</t>
  </si>
  <si>
    <t xml:space="preserve"> Arang</t>
  </si>
  <si>
    <t xml:space="preserve"> Reinas</t>
  </si>
  <si>
    <t xml:space="preserve"> Rank</t>
  </si>
  <si>
    <t xml:space="preserve"> Superman Returns</t>
  </si>
  <si>
    <t xml:space="preserve"> Who Killed the Electric Car?</t>
  </si>
  <si>
    <t xml:space="preserve"> Strangers with Candy</t>
  </si>
  <si>
    <t xml:space="preserve"> The Motel</t>
  </si>
  <si>
    <t xml:space="preserve"> Leroy and Stitch</t>
  </si>
  <si>
    <t xml:space="preserve"> Blue Collar Comedy Tour - One for the Road</t>
  </si>
  <si>
    <t xml:space="preserve"> Madea Goes to Jail</t>
  </si>
  <si>
    <t xml:space="preserve"> A Song to the Sun</t>
  </si>
  <si>
    <t xml:space="preserve"> One Missed Call Final</t>
  </si>
  <si>
    <t xml:space="preserve"> The Road to Guantanamo</t>
  </si>
  <si>
    <t xml:space="preserve"> Click</t>
  </si>
  <si>
    <t xml:space="preserve"> Waist Deep</t>
  </si>
  <si>
    <t xml:space="preserve"> Desu Noto</t>
  </si>
  <si>
    <t xml:space="preserve"> Krrish</t>
  </si>
  <si>
    <t xml:space="preserve"> Say Uncle</t>
  </si>
  <si>
    <t xml:space="preserve"> Odete</t>
  </si>
  <si>
    <t xml:space="preserve"> Wassup Rockers</t>
  </si>
  <si>
    <t xml:space="preserve"> The Great New Wonderful</t>
  </si>
  <si>
    <t>Tartan Films</t>
  </si>
  <si>
    <t xml:space="preserve"> Kakushi-ken: oni no tsume</t>
  </si>
  <si>
    <t xml:space="preserve"> Leonard Cohen: I'm Your Man</t>
  </si>
  <si>
    <t xml:space="preserve"> When Stand Up Stood Out</t>
  </si>
  <si>
    <t xml:space="preserve"> Baruto No Gakuen</t>
  </si>
  <si>
    <t xml:space="preserve"> Trick 2</t>
  </si>
  <si>
    <t xml:space="preserve"> Fall to Grace</t>
  </si>
  <si>
    <t xml:space="preserve"> Land of the Blind</t>
  </si>
  <si>
    <t xml:space="preserve"> The Lake House</t>
  </si>
  <si>
    <t xml:space="preserve"> Seres Queridos</t>
  </si>
  <si>
    <t xml:space="preserve"> Wordplay</t>
  </si>
  <si>
    <t xml:space="preserve"> Cidade Baixa</t>
  </si>
  <si>
    <t xml:space="preserve"> A Dog Lover's Symphony</t>
  </si>
  <si>
    <t xml:space="preserve"> Beowulf &amp; Grendel</t>
  </si>
  <si>
    <t xml:space="preserve"> Uncut</t>
  </si>
  <si>
    <t xml:space="preserve"> Nacho Libre</t>
  </si>
  <si>
    <t xml:space="preserve"> The Fast and the Furious: Tokyo Drift</t>
  </si>
  <si>
    <t xml:space="preserve"> Garfield's A Tail of Two Kitties</t>
  </si>
  <si>
    <t xml:space="preserve"> Loverboy</t>
  </si>
  <si>
    <t xml:space="preserve"> The Mostly Unfabulous Social Life of Ethan Green</t>
  </si>
  <si>
    <t xml:space="preserve"> Dirty Carnival</t>
  </si>
  <si>
    <t xml:space="preserve"> Going Under</t>
  </si>
  <si>
    <t xml:space="preserve"> The Big White</t>
  </si>
  <si>
    <t xml:space="preserve"> The Long Weekend</t>
  </si>
  <si>
    <t xml:space="preserve"> Crossing the Bridge: The Sound of Istanbul</t>
  </si>
  <si>
    <t xml:space="preserve"> A Prairie Home Companion</t>
  </si>
  <si>
    <t xml:space="preserve"> Cars</t>
  </si>
  <si>
    <t xml:space="preserve"> Agnes und seine Brüder</t>
  </si>
  <si>
    <t xml:space="preserve"> Automne</t>
  </si>
  <si>
    <t xml:space="preserve"> The Heart of the Game</t>
  </si>
  <si>
    <t xml:space="preserve"> Chup Chup Ke</t>
  </si>
  <si>
    <t xml:space="preserve"> Slow Jam King</t>
  </si>
  <si>
    <t xml:space="preserve"> El Perro</t>
  </si>
  <si>
    <t xml:space="preserve"> Psychopathia Sexualis</t>
  </si>
  <si>
    <t xml:space="preserve"> Like Mike 2: Streetball</t>
  </si>
  <si>
    <t xml:space="preserve"> The Omen</t>
  </si>
  <si>
    <t xml:space="preserve"> Peaceful Warrior</t>
  </si>
  <si>
    <t xml:space="preserve"> Taepung</t>
  </si>
  <si>
    <t xml:space="preserve"> Surf School</t>
  </si>
  <si>
    <t xml:space="preserve"> The Break Up</t>
  </si>
  <si>
    <t xml:space="preserve"> 50 Ways of Saying Fabulous</t>
  </si>
  <si>
    <t xml:space="preserve"> The Puffy Chair</t>
  </si>
  <si>
    <t xml:space="preserve"> The War Tapes</t>
  </si>
  <si>
    <t xml:space="preserve"> The Conrad Boys</t>
  </si>
  <si>
    <t xml:space="preserve"> Favela Rising</t>
  </si>
  <si>
    <t xml:space="preserve"> The Cult of the Suicide Bomber</t>
  </si>
  <si>
    <t xml:space="preserve"> Banlieue 13</t>
  </si>
  <si>
    <t xml:space="preserve"> Coastlines</t>
  </si>
  <si>
    <t xml:space="preserve"> Guta-yubalja-deul</t>
  </si>
  <si>
    <t xml:space="preserve"> X-Men: The Last Stand</t>
  </si>
  <si>
    <t>HP Releasing</t>
  </si>
  <si>
    <t xml:space="preserve"> Shem</t>
  </si>
  <si>
    <t xml:space="preserve"> Cavite</t>
  </si>
  <si>
    <t xml:space="preserve"> Fanaa</t>
  </si>
  <si>
    <t xml:space="preserve"> An Inconvenient Truth</t>
  </si>
  <si>
    <t xml:space="preserve"> La Moustache</t>
  </si>
  <si>
    <t>Indican</t>
  </si>
  <si>
    <t xml:space="preserve"> Moonlight</t>
  </si>
  <si>
    <t xml:space="preserve"> Lemming</t>
  </si>
  <si>
    <t xml:space="preserve"> The King</t>
  </si>
  <si>
    <t xml:space="preserve"> See No Evil</t>
  </si>
  <si>
    <t xml:space="preserve"> The Da Vinci Code</t>
  </si>
  <si>
    <t xml:space="preserve"> Mouth to Mouth</t>
  </si>
  <si>
    <t xml:space="preserve"> Over the Hedge</t>
  </si>
  <si>
    <t xml:space="preserve"> Twelve and Holding</t>
  </si>
  <si>
    <t xml:space="preserve"> Keeping Up with the Steins</t>
  </si>
  <si>
    <t xml:space="preserve"> Goal!</t>
  </si>
  <si>
    <t xml:space="preserve"> Just My Luck</t>
  </si>
  <si>
    <t xml:space="preserve"> Poseidon</t>
  </si>
  <si>
    <t xml:space="preserve"> Mendy - A Question of Faith</t>
  </si>
  <si>
    <t xml:space="preserve"> Giuliani Time</t>
  </si>
  <si>
    <t xml:space="preserve"> Dead Man's Shoes</t>
  </si>
  <si>
    <t xml:space="preserve"> Wah-Wah</t>
  </si>
  <si>
    <t xml:space="preserve"> Saving Shiloh</t>
  </si>
  <si>
    <t xml:space="preserve"> Sketches of Frank Gehry</t>
  </si>
  <si>
    <t xml:space="preserve"> Russian Dolls</t>
  </si>
  <si>
    <t xml:space="preserve"> The Barbie Diaries</t>
  </si>
  <si>
    <t xml:space="preserve"> A Lion in the House</t>
  </si>
  <si>
    <t xml:space="preserve"> Umizaru 2: Test of Trust</t>
  </si>
  <si>
    <t xml:space="preserve"> D'Lucky Ones</t>
  </si>
  <si>
    <t xml:space="preserve"> One Last Thing...</t>
  </si>
  <si>
    <t xml:space="preserve"> Chinjeolhan geumjassi</t>
  </si>
  <si>
    <t xml:space="preserve"> Commune</t>
  </si>
  <si>
    <t xml:space="preserve"> Art School Confidential</t>
  </si>
  <si>
    <t xml:space="preserve"> Mission: Impossible III</t>
  </si>
  <si>
    <t xml:space="preserve"> Wu ji</t>
  </si>
  <si>
    <t xml:space="preserve"> The Proposition</t>
  </si>
  <si>
    <t xml:space="preserve"> An American Haunting</t>
  </si>
  <si>
    <t xml:space="preserve"> Down in the Valley</t>
  </si>
  <si>
    <t xml:space="preserve"> The Fall of Fujimori</t>
  </si>
  <si>
    <t xml:space="preserve"> Hoot</t>
  </si>
  <si>
    <t xml:space="preserve"> Crazy Like a Fox</t>
  </si>
  <si>
    <t xml:space="preserve"> End Game</t>
  </si>
  <si>
    <t xml:space="preserve"> United 93</t>
  </si>
  <si>
    <t xml:space="preserve"> Unidentified</t>
  </si>
  <si>
    <t xml:space="preserve"> Hurensohn</t>
  </si>
  <si>
    <t xml:space="preserve"> L'armée des ombres</t>
  </si>
  <si>
    <t xml:space="preserve"> Zui Hao De Shi Guang</t>
  </si>
  <si>
    <t xml:space="preserve"> Moartea domnului Lazarescu</t>
  </si>
  <si>
    <t xml:space="preserve"> R.V.</t>
  </si>
  <si>
    <t xml:space="preserve"> Stick It</t>
  </si>
  <si>
    <t xml:space="preserve"> Water</t>
  </si>
  <si>
    <t xml:space="preserve"> The Lost City</t>
  </si>
  <si>
    <t xml:space="preserve"> Grip: A Criminal's Story</t>
  </si>
  <si>
    <t xml:space="preserve"> Killer Diller</t>
  </si>
  <si>
    <t xml:space="preserve"> Akeelah and the Bee</t>
  </si>
  <si>
    <t xml:space="preserve"> Männer wie wir</t>
  </si>
  <si>
    <t xml:space="preserve"> Clean</t>
  </si>
  <si>
    <t xml:space="preserve"> Killa Season</t>
  </si>
  <si>
    <t xml:space="preserve"> Final Fantasy VII - Advent Children</t>
  </si>
  <si>
    <t xml:space="preserve"> Doctor Dolittle 3</t>
  </si>
  <si>
    <t xml:space="preserve"> Disney's Little Einsteins - Team Up for Adventure</t>
  </si>
  <si>
    <t xml:space="preserve"> Elizabeth I</t>
  </si>
  <si>
    <t xml:space="preserve"> American Dreamz</t>
  </si>
  <si>
    <t xml:space="preserve"> In Her Line of Fire</t>
  </si>
  <si>
    <t xml:space="preserve"> Bullrider</t>
  </si>
  <si>
    <t xml:space="preserve"> Pyare Mohan</t>
  </si>
  <si>
    <t xml:space="preserve"> The Almost Guys</t>
  </si>
  <si>
    <t xml:space="preserve"> Lü cao di</t>
  </si>
  <si>
    <t xml:space="preserve"> The Sentinel</t>
  </si>
  <si>
    <t xml:space="preserve"> Somersault</t>
  </si>
  <si>
    <t xml:space="preserve"> Silent Hill</t>
  </si>
  <si>
    <t xml:space="preserve"> Standing Still</t>
  </si>
  <si>
    <t xml:space="preserve"> The Celestine Prophecy</t>
  </si>
  <si>
    <t xml:space="preserve"> Nathalie...</t>
  </si>
  <si>
    <t>Dimension Films</t>
  </si>
  <si>
    <t xml:space="preserve"> Scary Movie 4</t>
  </si>
  <si>
    <t xml:space="preserve"> The Wild</t>
  </si>
  <si>
    <t xml:space="preserve"> Kinky Boots</t>
  </si>
  <si>
    <t xml:space="preserve"> The Sisters</t>
  </si>
  <si>
    <t xml:space="preserve"> Hard Candy</t>
  </si>
  <si>
    <t xml:space="preserve"> Abominable</t>
  </si>
  <si>
    <t xml:space="preserve"> Preaching to the Choir</t>
  </si>
  <si>
    <t xml:space="preserve"> The Notorious Bettie Page</t>
  </si>
  <si>
    <t xml:space="preserve"> Mozart and the Whale</t>
  </si>
  <si>
    <t xml:space="preserve"> Hum Ko Deewana Kar Gaye</t>
  </si>
  <si>
    <t xml:space="preserve"> Herbie Hancock: Possibilities</t>
  </si>
  <si>
    <t>Samuel Goldwyin</t>
  </si>
  <si>
    <t xml:space="preserve"> Kekexili</t>
  </si>
  <si>
    <t xml:space="preserve"> Look Both Ways</t>
  </si>
  <si>
    <t xml:space="preserve"> La mujer de mi hermano</t>
  </si>
  <si>
    <t xml:space="preserve"> On the One</t>
  </si>
  <si>
    <t xml:space="preserve"> Blackballed: The Bobby Dukes Story</t>
  </si>
  <si>
    <t xml:space="preserve"> Sisters in Law</t>
  </si>
  <si>
    <t xml:space="preserve"> Jeff Dunham - Arguing With Myself</t>
  </si>
  <si>
    <t xml:space="preserve"> Bratz: Genie Magic</t>
  </si>
  <si>
    <t xml:space="preserve"> Simon</t>
  </si>
  <si>
    <t xml:space="preserve"> Take the Lead</t>
  </si>
  <si>
    <t xml:space="preserve"> White Rainbow</t>
  </si>
  <si>
    <t xml:space="preserve"> Shaadi Se Pehle</t>
  </si>
  <si>
    <t xml:space="preserve"> The Surfer King</t>
  </si>
  <si>
    <t xml:space="preserve"> Sir! No Sir!</t>
  </si>
  <si>
    <t xml:space="preserve"> Friends with Money</t>
  </si>
  <si>
    <t xml:space="preserve"> The Benchwarmers</t>
  </si>
  <si>
    <t xml:space="preserve"> Kalamazoo?</t>
  </si>
  <si>
    <t xml:space="preserve"> On a Clear Day</t>
  </si>
  <si>
    <t xml:space="preserve"> Free Zone</t>
  </si>
  <si>
    <t xml:space="preserve"> 95 Miles to Go</t>
  </si>
  <si>
    <t xml:space="preserve"> When Do We Eat?</t>
  </si>
  <si>
    <t xml:space="preserve"> Phat Girlz</t>
  </si>
  <si>
    <t xml:space="preserve"> Lucky Number Slevin</t>
  </si>
  <si>
    <t xml:space="preserve"> I Am a Sex Addict</t>
  </si>
  <si>
    <t xml:space="preserve"> Room</t>
  </si>
  <si>
    <t xml:space="preserve"> Slither</t>
  </si>
  <si>
    <t xml:space="preserve"> Marilyn Hotchkiss' Ballroom Dancing and Charm School</t>
  </si>
  <si>
    <t xml:space="preserve"> Adam &amp; Steve</t>
  </si>
  <si>
    <t xml:space="preserve"> ATL</t>
  </si>
  <si>
    <t xml:space="preserve"> Tibet: A Buddhist Trilogy</t>
  </si>
  <si>
    <t xml:space="preserve"> Brick</t>
  </si>
  <si>
    <t xml:space="preserve"> Ice Age: The Meltdown</t>
  </si>
  <si>
    <t xml:space="preserve"> Basic Instinct 2</t>
  </si>
  <si>
    <t xml:space="preserve"> Yang Ban XI</t>
  </si>
  <si>
    <t xml:space="preserve"> Jazireh ahani</t>
  </si>
  <si>
    <t xml:space="preserve"> Awesome: I F%!#in' Shot That</t>
  </si>
  <si>
    <t xml:space="preserve"> The Devil and Daniel Johnston</t>
  </si>
  <si>
    <t>Skouras Pictures</t>
  </si>
  <si>
    <t xml:space="preserve"> Swimmers</t>
  </si>
  <si>
    <t xml:space="preserve"> Drawing Restraint 9</t>
  </si>
  <si>
    <t xml:space="preserve"> Ron White - You Can't Fix Stupid</t>
  </si>
  <si>
    <t xml:space="preserve"> Surge of Power: The Stuff of Heroes</t>
  </si>
  <si>
    <t xml:space="preserve"> Lonesome Jim</t>
  </si>
  <si>
    <t xml:space="preserve"> L'Enfant</t>
  </si>
  <si>
    <t xml:space="preserve"> Stay Alive</t>
  </si>
  <si>
    <t xml:space="preserve"> Mardi Gras: Made in China</t>
  </si>
  <si>
    <t xml:space="preserve"> Boynton Beach Club</t>
  </si>
  <si>
    <t xml:space="preserve"> Inside Man</t>
  </si>
  <si>
    <t xml:space="preserve"> Being Cyrus</t>
  </si>
  <si>
    <t xml:space="preserve"> Larry the Cable Guy: Health Inspector</t>
  </si>
  <si>
    <t xml:space="preserve"> Americano</t>
  </si>
  <si>
    <t xml:space="preserve"> The Godfather of Green Bay</t>
  </si>
  <si>
    <t xml:space="preserve"> The Beauty Academy of Kabul</t>
  </si>
  <si>
    <t xml:space="preserve"> Stoned</t>
  </si>
  <si>
    <t xml:space="preserve"> American Gun</t>
  </si>
  <si>
    <t xml:space="preserve"> The Chatterley Affair</t>
  </si>
  <si>
    <t xml:space="preserve"> Mirage</t>
  </si>
  <si>
    <t xml:space="preserve"> Find Me Guilty</t>
  </si>
  <si>
    <t xml:space="preserve"> Thank You For Smoking</t>
  </si>
  <si>
    <t xml:space="preserve"> Devil's Miner</t>
  </si>
  <si>
    <t xml:space="preserve"> Te doy mis ojos</t>
  </si>
  <si>
    <t xml:space="preserve"> She's the Man</t>
  </si>
  <si>
    <t xml:space="preserve"> Rape of the Soul</t>
  </si>
  <si>
    <t xml:space="preserve"> Fetching Cody</t>
  </si>
  <si>
    <t xml:space="preserve"> Don't Come Knocking</t>
  </si>
  <si>
    <t xml:space="preserve"> Beyond Honor</t>
  </si>
  <si>
    <t xml:space="preserve"> Church Ball</t>
  </si>
  <si>
    <t xml:space="preserve"> Don't Tell</t>
  </si>
  <si>
    <t xml:space="preserve"> Don't Trip, He Ain't Through With Me Yet</t>
  </si>
  <si>
    <t xml:space="preserve"> The Zodiac</t>
  </si>
  <si>
    <t xml:space="preserve"> The Big Question</t>
  </si>
  <si>
    <t xml:space="preserve"> Legaturi bolnavicioase</t>
  </si>
  <si>
    <t xml:space="preserve"> Sommersturm</t>
  </si>
  <si>
    <t xml:space="preserve"> V for Vendetta</t>
  </si>
  <si>
    <t xml:space="preserve"> Americanese</t>
  </si>
  <si>
    <t xml:space="preserve"> Barbie Fairytopia: Mermaidia</t>
  </si>
  <si>
    <t xml:space="preserve"> Temporada de patos</t>
  </si>
  <si>
    <t xml:space="preserve"> The Shaggy Dog</t>
  </si>
  <si>
    <t xml:space="preserve"> Ask the Dust</t>
  </si>
  <si>
    <t xml:space="preserve"> Failure to Launch</t>
  </si>
  <si>
    <t xml:space="preserve"> The Heart is Deceitful Above All Things</t>
  </si>
  <si>
    <t xml:space="preserve"> Game 6</t>
  </si>
  <si>
    <t xml:space="preserve"> Ondskan</t>
  </si>
  <si>
    <t xml:space="preserve"> The Hills Have Eyes</t>
  </si>
  <si>
    <t xml:space="preserve"> El Sueno del Regreso</t>
  </si>
  <si>
    <t xml:space="preserve"> Shakespeare Behind Bars</t>
  </si>
  <si>
    <t xml:space="preserve"> Malamaal Weekly</t>
  </si>
  <si>
    <t xml:space="preserve"> 16 Blocks</t>
  </si>
  <si>
    <t xml:space="preserve"> Woman is the Future of Man</t>
  </si>
  <si>
    <t xml:space="preserve"> Dave Chappelle's Block Party</t>
  </si>
  <si>
    <t xml:space="preserve"> Our Brand is Crisis</t>
  </si>
  <si>
    <t xml:space="preserve"> Joyeux Noël</t>
  </si>
  <si>
    <t xml:space="preserve"> Ultraviolet</t>
  </si>
  <si>
    <t xml:space="preserve"> Sorry, Haters</t>
  </si>
  <si>
    <t xml:space="preserve"> Doing Time for Patsy Cline</t>
  </si>
  <si>
    <t xml:space="preserve"> Aquamarine</t>
  </si>
  <si>
    <t xml:space="preserve"> Deep Sea 3-D</t>
  </si>
  <si>
    <t xml:space="preserve"> Workingman's Death</t>
  </si>
  <si>
    <t xml:space="preserve"> Unknown White Male</t>
  </si>
  <si>
    <t xml:space="preserve"> Taxi Number 9211</t>
  </si>
  <si>
    <t xml:space="preserve"> Tsotsi</t>
  </si>
  <si>
    <t xml:space="preserve"> Plagues and Pleasures on the Salton Sea</t>
  </si>
  <si>
    <t xml:space="preserve"> Zyzzyx Rd.</t>
  </si>
  <si>
    <t xml:space="preserve"> Forgiving Dr. Mengele</t>
  </si>
  <si>
    <t xml:space="preserve"> Doogal</t>
  </si>
  <si>
    <t xml:space="preserve"> Running Scared</t>
  </si>
  <si>
    <t xml:space="preserve"> Little Fish</t>
  </si>
  <si>
    <t xml:space="preserve"> Madea's Family Reunion</t>
  </si>
  <si>
    <t xml:space="preserve"> 2005 Academy Award Nominated Short Films</t>
  </si>
  <si>
    <t xml:space="preserve"> Street Fight</t>
  </si>
  <si>
    <t xml:space="preserve"> Stuart Little 3</t>
  </si>
  <si>
    <t xml:space="preserve"> Ultimate Avengers - The Movie</t>
  </si>
  <si>
    <t xml:space="preserve"> Batalla en el cielo</t>
  </si>
  <si>
    <t xml:space="preserve"> Nochnoy dozor</t>
  </si>
  <si>
    <t xml:space="preserve"> Sophie Scholl - Die letzten Tage</t>
  </si>
  <si>
    <t xml:space="preserve"> Eight Below</t>
  </si>
  <si>
    <t xml:space="preserve"> The Second Chance</t>
  </si>
  <si>
    <t xml:space="preserve"> Date Movie</t>
  </si>
  <si>
    <t xml:space="preserve"> Winter Passing</t>
  </si>
  <si>
    <t xml:space="preserve"> Freedomland</t>
  </si>
  <si>
    <t xml:space="preserve"> Illusion</t>
  </si>
  <si>
    <t xml:space="preserve"> Curious George</t>
  </si>
  <si>
    <t xml:space="preserve"> Through the Fire</t>
  </si>
  <si>
    <t xml:space="preserve"> The Pink Panther</t>
  </si>
  <si>
    <t xml:space="preserve"> Firewall</t>
  </si>
  <si>
    <t xml:space="preserve"> Final Destination 3</t>
  </si>
  <si>
    <t xml:space="preserve"> Neil Young: Heart of Gold</t>
  </si>
  <si>
    <t xml:space="preserve"> London</t>
  </si>
  <si>
    <t xml:space="preserve"> The Ister</t>
  </si>
  <si>
    <t xml:space="preserve"> Un año sin amor</t>
  </si>
  <si>
    <t xml:space="preserve"> Cowboy Del Amor</t>
  </si>
  <si>
    <t xml:space="preserve"> Pucked</t>
  </si>
  <si>
    <t xml:space="preserve"> Bambi II</t>
  </si>
  <si>
    <t xml:space="preserve"> Trudell</t>
  </si>
  <si>
    <t xml:space="preserve"> Who Gets to Call It Art?</t>
  </si>
  <si>
    <t xml:space="preserve"> Suits on the Loose</t>
  </si>
  <si>
    <t xml:space="preserve"> Tamara</t>
  </si>
  <si>
    <t xml:space="preserve"> The Tenants</t>
  </si>
  <si>
    <t xml:space="preserve"> What the Bleep?: Down the Rabbit Hole</t>
  </si>
  <si>
    <t xml:space="preserve"> FAQs</t>
  </si>
  <si>
    <t xml:space="preserve"> Blossoms of Fire</t>
  </si>
  <si>
    <t xml:space="preserve"> The Tollbooth</t>
  </si>
  <si>
    <t xml:space="preserve"> A Good Woman</t>
  </si>
  <si>
    <t xml:space="preserve"> When a Stranger Calls</t>
  </si>
  <si>
    <t xml:space="preserve"> Something New</t>
  </si>
  <si>
    <t xml:space="preserve"> Les Bronzés 3: amis pour la vie</t>
  </si>
  <si>
    <t xml:space="preserve"> Breaking News</t>
  </si>
  <si>
    <t xml:space="preserve"> Manderlay</t>
  </si>
  <si>
    <t xml:space="preserve"> Annapolis</t>
  </si>
  <si>
    <t xml:space="preserve"> La Petite Jérusalem</t>
  </si>
  <si>
    <t xml:space="preserve"> Roving Mars</t>
  </si>
  <si>
    <t xml:space="preserve"> Live Freaky! Die Freaky!</t>
  </si>
  <si>
    <t xml:space="preserve"> Tristram Shandy: A Cock and Bull Story</t>
  </si>
  <si>
    <t xml:space="preserve"> Bubble</t>
  </si>
  <si>
    <t xml:space="preserve"> Imagine Me &amp; You</t>
  </si>
  <si>
    <t xml:space="preserve"> Rang De Basanti</t>
  </si>
  <si>
    <t xml:space="preserve"> Nanny McPhee</t>
  </si>
  <si>
    <t xml:space="preserve"> Big Momma's House 2</t>
  </si>
  <si>
    <t xml:space="preserve"> The Real Dirt on Farmer John</t>
  </si>
  <si>
    <t xml:space="preserve"> High School Musical</t>
  </si>
  <si>
    <t xml:space="preserve"> Dirty</t>
  </si>
  <si>
    <t xml:space="preserve"> Why We Fight</t>
  </si>
  <si>
    <t xml:space="preserve"> Looking for Comedy in the Muslim World</t>
  </si>
  <si>
    <t xml:space="preserve"> End of the Spear</t>
  </si>
  <si>
    <t xml:space="preserve"> Pizza</t>
  </si>
  <si>
    <t xml:space="preserve"> Underworld: Evolution</t>
  </si>
  <si>
    <t xml:space="preserve"> Tristan &amp; Isolde</t>
  </si>
  <si>
    <t xml:space="preserve"> April's Shower</t>
  </si>
  <si>
    <t xml:space="preserve"> See This Movie</t>
  </si>
  <si>
    <t xml:space="preserve"> Film Geek</t>
  </si>
  <si>
    <t xml:space="preserve"> Henri Cartier-Bresson - Biographie eines Blicks</t>
  </si>
  <si>
    <t xml:space="preserve"> Quand la mer monte...</t>
  </si>
  <si>
    <t xml:space="preserve"> Last Holiday</t>
  </si>
  <si>
    <t xml:space="preserve"> Zinda</t>
  </si>
  <si>
    <t xml:space="preserve"> That Man: Peter Berlin</t>
  </si>
  <si>
    <t xml:space="preserve"> Glory Road</t>
  </si>
  <si>
    <t xml:space="preserve"> Kill the Poor</t>
  </si>
  <si>
    <t xml:space="preserve"> Fateless</t>
  </si>
  <si>
    <t xml:space="preserve"> Grandma's Boy</t>
  </si>
  <si>
    <t xml:space="preserve"> BloodRayne</t>
  </si>
  <si>
    <t xml:space="preserve"> Hostel</t>
  </si>
  <si>
    <t>Movie Numbers</t>
  </si>
  <si>
    <t>Movie Revenue</t>
  </si>
  <si>
    <t>AVG</t>
  </si>
  <si>
    <t>STDEV</t>
  </si>
  <si>
    <t>LCL</t>
  </si>
  <si>
    <t>UCL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</si>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</sst>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&quot;$&quot;#,##0"/>
    <numFmt numFmtId="165" formatCode="d\-mmm\-yyyy;@"/>
    <numFmt numFmtId="166" formatCode="m/d/yyyy;@"/>
    <numFmt numFmtId="167" formatCode="_(&quot;$&quot;* #,##0_);_(&quot;$&quot;* \(#,##0\);_(&quot;$&quot;* &quot;-&quot;??_);_(@_)"/>
    <numFmt numFmtId="168" formatCode="mmmm"/>
    <numFmt numFmtId="169" formatCode="0.00000000000000%"/>
  </numFmts>
  <fonts count="6" x14ac:knownFonts="1"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9" fontId="1" fillId="0" borderId="0" applyFont="0" applyFill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</cellStyleXfs>
  <cellXfs count="92">
    <xf numFmtId="0" fontId="0" fillId="0" borderId="0" xfId="0">
      <alignment vertical="center"/>
    </xf>
    <xf numFmtId="0" fontId="0" fillId="0" borderId="0" xfId="0" applyNumberFormat="1" applyFont="1" applyFill="1" applyAlignment="1">
      <alignment horizontal="center" wrapText="1"/>
    </xf>
    <xf numFmtId="164" fontId="0" fillId="0" borderId="0" xfId="0" applyNumberFormat="1" applyFont="1" applyFill="1" applyAlignment="1">
      <alignment wrapText="1"/>
    </xf>
    <xf numFmtId="165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wrapText="1"/>
    </xf>
    <xf numFmtId="164" fontId="0" fillId="0" borderId="1" xfId="0" applyNumberFormat="1" applyFont="1" applyFill="1" applyBorder="1" applyAlignment="1">
      <alignment wrapText="1"/>
    </xf>
    <xf numFmtId="165" fontId="0" fillId="0" borderId="1" xfId="0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165" fontId="0" fillId="3" borderId="2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wrapText="1"/>
    </xf>
    <xf numFmtId="164" fontId="0" fillId="0" borderId="2" xfId="0" applyNumberFormat="1" applyFont="1" applyFill="1" applyBorder="1" applyAlignment="1">
      <alignment wrapText="1"/>
    </xf>
    <xf numFmtId="165" fontId="0" fillId="0" borderId="2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horizontal="center" wrapText="1"/>
    </xf>
    <xf numFmtId="0" fontId="0" fillId="0" borderId="6" xfId="0" applyNumberFormat="1" applyFont="1" applyFill="1" applyBorder="1" applyAlignment="1">
      <alignment wrapText="1"/>
    </xf>
    <xf numFmtId="164" fontId="0" fillId="0" borderId="6" xfId="0" applyNumberFormat="1" applyFont="1" applyFill="1" applyBorder="1" applyAlignment="1">
      <alignment wrapText="1"/>
    </xf>
    <xf numFmtId="0" fontId="0" fillId="2" borderId="0" xfId="0" applyNumberFormat="1" applyFont="1" applyFill="1" applyAlignment="1">
      <alignment horizontal="center" wrapText="1"/>
    </xf>
    <xf numFmtId="0" fontId="0" fillId="2" borderId="0" xfId="0" applyNumberFormat="1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7" xfId="0" applyNumberFormat="1" applyFont="1" applyFill="1" applyBorder="1" applyAlignment="1">
      <alignment wrapText="1"/>
    </xf>
    <xf numFmtId="0" fontId="0" fillId="0" borderId="0" xfId="0" applyNumberFormat="1" applyFont="1" applyFill="1" applyAlignment="1">
      <alignment wrapText="1"/>
    </xf>
    <xf numFmtId="165" fontId="0" fillId="0" borderId="6" xfId="0" applyNumberFormat="1" applyFont="1" applyFill="1" applyBorder="1" applyAlignment="1">
      <alignment wrapText="1"/>
    </xf>
    <xf numFmtId="166" fontId="0" fillId="0" borderId="0" xfId="0" applyNumberFormat="1" applyFont="1" applyFill="1" applyAlignment="1">
      <alignment wrapText="1"/>
    </xf>
    <xf numFmtId="14" fontId="0" fillId="0" borderId="0" xfId="0" applyNumberFormat="1">
      <alignment vertical="center"/>
    </xf>
    <xf numFmtId="0" fontId="2" fillId="5" borderId="0" xfId="3" applyNumberFormat="1" applyAlignment="1">
      <alignment wrapText="1"/>
    </xf>
    <xf numFmtId="0" fontId="2" fillId="4" borderId="0" xfId="2" applyNumberFormat="1" applyAlignment="1">
      <alignment wrapText="1"/>
    </xf>
    <xf numFmtId="0" fontId="0" fillId="6" borderId="0" xfId="0" applyFill="1">
      <alignment vertical="center"/>
    </xf>
    <xf numFmtId="14" fontId="0" fillId="0" borderId="0" xfId="0" applyNumberFormat="1" applyFont="1" applyFill="1" applyAlignment="1">
      <alignment wrapText="1"/>
    </xf>
    <xf numFmtId="167" fontId="2" fillId="5" borderId="0" xfId="1" applyNumberFormat="1" applyFont="1" applyFill="1" applyAlignment="1">
      <alignment wrapText="1"/>
    </xf>
    <xf numFmtId="167" fontId="0" fillId="0" borderId="0" xfId="1" applyNumberFormat="1" applyFont="1" applyFill="1" applyAlignment="1">
      <alignment wrapText="1"/>
    </xf>
    <xf numFmtId="167" fontId="0" fillId="0" borderId="0" xfId="1" applyNumberFormat="1" applyFont="1">
      <alignment vertical="center"/>
    </xf>
    <xf numFmtId="0" fontId="0" fillId="7" borderId="0" xfId="0" applyFill="1">
      <alignment vertical="center"/>
    </xf>
    <xf numFmtId="167" fontId="0" fillId="7" borderId="0" xfId="1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/>
    </xf>
    <xf numFmtId="167" fontId="3" fillId="7" borderId="0" xfId="1" applyNumberFormat="1" applyFont="1" applyFill="1">
      <alignment vertical="center"/>
    </xf>
    <xf numFmtId="0" fontId="3" fillId="7" borderId="0" xfId="0" applyFont="1" applyFill="1">
      <alignment vertical="center"/>
    </xf>
    <xf numFmtId="167" fontId="3" fillId="7" borderId="0" xfId="1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3" fillId="7" borderId="0" xfId="1" applyNumberFormat="1" applyFont="1" applyFill="1" applyAlignment="1">
      <alignment horizontal="center" vertical="center"/>
    </xf>
    <xf numFmtId="0" fontId="2" fillId="9" borderId="0" xfId="6" applyAlignment="1">
      <alignment vertical="center"/>
    </xf>
    <xf numFmtId="0" fontId="2" fillId="9" borderId="0" xfId="6" applyAlignment="1">
      <alignment horizontal="center" vertical="center"/>
    </xf>
    <xf numFmtId="0" fontId="2" fillId="4" borderId="0" xfId="2" applyAlignment="1">
      <alignment vertical="center"/>
    </xf>
    <xf numFmtId="0" fontId="0" fillId="0" borderId="0" xfId="1" applyNumberFormat="1" applyFont="1">
      <alignment vertical="center"/>
    </xf>
    <xf numFmtId="9" fontId="0" fillId="0" borderId="0" xfId="4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9" borderId="0" xfId="1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0" borderId="0" xfId="1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9" borderId="0" xfId="6" applyNumberFormat="1" applyAlignment="1">
      <alignment horizontal="center" vertical="center"/>
    </xf>
    <xf numFmtId="0" fontId="2" fillId="9" borderId="0" xfId="6" applyNumberFormat="1" applyAlignment="1">
      <alignment horizontal="center"/>
    </xf>
    <xf numFmtId="9" fontId="0" fillId="0" borderId="0" xfId="4" applyFont="1" applyFill="1" applyAlignment="1">
      <alignment horizontal="center" vertical="center"/>
    </xf>
    <xf numFmtId="167" fontId="0" fillId="6" borderId="0" xfId="1" applyNumberFormat="1" applyFont="1" applyFill="1">
      <alignment vertical="center"/>
    </xf>
    <xf numFmtId="169" fontId="0" fillId="0" borderId="0" xfId="0" applyNumberFormat="1" applyAlignment="1">
      <alignment horizontal="center" vertical="center"/>
    </xf>
    <xf numFmtId="9" fontId="0" fillId="6" borderId="0" xfId="4" applyNumberFormat="1" applyFont="1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9" fontId="0" fillId="10" borderId="0" xfId="4" applyNumberFormat="1" applyFon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9" fontId="0" fillId="11" borderId="0" xfId="4" applyNumberFormat="1" applyFont="1" applyFill="1" applyAlignment="1">
      <alignment horizontal="center" vertical="center"/>
    </xf>
    <xf numFmtId="9" fontId="0" fillId="11" borderId="0" xfId="0" applyNumberFormat="1" applyFill="1" applyAlignment="1">
      <alignment horizontal="center" vertical="center"/>
    </xf>
    <xf numFmtId="0" fontId="2" fillId="9" borderId="2" xfId="6" applyNumberFormat="1" applyBorder="1" applyAlignment="1">
      <alignment horizontal="center"/>
    </xf>
    <xf numFmtId="0" fontId="2" fillId="9" borderId="2" xfId="6" applyBorder="1" applyAlignment="1">
      <alignment vertical="center"/>
    </xf>
    <xf numFmtId="9" fontId="0" fillId="0" borderId="2" xfId="0" applyNumberFormat="1" applyBorder="1" applyAlignment="1">
      <alignment horizontal="center" vertical="center"/>
    </xf>
    <xf numFmtId="0" fontId="2" fillId="9" borderId="2" xfId="6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9" fontId="0" fillId="0" borderId="2" xfId="4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8" borderId="2" xfId="5" applyNumberFormat="1" applyBorder="1" applyAlignment="1">
      <alignment horizontal="center"/>
    </xf>
    <xf numFmtId="0" fontId="2" fillId="8" borderId="2" xfId="5" applyBorder="1" applyAlignment="1">
      <alignment horizontal="center"/>
    </xf>
    <xf numFmtId="9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11" borderId="2" xfId="0" applyNumberForma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9" fontId="0" fillId="10" borderId="2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12" borderId="0" xfId="7" applyAlignment="1">
      <alignment horizontal="center" vertical="center"/>
    </xf>
    <xf numFmtId="9" fontId="0" fillId="0" borderId="0" xfId="4" applyFont="1" applyAlignment="1">
      <alignment vertical="center"/>
    </xf>
    <xf numFmtId="0" fontId="2" fillId="4" borderId="0" xfId="2" applyAlignment="1">
      <alignment horizontal="center" vertical="center"/>
    </xf>
    <xf numFmtId="0" fontId="2" fillId="5" borderId="0" xfId="3" applyAlignment="1">
      <alignment horizontal="center" vertical="center"/>
    </xf>
    <xf numFmtId="167" fontId="2" fillId="5" borderId="0" xfId="3" applyNumberFormat="1" applyFont="1" applyAlignment="1">
      <alignment horizontal="center" vertical="center"/>
    </xf>
    <xf numFmtId="167" fontId="2" fillId="5" borderId="0" xfId="1" applyNumberFormat="1" applyFont="1" applyFill="1" applyAlignment="1">
      <alignment horizontal="center" vertical="center"/>
    </xf>
  </cellXfs>
  <cellStyles count="8">
    <cellStyle name="60% - Accent1" xfId="5" builtinId="32"/>
    <cellStyle name="60% - Accent2" xfId="6" builtinId="36"/>
    <cellStyle name="Accent1" xfId="2" builtinId="29"/>
    <cellStyle name="Accent2" xfId="3" builtinId="33"/>
    <cellStyle name="Accent4" xfId="7" builtinId="41"/>
    <cellStyle name="Currency" xfId="1" builtinId="4"/>
    <cellStyle name="Normal" xfId="0" builtinId="0"/>
    <cellStyle name="Percent" xfId="4" builtinId="5"/>
  </cellStyles>
  <dxfs count="5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6600"/>
      <rgbColor rgb="0099CC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Movie release</a:t>
            </a:r>
            <a:r>
              <a:rPr lang="en-US" baseline="0"/>
              <a:t>s </a:t>
            </a:r>
            <a:r>
              <a:rPr lang="en-US"/>
              <a:t>by month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8"/>
          <c:order val="0"/>
          <c:tx>
            <c:v>Random</c:v>
          </c:tx>
          <c:spPr>
            <a:ln>
              <a:solidFill>
                <a:srgbClr val="FFC000">
                  <a:alpha val="59000"/>
                </a:srgbClr>
              </a:solidFill>
              <a:prstDash val="sysDash"/>
            </a:ln>
          </c:spPr>
          <c:marker>
            <c:symbol val="none"/>
          </c:marker>
          <c:val>
            <c:numRef>
              <c:f>'Summary World'!$AT$144:$AT$155</c:f>
              <c:numCache>
                <c:formatCode>0%</c:formatCode>
                <c:ptCount val="12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8.3333333333333329E-2</c:v>
                </c:pt>
                <c:pt idx="11">
                  <c:v>8.3333333333333329E-2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'Summary World'!$H$53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World'!$H$54:$H$65</c:f>
              <c:numCache>
                <c:formatCode>0%</c:formatCode>
                <c:ptCount val="12"/>
                <c:pt idx="0">
                  <c:v>4.8543689320388349E-2</c:v>
                </c:pt>
                <c:pt idx="1">
                  <c:v>6.7961165048543687E-2</c:v>
                </c:pt>
                <c:pt idx="2">
                  <c:v>7.7669902912621352E-2</c:v>
                </c:pt>
                <c:pt idx="3">
                  <c:v>7.7669902912621352E-2</c:v>
                </c:pt>
                <c:pt idx="4">
                  <c:v>7.7669902912621352E-2</c:v>
                </c:pt>
                <c:pt idx="5">
                  <c:v>9.3851132686084138E-2</c:v>
                </c:pt>
                <c:pt idx="6">
                  <c:v>9.0614886731391592E-2</c:v>
                </c:pt>
                <c:pt idx="7">
                  <c:v>0.11974110032362459</c:v>
                </c:pt>
                <c:pt idx="8">
                  <c:v>0.12944983818770225</c:v>
                </c:pt>
                <c:pt idx="9">
                  <c:v>6.7961165048543687E-2</c:v>
                </c:pt>
                <c:pt idx="10">
                  <c:v>6.7961165048543687E-2</c:v>
                </c:pt>
                <c:pt idx="11">
                  <c:v>8.0906148867313912E-2</c:v>
                </c:pt>
              </c:numCache>
            </c:numRef>
          </c:val>
          <c:smooth val="0"/>
        </c:ser>
        <c:ser>
          <c:idx val="1"/>
          <c:order val="2"/>
          <c:tx>
            <c:v>2007</c:v>
          </c:tx>
          <c:marker>
            <c:symbol val="none"/>
          </c:marker>
          <c:val>
            <c:numRef>
              <c:f>'Summary World'!$I$54:$I$65</c:f>
              <c:numCache>
                <c:formatCode>0%</c:formatCode>
                <c:ptCount val="12"/>
                <c:pt idx="0">
                  <c:v>2.6845637583892617E-2</c:v>
                </c:pt>
                <c:pt idx="1">
                  <c:v>4.2505592841163314E-2</c:v>
                </c:pt>
                <c:pt idx="2">
                  <c:v>8.7248322147651006E-2</c:v>
                </c:pt>
                <c:pt idx="3">
                  <c:v>8.0536912751677847E-2</c:v>
                </c:pt>
                <c:pt idx="4">
                  <c:v>5.8165548098434001E-2</c:v>
                </c:pt>
                <c:pt idx="5">
                  <c:v>0.10738255033557047</c:v>
                </c:pt>
                <c:pt idx="6">
                  <c:v>6.7114093959731544E-2</c:v>
                </c:pt>
                <c:pt idx="7">
                  <c:v>0.12080536912751678</c:v>
                </c:pt>
                <c:pt idx="8">
                  <c:v>8.2774049217002238E-2</c:v>
                </c:pt>
                <c:pt idx="9">
                  <c:v>0.1029082774049217</c:v>
                </c:pt>
                <c:pt idx="10">
                  <c:v>0.10961968680089486</c:v>
                </c:pt>
                <c:pt idx="11">
                  <c:v>0.11409395973154363</c:v>
                </c:pt>
              </c:numCache>
            </c:numRef>
          </c:val>
          <c:smooth val="0"/>
        </c:ser>
        <c:ser>
          <c:idx val="2"/>
          <c:order val="3"/>
          <c:tx>
            <c:v>2008</c:v>
          </c:tx>
          <c:marker>
            <c:symbol val="none"/>
          </c:marker>
          <c:val>
            <c:numRef>
              <c:f>'Summary World'!$J$54:$J$65</c:f>
              <c:numCache>
                <c:formatCode>0%</c:formatCode>
                <c:ptCount val="12"/>
                <c:pt idx="0">
                  <c:v>8.6393088552915762E-2</c:v>
                </c:pt>
                <c:pt idx="1">
                  <c:v>9.2872570194384454E-2</c:v>
                </c:pt>
                <c:pt idx="2">
                  <c:v>9.2872570194384454E-2</c:v>
                </c:pt>
                <c:pt idx="3">
                  <c:v>9.9352051835853133E-2</c:v>
                </c:pt>
                <c:pt idx="4">
                  <c:v>7.3434125269978404E-2</c:v>
                </c:pt>
                <c:pt idx="5">
                  <c:v>8.8552915766738655E-2</c:v>
                </c:pt>
                <c:pt idx="6">
                  <c:v>7.775377969762419E-2</c:v>
                </c:pt>
                <c:pt idx="7">
                  <c:v>0.1101511879049676</c:v>
                </c:pt>
                <c:pt idx="8">
                  <c:v>7.9913606911447083E-2</c:v>
                </c:pt>
                <c:pt idx="9">
                  <c:v>0.10151187904967603</c:v>
                </c:pt>
                <c:pt idx="10">
                  <c:v>4.1036717062634988E-2</c:v>
                </c:pt>
                <c:pt idx="11">
                  <c:v>5.6155507559395246E-2</c:v>
                </c:pt>
              </c:numCache>
            </c:numRef>
          </c:val>
          <c:smooth val="0"/>
        </c:ser>
        <c:ser>
          <c:idx val="3"/>
          <c:order val="4"/>
          <c:tx>
            <c:v>2009</c:v>
          </c:tx>
          <c:marker>
            <c:symbol val="none"/>
          </c:marker>
          <c:val>
            <c:numRef>
              <c:f>'Summary World'!$K$54:$K$65</c:f>
              <c:numCache>
                <c:formatCode>0%</c:formatCode>
                <c:ptCount val="12"/>
                <c:pt idx="0">
                  <c:v>5.4140127388535034E-2</c:v>
                </c:pt>
                <c:pt idx="1">
                  <c:v>5.4140127388535034E-2</c:v>
                </c:pt>
                <c:pt idx="2">
                  <c:v>0.13694267515923567</c:v>
                </c:pt>
                <c:pt idx="3">
                  <c:v>7.0063694267515922E-2</c:v>
                </c:pt>
                <c:pt idx="4">
                  <c:v>7.6433121019108277E-2</c:v>
                </c:pt>
                <c:pt idx="5">
                  <c:v>8.598726114649681E-2</c:v>
                </c:pt>
                <c:pt idx="6">
                  <c:v>8.2802547770700632E-2</c:v>
                </c:pt>
                <c:pt idx="7">
                  <c:v>7.0063694267515922E-2</c:v>
                </c:pt>
                <c:pt idx="8">
                  <c:v>0.10191082802547771</c:v>
                </c:pt>
                <c:pt idx="9">
                  <c:v>8.598726114649681E-2</c:v>
                </c:pt>
                <c:pt idx="10">
                  <c:v>8.2802547770700632E-2</c:v>
                </c:pt>
                <c:pt idx="11">
                  <c:v>9.8726114649681534E-2</c:v>
                </c:pt>
              </c:numCache>
            </c:numRef>
          </c:val>
          <c:smooth val="0"/>
        </c:ser>
        <c:ser>
          <c:idx val="4"/>
          <c:order val="5"/>
          <c:tx>
            <c:v>2010</c:v>
          </c:tx>
          <c:marker>
            <c:symbol val="none"/>
          </c:marker>
          <c:val>
            <c:numRef>
              <c:f>'Summary World'!$L$54:$L$65</c:f>
              <c:numCache>
                <c:formatCode>0%</c:formatCode>
                <c:ptCount val="12"/>
                <c:pt idx="0">
                  <c:v>8.7378640776699032E-2</c:v>
                </c:pt>
                <c:pt idx="1">
                  <c:v>7.7669902912621352E-2</c:v>
                </c:pt>
                <c:pt idx="2">
                  <c:v>0.10679611650485436</c:v>
                </c:pt>
                <c:pt idx="3">
                  <c:v>8.7378640776699032E-2</c:v>
                </c:pt>
                <c:pt idx="4">
                  <c:v>6.3106796116504854E-2</c:v>
                </c:pt>
                <c:pt idx="5">
                  <c:v>7.7669902912621352E-2</c:v>
                </c:pt>
                <c:pt idx="6">
                  <c:v>9.2233009708737865E-2</c:v>
                </c:pt>
                <c:pt idx="7">
                  <c:v>7.7669902912621352E-2</c:v>
                </c:pt>
                <c:pt idx="8">
                  <c:v>7.281553398058252E-2</c:v>
                </c:pt>
                <c:pt idx="9">
                  <c:v>6.7961165048543687E-2</c:v>
                </c:pt>
                <c:pt idx="10">
                  <c:v>6.3106796116504854E-2</c:v>
                </c:pt>
                <c:pt idx="11">
                  <c:v>0.12621359223300971</c:v>
                </c:pt>
              </c:numCache>
            </c:numRef>
          </c:val>
          <c:smooth val="0"/>
        </c:ser>
        <c:ser>
          <c:idx val="5"/>
          <c:order val="6"/>
          <c:tx>
            <c:v>Average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val>
            <c:numRef>
              <c:f>'Summary World'!$R$54:$R$65</c:f>
              <c:numCache>
                <c:formatCode>0%</c:formatCode>
                <c:ptCount val="12"/>
                <c:pt idx="0">
                  <c:v>6.0660236724486158E-2</c:v>
                </c:pt>
                <c:pt idx="1">
                  <c:v>6.7029871677049574E-2</c:v>
                </c:pt>
                <c:pt idx="2">
                  <c:v>0.10030591738374936</c:v>
                </c:pt>
                <c:pt idx="3">
                  <c:v>8.300024050887346E-2</c:v>
                </c:pt>
                <c:pt idx="4">
                  <c:v>6.9761898683329382E-2</c:v>
                </c:pt>
                <c:pt idx="5">
                  <c:v>9.068875256950229E-2</c:v>
                </c:pt>
                <c:pt idx="6">
                  <c:v>8.2103663573637159E-2</c:v>
                </c:pt>
                <c:pt idx="7">
                  <c:v>9.9686250907249252E-2</c:v>
                </c:pt>
                <c:pt idx="8">
                  <c:v>9.337277126444235E-2</c:v>
                </c:pt>
                <c:pt idx="9">
                  <c:v>8.5265949539636371E-2</c:v>
                </c:pt>
                <c:pt idx="10">
                  <c:v>7.2905382559855819E-2</c:v>
                </c:pt>
                <c:pt idx="11">
                  <c:v>9.5219064608188797E-2</c:v>
                </c:pt>
              </c:numCache>
            </c:numRef>
          </c:val>
          <c:smooth val="0"/>
        </c:ser>
        <c:ser>
          <c:idx val="6"/>
          <c:order val="7"/>
          <c:tx>
            <c:v>LCL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'Summary World'!$U$54:$U$65</c:f>
              <c:numCache>
                <c:formatCode>0%</c:formatCode>
                <c:ptCount val="12"/>
                <c:pt idx="0">
                  <c:v>8.6140799008670721E-3</c:v>
                </c:pt>
                <c:pt idx="1">
                  <c:v>2.7666076141822218E-2</c:v>
                </c:pt>
                <c:pt idx="2">
                  <c:v>5.4235109925492429E-2</c:v>
                </c:pt>
                <c:pt idx="3">
                  <c:v>6.090076463810673E-2</c:v>
                </c:pt>
                <c:pt idx="4">
                  <c:v>5.2461819969336729E-2</c:v>
                </c:pt>
                <c:pt idx="5">
                  <c:v>6.8669674507666062E-2</c:v>
                </c:pt>
                <c:pt idx="6">
                  <c:v>6.1630713155302198E-2</c:v>
                </c:pt>
                <c:pt idx="7">
                  <c:v>5.1520448860816942E-2</c:v>
                </c:pt>
                <c:pt idx="8">
                  <c:v>4.7650400482681723E-2</c:v>
                </c:pt>
                <c:pt idx="9">
                  <c:v>5.0993316417100927E-2</c:v>
                </c:pt>
                <c:pt idx="10">
                  <c:v>2.2092358257271072E-2</c:v>
                </c:pt>
                <c:pt idx="11">
                  <c:v>3.9901410510182131E-2</c:v>
                </c:pt>
              </c:numCache>
            </c:numRef>
          </c:val>
          <c:smooth val="0"/>
        </c:ser>
        <c:ser>
          <c:idx val="7"/>
          <c:order val="8"/>
          <c:tx>
            <c:v>UCL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val>
            <c:numRef>
              <c:f>'Summary World'!$V$54:$V$65</c:f>
              <c:numCache>
                <c:formatCode>0%</c:formatCode>
                <c:ptCount val="12"/>
                <c:pt idx="0">
                  <c:v>0.11270639354810524</c:v>
                </c:pt>
                <c:pt idx="1">
                  <c:v>0.10639366721227693</c:v>
                </c:pt>
                <c:pt idx="2">
                  <c:v>0.14637672484200628</c:v>
                </c:pt>
                <c:pt idx="3">
                  <c:v>0.10509971637964019</c:v>
                </c:pt>
                <c:pt idx="4">
                  <c:v>8.7061977397322035E-2</c:v>
                </c:pt>
                <c:pt idx="5">
                  <c:v>0.11270783063133852</c:v>
                </c:pt>
                <c:pt idx="6">
                  <c:v>0.10257661399197213</c:v>
                </c:pt>
                <c:pt idx="7">
                  <c:v>0.14785205295368156</c:v>
                </c:pt>
                <c:pt idx="8">
                  <c:v>0.13909514204620299</c:v>
                </c:pt>
                <c:pt idx="9">
                  <c:v>0.11953858266217182</c:v>
                </c:pt>
                <c:pt idx="10">
                  <c:v>0.12371840686244057</c:v>
                </c:pt>
                <c:pt idx="11">
                  <c:v>0.15053671870619545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05248"/>
        <c:axId val="133606784"/>
      </c:lineChart>
      <c:catAx>
        <c:axId val="133605248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33606784"/>
        <c:crosses val="autoZero"/>
        <c:auto val="1"/>
        <c:lblAlgn val="ctr"/>
        <c:lblOffset val="100"/>
        <c:noMultiLvlLbl val="0"/>
      </c:catAx>
      <c:valAx>
        <c:axId val="133606784"/>
        <c:scaling>
          <c:orientation val="minMax"/>
          <c:max val="0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Movie releases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33605248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86069657337608918"/>
          <c:y val="0.25528979930140311"/>
          <c:w val="0.13717123046186391"/>
          <c:h val="0.4028601030134391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movie releases by month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World'!$M$54:$M$65</c:f>
              <c:numCache>
                <c:formatCode>0%</c:formatCode>
                <c:ptCount val="12"/>
                <c:pt idx="0">
                  <c:v>4.8543689320388349E-2</c:v>
                </c:pt>
                <c:pt idx="1">
                  <c:v>0.11650485436893204</c:v>
                </c:pt>
                <c:pt idx="2">
                  <c:v>0.1941747572815534</c:v>
                </c:pt>
                <c:pt idx="3">
                  <c:v>0.27184466019417475</c:v>
                </c:pt>
                <c:pt idx="4">
                  <c:v>0.34951456310679607</c:v>
                </c:pt>
                <c:pt idx="5">
                  <c:v>0.44336569579288021</c:v>
                </c:pt>
                <c:pt idx="6">
                  <c:v>0.53398058252427183</c:v>
                </c:pt>
                <c:pt idx="7">
                  <c:v>0.65372168284789645</c:v>
                </c:pt>
                <c:pt idx="8">
                  <c:v>0.78317152103559873</c:v>
                </c:pt>
                <c:pt idx="9">
                  <c:v>0.85113268608414239</c:v>
                </c:pt>
                <c:pt idx="10">
                  <c:v>0.91909385113268605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World'!$N$54:$N$65</c:f>
              <c:numCache>
                <c:formatCode>0%</c:formatCode>
                <c:ptCount val="12"/>
                <c:pt idx="0">
                  <c:v>2.6845637583892617E-2</c:v>
                </c:pt>
                <c:pt idx="1">
                  <c:v>6.9351230425055935E-2</c:v>
                </c:pt>
                <c:pt idx="2">
                  <c:v>0.15659955257270694</c:v>
                </c:pt>
                <c:pt idx="3">
                  <c:v>0.23713646532438479</c:v>
                </c:pt>
                <c:pt idx="4">
                  <c:v>0.29530201342281881</c:v>
                </c:pt>
                <c:pt idx="5">
                  <c:v>0.40268456375838929</c:v>
                </c:pt>
                <c:pt idx="6">
                  <c:v>0.46979865771812085</c:v>
                </c:pt>
                <c:pt idx="7">
                  <c:v>0.59060402684563762</c:v>
                </c:pt>
                <c:pt idx="8">
                  <c:v>0.67337807606263989</c:v>
                </c:pt>
                <c:pt idx="9">
                  <c:v>0.77628635346756159</c:v>
                </c:pt>
                <c:pt idx="10">
                  <c:v>0.88590604026845643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World'!$O$54:$O$65</c:f>
              <c:numCache>
                <c:formatCode>0%</c:formatCode>
                <c:ptCount val="12"/>
                <c:pt idx="0">
                  <c:v>8.6393088552915762E-2</c:v>
                </c:pt>
                <c:pt idx="1">
                  <c:v>0.17926565874730022</c:v>
                </c:pt>
                <c:pt idx="2">
                  <c:v>0.27213822894168466</c:v>
                </c:pt>
                <c:pt idx="3">
                  <c:v>0.37149028077753776</c:v>
                </c:pt>
                <c:pt idx="4">
                  <c:v>0.44492440604751615</c:v>
                </c:pt>
                <c:pt idx="5">
                  <c:v>0.53347732181425478</c:v>
                </c:pt>
                <c:pt idx="6">
                  <c:v>0.61123110151187898</c:v>
                </c:pt>
                <c:pt idx="7">
                  <c:v>0.72138228941684657</c:v>
                </c:pt>
                <c:pt idx="8">
                  <c:v>0.80129589632829368</c:v>
                </c:pt>
                <c:pt idx="9">
                  <c:v>0.90280777537796975</c:v>
                </c:pt>
                <c:pt idx="10">
                  <c:v>0.94384449244060475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World'!$P$54:$P$65</c:f>
              <c:numCache>
                <c:formatCode>0%</c:formatCode>
                <c:ptCount val="12"/>
                <c:pt idx="0">
                  <c:v>5.4140127388535034E-2</c:v>
                </c:pt>
                <c:pt idx="1">
                  <c:v>0.10828025477707007</c:v>
                </c:pt>
                <c:pt idx="2">
                  <c:v>0.24522292993630573</c:v>
                </c:pt>
                <c:pt idx="3">
                  <c:v>0.31528662420382164</c:v>
                </c:pt>
                <c:pt idx="4">
                  <c:v>0.3917197452229299</c:v>
                </c:pt>
                <c:pt idx="5">
                  <c:v>0.4777070063694267</c:v>
                </c:pt>
                <c:pt idx="6">
                  <c:v>0.56050955414012738</c:v>
                </c:pt>
                <c:pt idx="7">
                  <c:v>0.63057324840764328</c:v>
                </c:pt>
                <c:pt idx="8">
                  <c:v>0.73248407643312097</c:v>
                </c:pt>
                <c:pt idx="9">
                  <c:v>0.81847133757961776</c:v>
                </c:pt>
                <c:pt idx="10">
                  <c:v>0.90127388535031838</c:v>
                </c:pt>
                <c:pt idx="11">
                  <c:v>0.99999999999999989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World'!$Q$54:$Q$65</c:f>
              <c:numCache>
                <c:formatCode>0%</c:formatCode>
                <c:ptCount val="12"/>
                <c:pt idx="0">
                  <c:v>8.7378640776699032E-2</c:v>
                </c:pt>
                <c:pt idx="1">
                  <c:v>0.16504854368932037</c:v>
                </c:pt>
                <c:pt idx="2">
                  <c:v>0.27184466019417475</c:v>
                </c:pt>
                <c:pt idx="3">
                  <c:v>0.35922330097087379</c:v>
                </c:pt>
                <c:pt idx="4">
                  <c:v>0.42233009708737868</c:v>
                </c:pt>
                <c:pt idx="5">
                  <c:v>0.5</c:v>
                </c:pt>
                <c:pt idx="6">
                  <c:v>0.59223300970873782</c:v>
                </c:pt>
                <c:pt idx="7">
                  <c:v>0.66990291262135915</c:v>
                </c:pt>
                <c:pt idx="8">
                  <c:v>0.74271844660194164</c:v>
                </c:pt>
                <c:pt idx="9">
                  <c:v>0.8106796116504853</c:v>
                </c:pt>
                <c:pt idx="10">
                  <c:v>0.87378640776699013</c:v>
                </c:pt>
                <c:pt idx="11">
                  <c:v>0.99999999999999978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27680"/>
        <c:axId val="148729216"/>
      </c:lineChart>
      <c:dateAx>
        <c:axId val="148727680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48729216"/>
        <c:crosses val="autoZero"/>
        <c:auto val="1"/>
        <c:lblOffset val="100"/>
        <c:baseTimeUnit val="months"/>
      </c:dateAx>
      <c:valAx>
        <c:axId val="1487292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Cumulative</a:t>
                </a:r>
                <a:r>
                  <a:rPr lang="en-US" sz="1200" baseline="0"/>
                  <a:t> Movie Releases</a:t>
                </a:r>
                <a:endParaRPr lang="en-US" sz="12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48727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Blockbuster movie releases by month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World'!$H$53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World'!$H$70:$H$81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</c:v>
                </c:pt>
                <c:pt idx="4">
                  <c:v>0.26666666666666666</c:v>
                </c:pt>
                <c:pt idx="5">
                  <c:v>0.2</c:v>
                </c:pt>
                <c:pt idx="6">
                  <c:v>6.6666666666666666E-2</c:v>
                </c:pt>
                <c:pt idx="7">
                  <c:v>0</c:v>
                </c:pt>
                <c:pt idx="8">
                  <c:v>0</c:v>
                </c:pt>
                <c:pt idx="9">
                  <c:v>6.6666666666666666E-2</c:v>
                </c:pt>
                <c:pt idx="10">
                  <c:v>0.2</c:v>
                </c:pt>
                <c:pt idx="11">
                  <c:v>0.13333333333333333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World'!$I$70:$I$81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9.5238095238095233E-2</c:v>
                </c:pt>
                <c:pt idx="3">
                  <c:v>0</c:v>
                </c:pt>
                <c:pt idx="4">
                  <c:v>0.14285714285714285</c:v>
                </c:pt>
                <c:pt idx="5">
                  <c:v>0.19047619047619047</c:v>
                </c:pt>
                <c:pt idx="6">
                  <c:v>0.14285714285714285</c:v>
                </c:pt>
                <c:pt idx="7">
                  <c:v>9.5238095238095233E-2</c:v>
                </c:pt>
                <c:pt idx="8">
                  <c:v>0</c:v>
                </c:pt>
                <c:pt idx="9">
                  <c:v>0</c:v>
                </c:pt>
                <c:pt idx="10">
                  <c:v>0.14285714285714285</c:v>
                </c:pt>
                <c:pt idx="11">
                  <c:v>0.19047619047619047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World'!$J$70:$J$81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9.0909090909090912E-2</c:v>
                </c:pt>
                <c:pt idx="3">
                  <c:v>0</c:v>
                </c:pt>
                <c:pt idx="4">
                  <c:v>0.18181818181818182</c:v>
                </c:pt>
                <c:pt idx="5">
                  <c:v>0.18181818181818182</c:v>
                </c:pt>
                <c:pt idx="6">
                  <c:v>0.13636363636363635</c:v>
                </c:pt>
                <c:pt idx="7">
                  <c:v>4.5454545454545456E-2</c:v>
                </c:pt>
                <c:pt idx="8">
                  <c:v>0</c:v>
                </c:pt>
                <c:pt idx="9">
                  <c:v>4.5454545454545456E-2</c:v>
                </c:pt>
                <c:pt idx="10">
                  <c:v>0.22727272727272727</c:v>
                </c:pt>
                <c:pt idx="11">
                  <c:v>9.0909090909090912E-2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World'!$K$70:$K$81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0.04</c:v>
                </c:pt>
                <c:pt idx="4">
                  <c:v>0.24</c:v>
                </c:pt>
                <c:pt idx="5">
                  <c:v>0.12</c:v>
                </c:pt>
                <c:pt idx="6">
                  <c:v>0.12</c:v>
                </c:pt>
                <c:pt idx="7">
                  <c:v>0.08</c:v>
                </c:pt>
                <c:pt idx="8">
                  <c:v>0</c:v>
                </c:pt>
                <c:pt idx="9">
                  <c:v>0.04</c:v>
                </c:pt>
                <c:pt idx="10">
                  <c:v>0.2</c:v>
                </c:pt>
                <c:pt idx="11">
                  <c:v>0.12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World'!$L$70:$L$81</c:f>
              <c:numCache>
                <c:formatCode>0%</c:formatCode>
                <c:ptCount val="12"/>
                <c:pt idx="0">
                  <c:v>0</c:v>
                </c:pt>
                <c:pt idx="1">
                  <c:v>3.8461538461538464E-2</c:v>
                </c:pt>
                <c:pt idx="2">
                  <c:v>7.6923076923076927E-2</c:v>
                </c:pt>
                <c:pt idx="3">
                  <c:v>3.8461538461538464E-2</c:v>
                </c:pt>
                <c:pt idx="4">
                  <c:v>0.19230769230769232</c:v>
                </c:pt>
                <c:pt idx="5">
                  <c:v>0.19230769230769232</c:v>
                </c:pt>
                <c:pt idx="6">
                  <c:v>0.15384615384615385</c:v>
                </c:pt>
                <c:pt idx="7">
                  <c:v>3.8461538461538464E-2</c:v>
                </c:pt>
                <c:pt idx="8">
                  <c:v>3.8461538461538464E-2</c:v>
                </c:pt>
                <c:pt idx="9">
                  <c:v>0</c:v>
                </c:pt>
                <c:pt idx="10">
                  <c:v>0.11538461538461539</c:v>
                </c:pt>
                <c:pt idx="11">
                  <c:v>0.11538461538461539</c:v>
                </c:pt>
              </c:numCache>
            </c:numRef>
          </c:val>
          <c:smooth val="0"/>
        </c:ser>
        <c:ser>
          <c:idx val="5"/>
          <c:order val="5"/>
          <c:tx>
            <c:v>Average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val>
            <c:numRef>
              <c:f>'Summary World'!$R$70:$R$81</c:f>
              <c:numCache>
                <c:formatCode>0%</c:formatCode>
                <c:ptCount val="12"/>
                <c:pt idx="0">
                  <c:v>0</c:v>
                </c:pt>
                <c:pt idx="1">
                  <c:v>7.6923076923076927E-3</c:v>
                </c:pt>
                <c:pt idx="2">
                  <c:v>7.3947385947385952E-2</c:v>
                </c:pt>
                <c:pt idx="3">
                  <c:v>1.5692307692307693E-2</c:v>
                </c:pt>
                <c:pt idx="4">
                  <c:v>0.20472993672993672</c:v>
                </c:pt>
                <c:pt idx="5">
                  <c:v>0.17692041292041291</c:v>
                </c:pt>
                <c:pt idx="6">
                  <c:v>0.12394671994671995</c:v>
                </c:pt>
                <c:pt idx="7">
                  <c:v>5.1830835830835829E-2</c:v>
                </c:pt>
                <c:pt idx="8">
                  <c:v>7.6923076923076927E-3</c:v>
                </c:pt>
                <c:pt idx="9">
                  <c:v>3.0424242424242427E-2</c:v>
                </c:pt>
                <c:pt idx="10">
                  <c:v>0.17710289710289712</c:v>
                </c:pt>
                <c:pt idx="11">
                  <c:v>0.13002064602064603</c:v>
                </c:pt>
              </c:numCache>
            </c:numRef>
          </c:val>
          <c:smooth val="0"/>
        </c:ser>
        <c:ser>
          <c:idx val="6"/>
          <c:order val="6"/>
          <c:tx>
            <c:v>LCL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val>
            <c:numRef>
              <c:f>'Summary World'!$U$70:$U$81</c:f>
              <c:numCache>
                <c:formatCode>0%</c:formatCode>
                <c:ptCount val="12"/>
                <c:pt idx="0">
                  <c:v>0</c:v>
                </c:pt>
                <c:pt idx="1">
                  <c:v>-2.6708738115381381E-2</c:v>
                </c:pt>
                <c:pt idx="2">
                  <c:v>2.9728811117370885E-2</c:v>
                </c:pt>
                <c:pt idx="3">
                  <c:v>-2.7296613406948875E-2</c:v>
                </c:pt>
                <c:pt idx="4">
                  <c:v>0.10681344593509012</c:v>
                </c:pt>
                <c:pt idx="5">
                  <c:v>0.11198108462811827</c:v>
                </c:pt>
                <c:pt idx="6">
                  <c:v>5.5373101422057591E-2</c:v>
                </c:pt>
                <c:pt idx="7">
                  <c:v>-2.2892137298403094E-2</c:v>
                </c:pt>
                <c:pt idx="8">
                  <c:v>-2.6708738115381381E-2</c:v>
                </c:pt>
                <c:pt idx="9">
                  <c:v>-2.8587514976113133E-2</c:v>
                </c:pt>
                <c:pt idx="10">
                  <c:v>8.4650290414127166E-2</c:v>
                </c:pt>
                <c:pt idx="11">
                  <c:v>5.5790010597378467E-2</c:v>
                </c:pt>
              </c:numCache>
            </c:numRef>
          </c:val>
          <c:smooth val="0"/>
        </c:ser>
        <c:ser>
          <c:idx val="7"/>
          <c:order val="7"/>
          <c:tx>
            <c:v>UCL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val>
            <c:numRef>
              <c:f>'Summary World'!$V$70:$V$81</c:f>
              <c:numCache>
                <c:formatCode>0%</c:formatCode>
                <c:ptCount val="12"/>
                <c:pt idx="0">
                  <c:v>0</c:v>
                </c:pt>
                <c:pt idx="1">
                  <c:v>4.2093353499996766E-2</c:v>
                </c:pt>
                <c:pt idx="2">
                  <c:v>0.11816596077740102</c:v>
                </c:pt>
                <c:pt idx="3">
                  <c:v>5.8681228791564261E-2</c:v>
                </c:pt>
                <c:pt idx="4">
                  <c:v>0.30264642752478332</c:v>
                </c:pt>
                <c:pt idx="5">
                  <c:v>0.24185974121270754</c:v>
                </c:pt>
                <c:pt idx="6">
                  <c:v>0.19252033847138231</c:v>
                </c:pt>
                <c:pt idx="7">
                  <c:v>0.12655380896007476</c:v>
                </c:pt>
                <c:pt idx="8">
                  <c:v>4.2093353499996766E-2</c:v>
                </c:pt>
                <c:pt idx="9">
                  <c:v>8.9435999824597989E-2</c:v>
                </c:pt>
                <c:pt idx="10">
                  <c:v>0.26955550379166704</c:v>
                </c:pt>
                <c:pt idx="11">
                  <c:v>0.20425128144391358</c:v>
                </c:pt>
              </c:numCache>
            </c:numRef>
          </c:val>
          <c:smooth val="0"/>
        </c:ser>
        <c:ser>
          <c:idx val="8"/>
          <c:order val="8"/>
          <c:tx>
            <c:v>Random</c:v>
          </c:tx>
          <c:spPr>
            <a:ln>
              <a:solidFill>
                <a:srgbClr val="FFC000">
                  <a:alpha val="55000"/>
                </a:srgbClr>
              </a:solidFill>
              <a:prstDash val="sysDash"/>
            </a:ln>
          </c:spPr>
          <c:marker>
            <c:symbol val="none"/>
          </c:marker>
          <c:val>
            <c:numRef>
              <c:f>'Summary World'!$AT$144:$AT$155</c:f>
              <c:numCache>
                <c:formatCode>0%</c:formatCode>
                <c:ptCount val="12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8.3333333333333329E-2</c:v>
                </c:pt>
                <c:pt idx="11">
                  <c:v>8.3333333333333329E-2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42464"/>
        <c:axId val="149344256"/>
      </c:lineChart>
      <c:dateAx>
        <c:axId val="149342464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49344256"/>
        <c:crosses val="autoZero"/>
        <c:auto val="1"/>
        <c:lblOffset val="100"/>
        <c:baseTimeUnit val="months"/>
      </c:dateAx>
      <c:valAx>
        <c:axId val="14934425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Blockbuster movie releases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49342464"/>
        <c:crosses val="autoZero"/>
        <c:crossBetween val="between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blockbuster releases by month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World'!$M$70:$M$81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0.33333333333333331</c:v>
                </c:pt>
                <c:pt idx="5">
                  <c:v>0.53333333333333333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0.8666666666666667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World'!$N$70:$N$81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9.5238095238095233E-2</c:v>
                </c:pt>
                <c:pt idx="3">
                  <c:v>9.5238095238095233E-2</c:v>
                </c:pt>
                <c:pt idx="4">
                  <c:v>0.23809523809523808</c:v>
                </c:pt>
                <c:pt idx="5">
                  <c:v>0.42857142857142855</c:v>
                </c:pt>
                <c:pt idx="6">
                  <c:v>0.5714285714285714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0.80952380952380953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World'!$O$70:$O$81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9.0909090909090912E-2</c:v>
                </c:pt>
                <c:pt idx="3">
                  <c:v>9.0909090909090912E-2</c:v>
                </c:pt>
                <c:pt idx="4">
                  <c:v>0.27272727272727271</c:v>
                </c:pt>
                <c:pt idx="5">
                  <c:v>0.45454545454545453</c:v>
                </c:pt>
                <c:pt idx="6">
                  <c:v>0.59090909090909083</c:v>
                </c:pt>
                <c:pt idx="7">
                  <c:v>0.63636363636363624</c:v>
                </c:pt>
                <c:pt idx="8">
                  <c:v>0.63636363636363624</c:v>
                </c:pt>
                <c:pt idx="9">
                  <c:v>0.68181818181818166</c:v>
                </c:pt>
                <c:pt idx="10">
                  <c:v>0.90909090909090895</c:v>
                </c:pt>
                <c:pt idx="11">
                  <c:v>0.99999999999999989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World'!$P$70:$P$81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0.08</c:v>
                </c:pt>
                <c:pt idx="4">
                  <c:v>0.32</c:v>
                </c:pt>
                <c:pt idx="5">
                  <c:v>0.44</c:v>
                </c:pt>
                <c:pt idx="6">
                  <c:v>0.56000000000000005</c:v>
                </c:pt>
                <c:pt idx="7">
                  <c:v>0.64</c:v>
                </c:pt>
                <c:pt idx="8">
                  <c:v>0.64</c:v>
                </c:pt>
                <c:pt idx="9">
                  <c:v>0.68</c:v>
                </c:pt>
                <c:pt idx="10">
                  <c:v>0.88000000000000012</c:v>
                </c:pt>
                <c:pt idx="1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World'!$Q$70:$Q$81</c:f>
              <c:numCache>
                <c:formatCode>0%</c:formatCode>
                <c:ptCount val="12"/>
                <c:pt idx="0">
                  <c:v>0</c:v>
                </c:pt>
                <c:pt idx="1">
                  <c:v>3.8461538461538464E-2</c:v>
                </c:pt>
                <c:pt idx="2">
                  <c:v>0.11538461538461539</c:v>
                </c:pt>
                <c:pt idx="3">
                  <c:v>0.15384615384615385</c:v>
                </c:pt>
                <c:pt idx="4">
                  <c:v>0.34615384615384615</c:v>
                </c:pt>
                <c:pt idx="5">
                  <c:v>0.53846153846153844</c:v>
                </c:pt>
                <c:pt idx="6">
                  <c:v>0.69230769230769229</c:v>
                </c:pt>
                <c:pt idx="7">
                  <c:v>0.73076923076923073</c:v>
                </c:pt>
                <c:pt idx="8">
                  <c:v>0.76923076923076916</c:v>
                </c:pt>
                <c:pt idx="9">
                  <c:v>0.76923076923076916</c:v>
                </c:pt>
                <c:pt idx="10">
                  <c:v>0.88461538461538458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11424"/>
        <c:axId val="153512960"/>
      </c:lineChart>
      <c:dateAx>
        <c:axId val="153511424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53512960"/>
        <c:crosses val="autoZero"/>
        <c:auto val="1"/>
        <c:lblOffset val="100"/>
        <c:baseTimeUnit val="months"/>
      </c:dateAx>
      <c:valAx>
        <c:axId val="1535129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</a:t>
                </a:r>
                <a:r>
                  <a:rPr lang="en-US" sz="1200" baseline="0"/>
                  <a:t>e blockbuster releases</a:t>
                </a:r>
                <a:endParaRPr lang="en-US" sz="12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351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Block</a:t>
            </a:r>
            <a:r>
              <a:rPr lang="en-US" baseline="0"/>
              <a:t>buster sales by month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World'!$H$53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World'!$AB$70:$AB$81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8.9776508113547912E-2</c:v>
                </c:pt>
                <c:pt idx="3">
                  <c:v>0</c:v>
                </c:pt>
                <c:pt idx="4">
                  <c:v>0.26855861830403577</c:v>
                </c:pt>
                <c:pt idx="5">
                  <c:v>0.16245640635291655</c:v>
                </c:pt>
                <c:pt idx="6">
                  <c:v>0.14675766548596988</c:v>
                </c:pt>
                <c:pt idx="7">
                  <c:v>0</c:v>
                </c:pt>
                <c:pt idx="8">
                  <c:v>0</c:v>
                </c:pt>
                <c:pt idx="9">
                  <c:v>4.0011672633527208E-2</c:v>
                </c:pt>
                <c:pt idx="10">
                  <c:v>0.17117159352539985</c:v>
                </c:pt>
                <c:pt idx="11">
                  <c:v>0.12126753558460285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World'!$AC$70:$AC$81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6.7494850470937104E-2</c:v>
                </c:pt>
                <c:pt idx="3">
                  <c:v>0</c:v>
                </c:pt>
                <c:pt idx="4">
                  <c:v>0.25232227399477752</c:v>
                </c:pt>
                <c:pt idx="5">
                  <c:v>0.15305352093942487</c:v>
                </c:pt>
                <c:pt idx="6">
                  <c:v>0.20691710800723701</c:v>
                </c:pt>
                <c:pt idx="7">
                  <c:v>6.6172310024937814E-2</c:v>
                </c:pt>
                <c:pt idx="8">
                  <c:v>0</c:v>
                </c:pt>
                <c:pt idx="9">
                  <c:v>0</c:v>
                </c:pt>
                <c:pt idx="10">
                  <c:v>8.5065739406186794E-2</c:v>
                </c:pt>
                <c:pt idx="11">
                  <c:v>0.16897419715649892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World'!$AD$70:$AD$81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5.5199082890749492E-2</c:v>
                </c:pt>
                <c:pt idx="3">
                  <c:v>0</c:v>
                </c:pt>
                <c:pt idx="4">
                  <c:v>0.21441448478287956</c:v>
                </c:pt>
                <c:pt idx="5">
                  <c:v>0.17245461168878265</c:v>
                </c:pt>
                <c:pt idx="6">
                  <c:v>0.21728605869787226</c:v>
                </c:pt>
                <c:pt idx="7">
                  <c:v>3.8792650180076847E-2</c:v>
                </c:pt>
                <c:pt idx="8">
                  <c:v>0</c:v>
                </c:pt>
                <c:pt idx="9">
                  <c:v>2.4475613329931548E-2</c:v>
                </c:pt>
                <c:pt idx="10">
                  <c:v>0.2196480493946382</c:v>
                </c:pt>
                <c:pt idx="11">
                  <c:v>5.7729449035069443E-2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World'!$AE$70:$AE$81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2.6811924416765578E-2</c:v>
                </c:pt>
                <c:pt idx="3">
                  <c:v>2.5299839231495615E-2</c:v>
                </c:pt>
                <c:pt idx="4">
                  <c:v>0.19405182406703406</c:v>
                </c:pt>
                <c:pt idx="5">
                  <c:v>0.11402400341474585</c:v>
                </c:pt>
                <c:pt idx="6">
                  <c:v>0.14810039441456602</c:v>
                </c:pt>
                <c:pt idx="7">
                  <c:v>4.3753172603724501E-2</c:v>
                </c:pt>
                <c:pt idx="8">
                  <c:v>0</c:v>
                </c:pt>
                <c:pt idx="9">
                  <c:v>1.770832786543176E-2</c:v>
                </c:pt>
                <c:pt idx="10">
                  <c:v>0.16682010747873038</c:v>
                </c:pt>
                <c:pt idx="11">
                  <c:v>0.26343040650750621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World'!$AF$70:$AF$81</c:f>
              <c:numCache>
                <c:formatCode>0%</c:formatCode>
                <c:ptCount val="12"/>
                <c:pt idx="0">
                  <c:v>0</c:v>
                </c:pt>
                <c:pt idx="1">
                  <c:v>2.3556620027209745E-2</c:v>
                </c:pt>
                <c:pt idx="2">
                  <c:v>0.12056986701939897</c:v>
                </c:pt>
                <c:pt idx="3">
                  <c:v>3.9141709764256426E-2</c:v>
                </c:pt>
                <c:pt idx="4">
                  <c:v>0.18473504342110014</c:v>
                </c:pt>
                <c:pt idx="5">
                  <c:v>0.20975922795233751</c:v>
                </c:pt>
                <c:pt idx="6">
                  <c:v>0.15732765315300215</c:v>
                </c:pt>
                <c:pt idx="7">
                  <c:v>1.9924887785115374E-2</c:v>
                </c:pt>
                <c:pt idx="8">
                  <c:v>2.3500868820645684E-2</c:v>
                </c:pt>
                <c:pt idx="9">
                  <c:v>0</c:v>
                </c:pt>
                <c:pt idx="10">
                  <c:v>0.13793316253895077</c:v>
                </c:pt>
                <c:pt idx="11">
                  <c:v>8.3550959517983234E-2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1248"/>
        <c:axId val="249905536"/>
      </c:lineChart>
      <c:dateAx>
        <c:axId val="153541248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249905536"/>
        <c:crosses val="autoZero"/>
        <c:auto val="1"/>
        <c:lblOffset val="100"/>
        <c:baseTimeUnit val="months"/>
      </c:dateAx>
      <c:valAx>
        <c:axId val="24990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Blockbuster sales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354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blockbuster sales by month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World'!$AG$70:$AG$81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8.9776508113547912E-2</c:v>
                </c:pt>
                <c:pt idx="3">
                  <c:v>8.9776508113547912E-2</c:v>
                </c:pt>
                <c:pt idx="4">
                  <c:v>0.35833512641758369</c:v>
                </c:pt>
                <c:pt idx="5">
                  <c:v>0.52079153277050028</c:v>
                </c:pt>
                <c:pt idx="6">
                  <c:v>0.66754919825647019</c:v>
                </c:pt>
                <c:pt idx="7">
                  <c:v>0.66754919825647019</c:v>
                </c:pt>
                <c:pt idx="8">
                  <c:v>0.66754919825647019</c:v>
                </c:pt>
                <c:pt idx="9">
                  <c:v>0.70756087088999742</c:v>
                </c:pt>
                <c:pt idx="10">
                  <c:v>0.87873246441539732</c:v>
                </c:pt>
                <c:pt idx="11">
                  <c:v>1.0000000000000002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World'!$AH$70:$AH$81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6.7494850470937104E-2</c:v>
                </c:pt>
                <c:pt idx="3">
                  <c:v>6.7494850470937104E-2</c:v>
                </c:pt>
                <c:pt idx="4">
                  <c:v>0.31981712446571464</c:v>
                </c:pt>
                <c:pt idx="5">
                  <c:v>0.47287064540513951</c:v>
                </c:pt>
                <c:pt idx="6">
                  <c:v>0.67978775341237652</c:v>
                </c:pt>
                <c:pt idx="7">
                  <c:v>0.74596006343731436</c:v>
                </c:pt>
                <c:pt idx="8">
                  <c:v>0.74596006343731436</c:v>
                </c:pt>
                <c:pt idx="9">
                  <c:v>0.74596006343731436</c:v>
                </c:pt>
                <c:pt idx="10">
                  <c:v>0.83102580284350114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World'!$AI$70:$AI$81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5.5199082890749492E-2</c:v>
                </c:pt>
                <c:pt idx="3">
                  <c:v>5.5199082890749492E-2</c:v>
                </c:pt>
                <c:pt idx="4">
                  <c:v>0.26961356767362904</c:v>
                </c:pt>
                <c:pt idx="5">
                  <c:v>0.44206817936241172</c:v>
                </c:pt>
                <c:pt idx="6">
                  <c:v>0.65935423806028393</c:v>
                </c:pt>
                <c:pt idx="7">
                  <c:v>0.69814688824036075</c:v>
                </c:pt>
                <c:pt idx="8">
                  <c:v>0.69814688824036075</c:v>
                </c:pt>
                <c:pt idx="9">
                  <c:v>0.72262250157029229</c:v>
                </c:pt>
                <c:pt idx="10">
                  <c:v>0.94227055096493051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World'!$AJ$70:$AJ$81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2.6811924416765578E-2</c:v>
                </c:pt>
                <c:pt idx="3">
                  <c:v>5.2111763648261193E-2</c:v>
                </c:pt>
                <c:pt idx="4">
                  <c:v>0.24616358771529526</c:v>
                </c:pt>
                <c:pt idx="5">
                  <c:v>0.36018759113004112</c:v>
                </c:pt>
                <c:pt idx="6">
                  <c:v>0.50828798554460719</c:v>
                </c:pt>
                <c:pt idx="7">
                  <c:v>0.55204115814833166</c:v>
                </c:pt>
                <c:pt idx="8">
                  <c:v>0.55204115814833166</c:v>
                </c:pt>
                <c:pt idx="9">
                  <c:v>0.56974948601376341</c:v>
                </c:pt>
                <c:pt idx="10">
                  <c:v>0.73656959349249385</c:v>
                </c:pt>
                <c:pt idx="1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World'!$AK$70:$AK$81</c:f>
              <c:numCache>
                <c:formatCode>0%</c:formatCode>
                <c:ptCount val="12"/>
                <c:pt idx="0">
                  <c:v>0</c:v>
                </c:pt>
                <c:pt idx="1">
                  <c:v>2.3556620027209745E-2</c:v>
                </c:pt>
                <c:pt idx="2">
                  <c:v>0.14412648704660871</c:v>
                </c:pt>
                <c:pt idx="3">
                  <c:v>0.18326819681086515</c:v>
                </c:pt>
                <c:pt idx="4">
                  <c:v>0.36800324023196529</c:v>
                </c:pt>
                <c:pt idx="5">
                  <c:v>0.57776246818430277</c:v>
                </c:pt>
                <c:pt idx="6">
                  <c:v>0.73509012133730489</c:v>
                </c:pt>
                <c:pt idx="7">
                  <c:v>0.75501500912242026</c:v>
                </c:pt>
                <c:pt idx="8">
                  <c:v>0.77851587794306598</c:v>
                </c:pt>
                <c:pt idx="9">
                  <c:v>0.77851587794306598</c:v>
                </c:pt>
                <c:pt idx="10">
                  <c:v>0.9164490404820167</c:v>
                </c:pt>
                <c:pt idx="11">
                  <c:v>0.99999999999999989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26016"/>
        <c:axId val="249927552"/>
      </c:lineChart>
      <c:dateAx>
        <c:axId val="249926016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249927552"/>
        <c:crosses val="autoZero"/>
        <c:auto val="1"/>
        <c:lblOffset val="100"/>
        <c:baseTimeUnit val="months"/>
      </c:dateAx>
      <c:valAx>
        <c:axId val="24992755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Cumulative</a:t>
                </a:r>
                <a:r>
                  <a:rPr lang="en-US" sz="1100" baseline="0"/>
                  <a:t> blockbuster sales</a:t>
                </a:r>
                <a:endParaRPr lang="en-US" sz="11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49926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movie sales by month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World'!$AG$54:$AG$65</c:f>
              <c:numCache>
                <c:formatCode>0%</c:formatCode>
                <c:ptCount val="12"/>
                <c:pt idx="0">
                  <c:v>3.1806470159880355E-2</c:v>
                </c:pt>
                <c:pt idx="1">
                  <c:v>8.2990393349441777E-2</c:v>
                </c:pt>
                <c:pt idx="2">
                  <c:v>0.16687500742565711</c:v>
                </c:pt>
                <c:pt idx="3">
                  <c:v>0.21423318199818736</c:v>
                </c:pt>
                <c:pt idx="4">
                  <c:v>0.34022102731657888</c:v>
                </c:pt>
                <c:pt idx="5">
                  <c:v>0.46455243913015598</c:v>
                </c:pt>
                <c:pt idx="6">
                  <c:v>0.57861319803095757</c:v>
                </c:pt>
                <c:pt idx="7">
                  <c:v>0.63175699212069159</c:v>
                </c:pt>
                <c:pt idx="8">
                  <c:v>0.68498823235169271</c:v>
                </c:pt>
                <c:pt idx="9">
                  <c:v>0.74304753572909243</c:v>
                </c:pt>
                <c:pt idx="10">
                  <c:v>0.85133957298303919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World'!$AH$54:$AH$65</c:f>
              <c:numCache>
                <c:formatCode>0%</c:formatCode>
                <c:ptCount val="12"/>
                <c:pt idx="0">
                  <c:v>1.6549661697014904E-2</c:v>
                </c:pt>
                <c:pt idx="1">
                  <c:v>7.1693139967359043E-2</c:v>
                </c:pt>
                <c:pt idx="2">
                  <c:v>0.15048194951686017</c:v>
                </c:pt>
                <c:pt idx="3">
                  <c:v>0.18741474001536265</c:v>
                </c:pt>
                <c:pt idx="4">
                  <c:v>0.3140338439620366</c:v>
                </c:pt>
                <c:pt idx="5">
                  <c:v>0.43271619087728491</c:v>
                </c:pt>
                <c:pt idx="6">
                  <c:v>0.56344720798891346</c:v>
                </c:pt>
                <c:pt idx="7">
                  <c:v>0.64656930605658136</c:v>
                </c:pt>
                <c:pt idx="8">
                  <c:v>0.69893367071023138</c:v>
                </c:pt>
                <c:pt idx="9">
                  <c:v>0.7435223247826549</c:v>
                </c:pt>
                <c:pt idx="10">
                  <c:v>0.8398320791324676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World'!$AI$54:$AI$65</c:f>
              <c:numCache>
                <c:formatCode>0%</c:formatCode>
                <c:ptCount val="12"/>
                <c:pt idx="0">
                  <c:v>4.6893884781124745E-2</c:v>
                </c:pt>
                <c:pt idx="1">
                  <c:v>0.11203601501871263</c:v>
                </c:pt>
                <c:pt idx="2">
                  <c:v>0.17337403018984832</c:v>
                </c:pt>
                <c:pt idx="3">
                  <c:v>0.21320854362086628</c:v>
                </c:pt>
                <c:pt idx="4">
                  <c:v>0.33589650399078635</c:v>
                </c:pt>
                <c:pt idx="5">
                  <c:v>0.45062298160669978</c:v>
                </c:pt>
                <c:pt idx="6">
                  <c:v>0.59744786568260877</c:v>
                </c:pt>
                <c:pt idx="7">
                  <c:v>0.66414808367173073</c:v>
                </c:pt>
                <c:pt idx="8">
                  <c:v>0.7064465102103038</c:v>
                </c:pt>
                <c:pt idx="9">
                  <c:v>0.7643749385090034</c:v>
                </c:pt>
                <c:pt idx="10">
                  <c:v>0.89131049271494855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World'!$AJ$54:$AJ$65</c:f>
              <c:numCache>
                <c:formatCode>0%</c:formatCode>
                <c:ptCount val="12"/>
                <c:pt idx="0">
                  <c:v>4.5467225834357944E-2</c:v>
                </c:pt>
                <c:pt idx="1">
                  <c:v>7.8050475445790413E-2</c:v>
                </c:pt>
                <c:pt idx="2">
                  <c:v>0.13169411277962134</c:v>
                </c:pt>
                <c:pt idx="3">
                  <c:v>0.17712274437171749</c:v>
                </c:pt>
                <c:pt idx="4">
                  <c:v>0.30451285721163901</c:v>
                </c:pt>
                <c:pt idx="5">
                  <c:v>0.39130533877993418</c:v>
                </c:pt>
                <c:pt idx="6">
                  <c:v>0.51807272081850697</c:v>
                </c:pt>
                <c:pt idx="7">
                  <c:v>0.58372718987101291</c:v>
                </c:pt>
                <c:pt idx="8">
                  <c:v>0.62802832004312181</c:v>
                </c:pt>
                <c:pt idx="9">
                  <c:v>0.67402219810822483</c:v>
                </c:pt>
                <c:pt idx="10">
                  <c:v>0.79983953275139141</c:v>
                </c:pt>
                <c:pt idx="1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World'!$AK$54:$AK$65</c:f>
              <c:numCache>
                <c:formatCode>0%</c:formatCode>
                <c:ptCount val="12"/>
                <c:pt idx="0">
                  <c:v>2.9946050779457774E-2</c:v>
                </c:pt>
                <c:pt idx="1">
                  <c:v>9.0859297506863737E-2</c:v>
                </c:pt>
                <c:pt idx="2">
                  <c:v>0.19619007852304393</c:v>
                </c:pt>
                <c:pt idx="3">
                  <c:v>0.25562343287115474</c:v>
                </c:pt>
                <c:pt idx="4">
                  <c:v>0.36925148554667975</c:v>
                </c:pt>
                <c:pt idx="5">
                  <c:v>0.51221567130978296</c:v>
                </c:pt>
                <c:pt idx="6">
                  <c:v>0.63453813798511138</c:v>
                </c:pt>
                <c:pt idx="7">
                  <c:v>0.69155288587263075</c:v>
                </c:pt>
                <c:pt idx="8">
                  <c:v>0.73949063146109861</c:v>
                </c:pt>
                <c:pt idx="9">
                  <c:v>0.78857383709616913</c:v>
                </c:pt>
                <c:pt idx="10">
                  <c:v>0.9028549067836491</c:v>
                </c:pt>
                <c:pt idx="11">
                  <c:v>1.0000000000000002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72224"/>
        <c:axId val="249973760"/>
      </c:lineChart>
      <c:dateAx>
        <c:axId val="249972224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249973760"/>
        <c:crosses val="autoZero"/>
        <c:auto val="1"/>
        <c:lblOffset val="100"/>
        <c:baseTimeUnit val="months"/>
      </c:dateAx>
      <c:valAx>
        <c:axId val="2499737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Cumulative</a:t>
                </a:r>
                <a:r>
                  <a:rPr lang="en-US" sz="1200" baseline="0"/>
                  <a:t> movie sales</a:t>
                </a:r>
                <a:endParaRPr lang="en-US" sz="12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4997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Movie</a:t>
            </a:r>
            <a:r>
              <a:rPr lang="en-US" baseline="0"/>
              <a:t> sales by month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World'!$H$53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World'!$AB$54:$AB$65</c:f>
              <c:numCache>
                <c:formatCode>0%</c:formatCode>
                <c:ptCount val="12"/>
                <c:pt idx="0">
                  <c:v>3.1806470159880355E-2</c:v>
                </c:pt>
                <c:pt idx="1">
                  <c:v>5.1183923189561428E-2</c:v>
                </c:pt>
                <c:pt idx="2">
                  <c:v>8.3884614076215336E-2</c:v>
                </c:pt>
                <c:pt idx="3">
                  <c:v>4.7358174572530255E-2</c:v>
                </c:pt>
                <c:pt idx="4">
                  <c:v>0.12598784531839149</c:v>
                </c:pt>
                <c:pt idx="5">
                  <c:v>0.12433141181357708</c:v>
                </c:pt>
                <c:pt idx="6">
                  <c:v>0.11406075890080157</c:v>
                </c:pt>
                <c:pt idx="7">
                  <c:v>5.3143794089734062E-2</c:v>
                </c:pt>
                <c:pt idx="8">
                  <c:v>5.3231240231001078E-2</c:v>
                </c:pt>
                <c:pt idx="9">
                  <c:v>5.8059303377399771E-2</c:v>
                </c:pt>
                <c:pt idx="10">
                  <c:v>0.10829203725394677</c:v>
                </c:pt>
                <c:pt idx="11">
                  <c:v>0.14866042701696078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World'!$AC$54:$AC$65</c:f>
              <c:numCache>
                <c:formatCode>0%</c:formatCode>
                <c:ptCount val="12"/>
                <c:pt idx="0">
                  <c:v>1.6549661697014904E-2</c:v>
                </c:pt>
                <c:pt idx="1">
                  <c:v>5.5143478270344139E-2</c:v>
                </c:pt>
                <c:pt idx="2">
                  <c:v>7.8788809549501113E-2</c:v>
                </c:pt>
                <c:pt idx="3">
                  <c:v>3.6932790498502489E-2</c:v>
                </c:pt>
                <c:pt idx="4">
                  <c:v>0.12661910394667392</c:v>
                </c:pt>
                <c:pt idx="5">
                  <c:v>0.1186823469152483</c:v>
                </c:pt>
                <c:pt idx="6">
                  <c:v>0.13073101711162854</c:v>
                </c:pt>
                <c:pt idx="7">
                  <c:v>8.3122098067667932E-2</c:v>
                </c:pt>
                <c:pt idx="8">
                  <c:v>5.2364364653650047E-2</c:v>
                </c:pt>
                <c:pt idx="9">
                  <c:v>4.4588654072423482E-2</c:v>
                </c:pt>
                <c:pt idx="10">
                  <c:v>9.630975434981276E-2</c:v>
                </c:pt>
                <c:pt idx="11">
                  <c:v>0.16016792086753237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World'!$AD$54:$AD$65</c:f>
              <c:numCache>
                <c:formatCode>0%</c:formatCode>
                <c:ptCount val="12"/>
                <c:pt idx="0">
                  <c:v>4.6893884781124745E-2</c:v>
                </c:pt>
                <c:pt idx="1">
                  <c:v>6.5142130237587886E-2</c:v>
                </c:pt>
                <c:pt idx="2">
                  <c:v>6.1338015171135692E-2</c:v>
                </c:pt>
                <c:pt idx="3">
                  <c:v>3.9834513431017946E-2</c:v>
                </c:pt>
                <c:pt idx="4">
                  <c:v>0.12268796036992008</c:v>
                </c:pt>
                <c:pt idx="5">
                  <c:v>0.1147264776159134</c:v>
                </c:pt>
                <c:pt idx="6">
                  <c:v>0.14682488407590896</c:v>
                </c:pt>
                <c:pt idx="7">
                  <c:v>6.6700217989121957E-2</c:v>
                </c:pt>
                <c:pt idx="8">
                  <c:v>4.2298426538573124E-2</c:v>
                </c:pt>
                <c:pt idx="9">
                  <c:v>5.7928428298699583E-2</c:v>
                </c:pt>
                <c:pt idx="10">
                  <c:v>0.12693555420594513</c:v>
                </c:pt>
                <c:pt idx="11">
                  <c:v>0.10868950728505149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World'!$AE$54:$AE$65</c:f>
              <c:numCache>
                <c:formatCode>0%</c:formatCode>
                <c:ptCount val="12"/>
                <c:pt idx="0">
                  <c:v>4.5467225834357944E-2</c:v>
                </c:pt>
                <c:pt idx="1">
                  <c:v>3.2583249611432469E-2</c:v>
                </c:pt>
                <c:pt idx="2">
                  <c:v>5.3643637333830936E-2</c:v>
                </c:pt>
                <c:pt idx="3">
                  <c:v>4.5428631592096147E-2</c:v>
                </c:pt>
                <c:pt idx="4">
                  <c:v>0.12739011283992152</c:v>
                </c:pt>
                <c:pt idx="5">
                  <c:v>8.6792481568295152E-2</c:v>
                </c:pt>
                <c:pt idx="6">
                  <c:v>0.1267673820385728</c:v>
                </c:pt>
                <c:pt idx="7">
                  <c:v>6.5654469052505937E-2</c:v>
                </c:pt>
                <c:pt idx="8">
                  <c:v>4.4301130172108953E-2</c:v>
                </c:pt>
                <c:pt idx="9">
                  <c:v>4.5993878065102974E-2</c:v>
                </c:pt>
                <c:pt idx="10">
                  <c:v>0.12581733464316658</c:v>
                </c:pt>
                <c:pt idx="11">
                  <c:v>0.20016046724860859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World'!$AF$54:$AF$65</c:f>
              <c:numCache>
                <c:formatCode>0%</c:formatCode>
                <c:ptCount val="12"/>
                <c:pt idx="0">
                  <c:v>2.9946050779457774E-2</c:v>
                </c:pt>
                <c:pt idx="1">
                  <c:v>6.0913246727405966E-2</c:v>
                </c:pt>
                <c:pt idx="2">
                  <c:v>0.10533078101618018</c:v>
                </c:pt>
                <c:pt idx="3">
                  <c:v>5.943335434811084E-2</c:v>
                </c:pt>
                <c:pt idx="4">
                  <c:v>0.11362805267552502</c:v>
                </c:pt>
                <c:pt idx="5">
                  <c:v>0.14296418576310316</c:v>
                </c:pt>
                <c:pt idx="6">
                  <c:v>0.12232246667532838</c:v>
                </c:pt>
                <c:pt idx="7">
                  <c:v>5.7014747887519347E-2</c:v>
                </c:pt>
                <c:pt idx="8">
                  <c:v>4.793774558846782E-2</c:v>
                </c:pt>
                <c:pt idx="9">
                  <c:v>4.908320563507048E-2</c:v>
                </c:pt>
                <c:pt idx="10">
                  <c:v>0.11428106968747992</c:v>
                </c:pt>
                <c:pt idx="11">
                  <c:v>9.7145093216351106E-2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010624"/>
        <c:axId val="250815232"/>
      </c:lineChart>
      <c:dateAx>
        <c:axId val="250010624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250815232"/>
        <c:crosses val="autoZero"/>
        <c:auto val="1"/>
        <c:lblOffset val="100"/>
        <c:baseTimeUnit val="months"/>
      </c:dateAx>
      <c:valAx>
        <c:axId val="25081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Movies sales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001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Pareto principle in movies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240119043696959"/>
          <c:y val="0.11963971077431479"/>
          <c:w val="0.79968394118099251"/>
          <c:h val="0.66008056792343861"/>
        </c:manualLayout>
      </c:layout>
      <c:scatterChart>
        <c:scatterStyle val="lineMarker"/>
        <c:varyColors val="0"/>
        <c:ser>
          <c:idx val="0"/>
          <c:order val="0"/>
          <c:tx>
            <c:v>2006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'Summary World'!$R$3:$R$48</c:f>
              <c:numCache>
                <c:formatCode>0%</c:formatCode>
                <c:ptCount val="46"/>
                <c:pt idx="0">
                  <c:v>1</c:v>
                </c:pt>
                <c:pt idx="1">
                  <c:v>0.4627831715210356</c:v>
                </c:pt>
                <c:pt idx="2">
                  <c:v>0.33333333333333331</c:v>
                </c:pt>
                <c:pt idx="3">
                  <c:v>0.24919093851132687</c:v>
                </c:pt>
                <c:pt idx="4">
                  <c:v>0.18770226537216828</c:v>
                </c:pt>
                <c:pt idx="5">
                  <c:v>0.13915857605177995</c:v>
                </c:pt>
                <c:pt idx="6">
                  <c:v>0.11003236245954692</c:v>
                </c:pt>
                <c:pt idx="7">
                  <c:v>8.0906148867313912E-2</c:v>
                </c:pt>
                <c:pt idx="8">
                  <c:v>6.1488673139158574E-2</c:v>
                </c:pt>
                <c:pt idx="9">
                  <c:v>5.5016181229773461E-2</c:v>
                </c:pt>
                <c:pt idx="10">
                  <c:v>4.8543689320388349E-2</c:v>
                </c:pt>
                <c:pt idx="11">
                  <c:v>4.5307443365695796E-2</c:v>
                </c:pt>
                <c:pt idx="12">
                  <c:v>4.2071197411003236E-2</c:v>
                </c:pt>
                <c:pt idx="13">
                  <c:v>3.8834951456310676E-2</c:v>
                </c:pt>
                <c:pt idx="14">
                  <c:v>3.2362459546925564E-2</c:v>
                </c:pt>
                <c:pt idx="15">
                  <c:v>3.2362459546925564E-2</c:v>
                </c:pt>
                <c:pt idx="16">
                  <c:v>2.2653721682847898E-2</c:v>
                </c:pt>
                <c:pt idx="17">
                  <c:v>2.2653721682847898E-2</c:v>
                </c:pt>
                <c:pt idx="18">
                  <c:v>2.2653721682847898E-2</c:v>
                </c:pt>
                <c:pt idx="19">
                  <c:v>1.6181229773462782E-2</c:v>
                </c:pt>
                <c:pt idx="20">
                  <c:v>1.6181229773462782E-2</c:v>
                </c:pt>
                <c:pt idx="21">
                  <c:v>1.6181229773462782E-2</c:v>
                </c:pt>
                <c:pt idx="22">
                  <c:v>1.6181229773462782E-2</c:v>
                </c:pt>
                <c:pt idx="23">
                  <c:v>1.2944983818770227E-2</c:v>
                </c:pt>
                <c:pt idx="24">
                  <c:v>9.7087378640776691E-3</c:v>
                </c:pt>
                <c:pt idx="25">
                  <c:v>9.7087378640776691E-3</c:v>
                </c:pt>
                <c:pt idx="26">
                  <c:v>9.7087378640776691E-3</c:v>
                </c:pt>
                <c:pt idx="27">
                  <c:v>6.4724919093851136E-3</c:v>
                </c:pt>
                <c:pt idx="28">
                  <c:v>6.4724919093851136E-3</c:v>
                </c:pt>
                <c:pt idx="29">
                  <c:v>6.4724919093851136E-3</c:v>
                </c:pt>
                <c:pt idx="30">
                  <c:v>6.4724919093851136E-3</c:v>
                </c:pt>
                <c:pt idx="31">
                  <c:v>3.2362459546925568E-3</c:v>
                </c:pt>
                <c:pt idx="32">
                  <c:v>3.2362459546925568E-3</c:v>
                </c:pt>
                <c:pt idx="33">
                  <c:v>3.2362459546925568E-3</c:v>
                </c:pt>
                <c:pt idx="34">
                  <c:v>3.2362459546925568E-3</c:v>
                </c:pt>
                <c:pt idx="35">
                  <c:v>3.2362459546925568E-3</c:v>
                </c:pt>
                <c:pt idx="36">
                  <c:v>3.2362459546925568E-3</c:v>
                </c:pt>
                <c:pt idx="37">
                  <c:v>3.2362459546925568E-3</c:v>
                </c:pt>
                <c:pt idx="38">
                  <c:v>3.2362459546925568E-3</c:v>
                </c:pt>
                <c:pt idx="39">
                  <c:v>3.2362459546925568E-3</c:v>
                </c:pt>
                <c:pt idx="40">
                  <c:v>3.2362459546925568E-3</c:v>
                </c:pt>
                <c:pt idx="41">
                  <c:v>3.2362459546925568E-3</c:v>
                </c:pt>
                <c:pt idx="42">
                  <c:v>3.2362459546925568E-3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World'!$W$3:$W$48</c:f>
              <c:numCache>
                <c:formatCode>0%</c:formatCode>
                <c:ptCount val="46"/>
                <c:pt idx="0">
                  <c:v>1</c:v>
                </c:pt>
                <c:pt idx="1">
                  <c:v>0.93806518363335278</c:v>
                </c:pt>
                <c:pt idx="2">
                  <c:v>0.86207892621204185</c:v>
                </c:pt>
                <c:pt idx="3">
                  <c:v>0.77831750768825958</c:v>
                </c:pt>
                <c:pt idx="4">
                  <c:v>0.69477829614682018</c:v>
                </c:pt>
                <c:pt idx="5">
                  <c:v>0.60800154085409075</c:v>
                </c:pt>
                <c:pt idx="6">
                  <c:v>0.54571090356653573</c:v>
                </c:pt>
                <c:pt idx="7">
                  <c:v>0.47163834307866748</c:v>
                </c:pt>
                <c:pt idx="8">
                  <c:v>0.41587760594387191</c:v>
                </c:pt>
                <c:pt idx="9">
                  <c:v>0.39506803389009143</c:v>
                </c:pt>
                <c:pt idx="10">
                  <c:v>0.37023511411276189</c:v>
                </c:pt>
                <c:pt idx="11">
                  <c:v>0.35689829376682464</c:v>
                </c:pt>
                <c:pt idx="12">
                  <c:v>0.34208456758350825</c:v>
                </c:pt>
                <c:pt idx="13">
                  <c:v>0.32647814617236881</c:v>
                </c:pt>
                <c:pt idx="14">
                  <c:v>0.29269647407375121</c:v>
                </c:pt>
                <c:pt idx="15">
                  <c:v>0.29269647407375121</c:v>
                </c:pt>
                <c:pt idx="16">
                  <c:v>0.23285697756946414</c:v>
                </c:pt>
                <c:pt idx="17">
                  <c:v>0.23285697756946414</c:v>
                </c:pt>
                <c:pt idx="18">
                  <c:v>0.23285697756946414</c:v>
                </c:pt>
                <c:pt idx="19">
                  <c:v>0.18588045257640062</c:v>
                </c:pt>
                <c:pt idx="20">
                  <c:v>0.18588045257640062</c:v>
                </c:pt>
                <c:pt idx="21">
                  <c:v>0.18588045257640062</c:v>
                </c:pt>
                <c:pt idx="22">
                  <c:v>0.18588045257640062</c:v>
                </c:pt>
                <c:pt idx="23">
                  <c:v>0.15658937411220117</c:v>
                </c:pt>
                <c:pt idx="24">
                  <c:v>0.12618248712551697</c:v>
                </c:pt>
                <c:pt idx="25">
                  <c:v>0.12618248712551697</c:v>
                </c:pt>
                <c:pt idx="26">
                  <c:v>0.12618248712551697</c:v>
                </c:pt>
                <c:pt idx="27">
                  <c:v>9.2944071399452266E-2</c:v>
                </c:pt>
                <c:pt idx="28">
                  <c:v>9.2944071399452266E-2</c:v>
                </c:pt>
                <c:pt idx="29">
                  <c:v>9.2944071399452266E-2</c:v>
                </c:pt>
                <c:pt idx="30">
                  <c:v>9.2944071399452266E-2</c:v>
                </c:pt>
                <c:pt idx="31">
                  <c:v>5.4334841028120598E-2</c:v>
                </c:pt>
                <c:pt idx="32">
                  <c:v>5.4334841028120598E-2</c:v>
                </c:pt>
                <c:pt idx="33">
                  <c:v>5.4334841028120598E-2</c:v>
                </c:pt>
                <c:pt idx="34">
                  <c:v>5.4334841028120598E-2</c:v>
                </c:pt>
                <c:pt idx="35">
                  <c:v>5.4334841028120598E-2</c:v>
                </c:pt>
                <c:pt idx="36">
                  <c:v>5.4334841028120598E-2</c:v>
                </c:pt>
                <c:pt idx="37">
                  <c:v>5.4334841028120598E-2</c:v>
                </c:pt>
                <c:pt idx="38">
                  <c:v>5.4334841028120598E-2</c:v>
                </c:pt>
                <c:pt idx="39">
                  <c:v>5.4334841028120598E-2</c:v>
                </c:pt>
                <c:pt idx="40">
                  <c:v>5.4334841028120598E-2</c:v>
                </c:pt>
                <c:pt idx="41">
                  <c:v>5.4334841028120598E-2</c:v>
                </c:pt>
                <c:pt idx="42">
                  <c:v>5.4334841028120598E-2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2007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'Summary World'!$S$3:$S$48</c:f>
              <c:numCache>
                <c:formatCode>0%</c:formatCode>
                <c:ptCount val="46"/>
                <c:pt idx="0">
                  <c:v>1</c:v>
                </c:pt>
                <c:pt idx="1">
                  <c:v>0.32885906040268459</c:v>
                </c:pt>
                <c:pt idx="2">
                  <c:v>0.23042505592841164</c:v>
                </c:pt>
                <c:pt idx="3">
                  <c:v>0.16554809843400448</c:v>
                </c:pt>
                <c:pt idx="4">
                  <c:v>0.11409395973154363</c:v>
                </c:pt>
                <c:pt idx="5">
                  <c:v>0.10738255033557047</c:v>
                </c:pt>
                <c:pt idx="6">
                  <c:v>7.829977628635347E-2</c:v>
                </c:pt>
                <c:pt idx="7">
                  <c:v>6.2639821029082776E-2</c:v>
                </c:pt>
                <c:pt idx="8">
                  <c:v>5.8165548098434001E-2</c:v>
                </c:pt>
                <c:pt idx="9">
                  <c:v>5.3691275167785234E-2</c:v>
                </c:pt>
                <c:pt idx="10">
                  <c:v>4.6979865771812082E-2</c:v>
                </c:pt>
                <c:pt idx="11">
                  <c:v>4.0268456375838924E-2</c:v>
                </c:pt>
                <c:pt idx="12">
                  <c:v>3.5794183445190156E-2</c:v>
                </c:pt>
                <c:pt idx="13">
                  <c:v>3.3557046979865772E-2</c:v>
                </c:pt>
                <c:pt idx="14">
                  <c:v>3.1319910514541388E-2</c:v>
                </c:pt>
                <c:pt idx="15">
                  <c:v>2.6845637583892617E-2</c:v>
                </c:pt>
                <c:pt idx="16">
                  <c:v>2.4608501118568233E-2</c:v>
                </c:pt>
                <c:pt idx="17">
                  <c:v>2.4608501118568233E-2</c:v>
                </c:pt>
                <c:pt idx="18">
                  <c:v>2.2371364653243849E-2</c:v>
                </c:pt>
                <c:pt idx="19">
                  <c:v>1.7897091722595078E-2</c:v>
                </c:pt>
                <c:pt idx="20">
                  <c:v>1.7897091722595078E-2</c:v>
                </c:pt>
                <c:pt idx="21">
                  <c:v>1.7897091722595078E-2</c:v>
                </c:pt>
                <c:pt idx="22">
                  <c:v>1.5659955257270694E-2</c:v>
                </c:pt>
                <c:pt idx="23">
                  <c:v>1.5659955257270694E-2</c:v>
                </c:pt>
                <c:pt idx="24">
                  <c:v>1.3422818791946308E-2</c:v>
                </c:pt>
                <c:pt idx="25">
                  <c:v>1.1185682326621925E-2</c:v>
                </c:pt>
                <c:pt idx="26">
                  <c:v>1.1185682326621925E-2</c:v>
                </c:pt>
                <c:pt idx="27">
                  <c:v>1.1185682326621925E-2</c:v>
                </c:pt>
                <c:pt idx="28">
                  <c:v>1.1185682326621925E-2</c:v>
                </c:pt>
                <c:pt idx="29">
                  <c:v>8.948545861297539E-3</c:v>
                </c:pt>
                <c:pt idx="30">
                  <c:v>8.948545861297539E-3</c:v>
                </c:pt>
                <c:pt idx="31">
                  <c:v>8.948545861297539E-3</c:v>
                </c:pt>
                <c:pt idx="32">
                  <c:v>6.7114093959731542E-3</c:v>
                </c:pt>
                <c:pt idx="33">
                  <c:v>6.7114093959731542E-3</c:v>
                </c:pt>
                <c:pt idx="34">
                  <c:v>6.7114093959731542E-3</c:v>
                </c:pt>
                <c:pt idx="35">
                  <c:v>6.7114093959731542E-3</c:v>
                </c:pt>
                <c:pt idx="36">
                  <c:v>4.4742729306487695E-3</c:v>
                </c:pt>
                <c:pt idx="37">
                  <c:v>4.4742729306487695E-3</c:v>
                </c:pt>
                <c:pt idx="38">
                  <c:v>2.2371364653243847E-3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World'!$X$3:$X$48</c:f>
              <c:numCache>
                <c:formatCode>0%</c:formatCode>
                <c:ptCount val="46"/>
                <c:pt idx="0">
                  <c:v>1</c:v>
                </c:pt>
                <c:pt idx="1">
                  <c:v>0.91154581983903094</c:v>
                </c:pt>
                <c:pt idx="2">
                  <c:v>0.84421314769223754</c:v>
                </c:pt>
                <c:pt idx="3">
                  <c:v>0.76336916547690692</c:v>
                </c:pt>
                <c:pt idx="4">
                  <c:v>0.67723554966511657</c:v>
                </c:pt>
                <c:pt idx="5">
                  <c:v>0.66224477663553671</c:v>
                </c:pt>
                <c:pt idx="6">
                  <c:v>0.58265007793895296</c:v>
                </c:pt>
                <c:pt idx="7">
                  <c:v>0.53126958923483358</c:v>
                </c:pt>
                <c:pt idx="8">
                  <c:v>0.51442332747140029</c:v>
                </c:pt>
                <c:pt idx="9">
                  <c:v>0.49575777891795547</c:v>
                </c:pt>
                <c:pt idx="10">
                  <c:v>0.4648813790068253</c:v>
                </c:pt>
                <c:pt idx="11">
                  <c:v>0.43073174859606522</c:v>
                </c:pt>
                <c:pt idx="12">
                  <c:v>0.40525197306452682</c:v>
                </c:pt>
                <c:pt idx="13">
                  <c:v>0.3914571789031574</c:v>
                </c:pt>
                <c:pt idx="14">
                  <c:v>0.37639506974625692</c:v>
                </c:pt>
                <c:pt idx="15">
                  <c:v>0.34396783322248725</c:v>
                </c:pt>
                <c:pt idx="16">
                  <c:v>0.3269964409628407</c:v>
                </c:pt>
                <c:pt idx="17">
                  <c:v>0.3269964409628407</c:v>
                </c:pt>
                <c:pt idx="18">
                  <c:v>0.3074306477614776</c:v>
                </c:pt>
                <c:pt idx="19">
                  <c:v>0.26701266628646425</c:v>
                </c:pt>
                <c:pt idx="20">
                  <c:v>0.26701266628646425</c:v>
                </c:pt>
                <c:pt idx="21">
                  <c:v>0.26701266628646425</c:v>
                </c:pt>
                <c:pt idx="22">
                  <c:v>0.243689601811486</c:v>
                </c:pt>
                <c:pt idx="23">
                  <c:v>0.243689601811486</c:v>
                </c:pt>
                <c:pt idx="24">
                  <c:v>0.21780069639585758</c:v>
                </c:pt>
                <c:pt idx="25">
                  <c:v>0.19016877272436047</c:v>
                </c:pt>
                <c:pt idx="26">
                  <c:v>0.19016877272436047</c:v>
                </c:pt>
                <c:pt idx="27">
                  <c:v>0.19016877272436047</c:v>
                </c:pt>
                <c:pt idx="28">
                  <c:v>0.19016877272436047</c:v>
                </c:pt>
                <c:pt idx="29">
                  <c:v>0.15882747973049904</c:v>
                </c:pt>
                <c:pt idx="30">
                  <c:v>0.15882747973049904</c:v>
                </c:pt>
                <c:pt idx="31">
                  <c:v>0.15882747973049904</c:v>
                </c:pt>
                <c:pt idx="32">
                  <c:v>0.12347332071331799</c:v>
                </c:pt>
                <c:pt idx="33">
                  <c:v>0.12347332071331799</c:v>
                </c:pt>
                <c:pt idx="34">
                  <c:v>0.12347332071331799</c:v>
                </c:pt>
                <c:pt idx="35">
                  <c:v>0.12347332071331799</c:v>
                </c:pt>
                <c:pt idx="36">
                  <c:v>8.4051960963195491E-2</c:v>
                </c:pt>
                <c:pt idx="37">
                  <c:v>8.4051960963195491E-2</c:v>
                </c:pt>
                <c:pt idx="38">
                  <c:v>4.2524407921526633E-2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2008</c:v>
          </c:tx>
          <c:marker>
            <c:symbol val="none"/>
          </c:marker>
          <c:xVal>
            <c:numRef>
              <c:f>'Summary World'!$T$3:$T$48</c:f>
              <c:numCache>
                <c:formatCode>0%</c:formatCode>
                <c:ptCount val="46"/>
                <c:pt idx="0">
                  <c:v>1</c:v>
                </c:pt>
                <c:pt idx="1">
                  <c:v>0.33261339092872572</c:v>
                </c:pt>
                <c:pt idx="2">
                  <c:v>0.20734341252699784</c:v>
                </c:pt>
                <c:pt idx="3">
                  <c:v>0.15766738660907129</c:v>
                </c:pt>
                <c:pt idx="4">
                  <c:v>0.13174946004319654</c:v>
                </c:pt>
                <c:pt idx="5">
                  <c:v>0.1101511879049676</c:v>
                </c:pt>
                <c:pt idx="6">
                  <c:v>0.10151187904967603</c:v>
                </c:pt>
                <c:pt idx="7">
                  <c:v>7.775377969762419E-2</c:v>
                </c:pt>
                <c:pt idx="8">
                  <c:v>7.1274298056155511E-2</c:v>
                </c:pt>
                <c:pt idx="9">
                  <c:v>6.0475161987041039E-2</c:v>
                </c:pt>
                <c:pt idx="10">
                  <c:v>4.7516198704103674E-2</c:v>
                </c:pt>
                <c:pt idx="11">
                  <c:v>3.8876889848812095E-2</c:v>
                </c:pt>
                <c:pt idx="12">
                  <c:v>3.6717062634989202E-2</c:v>
                </c:pt>
                <c:pt idx="13">
                  <c:v>3.4557235421166309E-2</c:v>
                </c:pt>
                <c:pt idx="14">
                  <c:v>3.0237580993520519E-2</c:v>
                </c:pt>
                <c:pt idx="15">
                  <c:v>2.8077753779697623E-2</c:v>
                </c:pt>
                <c:pt idx="16">
                  <c:v>2.3758099352051837E-2</c:v>
                </c:pt>
                <c:pt idx="17">
                  <c:v>1.9438444924406047E-2</c:v>
                </c:pt>
                <c:pt idx="18">
                  <c:v>1.9438444924406047E-2</c:v>
                </c:pt>
                <c:pt idx="19">
                  <c:v>1.9438444924406047E-2</c:v>
                </c:pt>
                <c:pt idx="20">
                  <c:v>1.9438444924406047E-2</c:v>
                </c:pt>
                <c:pt idx="21">
                  <c:v>1.9438444924406047E-2</c:v>
                </c:pt>
                <c:pt idx="22">
                  <c:v>1.7278617710583154E-2</c:v>
                </c:pt>
                <c:pt idx="23">
                  <c:v>1.7278617710583154E-2</c:v>
                </c:pt>
                <c:pt idx="24">
                  <c:v>1.079913606911447E-2</c:v>
                </c:pt>
                <c:pt idx="25">
                  <c:v>6.4794816414686825E-3</c:v>
                </c:pt>
                <c:pt idx="26">
                  <c:v>4.3196544276457886E-3</c:v>
                </c:pt>
                <c:pt idx="27">
                  <c:v>4.3196544276457886E-3</c:v>
                </c:pt>
                <c:pt idx="28">
                  <c:v>4.3196544276457886E-3</c:v>
                </c:pt>
                <c:pt idx="29">
                  <c:v>4.3196544276457886E-3</c:v>
                </c:pt>
                <c:pt idx="30">
                  <c:v>4.3196544276457886E-3</c:v>
                </c:pt>
                <c:pt idx="31">
                  <c:v>4.3196544276457886E-3</c:v>
                </c:pt>
                <c:pt idx="32">
                  <c:v>2.1598272138228943E-3</c:v>
                </c:pt>
                <c:pt idx="33">
                  <c:v>2.1598272138228943E-3</c:v>
                </c:pt>
                <c:pt idx="34">
                  <c:v>2.1598272138228943E-3</c:v>
                </c:pt>
                <c:pt idx="35">
                  <c:v>2.1598272138228943E-3</c:v>
                </c:pt>
                <c:pt idx="36">
                  <c:v>2.1598272138228943E-3</c:v>
                </c:pt>
                <c:pt idx="37">
                  <c:v>2.1598272138228943E-3</c:v>
                </c:pt>
                <c:pt idx="38">
                  <c:v>2.1598272138228943E-3</c:v>
                </c:pt>
                <c:pt idx="39">
                  <c:v>2.1598272138228943E-3</c:v>
                </c:pt>
                <c:pt idx="40">
                  <c:v>2.1598272138228943E-3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World'!$Y$3:$Y$48</c:f>
              <c:numCache>
                <c:formatCode>0%</c:formatCode>
                <c:ptCount val="46"/>
                <c:pt idx="0">
                  <c:v>1</c:v>
                </c:pt>
                <c:pt idx="1">
                  <c:v>0.91070282576484318</c:v>
                </c:pt>
                <c:pt idx="2">
                  <c:v>0.82179095286920201</c:v>
                </c:pt>
                <c:pt idx="3">
                  <c:v>0.76088771139421618</c:v>
                </c:pt>
                <c:pt idx="4">
                  <c:v>0.71760968337612996</c:v>
                </c:pt>
                <c:pt idx="5">
                  <c:v>0.67090384408701587</c:v>
                </c:pt>
                <c:pt idx="6">
                  <c:v>0.6478851029876227</c:v>
                </c:pt>
                <c:pt idx="7">
                  <c:v>0.57183992081382995</c:v>
                </c:pt>
                <c:pt idx="8">
                  <c:v>0.54756762576792883</c:v>
                </c:pt>
                <c:pt idx="9">
                  <c:v>0.50163093277680137</c:v>
                </c:pt>
                <c:pt idx="10">
                  <c:v>0.44072154512116696</c:v>
                </c:pt>
                <c:pt idx="11">
                  <c:v>0.39578681749713907</c:v>
                </c:pt>
                <c:pt idx="12">
                  <c:v>0.38302011204308284</c:v>
                </c:pt>
                <c:pt idx="13">
                  <c:v>0.36953073154715527</c:v>
                </c:pt>
                <c:pt idx="14">
                  <c:v>0.34071143180169133</c:v>
                </c:pt>
                <c:pt idx="15">
                  <c:v>0.3250177266474148</c:v>
                </c:pt>
                <c:pt idx="16">
                  <c:v>0.29082370550582182</c:v>
                </c:pt>
                <c:pt idx="17">
                  <c:v>0.25515427111437483</c:v>
                </c:pt>
                <c:pt idx="18">
                  <c:v>0.25515427111437483</c:v>
                </c:pt>
                <c:pt idx="19">
                  <c:v>0.25515427111437483</c:v>
                </c:pt>
                <c:pt idx="20">
                  <c:v>0.25515427111437483</c:v>
                </c:pt>
                <c:pt idx="21">
                  <c:v>0.25515427111437483</c:v>
                </c:pt>
                <c:pt idx="22">
                  <c:v>0.23226434437476562</c:v>
                </c:pt>
                <c:pt idx="23">
                  <c:v>0.23226434437476562</c:v>
                </c:pt>
                <c:pt idx="24">
                  <c:v>0.1567088031710541</c:v>
                </c:pt>
                <c:pt idx="25">
                  <c:v>0.10399590272646302</c:v>
                </c:pt>
                <c:pt idx="26">
                  <c:v>7.684513215970154E-2</c:v>
                </c:pt>
                <c:pt idx="27">
                  <c:v>7.684513215970154E-2</c:v>
                </c:pt>
                <c:pt idx="28">
                  <c:v>7.684513215970154E-2</c:v>
                </c:pt>
                <c:pt idx="29">
                  <c:v>7.684513215970154E-2</c:v>
                </c:pt>
                <c:pt idx="30">
                  <c:v>7.684513215970154E-2</c:v>
                </c:pt>
                <c:pt idx="31">
                  <c:v>7.684513215970154E-2</c:v>
                </c:pt>
                <c:pt idx="32">
                  <c:v>4.304974707802374E-2</c:v>
                </c:pt>
                <c:pt idx="33">
                  <c:v>4.304974707802374E-2</c:v>
                </c:pt>
                <c:pt idx="34">
                  <c:v>4.304974707802374E-2</c:v>
                </c:pt>
                <c:pt idx="35">
                  <c:v>4.304974707802374E-2</c:v>
                </c:pt>
                <c:pt idx="36">
                  <c:v>4.304974707802374E-2</c:v>
                </c:pt>
                <c:pt idx="37">
                  <c:v>4.304974707802374E-2</c:v>
                </c:pt>
                <c:pt idx="38">
                  <c:v>4.304974707802374E-2</c:v>
                </c:pt>
                <c:pt idx="39">
                  <c:v>4.304974707802374E-2</c:v>
                </c:pt>
                <c:pt idx="40">
                  <c:v>4.304974707802374E-2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2009</c:v>
          </c:tx>
          <c:marker>
            <c:symbol val="none"/>
          </c:marker>
          <c:xVal>
            <c:numRef>
              <c:f>'Summary World'!$U$3:$U$48</c:f>
              <c:numCache>
                <c:formatCode>0%</c:formatCode>
                <c:ptCount val="46"/>
                <c:pt idx="0">
                  <c:v>1</c:v>
                </c:pt>
                <c:pt idx="1">
                  <c:v>0.45222929936305734</c:v>
                </c:pt>
                <c:pt idx="2">
                  <c:v>0.31210191082802546</c:v>
                </c:pt>
                <c:pt idx="3">
                  <c:v>0.23885350318471338</c:v>
                </c:pt>
                <c:pt idx="4">
                  <c:v>0.18471337579617833</c:v>
                </c:pt>
                <c:pt idx="5">
                  <c:v>0.14331210191082802</c:v>
                </c:pt>
                <c:pt idx="6">
                  <c:v>0.12738853503184713</c:v>
                </c:pt>
                <c:pt idx="7">
                  <c:v>0.1178343949044586</c:v>
                </c:pt>
                <c:pt idx="8">
                  <c:v>9.5541401273885357E-2</c:v>
                </c:pt>
                <c:pt idx="9">
                  <c:v>8.2802547770700632E-2</c:v>
                </c:pt>
                <c:pt idx="10">
                  <c:v>7.9617834394904455E-2</c:v>
                </c:pt>
                <c:pt idx="11">
                  <c:v>7.32484076433121E-2</c:v>
                </c:pt>
                <c:pt idx="12">
                  <c:v>7.0063694267515922E-2</c:v>
                </c:pt>
                <c:pt idx="13">
                  <c:v>5.4140127388535034E-2</c:v>
                </c:pt>
                <c:pt idx="14">
                  <c:v>5.4140127388535034E-2</c:v>
                </c:pt>
                <c:pt idx="15">
                  <c:v>4.4585987261146494E-2</c:v>
                </c:pt>
                <c:pt idx="16">
                  <c:v>3.8216560509554139E-2</c:v>
                </c:pt>
                <c:pt idx="17">
                  <c:v>3.5031847133757961E-2</c:v>
                </c:pt>
                <c:pt idx="18">
                  <c:v>3.1847133757961783E-2</c:v>
                </c:pt>
                <c:pt idx="19">
                  <c:v>2.8662420382165606E-2</c:v>
                </c:pt>
                <c:pt idx="20">
                  <c:v>2.5477707006369428E-2</c:v>
                </c:pt>
                <c:pt idx="21">
                  <c:v>2.2292993630573247E-2</c:v>
                </c:pt>
                <c:pt idx="22">
                  <c:v>2.2292993630573247E-2</c:v>
                </c:pt>
                <c:pt idx="23">
                  <c:v>2.2292993630573247E-2</c:v>
                </c:pt>
                <c:pt idx="24">
                  <c:v>2.2292993630573247E-2</c:v>
                </c:pt>
                <c:pt idx="25">
                  <c:v>2.2292993630573247E-2</c:v>
                </c:pt>
                <c:pt idx="26">
                  <c:v>2.2292993630573247E-2</c:v>
                </c:pt>
                <c:pt idx="27">
                  <c:v>2.2292993630573247E-2</c:v>
                </c:pt>
                <c:pt idx="28">
                  <c:v>2.2292993630573247E-2</c:v>
                </c:pt>
                <c:pt idx="29">
                  <c:v>1.9108280254777069E-2</c:v>
                </c:pt>
                <c:pt idx="30">
                  <c:v>1.5923566878980892E-2</c:v>
                </c:pt>
                <c:pt idx="31">
                  <c:v>1.2738853503184714E-2</c:v>
                </c:pt>
                <c:pt idx="32">
                  <c:v>1.2738853503184714E-2</c:v>
                </c:pt>
                <c:pt idx="33">
                  <c:v>1.2738853503184714E-2</c:v>
                </c:pt>
                <c:pt idx="34">
                  <c:v>9.5541401273885346E-3</c:v>
                </c:pt>
                <c:pt idx="35">
                  <c:v>9.5541401273885346E-3</c:v>
                </c:pt>
                <c:pt idx="36">
                  <c:v>6.369426751592357E-3</c:v>
                </c:pt>
                <c:pt idx="37">
                  <c:v>6.369426751592357E-3</c:v>
                </c:pt>
                <c:pt idx="38">
                  <c:v>3.1847133757961785E-3</c:v>
                </c:pt>
                <c:pt idx="39">
                  <c:v>3.1847133757961785E-3</c:v>
                </c:pt>
                <c:pt idx="40">
                  <c:v>3.1847133757961785E-3</c:v>
                </c:pt>
                <c:pt idx="41">
                  <c:v>3.1847133757961785E-3</c:v>
                </c:pt>
                <c:pt idx="42">
                  <c:v>3.1847133757961785E-3</c:v>
                </c:pt>
                <c:pt idx="43">
                  <c:v>3.1847133757961785E-3</c:v>
                </c:pt>
                <c:pt idx="44">
                  <c:v>3.1847133757961785E-3</c:v>
                </c:pt>
                <c:pt idx="45">
                  <c:v>0</c:v>
                </c:pt>
              </c:numCache>
            </c:numRef>
          </c:xVal>
          <c:yVal>
            <c:numRef>
              <c:f>'Summary World'!$Z$3:$Z$48</c:f>
              <c:numCache>
                <c:formatCode>0%</c:formatCode>
                <c:ptCount val="46"/>
                <c:pt idx="0">
                  <c:v>1</c:v>
                </c:pt>
                <c:pt idx="1">
                  <c:v>0.94635449767598312</c:v>
                </c:pt>
                <c:pt idx="2">
                  <c:v>0.88202200495644867</c:v>
                </c:pt>
                <c:pt idx="3">
                  <c:v>0.82467800766911614</c:v>
                </c:pt>
                <c:pt idx="4">
                  <c:v>0.76508849102782039</c:v>
                </c:pt>
                <c:pt idx="5">
                  <c:v>0.70652813662249814</c:v>
                </c:pt>
                <c:pt idx="6">
                  <c:v>0.67944868711576312</c:v>
                </c:pt>
                <c:pt idx="7">
                  <c:v>0.66002585623902121</c:v>
                </c:pt>
                <c:pt idx="8">
                  <c:v>0.60788321643402121</c:v>
                </c:pt>
                <c:pt idx="9">
                  <c:v>0.57401265402243684</c:v>
                </c:pt>
                <c:pt idx="10">
                  <c:v>0.56506334228315647</c:v>
                </c:pt>
                <c:pt idx="11">
                  <c:v>0.54459912279729938</c:v>
                </c:pt>
                <c:pt idx="12">
                  <c:v>0.53319167484450436</c:v>
                </c:pt>
                <c:pt idx="13">
                  <c:v>0.47078903951557532</c:v>
                </c:pt>
                <c:pt idx="14">
                  <c:v>0.47078903951557532</c:v>
                </c:pt>
                <c:pt idx="15">
                  <c:v>0.42686378566166411</c:v>
                </c:pt>
                <c:pt idx="16">
                  <c:v>0.39640441640578988</c:v>
                </c:pt>
                <c:pt idx="17">
                  <c:v>0.38000891075361792</c:v>
                </c:pt>
                <c:pt idx="18">
                  <c:v>0.36240559395317062</c:v>
                </c:pt>
                <c:pt idx="19">
                  <c:v>0.3437674623115054</c:v>
                </c:pt>
                <c:pt idx="20">
                  <c:v>0.32447747224258389</c:v>
                </c:pt>
                <c:pt idx="21">
                  <c:v>0.30367703926439826</c:v>
                </c:pt>
                <c:pt idx="22">
                  <c:v>0.30367703926439826</c:v>
                </c:pt>
                <c:pt idx="23">
                  <c:v>0.30367703926439826</c:v>
                </c:pt>
                <c:pt idx="24">
                  <c:v>0.30367703926439826</c:v>
                </c:pt>
                <c:pt idx="25">
                  <c:v>0.30367703926439826</c:v>
                </c:pt>
                <c:pt idx="26">
                  <c:v>0.30367703926439826</c:v>
                </c:pt>
                <c:pt idx="27">
                  <c:v>0.30367703926439826</c:v>
                </c:pt>
                <c:pt idx="28">
                  <c:v>0.30367703926439826</c:v>
                </c:pt>
                <c:pt idx="29">
                  <c:v>0.27539064821043063</c:v>
                </c:pt>
                <c:pt idx="30">
                  <c:v>0.24636274741849185</c:v>
                </c:pt>
                <c:pt idx="31">
                  <c:v>0.21592543410774312</c:v>
                </c:pt>
                <c:pt idx="32">
                  <c:v>0.21592543410774312</c:v>
                </c:pt>
                <c:pt idx="33">
                  <c:v>0.21592543410774312</c:v>
                </c:pt>
                <c:pt idx="34">
                  <c:v>0.18272977209006255</c:v>
                </c:pt>
                <c:pt idx="35">
                  <c:v>0.18272977209006255</c:v>
                </c:pt>
                <c:pt idx="36">
                  <c:v>0.14752304842504677</c:v>
                </c:pt>
                <c:pt idx="37">
                  <c:v>0.14752304842504677</c:v>
                </c:pt>
                <c:pt idx="38">
                  <c:v>0.11045111618150909</c:v>
                </c:pt>
                <c:pt idx="39">
                  <c:v>0.11045111618150909</c:v>
                </c:pt>
                <c:pt idx="40">
                  <c:v>0.11045111618150909</c:v>
                </c:pt>
                <c:pt idx="41">
                  <c:v>0.11045111618150909</c:v>
                </c:pt>
                <c:pt idx="42">
                  <c:v>0.11045111618150909</c:v>
                </c:pt>
                <c:pt idx="43">
                  <c:v>0.11045111618150909</c:v>
                </c:pt>
                <c:pt idx="44">
                  <c:v>0.11045111618150909</c:v>
                </c:pt>
                <c:pt idx="45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2010</c:v>
          </c:tx>
          <c:marker>
            <c:symbol val="none"/>
          </c:marker>
          <c:xVal>
            <c:numRef>
              <c:f>'Summary World'!$V$3:$V$48</c:f>
              <c:numCache>
                <c:formatCode>0%</c:formatCode>
                <c:ptCount val="46"/>
                <c:pt idx="0">
                  <c:v>1</c:v>
                </c:pt>
                <c:pt idx="1">
                  <c:v>0.59223300970873782</c:v>
                </c:pt>
                <c:pt idx="2">
                  <c:v>0.44660194174757284</c:v>
                </c:pt>
                <c:pt idx="3">
                  <c:v>0.36893203883495146</c:v>
                </c:pt>
                <c:pt idx="4">
                  <c:v>0.28640776699029125</c:v>
                </c:pt>
                <c:pt idx="5">
                  <c:v>0.25728155339805825</c:v>
                </c:pt>
                <c:pt idx="6">
                  <c:v>0.21359223300970873</c:v>
                </c:pt>
                <c:pt idx="7">
                  <c:v>0.16990291262135923</c:v>
                </c:pt>
                <c:pt idx="8">
                  <c:v>0.16019417475728157</c:v>
                </c:pt>
                <c:pt idx="9">
                  <c:v>0.13106796116504854</c:v>
                </c:pt>
                <c:pt idx="10">
                  <c:v>0.12621359223300971</c:v>
                </c:pt>
                <c:pt idx="11">
                  <c:v>0.11165048543689321</c:v>
                </c:pt>
                <c:pt idx="12">
                  <c:v>9.2233009708737865E-2</c:v>
                </c:pt>
                <c:pt idx="13">
                  <c:v>7.281553398058252E-2</c:v>
                </c:pt>
                <c:pt idx="14">
                  <c:v>6.7961165048543687E-2</c:v>
                </c:pt>
                <c:pt idx="15">
                  <c:v>5.8252427184466021E-2</c:v>
                </c:pt>
                <c:pt idx="16">
                  <c:v>5.3398058252427182E-2</c:v>
                </c:pt>
                <c:pt idx="17">
                  <c:v>5.3398058252427182E-2</c:v>
                </c:pt>
                <c:pt idx="18">
                  <c:v>5.3398058252427182E-2</c:v>
                </c:pt>
                <c:pt idx="19">
                  <c:v>5.3398058252427182E-2</c:v>
                </c:pt>
                <c:pt idx="20">
                  <c:v>3.8834951456310676E-2</c:v>
                </c:pt>
                <c:pt idx="21">
                  <c:v>3.8834951456310676E-2</c:v>
                </c:pt>
                <c:pt idx="22">
                  <c:v>3.3980582524271843E-2</c:v>
                </c:pt>
                <c:pt idx="23">
                  <c:v>3.3980582524271843E-2</c:v>
                </c:pt>
                <c:pt idx="24">
                  <c:v>3.3980582524271843E-2</c:v>
                </c:pt>
                <c:pt idx="25">
                  <c:v>2.9126213592233011E-2</c:v>
                </c:pt>
                <c:pt idx="26">
                  <c:v>2.9126213592233011E-2</c:v>
                </c:pt>
                <c:pt idx="27">
                  <c:v>2.9126213592233011E-2</c:v>
                </c:pt>
                <c:pt idx="28">
                  <c:v>2.4271844660194174E-2</c:v>
                </c:pt>
                <c:pt idx="29">
                  <c:v>2.4271844660194174E-2</c:v>
                </c:pt>
                <c:pt idx="30">
                  <c:v>2.4271844660194174E-2</c:v>
                </c:pt>
                <c:pt idx="31">
                  <c:v>1.9417475728155338E-2</c:v>
                </c:pt>
                <c:pt idx="32">
                  <c:v>1.9417475728155338E-2</c:v>
                </c:pt>
                <c:pt idx="33">
                  <c:v>1.9417475728155338E-2</c:v>
                </c:pt>
                <c:pt idx="34">
                  <c:v>1.4563106796116505E-2</c:v>
                </c:pt>
                <c:pt idx="35">
                  <c:v>1.4563106796116505E-2</c:v>
                </c:pt>
                <c:pt idx="36">
                  <c:v>1.4563106796116505E-2</c:v>
                </c:pt>
                <c:pt idx="37">
                  <c:v>1.4563106796116505E-2</c:v>
                </c:pt>
                <c:pt idx="38">
                  <c:v>9.7087378640776691E-3</c:v>
                </c:pt>
                <c:pt idx="39">
                  <c:v>9.7087378640776691E-3</c:v>
                </c:pt>
                <c:pt idx="40">
                  <c:v>9.7087378640776691E-3</c:v>
                </c:pt>
                <c:pt idx="41">
                  <c:v>4.8543689320388345E-3</c:v>
                </c:pt>
                <c:pt idx="42">
                  <c:v>4.8543689320388345E-3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World'!$AA$3:$AA$48</c:f>
              <c:numCache>
                <c:formatCode>0%</c:formatCode>
                <c:ptCount val="46"/>
                <c:pt idx="0">
                  <c:v>1</c:v>
                </c:pt>
                <c:pt idx="1">
                  <c:v>0.96863410285193297</c:v>
                </c:pt>
                <c:pt idx="2">
                  <c:v>0.91697985223879441</c:v>
                </c:pt>
                <c:pt idx="3">
                  <c:v>0.87239984128549308</c:v>
                </c:pt>
                <c:pt idx="4">
                  <c:v>0.80631529096279742</c:v>
                </c:pt>
                <c:pt idx="5">
                  <c:v>0.77580289098771515</c:v>
                </c:pt>
                <c:pt idx="6">
                  <c:v>0.71991294864038913</c:v>
                </c:pt>
                <c:pt idx="7">
                  <c:v>0.65321162147159828</c:v>
                </c:pt>
                <c:pt idx="8">
                  <c:v>0.63699757217223696</c:v>
                </c:pt>
                <c:pt idx="9">
                  <c:v>0.57962290239597503</c:v>
                </c:pt>
                <c:pt idx="10">
                  <c:v>0.56938954181472112</c:v>
                </c:pt>
                <c:pt idx="11">
                  <c:v>0.53425739679985373</c:v>
                </c:pt>
                <c:pt idx="12">
                  <c:v>0.48086214779666547</c:v>
                </c:pt>
                <c:pt idx="13">
                  <c:v>0.42380170862000099</c:v>
                </c:pt>
                <c:pt idx="14">
                  <c:v>0.40866156351548666</c:v>
                </c:pt>
                <c:pt idx="15">
                  <c:v>0.37560505125424848</c:v>
                </c:pt>
                <c:pt idx="16">
                  <c:v>0.35858637122299108</c:v>
                </c:pt>
                <c:pt idx="17">
                  <c:v>0.35858637122299108</c:v>
                </c:pt>
                <c:pt idx="18">
                  <c:v>0.35858637122299108</c:v>
                </c:pt>
                <c:pt idx="19">
                  <c:v>0.35858637122299108</c:v>
                </c:pt>
                <c:pt idx="20">
                  <c:v>0.2923728155256195</c:v>
                </c:pt>
                <c:pt idx="21">
                  <c:v>0.2923728155256195</c:v>
                </c:pt>
                <c:pt idx="22">
                  <c:v>0.26780419117861365</c:v>
                </c:pt>
                <c:pt idx="23">
                  <c:v>0.26780419117861365</c:v>
                </c:pt>
                <c:pt idx="24">
                  <c:v>0.26780419117861365</c:v>
                </c:pt>
                <c:pt idx="25">
                  <c:v>0.23963313573893341</c:v>
                </c:pt>
                <c:pt idx="26">
                  <c:v>0.23963313573893341</c:v>
                </c:pt>
                <c:pt idx="27">
                  <c:v>0.23963313573893341</c:v>
                </c:pt>
                <c:pt idx="28">
                  <c:v>0.20829906466878154</c:v>
                </c:pt>
                <c:pt idx="29">
                  <c:v>0.20829906466878154</c:v>
                </c:pt>
                <c:pt idx="30">
                  <c:v>0.20829906466878154</c:v>
                </c:pt>
                <c:pt idx="31">
                  <c:v>0.17430300173491559</c:v>
                </c:pt>
                <c:pt idx="32">
                  <c:v>0.17430300173491559</c:v>
                </c:pt>
                <c:pt idx="33">
                  <c:v>0.17430300173491559</c:v>
                </c:pt>
                <c:pt idx="34">
                  <c:v>0.13700224398399374</c:v>
                </c:pt>
                <c:pt idx="35">
                  <c:v>0.13700224398399374</c:v>
                </c:pt>
                <c:pt idx="36">
                  <c:v>0.13700224398399374</c:v>
                </c:pt>
                <c:pt idx="37">
                  <c:v>0.13700224398399374</c:v>
                </c:pt>
                <c:pt idx="38">
                  <c:v>9.4376377214840865E-2</c:v>
                </c:pt>
                <c:pt idx="39">
                  <c:v>9.4376377214840865E-2</c:v>
                </c:pt>
                <c:pt idx="40">
                  <c:v>9.4376377214840865E-2</c:v>
                </c:pt>
                <c:pt idx="41">
                  <c:v>4.8087259651241193E-2</c:v>
                </c:pt>
                <c:pt idx="42">
                  <c:v>4.8087259651241193E-2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862592"/>
        <c:axId val="250864768"/>
      </c:scatterChart>
      <c:valAx>
        <c:axId val="25086259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Movies Released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0864768"/>
        <c:crosses val="autoZero"/>
        <c:crossBetween val="midCat"/>
        <c:majorUnit val="0.1"/>
      </c:valAx>
      <c:valAx>
        <c:axId val="2508647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Earnings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0862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895441225186658"/>
          <c:y val="0.30014081108942176"/>
          <c:w val="0.13231608184899224"/>
          <c:h val="0.373611027629179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Pareto principle in movies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09648834088665"/>
          <c:y val="0.14189471821640273"/>
          <c:w val="0.82112008506975209"/>
          <c:h val="0.6905961952645101"/>
        </c:manualLayout>
      </c:layout>
      <c:scatterChart>
        <c:scatterStyle val="lineMarker"/>
        <c:varyColors val="0"/>
        <c:ser>
          <c:idx val="0"/>
          <c:order val="0"/>
          <c:tx>
            <c:v>2006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'Summary USA'!$R$3:$R$48</c:f>
              <c:numCache>
                <c:formatCode>0%</c:formatCode>
                <c:ptCount val="46"/>
                <c:pt idx="0">
                  <c:v>1</c:v>
                </c:pt>
                <c:pt idx="1">
                  <c:v>0.2413793103448276</c:v>
                </c:pt>
                <c:pt idx="2">
                  <c:v>0.16748768472906403</c:v>
                </c:pt>
                <c:pt idx="3">
                  <c:v>0.13628899835796388</c:v>
                </c:pt>
                <c:pt idx="4">
                  <c:v>0.10344827586206896</c:v>
                </c:pt>
                <c:pt idx="5">
                  <c:v>7.5533661740558297E-2</c:v>
                </c:pt>
                <c:pt idx="6">
                  <c:v>5.090311986863711E-2</c:v>
                </c:pt>
                <c:pt idx="7">
                  <c:v>3.6124794745484398E-2</c:v>
                </c:pt>
                <c:pt idx="8">
                  <c:v>3.1198686371100164E-2</c:v>
                </c:pt>
                <c:pt idx="9">
                  <c:v>2.9556650246305417E-2</c:v>
                </c:pt>
                <c:pt idx="10">
                  <c:v>2.6272577996715927E-2</c:v>
                </c:pt>
                <c:pt idx="11">
                  <c:v>1.9704433497536946E-2</c:v>
                </c:pt>
                <c:pt idx="12">
                  <c:v>1.8062397372742199E-2</c:v>
                </c:pt>
                <c:pt idx="13">
                  <c:v>1.6420361247947456E-2</c:v>
                </c:pt>
                <c:pt idx="14">
                  <c:v>1.3136288998357963E-2</c:v>
                </c:pt>
                <c:pt idx="15">
                  <c:v>1.3136288998357963E-2</c:v>
                </c:pt>
                <c:pt idx="16">
                  <c:v>9.852216748768473E-3</c:v>
                </c:pt>
                <c:pt idx="17">
                  <c:v>8.2101806239737278E-3</c:v>
                </c:pt>
                <c:pt idx="18">
                  <c:v>6.5681444991789817E-3</c:v>
                </c:pt>
                <c:pt idx="19">
                  <c:v>4.9261083743842365E-3</c:v>
                </c:pt>
                <c:pt idx="20">
                  <c:v>3.2840722495894909E-3</c:v>
                </c:pt>
                <c:pt idx="21">
                  <c:v>1.6420361247947454E-3</c:v>
                </c:pt>
                <c:pt idx="22">
                  <c:v>1.6420361247947454E-3</c:v>
                </c:pt>
                <c:pt idx="23">
                  <c:v>1.6420361247947454E-3</c:v>
                </c:pt>
                <c:pt idx="24">
                  <c:v>1.6420361247947454E-3</c:v>
                </c:pt>
                <c:pt idx="25">
                  <c:v>1.6420361247947454E-3</c:v>
                </c:pt>
                <c:pt idx="26">
                  <c:v>1.6420361247947454E-3</c:v>
                </c:pt>
                <c:pt idx="27">
                  <c:v>1.6420361247947454E-3</c:v>
                </c:pt>
                <c:pt idx="28">
                  <c:v>1.6420361247947454E-3</c:v>
                </c:pt>
                <c:pt idx="29">
                  <c:v>1.6420361247947454E-3</c:v>
                </c:pt>
                <c:pt idx="30">
                  <c:v>1.6420361247947454E-3</c:v>
                </c:pt>
                <c:pt idx="31">
                  <c:v>1.6420361247947454E-3</c:v>
                </c:pt>
                <c:pt idx="32">
                  <c:v>1.6420361247947454E-3</c:v>
                </c:pt>
                <c:pt idx="33">
                  <c:v>1.6420361247947454E-3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USA'!$W$3:$W$48</c:f>
              <c:numCache>
                <c:formatCode>0%</c:formatCode>
                <c:ptCount val="46"/>
                <c:pt idx="0">
                  <c:v>1</c:v>
                </c:pt>
                <c:pt idx="1">
                  <c:v>0.94860276419843559</c:v>
                </c:pt>
                <c:pt idx="2">
                  <c:v>0.85993963115296801</c:v>
                </c:pt>
                <c:pt idx="3">
                  <c:v>0.79244469989225585</c:v>
                </c:pt>
                <c:pt idx="4">
                  <c:v>0.70010422227928104</c:v>
                </c:pt>
                <c:pt idx="5">
                  <c:v>0.59475055509389185</c:v>
                </c:pt>
                <c:pt idx="6">
                  <c:v>0.48439640183555666</c:v>
                </c:pt>
                <c:pt idx="7">
                  <c:v>0.40557626879911507</c:v>
                </c:pt>
                <c:pt idx="8">
                  <c:v>0.37654156049072063</c:v>
                </c:pt>
                <c:pt idx="9">
                  <c:v>0.36534556021886244</c:v>
                </c:pt>
                <c:pt idx="10">
                  <c:v>0.33896594584781842</c:v>
                </c:pt>
                <c:pt idx="11">
                  <c:v>0.28126979716753348</c:v>
                </c:pt>
                <c:pt idx="12">
                  <c:v>0.26521618461075486</c:v>
                </c:pt>
                <c:pt idx="13">
                  <c:v>0.24842538965324212</c:v>
                </c:pt>
                <c:pt idx="14">
                  <c:v>0.21268700893574646</c:v>
                </c:pt>
                <c:pt idx="15">
                  <c:v>0.21268700893574646</c:v>
                </c:pt>
                <c:pt idx="16">
                  <c:v>0.17008368518011599</c:v>
                </c:pt>
                <c:pt idx="17">
                  <c:v>0.14840784855935985</c:v>
                </c:pt>
                <c:pt idx="18">
                  <c:v>0.12484559697831715</c:v>
                </c:pt>
                <c:pt idx="19">
                  <c:v>9.9460815665354071E-2</c:v>
                </c:pt>
                <c:pt idx="20">
                  <c:v>7.3023164057623879E-2</c:v>
                </c:pt>
                <c:pt idx="21">
                  <c:v>4.5851111232733992E-2</c:v>
                </c:pt>
                <c:pt idx="22">
                  <c:v>4.5851111232733992E-2</c:v>
                </c:pt>
                <c:pt idx="23">
                  <c:v>4.5851111232733992E-2</c:v>
                </c:pt>
                <c:pt idx="24">
                  <c:v>4.5851111232733992E-2</c:v>
                </c:pt>
                <c:pt idx="25">
                  <c:v>4.5851111232733992E-2</c:v>
                </c:pt>
                <c:pt idx="26">
                  <c:v>4.5851111232733992E-2</c:v>
                </c:pt>
                <c:pt idx="27">
                  <c:v>4.5851111232733992E-2</c:v>
                </c:pt>
                <c:pt idx="28">
                  <c:v>4.5851111232733992E-2</c:v>
                </c:pt>
                <c:pt idx="29">
                  <c:v>4.5851111232733992E-2</c:v>
                </c:pt>
                <c:pt idx="30">
                  <c:v>4.5851111232733992E-2</c:v>
                </c:pt>
                <c:pt idx="31">
                  <c:v>4.5851111232733992E-2</c:v>
                </c:pt>
                <c:pt idx="32">
                  <c:v>4.5851111232733992E-2</c:v>
                </c:pt>
                <c:pt idx="33">
                  <c:v>4.5851111232733992E-2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2007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'Summary USA'!$S$3:$S$48</c:f>
              <c:numCache>
                <c:formatCode>0%</c:formatCode>
                <c:ptCount val="46"/>
                <c:pt idx="0">
                  <c:v>1</c:v>
                </c:pt>
                <c:pt idx="1">
                  <c:v>0.21226415094339623</c:v>
                </c:pt>
                <c:pt idx="2">
                  <c:v>0.15094339622641509</c:v>
                </c:pt>
                <c:pt idx="3">
                  <c:v>0.11163522012578617</c:v>
                </c:pt>
                <c:pt idx="4">
                  <c:v>8.1761006289308172E-2</c:v>
                </c:pt>
                <c:pt idx="5">
                  <c:v>6.4465408805031446E-2</c:v>
                </c:pt>
                <c:pt idx="6">
                  <c:v>5.5031446540880505E-2</c:v>
                </c:pt>
                <c:pt idx="7">
                  <c:v>5.0314465408805034E-2</c:v>
                </c:pt>
                <c:pt idx="8">
                  <c:v>4.40251572327044E-2</c:v>
                </c:pt>
                <c:pt idx="9">
                  <c:v>4.2452830188679243E-2</c:v>
                </c:pt>
                <c:pt idx="10">
                  <c:v>3.3018867924528301E-2</c:v>
                </c:pt>
                <c:pt idx="11">
                  <c:v>2.5157232704402517E-2</c:v>
                </c:pt>
                <c:pt idx="12">
                  <c:v>2.0440251572327043E-2</c:v>
                </c:pt>
                <c:pt idx="13">
                  <c:v>2.0440251572327043E-2</c:v>
                </c:pt>
                <c:pt idx="14">
                  <c:v>1.8867924528301886E-2</c:v>
                </c:pt>
                <c:pt idx="15">
                  <c:v>1.7295597484276729E-2</c:v>
                </c:pt>
                <c:pt idx="16">
                  <c:v>1.7295597484276729E-2</c:v>
                </c:pt>
                <c:pt idx="17">
                  <c:v>1.4150943396226415E-2</c:v>
                </c:pt>
                <c:pt idx="18">
                  <c:v>1.10062893081761E-2</c:v>
                </c:pt>
                <c:pt idx="19">
                  <c:v>9.433962264150943E-3</c:v>
                </c:pt>
                <c:pt idx="20">
                  <c:v>9.433962264150943E-3</c:v>
                </c:pt>
                <c:pt idx="21">
                  <c:v>7.8616352201257862E-3</c:v>
                </c:pt>
                <c:pt idx="22">
                  <c:v>7.8616352201257862E-3</c:v>
                </c:pt>
                <c:pt idx="23">
                  <c:v>7.8616352201257862E-3</c:v>
                </c:pt>
                <c:pt idx="24">
                  <c:v>6.2893081761006293E-3</c:v>
                </c:pt>
                <c:pt idx="25">
                  <c:v>4.7169811320754715E-3</c:v>
                </c:pt>
                <c:pt idx="26">
                  <c:v>1.5723270440251573E-3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USA'!$X$3:$X$48</c:f>
              <c:numCache>
                <c:formatCode>0%</c:formatCode>
                <c:ptCount val="46"/>
                <c:pt idx="0">
                  <c:v>1</c:v>
                </c:pt>
                <c:pt idx="1">
                  <c:v>0.94245372370564595</c:v>
                </c:pt>
                <c:pt idx="2">
                  <c:v>0.86994548046149434</c:v>
                </c:pt>
                <c:pt idx="3">
                  <c:v>0.78974376711504812</c:v>
                </c:pt>
                <c:pt idx="4">
                  <c:v>0.7038804522404114</c:v>
                </c:pt>
                <c:pt idx="5">
                  <c:v>0.64179776961479784</c:v>
                </c:pt>
                <c:pt idx="6">
                  <c:v>0.59853013881116712</c:v>
                </c:pt>
                <c:pt idx="7">
                  <c:v>0.57322755529669955</c:v>
                </c:pt>
                <c:pt idx="8">
                  <c:v>0.53417197151739004</c:v>
                </c:pt>
                <c:pt idx="9">
                  <c:v>0.52379918639434364</c:v>
                </c:pt>
                <c:pt idx="10">
                  <c:v>0.45020449775333998</c:v>
                </c:pt>
                <c:pt idx="11">
                  <c:v>0.38287748393347038</c:v>
                </c:pt>
                <c:pt idx="12">
                  <c:v>0.33815687577212694</c:v>
                </c:pt>
                <c:pt idx="13">
                  <c:v>0.33815687577212694</c:v>
                </c:pt>
                <c:pt idx="14">
                  <c:v>0.32075884251856407</c:v>
                </c:pt>
                <c:pt idx="15">
                  <c:v>0.30181751217116648</c:v>
                </c:pt>
                <c:pt idx="16">
                  <c:v>0.30181751217116648</c:v>
                </c:pt>
                <c:pt idx="17">
                  <c:v>0.25868167323817837</c:v>
                </c:pt>
                <c:pt idx="18">
                  <c:v>0.21345370027346336</c:v>
                </c:pt>
                <c:pt idx="19">
                  <c:v>0.18992677012920381</c:v>
                </c:pt>
                <c:pt idx="20">
                  <c:v>0.18992677012920381</c:v>
                </c:pt>
                <c:pt idx="21">
                  <c:v>0.16340849492283824</c:v>
                </c:pt>
                <c:pt idx="22">
                  <c:v>0.16340849492283824</c:v>
                </c:pt>
                <c:pt idx="23">
                  <c:v>0.16340849492283824</c:v>
                </c:pt>
                <c:pt idx="24">
                  <c:v>0.13320696172251165</c:v>
                </c:pt>
                <c:pt idx="25">
                  <c:v>0.10120415484169774</c:v>
                </c:pt>
                <c:pt idx="26">
                  <c:v>3.4806733577625953E-2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2008</c:v>
          </c:tx>
          <c:marker>
            <c:symbol val="none"/>
          </c:marker>
          <c:xVal>
            <c:numRef>
              <c:f>'Summary USA'!$T$3:$T$48</c:f>
              <c:numCache>
                <c:formatCode>0%</c:formatCode>
                <c:ptCount val="46"/>
                <c:pt idx="0">
                  <c:v>1</c:v>
                </c:pt>
                <c:pt idx="1">
                  <c:v>0.21935483870967742</c:v>
                </c:pt>
                <c:pt idx="2">
                  <c:v>0.17419354838709677</c:v>
                </c:pt>
                <c:pt idx="3">
                  <c:v>0.12419354838709677</c:v>
                </c:pt>
                <c:pt idx="4">
                  <c:v>9.1935483870967741E-2</c:v>
                </c:pt>
                <c:pt idx="5">
                  <c:v>8.0645161290322578E-2</c:v>
                </c:pt>
                <c:pt idx="6">
                  <c:v>6.7741935483870974E-2</c:v>
                </c:pt>
                <c:pt idx="7">
                  <c:v>5.32258064516129E-2</c:v>
                </c:pt>
                <c:pt idx="8">
                  <c:v>4.6774193548387098E-2</c:v>
                </c:pt>
                <c:pt idx="9">
                  <c:v>3.5483870967741936E-2</c:v>
                </c:pt>
                <c:pt idx="10">
                  <c:v>3.2258064516129031E-2</c:v>
                </c:pt>
                <c:pt idx="11">
                  <c:v>2.5806451612903226E-2</c:v>
                </c:pt>
                <c:pt idx="12">
                  <c:v>1.7741935483870968E-2</c:v>
                </c:pt>
                <c:pt idx="13">
                  <c:v>1.4516129032258065E-2</c:v>
                </c:pt>
                <c:pt idx="14">
                  <c:v>1.2903225806451613E-2</c:v>
                </c:pt>
                <c:pt idx="15">
                  <c:v>1.1290322580645161E-2</c:v>
                </c:pt>
                <c:pt idx="16">
                  <c:v>9.6774193548387101E-3</c:v>
                </c:pt>
                <c:pt idx="17">
                  <c:v>9.6774193548387101E-3</c:v>
                </c:pt>
                <c:pt idx="18">
                  <c:v>6.4516129032258064E-3</c:v>
                </c:pt>
                <c:pt idx="19">
                  <c:v>4.8387096774193551E-3</c:v>
                </c:pt>
                <c:pt idx="20">
                  <c:v>4.8387096774193551E-3</c:v>
                </c:pt>
                <c:pt idx="21">
                  <c:v>4.8387096774193551E-3</c:v>
                </c:pt>
                <c:pt idx="22">
                  <c:v>4.8387096774193551E-3</c:v>
                </c:pt>
                <c:pt idx="23">
                  <c:v>4.8387096774193551E-3</c:v>
                </c:pt>
                <c:pt idx="24">
                  <c:v>4.8387096774193551E-3</c:v>
                </c:pt>
                <c:pt idx="25">
                  <c:v>4.8387096774193551E-3</c:v>
                </c:pt>
                <c:pt idx="26">
                  <c:v>1.6129032258064516E-3</c:v>
                </c:pt>
                <c:pt idx="27">
                  <c:v>1.6129032258064516E-3</c:v>
                </c:pt>
                <c:pt idx="28">
                  <c:v>1.6129032258064516E-3</c:v>
                </c:pt>
                <c:pt idx="29">
                  <c:v>1.6129032258064516E-3</c:v>
                </c:pt>
                <c:pt idx="30">
                  <c:v>1.6129032258064516E-3</c:v>
                </c:pt>
                <c:pt idx="31">
                  <c:v>1.6129032258064516E-3</c:v>
                </c:pt>
                <c:pt idx="32">
                  <c:v>1.6129032258064516E-3</c:v>
                </c:pt>
                <c:pt idx="33">
                  <c:v>1.6129032258064516E-3</c:v>
                </c:pt>
                <c:pt idx="34">
                  <c:v>1.6129032258064516E-3</c:v>
                </c:pt>
                <c:pt idx="35">
                  <c:v>1.6129032258064516E-3</c:v>
                </c:pt>
                <c:pt idx="36">
                  <c:v>1.6129032258064516E-3</c:v>
                </c:pt>
                <c:pt idx="37">
                  <c:v>1.6129032258064516E-3</c:v>
                </c:pt>
                <c:pt idx="38">
                  <c:v>1.6129032258064516E-3</c:v>
                </c:pt>
                <c:pt idx="39">
                  <c:v>1.6129032258064516E-3</c:v>
                </c:pt>
                <c:pt idx="40">
                  <c:v>1.6129032258064516E-3</c:v>
                </c:pt>
                <c:pt idx="41">
                  <c:v>1.6129032258064516E-3</c:v>
                </c:pt>
                <c:pt idx="42">
                  <c:v>1.6129032258064516E-3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USA'!$Y$3:$Y$48</c:f>
              <c:numCache>
                <c:formatCode>0%</c:formatCode>
                <c:ptCount val="46"/>
                <c:pt idx="0">
                  <c:v>1</c:v>
                </c:pt>
                <c:pt idx="1">
                  <c:v>0.95008414826432419</c:v>
                </c:pt>
                <c:pt idx="2">
                  <c:v>0.89952075098973283</c:v>
                </c:pt>
                <c:pt idx="3">
                  <c:v>0.8010725086665188</c:v>
                </c:pt>
                <c:pt idx="4">
                  <c:v>0.71355441637862171</c:v>
                </c:pt>
                <c:pt idx="5">
                  <c:v>0.67327010499109063</c:v>
                </c:pt>
                <c:pt idx="6">
                  <c:v>0.61725553561352642</c:v>
                </c:pt>
                <c:pt idx="7">
                  <c:v>0.54266965148932866</c:v>
                </c:pt>
                <c:pt idx="8">
                  <c:v>0.50378957964426507</c:v>
                </c:pt>
                <c:pt idx="9">
                  <c:v>0.42895112958501874</c:v>
                </c:pt>
                <c:pt idx="10">
                  <c:v>0.40483191846532357</c:v>
                </c:pt>
                <c:pt idx="11">
                  <c:v>0.35054362614217444</c:v>
                </c:pt>
                <c:pt idx="12">
                  <c:v>0.27656688491118997</c:v>
                </c:pt>
                <c:pt idx="13">
                  <c:v>0.24493207851129728</c:v>
                </c:pt>
                <c:pt idx="14">
                  <c:v>0.22748955292023865</c:v>
                </c:pt>
                <c:pt idx="15">
                  <c:v>0.20895099967474048</c:v>
                </c:pt>
                <c:pt idx="16">
                  <c:v>0.18909846180131717</c:v>
                </c:pt>
                <c:pt idx="17">
                  <c:v>0.18909846180131717</c:v>
                </c:pt>
                <c:pt idx="18">
                  <c:v>0.14386274030067062</c:v>
                </c:pt>
                <c:pt idx="19">
                  <c:v>0.12038753427758191</c:v>
                </c:pt>
                <c:pt idx="20">
                  <c:v>0.12038753427758191</c:v>
                </c:pt>
                <c:pt idx="21">
                  <c:v>0.12038753427758191</c:v>
                </c:pt>
                <c:pt idx="22">
                  <c:v>0.12038753427758191</c:v>
                </c:pt>
                <c:pt idx="23">
                  <c:v>0.12038753427758191</c:v>
                </c:pt>
                <c:pt idx="24">
                  <c:v>0.12038753427758191</c:v>
                </c:pt>
                <c:pt idx="25">
                  <c:v>0.12038753427758191</c:v>
                </c:pt>
                <c:pt idx="26">
                  <c:v>5.4926943708270469E-2</c:v>
                </c:pt>
                <c:pt idx="27">
                  <c:v>5.4926943708270469E-2</c:v>
                </c:pt>
                <c:pt idx="28">
                  <c:v>5.4926943708270469E-2</c:v>
                </c:pt>
                <c:pt idx="29">
                  <c:v>5.4926943708270469E-2</c:v>
                </c:pt>
                <c:pt idx="30">
                  <c:v>5.4926943708270469E-2</c:v>
                </c:pt>
                <c:pt idx="31">
                  <c:v>5.4926943708270469E-2</c:v>
                </c:pt>
                <c:pt idx="32">
                  <c:v>5.4926943708270469E-2</c:v>
                </c:pt>
                <c:pt idx="33">
                  <c:v>5.4926943708270469E-2</c:v>
                </c:pt>
                <c:pt idx="34">
                  <c:v>5.4926943708270469E-2</c:v>
                </c:pt>
                <c:pt idx="35">
                  <c:v>5.4926943708270469E-2</c:v>
                </c:pt>
                <c:pt idx="36">
                  <c:v>5.4926943708270469E-2</c:v>
                </c:pt>
                <c:pt idx="37">
                  <c:v>5.4926943708270469E-2</c:v>
                </c:pt>
                <c:pt idx="38">
                  <c:v>5.4926943708270469E-2</c:v>
                </c:pt>
                <c:pt idx="39">
                  <c:v>5.4926943708270469E-2</c:v>
                </c:pt>
                <c:pt idx="40">
                  <c:v>5.4926943708270469E-2</c:v>
                </c:pt>
                <c:pt idx="41">
                  <c:v>5.4926943708270469E-2</c:v>
                </c:pt>
                <c:pt idx="42">
                  <c:v>5.4926943708270469E-2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2009</c:v>
          </c:tx>
          <c:marker>
            <c:symbol val="none"/>
          </c:marker>
          <c:xVal>
            <c:numRef>
              <c:f>'Summary USA'!$U$3:$U$48</c:f>
              <c:numCache>
                <c:formatCode>0%</c:formatCode>
                <c:ptCount val="46"/>
                <c:pt idx="0">
                  <c:v>1.0018181818181817</c:v>
                </c:pt>
                <c:pt idx="1">
                  <c:v>0.24</c:v>
                </c:pt>
                <c:pt idx="2">
                  <c:v>0.18545454545454546</c:v>
                </c:pt>
                <c:pt idx="3">
                  <c:v>0.14000000000000001</c:v>
                </c:pt>
                <c:pt idx="4">
                  <c:v>0.11090909090909092</c:v>
                </c:pt>
                <c:pt idx="5">
                  <c:v>9.8181818181818176E-2</c:v>
                </c:pt>
                <c:pt idx="6">
                  <c:v>7.8181818181818186E-2</c:v>
                </c:pt>
                <c:pt idx="7">
                  <c:v>6.7272727272727276E-2</c:v>
                </c:pt>
                <c:pt idx="8">
                  <c:v>5.8181818181818182E-2</c:v>
                </c:pt>
                <c:pt idx="9">
                  <c:v>5.0909090909090911E-2</c:v>
                </c:pt>
                <c:pt idx="10">
                  <c:v>4.1818181818181817E-2</c:v>
                </c:pt>
                <c:pt idx="11">
                  <c:v>3.8181818181818185E-2</c:v>
                </c:pt>
                <c:pt idx="12">
                  <c:v>3.272727272727273E-2</c:v>
                </c:pt>
                <c:pt idx="13">
                  <c:v>2.9090909090909091E-2</c:v>
                </c:pt>
                <c:pt idx="14">
                  <c:v>2.5454545454545455E-2</c:v>
                </c:pt>
                <c:pt idx="15">
                  <c:v>2.181818181818182E-2</c:v>
                </c:pt>
                <c:pt idx="16">
                  <c:v>1.8181818181818181E-2</c:v>
                </c:pt>
                <c:pt idx="17">
                  <c:v>1.6363636363636365E-2</c:v>
                </c:pt>
                <c:pt idx="18">
                  <c:v>1.4545454545454545E-2</c:v>
                </c:pt>
                <c:pt idx="19">
                  <c:v>1.4545454545454545E-2</c:v>
                </c:pt>
                <c:pt idx="20">
                  <c:v>1.4545454545454545E-2</c:v>
                </c:pt>
                <c:pt idx="21">
                  <c:v>1.090909090909091E-2</c:v>
                </c:pt>
                <c:pt idx="22">
                  <c:v>1.090909090909091E-2</c:v>
                </c:pt>
                <c:pt idx="23">
                  <c:v>9.0909090909090905E-3</c:v>
                </c:pt>
                <c:pt idx="24">
                  <c:v>5.454545454545455E-3</c:v>
                </c:pt>
                <c:pt idx="25">
                  <c:v>3.6363636363636364E-3</c:v>
                </c:pt>
                <c:pt idx="26">
                  <c:v>3.6363636363636364E-3</c:v>
                </c:pt>
                <c:pt idx="27">
                  <c:v>3.6363636363636364E-3</c:v>
                </c:pt>
                <c:pt idx="28">
                  <c:v>3.6363636363636364E-3</c:v>
                </c:pt>
                <c:pt idx="29">
                  <c:v>3.6363636363636364E-3</c:v>
                </c:pt>
                <c:pt idx="30">
                  <c:v>3.6363636363636364E-3</c:v>
                </c:pt>
                <c:pt idx="31">
                  <c:v>3.6363636363636364E-3</c:v>
                </c:pt>
                <c:pt idx="32">
                  <c:v>3.6363636363636364E-3</c:v>
                </c:pt>
                <c:pt idx="33">
                  <c:v>1.8181818181818182E-3</c:v>
                </c:pt>
                <c:pt idx="34">
                  <c:v>1.8181818181818182E-3</c:v>
                </c:pt>
                <c:pt idx="35">
                  <c:v>1.8181818181818182E-3</c:v>
                </c:pt>
                <c:pt idx="36">
                  <c:v>1.8181818181818182E-3</c:v>
                </c:pt>
                <c:pt idx="37">
                  <c:v>1.8181818181818182E-3</c:v>
                </c:pt>
                <c:pt idx="38">
                  <c:v>1.8181818181818182E-3</c:v>
                </c:pt>
                <c:pt idx="39">
                  <c:v>1.8181818181818182E-3</c:v>
                </c:pt>
                <c:pt idx="40">
                  <c:v>1.8181818181818182E-3</c:v>
                </c:pt>
                <c:pt idx="41">
                  <c:v>1.8181818181818182E-3</c:v>
                </c:pt>
                <c:pt idx="42">
                  <c:v>1.8181818181818182E-3</c:v>
                </c:pt>
                <c:pt idx="43">
                  <c:v>1.8181818181818182E-3</c:v>
                </c:pt>
                <c:pt idx="44">
                  <c:v>1.8181818181818182E-3</c:v>
                </c:pt>
                <c:pt idx="45">
                  <c:v>1.8181818181818182E-3</c:v>
                </c:pt>
              </c:numCache>
            </c:numRef>
          </c:xVal>
          <c:yVal>
            <c:numRef>
              <c:f>'Summary USA'!$Z$3:$Z$48</c:f>
              <c:numCache>
                <c:formatCode>0%</c:formatCode>
                <c:ptCount val="46"/>
                <c:pt idx="0">
                  <c:v>1</c:v>
                </c:pt>
                <c:pt idx="1">
                  <c:v>0.96083824055545741</c:v>
                </c:pt>
                <c:pt idx="2">
                  <c:v>0.91278430440088798</c:v>
                </c:pt>
                <c:pt idx="3">
                  <c:v>0.84140338340696907</c:v>
                </c:pt>
                <c:pt idx="4">
                  <c:v>0.77710458724997467</c:v>
                </c:pt>
                <c:pt idx="5">
                  <c:v>0.74170709314148076</c:v>
                </c:pt>
                <c:pt idx="6">
                  <c:v>0.67268109382844132</c:v>
                </c:pt>
                <c:pt idx="7">
                  <c:v>0.62928232739495127</c:v>
                </c:pt>
                <c:pt idx="8">
                  <c:v>0.58651502124640131</c:v>
                </c:pt>
                <c:pt idx="9">
                  <c:v>0.54702460736204062</c:v>
                </c:pt>
                <c:pt idx="10">
                  <c:v>0.49239085168223617</c:v>
                </c:pt>
                <c:pt idx="11">
                  <c:v>0.46857755548091279</c:v>
                </c:pt>
                <c:pt idx="12">
                  <c:v>0.42907014411283534</c:v>
                </c:pt>
                <c:pt idx="13">
                  <c:v>0.40097029338732137</c:v>
                </c:pt>
                <c:pt idx="14">
                  <c:v>0.37058718326848095</c:v>
                </c:pt>
                <c:pt idx="15">
                  <c:v>0.33771349359149994</c:v>
                </c:pt>
                <c:pt idx="16">
                  <c:v>0.30136044852748756</c:v>
                </c:pt>
                <c:pt idx="17">
                  <c:v>0.28211926465043624</c:v>
                </c:pt>
                <c:pt idx="18">
                  <c:v>0.26190364088151175</c:v>
                </c:pt>
                <c:pt idx="19">
                  <c:v>0.26190364088151175</c:v>
                </c:pt>
                <c:pt idx="20">
                  <c:v>0.26190364088151175</c:v>
                </c:pt>
                <c:pt idx="21">
                  <c:v>0.21461829201431895</c:v>
                </c:pt>
                <c:pt idx="22">
                  <c:v>0.21461829201431895</c:v>
                </c:pt>
                <c:pt idx="23">
                  <c:v>0.18909063093453418</c:v>
                </c:pt>
                <c:pt idx="24">
                  <c:v>0.13481512704380311</c:v>
                </c:pt>
                <c:pt idx="25">
                  <c:v>0.10701964720515489</c:v>
                </c:pt>
                <c:pt idx="26">
                  <c:v>0.10701964720515489</c:v>
                </c:pt>
                <c:pt idx="27">
                  <c:v>0.10701964720515489</c:v>
                </c:pt>
                <c:pt idx="28">
                  <c:v>0.10701964720515489</c:v>
                </c:pt>
                <c:pt idx="29">
                  <c:v>0.10701964720515489</c:v>
                </c:pt>
                <c:pt idx="30">
                  <c:v>0.10701964720515489</c:v>
                </c:pt>
                <c:pt idx="31">
                  <c:v>0.10701964720515489</c:v>
                </c:pt>
                <c:pt idx="32">
                  <c:v>0.10701964720515489</c:v>
                </c:pt>
                <c:pt idx="33">
                  <c:v>7.0005068790223779E-2</c:v>
                </c:pt>
                <c:pt idx="34">
                  <c:v>7.0005068790223779E-2</c:v>
                </c:pt>
                <c:pt idx="35">
                  <c:v>7.0005068790223779E-2</c:v>
                </c:pt>
                <c:pt idx="36">
                  <c:v>7.0005068790223779E-2</c:v>
                </c:pt>
                <c:pt idx="37">
                  <c:v>7.0005068790223779E-2</c:v>
                </c:pt>
                <c:pt idx="38">
                  <c:v>7.0005068790223779E-2</c:v>
                </c:pt>
                <c:pt idx="39">
                  <c:v>7.0005068790223779E-2</c:v>
                </c:pt>
                <c:pt idx="40">
                  <c:v>7.0005068790223779E-2</c:v>
                </c:pt>
                <c:pt idx="41">
                  <c:v>7.0005068790223779E-2</c:v>
                </c:pt>
                <c:pt idx="42">
                  <c:v>7.0005068790223779E-2</c:v>
                </c:pt>
                <c:pt idx="43">
                  <c:v>7.0005068790223779E-2</c:v>
                </c:pt>
                <c:pt idx="44">
                  <c:v>7.0005068790223779E-2</c:v>
                </c:pt>
                <c:pt idx="45">
                  <c:v>7.0005068790223779E-2</c:v>
                </c:pt>
              </c:numCache>
            </c:numRef>
          </c:yVal>
          <c:smooth val="0"/>
        </c:ser>
        <c:ser>
          <c:idx val="4"/>
          <c:order val="4"/>
          <c:tx>
            <c:v>2010</c:v>
          </c:tx>
          <c:marker>
            <c:symbol val="none"/>
          </c:marker>
          <c:xVal>
            <c:numRef>
              <c:f>'Summary USA'!$V$3:$V$48</c:f>
              <c:numCache>
                <c:formatCode>0%</c:formatCode>
                <c:ptCount val="46"/>
                <c:pt idx="0">
                  <c:v>1</c:v>
                </c:pt>
                <c:pt idx="1">
                  <c:v>0.24150943396226415</c:v>
                </c:pt>
                <c:pt idx="2">
                  <c:v>0.19622641509433963</c:v>
                </c:pt>
                <c:pt idx="3">
                  <c:v>0.15094339622641509</c:v>
                </c:pt>
                <c:pt idx="4">
                  <c:v>0.12452830188679245</c:v>
                </c:pt>
                <c:pt idx="5">
                  <c:v>9.8113207547169817E-2</c:v>
                </c:pt>
                <c:pt idx="6">
                  <c:v>8.4905660377358486E-2</c:v>
                </c:pt>
                <c:pt idx="7">
                  <c:v>6.981132075471698E-2</c:v>
                </c:pt>
                <c:pt idx="8">
                  <c:v>5.0943396226415097E-2</c:v>
                </c:pt>
                <c:pt idx="9">
                  <c:v>4.1509433962264149E-2</c:v>
                </c:pt>
                <c:pt idx="10">
                  <c:v>3.5849056603773584E-2</c:v>
                </c:pt>
                <c:pt idx="11">
                  <c:v>3.2075471698113207E-2</c:v>
                </c:pt>
                <c:pt idx="12">
                  <c:v>2.8301886792452831E-2</c:v>
                </c:pt>
                <c:pt idx="13">
                  <c:v>2.4528301886792454E-2</c:v>
                </c:pt>
                <c:pt idx="14">
                  <c:v>2.0754716981132074E-2</c:v>
                </c:pt>
                <c:pt idx="15">
                  <c:v>1.8867924528301886E-2</c:v>
                </c:pt>
                <c:pt idx="16">
                  <c:v>1.6981132075471698E-2</c:v>
                </c:pt>
                <c:pt idx="17">
                  <c:v>1.6981132075471698E-2</c:v>
                </c:pt>
                <c:pt idx="18">
                  <c:v>1.509433962264151E-2</c:v>
                </c:pt>
                <c:pt idx="19">
                  <c:v>1.509433962264151E-2</c:v>
                </c:pt>
                <c:pt idx="20">
                  <c:v>1.3207547169811321E-2</c:v>
                </c:pt>
                <c:pt idx="21">
                  <c:v>1.1320754716981131E-2</c:v>
                </c:pt>
                <c:pt idx="22">
                  <c:v>1.1320754716981131E-2</c:v>
                </c:pt>
                <c:pt idx="23">
                  <c:v>1.1320754716981131E-2</c:v>
                </c:pt>
                <c:pt idx="24">
                  <c:v>7.5471698113207548E-3</c:v>
                </c:pt>
                <c:pt idx="25">
                  <c:v>3.7735849056603774E-3</c:v>
                </c:pt>
                <c:pt idx="26">
                  <c:v>3.7735849056603774E-3</c:v>
                </c:pt>
                <c:pt idx="27">
                  <c:v>1.8867924528301887E-3</c:v>
                </c:pt>
                <c:pt idx="28">
                  <c:v>1.8867924528301887E-3</c:v>
                </c:pt>
                <c:pt idx="29">
                  <c:v>1.8867924528301887E-3</c:v>
                </c:pt>
                <c:pt idx="30">
                  <c:v>1.8867924528301887E-3</c:v>
                </c:pt>
                <c:pt idx="31">
                  <c:v>1.8867924528301887E-3</c:v>
                </c:pt>
                <c:pt idx="32">
                  <c:v>1.8867924528301887E-3</c:v>
                </c:pt>
                <c:pt idx="33">
                  <c:v>1.8867924528301887E-3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'Summary USA'!$AA$3:$AA$48</c:f>
              <c:numCache>
                <c:formatCode>0%</c:formatCode>
                <c:ptCount val="46"/>
                <c:pt idx="0">
                  <c:v>1</c:v>
                </c:pt>
                <c:pt idx="1">
                  <c:v>0.96965042003995472</c:v>
                </c:pt>
                <c:pt idx="2">
                  <c:v>0.92398261984243901</c:v>
                </c:pt>
                <c:pt idx="3">
                  <c:v>0.8507985418850218</c:v>
                </c:pt>
                <c:pt idx="4">
                  <c:v>0.7913782132778826</c:v>
                </c:pt>
                <c:pt idx="5">
                  <c:v>0.71210341884834139</c:v>
                </c:pt>
                <c:pt idx="6">
                  <c:v>0.66629564675723763</c:v>
                </c:pt>
                <c:pt idx="7">
                  <c:v>0.60177093626982947</c:v>
                </c:pt>
                <c:pt idx="8">
                  <c:v>0.50822523090187643</c:v>
                </c:pt>
                <c:pt idx="9">
                  <c:v>0.45623493077770427</c:v>
                </c:pt>
                <c:pt idx="10">
                  <c:v>0.42091545147357456</c:v>
                </c:pt>
                <c:pt idx="11">
                  <c:v>0.39505163267202864</c:v>
                </c:pt>
                <c:pt idx="12">
                  <c:v>0.36575880623057944</c:v>
                </c:pt>
                <c:pt idx="13">
                  <c:v>0.33412491824410961</c:v>
                </c:pt>
                <c:pt idx="14">
                  <c:v>0.30107416943757281</c:v>
                </c:pt>
                <c:pt idx="15">
                  <c:v>0.28349297159128117</c:v>
                </c:pt>
                <c:pt idx="16">
                  <c:v>0.26436479563103821</c:v>
                </c:pt>
                <c:pt idx="17">
                  <c:v>0.26436479563103821</c:v>
                </c:pt>
                <c:pt idx="18">
                  <c:v>0.24270273310975429</c:v>
                </c:pt>
                <c:pt idx="19">
                  <c:v>0.24270273310975429</c:v>
                </c:pt>
                <c:pt idx="20">
                  <c:v>0.21893445501721773</c:v>
                </c:pt>
                <c:pt idx="21">
                  <c:v>0.19389409816747061</c:v>
                </c:pt>
                <c:pt idx="22">
                  <c:v>0.19389409816747061</c:v>
                </c:pt>
                <c:pt idx="23">
                  <c:v>0.19389409816747061</c:v>
                </c:pt>
                <c:pt idx="24">
                  <c:v>0.13561269339404888</c:v>
                </c:pt>
                <c:pt idx="25">
                  <c:v>7.458680495403032E-2</c:v>
                </c:pt>
                <c:pt idx="26">
                  <c:v>7.458680495403032E-2</c:v>
                </c:pt>
                <c:pt idx="27">
                  <c:v>4.1315236971784346E-2</c:v>
                </c:pt>
                <c:pt idx="28">
                  <c:v>4.1315236971784346E-2</c:v>
                </c:pt>
                <c:pt idx="29">
                  <c:v>4.1315236971784346E-2</c:v>
                </c:pt>
                <c:pt idx="30">
                  <c:v>4.1315236971784346E-2</c:v>
                </c:pt>
                <c:pt idx="31">
                  <c:v>4.1315236971784346E-2</c:v>
                </c:pt>
                <c:pt idx="32">
                  <c:v>4.1315236971784346E-2</c:v>
                </c:pt>
                <c:pt idx="33">
                  <c:v>4.1315236971784346E-2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79744"/>
        <c:axId val="298081664"/>
      </c:scatterChart>
      <c:valAx>
        <c:axId val="29807974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Movies Released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98081664"/>
        <c:crosses val="autoZero"/>
        <c:crossBetween val="midCat"/>
        <c:majorUnit val="0.1"/>
      </c:valAx>
      <c:valAx>
        <c:axId val="29808166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Percent</a:t>
                </a:r>
                <a:r>
                  <a:rPr lang="en-US" sz="1400" baseline="0"/>
                  <a:t> Movie Sales</a:t>
                </a:r>
                <a:endParaRPr lang="en-US" sz="140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980797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939902608636959"/>
          <c:y val="0.27258443618030598"/>
          <c:w val="0.13067203416293224"/>
          <c:h val="0.3419486284531056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Movie</a:t>
            </a:r>
            <a:r>
              <a:rPr lang="en-US" baseline="0"/>
              <a:t> release dates by month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USA'!$H$69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USA'!$H$70:$H$81</c:f>
              <c:numCache>
                <c:formatCode>0%</c:formatCode>
                <c:ptCount val="12"/>
                <c:pt idx="0">
                  <c:v>5.2545155993431854E-2</c:v>
                </c:pt>
                <c:pt idx="1">
                  <c:v>7.0607553366174053E-2</c:v>
                </c:pt>
                <c:pt idx="2">
                  <c:v>0.10180623973727422</c:v>
                </c:pt>
                <c:pt idx="3">
                  <c:v>0.10016420361247948</c:v>
                </c:pt>
                <c:pt idx="4">
                  <c:v>6.5681444991789822E-2</c:v>
                </c:pt>
                <c:pt idx="5">
                  <c:v>8.7027914614121515E-2</c:v>
                </c:pt>
                <c:pt idx="6">
                  <c:v>7.0607553366174053E-2</c:v>
                </c:pt>
                <c:pt idx="7">
                  <c:v>8.3743842364532015E-2</c:v>
                </c:pt>
                <c:pt idx="8">
                  <c:v>0.10509031198686371</c:v>
                </c:pt>
                <c:pt idx="9">
                  <c:v>9.688013136288999E-2</c:v>
                </c:pt>
                <c:pt idx="10">
                  <c:v>7.8817733990147784E-2</c:v>
                </c:pt>
                <c:pt idx="11">
                  <c:v>8.7027914614121515E-2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USA'!$I$70:$I$81</c:f>
              <c:numCache>
                <c:formatCode>0%</c:formatCode>
                <c:ptCount val="12"/>
                <c:pt idx="0">
                  <c:v>4.8742138364779877E-2</c:v>
                </c:pt>
                <c:pt idx="1">
                  <c:v>6.2893081761006289E-2</c:v>
                </c:pt>
                <c:pt idx="2">
                  <c:v>9.7484276729559755E-2</c:v>
                </c:pt>
                <c:pt idx="3">
                  <c:v>8.8050314465408799E-2</c:v>
                </c:pt>
                <c:pt idx="4">
                  <c:v>8.4905660377358486E-2</c:v>
                </c:pt>
                <c:pt idx="5">
                  <c:v>9.1194968553459113E-2</c:v>
                </c:pt>
                <c:pt idx="6">
                  <c:v>6.761006289308176E-2</c:v>
                </c:pt>
                <c:pt idx="7">
                  <c:v>0.10534591194968554</c:v>
                </c:pt>
                <c:pt idx="8">
                  <c:v>8.4905660377358486E-2</c:v>
                </c:pt>
                <c:pt idx="9">
                  <c:v>9.4339622641509441E-2</c:v>
                </c:pt>
                <c:pt idx="10">
                  <c:v>9.9056603773584911E-2</c:v>
                </c:pt>
                <c:pt idx="11">
                  <c:v>7.5471698113207544E-2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USA'!$J$70:$J$81</c:f>
              <c:numCache>
                <c:formatCode>0%</c:formatCode>
                <c:ptCount val="12"/>
                <c:pt idx="0">
                  <c:v>6.4516129032258063E-2</c:v>
                </c:pt>
                <c:pt idx="1">
                  <c:v>9.0322580645161285E-2</c:v>
                </c:pt>
                <c:pt idx="2">
                  <c:v>9.0322580645161285E-2</c:v>
                </c:pt>
                <c:pt idx="3">
                  <c:v>8.7096774193548387E-2</c:v>
                </c:pt>
                <c:pt idx="4">
                  <c:v>8.2258064516129034E-2</c:v>
                </c:pt>
                <c:pt idx="5">
                  <c:v>7.5806451612903225E-2</c:v>
                </c:pt>
                <c:pt idx="6">
                  <c:v>7.9032258064516123E-2</c:v>
                </c:pt>
                <c:pt idx="7">
                  <c:v>8.8709677419354843E-2</c:v>
                </c:pt>
                <c:pt idx="8">
                  <c:v>7.7419354838709681E-2</c:v>
                </c:pt>
                <c:pt idx="9">
                  <c:v>0.12580645161290321</c:v>
                </c:pt>
                <c:pt idx="10">
                  <c:v>7.2580645161290328E-2</c:v>
                </c:pt>
                <c:pt idx="11">
                  <c:v>6.6129032258064518E-2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USA'!$K$70:$K$81</c:f>
              <c:numCache>
                <c:formatCode>0%</c:formatCode>
                <c:ptCount val="12"/>
                <c:pt idx="0">
                  <c:v>6.7150635208711437E-2</c:v>
                </c:pt>
                <c:pt idx="1">
                  <c:v>6.5335753176043551E-2</c:v>
                </c:pt>
                <c:pt idx="2">
                  <c:v>9.2558983666061703E-2</c:v>
                </c:pt>
                <c:pt idx="3">
                  <c:v>7.985480943738657E-2</c:v>
                </c:pt>
                <c:pt idx="4">
                  <c:v>7.985480943738657E-2</c:v>
                </c:pt>
                <c:pt idx="5">
                  <c:v>7.985480943738657E-2</c:v>
                </c:pt>
                <c:pt idx="6">
                  <c:v>9.2558983666061703E-2</c:v>
                </c:pt>
                <c:pt idx="7">
                  <c:v>9.0744101633393831E-2</c:v>
                </c:pt>
                <c:pt idx="8">
                  <c:v>9.2558983666061703E-2</c:v>
                </c:pt>
                <c:pt idx="9">
                  <c:v>0.11252268602540835</c:v>
                </c:pt>
                <c:pt idx="10">
                  <c:v>8.7114337568058073E-2</c:v>
                </c:pt>
                <c:pt idx="11">
                  <c:v>5.9891107078039928E-2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USA'!$L$70:$L$81</c:f>
              <c:numCache>
                <c:formatCode>0%</c:formatCode>
                <c:ptCount val="12"/>
                <c:pt idx="0">
                  <c:v>8.3018867924528297E-2</c:v>
                </c:pt>
                <c:pt idx="1">
                  <c:v>8.3018867924528297E-2</c:v>
                </c:pt>
                <c:pt idx="2">
                  <c:v>8.3018867924528297E-2</c:v>
                </c:pt>
                <c:pt idx="3">
                  <c:v>0.10377358490566038</c:v>
                </c:pt>
                <c:pt idx="4">
                  <c:v>7.1698113207547168E-2</c:v>
                </c:pt>
                <c:pt idx="5">
                  <c:v>8.4905660377358486E-2</c:v>
                </c:pt>
                <c:pt idx="6">
                  <c:v>7.3584905660377356E-2</c:v>
                </c:pt>
                <c:pt idx="7">
                  <c:v>7.7358490566037733E-2</c:v>
                </c:pt>
                <c:pt idx="8">
                  <c:v>0.10943396226415095</c:v>
                </c:pt>
                <c:pt idx="9">
                  <c:v>9.6226415094339629E-2</c:v>
                </c:pt>
                <c:pt idx="10">
                  <c:v>6.0377358490566038E-2</c:v>
                </c:pt>
                <c:pt idx="11">
                  <c:v>7.3584905660377356E-2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114048"/>
        <c:axId val="307729152"/>
      </c:lineChart>
      <c:dateAx>
        <c:axId val="298114048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307729152"/>
        <c:crosses val="autoZero"/>
        <c:auto val="1"/>
        <c:lblOffset val="100"/>
        <c:baseTimeUnit val="months"/>
      </c:dateAx>
      <c:valAx>
        <c:axId val="307729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Movie releases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9811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release dates by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USA'!$M$70:$M$81</c:f>
              <c:numCache>
                <c:formatCode>0%</c:formatCode>
                <c:ptCount val="12"/>
                <c:pt idx="0">
                  <c:v>5.2545155993431854E-2</c:v>
                </c:pt>
                <c:pt idx="1">
                  <c:v>0.1231527093596059</c:v>
                </c:pt>
                <c:pt idx="2">
                  <c:v>0.22495894909688013</c:v>
                </c:pt>
                <c:pt idx="3">
                  <c:v>0.3251231527093596</c:v>
                </c:pt>
                <c:pt idx="4">
                  <c:v>0.39080459770114939</c:v>
                </c:pt>
                <c:pt idx="5">
                  <c:v>0.47783251231527091</c:v>
                </c:pt>
                <c:pt idx="6">
                  <c:v>0.54844006568144499</c:v>
                </c:pt>
                <c:pt idx="7">
                  <c:v>0.63218390804597702</c:v>
                </c:pt>
                <c:pt idx="8">
                  <c:v>0.73727422003284071</c:v>
                </c:pt>
                <c:pt idx="9">
                  <c:v>0.83415435139573069</c:v>
                </c:pt>
                <c:pt idx="10">
                  <c:v>0.91297208538587848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USA'!$N$70:$N$81</c:f>
              <c:numCache>
                <c:formatCode>0%</c:formatCode>
                <c:ptCount val="12"/>
                <c:pt idx="0">
                  <c:v>4.8742138364779877E-2</c:v>
                </c:pt>
                <c:pt idx="1">
                  <c:v>0.11163522012578617</c:v>
                </c:pt>
                <c:pt idx="2">
                  <c:v>0.20911949685534592</c:v>
                </c:pt>
                <c:pt idx="3">
                  <c:v>0.29716981132075471</c:v>
                </c:pt>
                <c:pt idx="4">
                  <c:v>0.38207547169811318</c:v>
                </c:pt>
                <c:pt idx="5">
                  <c:v>0.47327044025157228</c:v>
                </c:pt>
                <c:pt idx="6">
                  <c:v>0.54088050314465408</c:v>
                </c:pt>
                <c:pt idx="7">
                  <c:v>0.64622641509433965</c:v>
                </c:pt>
                <c:pt idx="8">
                  <c:v>0.73113207547169812</c:v>
                </c:pt>
                <c:pt idx="9">
                  <c:v>0.82547169811320753</c:v>
                </c:pt>
                <c:pt idx="10">
                  <c:v>0.92452830188679247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USA'!$O$70:$O$81</c:f>
              <c:numCache>
                <c:formatCode>0%</c:formatCode>
                <c:ptCount val="12"/>
                <c:pt idx="0">
                  <c:v>6.4516129032258063E-2</c:v>
                </c:pt>
                <c:pt idx="1">
                  <c:v>0.15483870967741936</c:v>
                </c:pt>
                <c:pt idx="2">
                  <c:v>0.24516129032258066</c:v>
                </c:pt>
                <c:pt idx="3">
                  <c:v>0.33225806451612905</c:v>
                </c:pt>
                <c:pt idx="4">
                  <c:v>0.4145161290322581</c:v>
                </c:pt>
                <c:pt idx="5">
                  <c:v>0.49032258064516132</c:v>
                </c:pt>
                <c:pt idx="6">
                  <c:v>0.5693548387096774</c:v>
                </c:pt>
                <c:pt idx="7">
                  <c:v>0.65806451612903227</c:v>
                </c:pt>
                <c:pt idx="8">
                  <c:v>0.73548387096774193</c:v>
                </c:pt>
                <c:pt idx="9">
                  <c:v>0.8612903225806452</c:v>
                </c:pt>
                <c:pt idx="10">
                  <c:v>0.93387096774193556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USA'!$P$70:$P$81</c:f>
              <c:numCache>
                <c:formatCode>0%</c:formatCode>
                <c:ptCount val="12"/>
                <c:pt idx="0">
                  <c:v>6.7150635208711437E-2</c:v>
                </c:pt>
                <c:pt idx="1">
                  <c:v>0.13248638838475499</c:v>
                </c:pt>
                <c:pt idx="2">
                  <c:v>0.22504537205081671</c:v>
                </c:pt>
                <c:pt idx="3">
                  <c:v>0.3049001814882033</c:v>
                </c:pt>
                <c:pt idx="4">
                  <c:v>0.38475499092558985</c:v>
                </c:pt>
                <c:pt idx="5">
                  <c:v>0.46460980036297639</c:v>
                </c:pt>
                <c:pt idx="6">
                  <c:v>0.55716878402903813</c:v>
                </c:pt>
                <c:pt idx="7">
                  <c:v>0.64791288566243199</c:v>
                </c:pt>
                <c:pt idx="8">
                  <c:v>0.74047186932849374</c:v>
                </c:pt>
                <c:pt idx="9">
                  <c:v>0.85299455535390212</c:v>
                </c:pt>
                <c:pt idx="10">
                  <c:v>0.9401088929219602</c:v>
                </c:pt>
                <c:pt idx="11">
                  <c:v>1.0000000000000002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USA'!$Q$70:$Q$81</c:f>
              <c:numCache>
                <c:formatCode>0%</c:formatCode>
                <c:ptCount val="12"/>
                <c:pt idx="0">
                  <c:v>8.3018867924528297E-2</c:v>
                </c:pt>
                <c:pt idx="1">
                  <c:v>0.16603773584905659</c:v>
                </c:pt>
                <c:pt idx="2">
                  <c:v>0.24905660377358491</c:v>
                </c:pt>
                <c:pt idx="3">
                  <c:v>0.35283018867924532</c:v>
                </c:pt>
                <c:pt idx="4">
                  <c:v>0.42452830188679247</c:v>
                </c:pt>
                <c:pt idx="5">
                  <c:v>0.50943396226415094</c:v>
                </c:pt>
                <c:pt idx="6">
                  <c:v>0.58301886792452828</c:v>
                </c:pt>
                <c:pt idx="7">
                  <c:v>0.660377358490566</c:v>
                </c:pt>
                <c:pt idx="8">
                  <c:v>0.76981132075471692</c:v>
                </c:pt>
                <c:pt idx="9">
                  <c:v>0.86603773584905652</c:v>
                </c:pt>
                <c:pt idx="10">
                  <c:v>0.92641509433962255</c:v>
                </c:pt>
                <c:pt idx="11">
                  <c:v>0.99999999999999989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749632"/>
        <c:axId val="307751168"/>
      </c:lineChart>
      <c:dateAx>
        <c:axId val="307749632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307751168"/>
        <c:crosses val="autoZero"/>
        <c:auto val="1"/>
        <c:lblOffset val="100"/>
        <c:baseTimeUnit val="months"/>
      </c:dateAx>
      <c:valAx>
        <c:axId val="30775116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Cumulative</a:t>
                </a:r>
                <a:r>
                  <a:rPr lang="en-US" sz="1200" baseline="0"/>
                  <a:t> movie releases</a:t>
                </a:r>
                <a:endParaRPr lang="en-US" sz="120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307749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Block</a:t>
            </a:r>
            <a:r>
              <a:rPr lang="en-US" baseline="0"/>
              <a:t>buster release dates by month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USA'!$H$69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USA'!$H$86:$H$97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0</c:v>
                </c:pt>
                <c:pt idx="4">
                  <c:v>0.25</c:v>
                </c:pt>
                <c:pt idx="5">
                  <c:v>0.1875</c:v>
                </c:pt>
                <c:pt idx="6">
                  <c:v>6.25E-2</c:v>
                </c:pt>
                <c:pt idx="7">
                  <c:v>6.25E-2</c:v>
                </c:pt>
                <c:pt idx="8">
                  <c:v>0</c:v>
                </c:pt>
                <c:pt idx="9">
                  <c:v>6.25E-2</c:v>
                </c:pt>
                <c:pt idx="10">
                  <c:v>0.1875</c:v>
                </c:pt>
                <c:pt idx="11">
                  <c:v>0.125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USA'!$I$86:$I$97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9.5238095238095233E-2</c:v>
                </c:pt>
                <c:pt idx="3">
                  <c:v>0</c:v>
                </c:pt>
                <c:pt idx="4">
                  <c:v>0.14285714285714285</c:v>
                </c:pt>
                <c:pt idx="5">
                  <c:v>0.19047619047619047</c:v>
                </c:pt>
                <c:pt idx="6">
                  <c:v>0.14285714285714285</c:v>
                </c:pt>
                <c:pt idx="7">
                  <c:v>9.5238095238095233E-2</c:v>
                </c:pt>
                <c:pt idx="8">
                  <c:v>0</c:v>
                </c:pt>
                <c:pt idx="9">
                  <c:v>0</c:v>
                </c:pt>
                <c:pt idx="10">
                  <c:v>0.14285714285714285</c:v>
                </c:pt>
                <c:pt idx="11">
                  <c:v>0.19047619047619047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USA'!$J$86:$J$97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</c:v>
                </c:pt>
                <c:pt idx="4">
                  <c:v>0.2</c:v>
                </c:pt>
                <c:pt idx="5">
                  <c:v>0.25</c:v>
                </c:pt>
                <c:pt idx="6">
                  <c:v>0.15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0.15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USA'!$K$86:$K$97</c:f>
              <c:numCache>
                <c:formatCode>0%</c:formatCode>
                <c:ptCount val="12"/>
                <c:pt idx="0">
                  <c:v>8.6956521739130432E-2</c:v>
                </c:pt>
                <c:pt idx="1">
                  <c:v>0</c:v>
                </c:pt>
                <c:pt idx="2">
                  <c:v>4.3478260869565216E-2</c:v>
                </c:pt>
                <c:pt idx="3">
                  <c:v>4.3478260869565216E-2</c:v>
                </c:pt>
                <c:pt idx="4">
                  <c:v>0.2608695652173913</c:v>
                </c:pt>
                <c:pt idx="5">
                  <c:v>0.13043478260869565</c:v>
                </c:pt>
                <c:pt idx="6">
                  <c:v>8.6956521739130432E-2</c:v>
                </c:pt>
                <c:pt idx="7">
                  <c:v>4.3478260869565216E-2</c:v>
                </c:pt>
                <c:pt idx="8">
                  <c:v>0</c:v>
                </c:pt>
                <c:pt idx="9">
                  <c:v>0</c:v>
                </c:pt>
                <c:pt idx="10">
                  <c:v>0.17391304347826086</c:v>
                </c:pt>
                <c:pt idx="11">
                  <c:v>0.13043478260869565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USA'!$L$86:$L$97</c:f>
              <c:numCache>
                <c:formatCode>0%</c:formatCode>
                <c:ptCount val="12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5.2631578947368418E-2</c:v>
                </c:pt>
                <c:pt idx="4">
                  <c:v>0.10526315789473684</c:v>
                </c:pt>
                <c:pt idx="5">
                  <c:v>0.21052631578947367</c:v>
                </c:pt>
                <c:pt idx="6">
                  <c:v>0.15789473684210525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0.15789473684210525</c:v>
                </c:pt>
                <c:pt idx="11">
                  <c:v>0.15789473684210525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488256"/>
        <c:axId val="329489792"/>
      </c:lineChart>
      <c:dateAx>
        <c:axId val="329488256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329489792"/>
        <c:crosses val="autoZero"/>
        <c:auto val="1"/>
        <c:lblOffset val="100"/>
        <c:baseTimeUnit val="months"/>
      </c:dateAx>
      <c:valAx>
        <c:axId val="329489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Blockbuster releases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32948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blockbuster release dates by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USA'!$M$86:$M$97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6.25E-2</c:v>
                </c:pt>
                <c:pt idx="4">
                  <c:v>0.3125</c:v>
                </c:pt>
                <c:pt idx="5">
                  <c:v>0.5</c:v>
                </c:pt>
                <c:pt idx="6">
                  <c:v>0.5625</c:v>
                </c:pt>
                <c:pt idx="7">
                  <c:v>0.625</c:v>
                </c:pt>
                <c:pt idx="8">
                  <c:v>0.625</c:v>
                </c:pt>
                <c:pt idx="9">
                  <c:v>0.6875</c:v>
                </c:pt>
                <c:pt idx="10">
                  <c:v>0.875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USA'!$N$86:$N$97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9.5238095238095233E-2</c:v>
                </c:pt>
                <c:pt idx="3">
                  <c:v>9.5238095238095233E-2</c:v>
                </c:pt>
                <c:pt idx="4">
                  <c:v>0.23809523809523808</c:v>
                </c:pt>
                <c:pt idx="5">
                  <c:v>0.42857142857142855</c:v>
                </c:pt>
                <c:pt idx="6">
                  <c:v>0.5714285714285714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0.80952380952380953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USA'!$O$86:$O$97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0.25</c:v>
                </c:pt>
                <c:pt idx="5">
                  <c:v>0.5</c:v>
                </c:pt>
                <c:pt idx="6">
                  <c:v>0.65</c:v>
                </c:pt>
                <c:pt idx="7">
                  <c:v>0.65</c:v>
                </c:pt>
                <c:pt idx="8">
                  <c:v>0.65</c:v>
                </c:pt>
                <c:pt idx="9">
                  <c:v>0.65</c:v>
                </c:pt>
                <c:pt idx="10">
                  <c:v>0.85000000000000009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USA'!$P$86:$P$97</c:f>
              <c:numCache>
                <c:formatCode>0%</c:formatCode>
                <c:ptCount val="12"/>
                <c:pt idx="0">
                  <c:v>8.6956521739130432E-2</c:v>
                </c:pt>
                <c:pt idx="1">
                  <c:v>8.6956521739130432E-2</c:v>
                </c:pt>
                <c:pt idx="2">
                  <c:v>0.13043478260869565</c:v>
                </c:pt>
                <c:pt idx="3">
                  <c:v>0.17391304347826086</c:v>
                </c:pt>
                <c:pt idx="4">
                  <c:v>0.43478260869565216</c:v>
                </c:pt>
                <c:pt idx="5">
                  <c:v>0.56521739130434778</c:v>
                </c:pt>
                <c:pt idx="6">
                  <c:v>0.65217391304347827</c:v>
                </c:pt>
                <c:pt idx="7">
                  <c:v>0.69565217391304346</c:v>
                </c:pt>
                <c:pt idx="8">
                  <c:v>0.69565217391304346</c:v>
                </c:pt>
                <c:pt idx="9">
                  <c:v>0.69565217391304346</c:v>
                </c:pt>
                <c:pt idx="10">
                  <c:v>0.86956521739130432</c:v>
                </c:pt>
                <c:pt idx="1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USA'!$Q$86:$Q$97</c:f>
              <c:numCache>
                <c:formatCode>0%</c:formatCode>
                <c:ptCount val="12"/>
                <c:pt idx="0">
                  <c:v>0</c:v>
                </c:pt>
                <c:pt idx="1">
                  <c:v>5.2631578947368418E-2</c:v>
                </c:pt>
                <c:pt idx="2">
                  <c:v>0.15789473684210525</c:v>
                </c:pt>
                <c:pt idx="3">
                  <c:v>0.21052631578947367</c:v>
                </c:pt>
                <c:pt idx="4">
                  <c:v>0.31578947368421051</c:v>
                </c:pt>
                <c:pt idx="5">
                  <c:v>0.52631578947368418</c:v>
                </c:pt>
                <c:pt idx="6">
                  <c:v>0.68421052631578938</c:v>
                </c:pt>
                <c:pt idx="7">
                  <c:v>0.68421052631578938</c:v>
                </c:pt>
                <c:pt idx="8">
                  <c:v>0.68421052631578938</c:v>
                </c:pt>
                <c:pt idx="9">
                  <c:v>0.68421052631578938</c:v>
                </c:pt>
                <c:pt idx="10">
                  <c:v>0.84210526315789469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681920"/>
        <c:axId val="329687808"/>
      </c:lineChart>
      <c:dateAx>
        <c:axId val="329681920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329687808"/>
        <c:crosses val="autoZero"/>
        <c:auto val="1"/>
        <c:lblOffset val="100"/>
        <c:baseTimeUnit val="months"/>
      </c:dateAx>
      <c:valAx>
        <c:axId val="32968780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</a:t>
                </a:r>
                <a:r>
                  <a:rPr lang="en-US" sz="1200" baseline="0"/>
                  <a:t>e movie releases</a:t>
                </a:r>
                <a:endParaRPr lang="en-US" sz="120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329681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sales by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USA'!$AG$70:$AG$81</c:f>
              <c:numCache>
                <c:formatCode>0%</c:formatCode>
                <c:ptCount val="12"/>
                <c:pt idx="0">
                  <c:v>4.1030079034237922E-2</c:v>
                </c:pt>
                <c:pt idx="1">
                  <c:v>9.8694578523492948E-2</c:v>
                </c:pt>
                <c:pt idx="2">
                  <c:v>0.18759509187467555</c:v>
                </c:pt>
                <c:pt idx="3">
                  <c:v>0.24455205921576528</c:v>
                </c:pt>
                <c:pt idx="4">
                  <c:v>0.34218409282063061</c:v>
                </c:pt>
                <c:pt idx="5">
                  <c:v>0.46798464828606179</c:v>
                </c:pt>
                <c:pt idx="6">
                  <c:v>0.56948072893541424</c:v>
                </c:pt>
                <c:pt idx="7">
                  <c:v>0.64244105050542322</c:v>
                </c:pt>
                <c:pt idx="8">
                  <c:v>0.704378454528784</c:v>
                </c:pt>
                <c:pt idx="9">
                  <c:v>0.77013882429722313</c:v>
                </c:pt>
                <c:pt idx="10">
                  <c:v>0.86408420903695216</c:v>
                </c:pt>
                <c:pt idx="11">
                  <c:v>0.99999999999999989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USA'!$AH$70:$AH$81</c:f>
              <c:numCache>
                <c:formatCode>0%</c:formatCode>
                <c:ptCount val="12"/>
                <c:pt idx="0">
                  <c:v>2.7444426601523346E-2</c:v>
                </c:pt>
                <c:pt idx="1">
                  <c:v>9.1974045320733083E-2</c:v>
                </c:pt>
                <c:pt idx="2">
                  <c:v>0.18683824400562649</c:v>
                </c:pt>
                <c:pt idx="3">
                  <c:v>0.22852760345945108</c:v>
                </c:pt>
                <c:pt idx="4">
                  <c:v>0.34080393070051879</c:v>
                </c:pt>
                <c:pt idx="5">
                  <c:v>0.45593045067137927</c:v>
                </c:pt>
                <c:pt idx="6">
                  <c:v>0.57566381801067346</c:v>
                </c:pt>
                <c:pt idx="7">
                  <c:v>0.665879726669658</c:v>
                </c:pt>
                <c:pt idx="8">
                  <c:v>0.71519420961026026</c:v>
                </c:pt>
                <c:pt idx="9">
                  <c:v>0.76202605996196493</c:v>
                </c:pt>
                <c:pt idx="10">
                  <c:v>0.85162966315657973</c:v>
                </c:pt>
                <c:pt idx="11">
                  <c:v>0.99999999999999978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USA'!$AI$70:$AI$81</c:f>
              <c:numCache>
                <c:formatCode>0%</c:formatCode>
                <c:ptCount val="12"/>
                <c:pt idx="0">
                  <c:v>4.0431465179048866E-2</c:v>
                </c:pt>
                <c:pt idx="1">
                  <c:v>0.10844826467317009</c:v>
                </c:pt>
                <c:pt idx="2">
                  <c:v>0.17256906651818787</c:v>
                </c:pt>
                <c:pt idx="3">
                  <c:v>0.21929951429664951</c:v>
                </c:pt>
                <c:pt idx="4">
                  <c:v>0.339562794476441</c:v>
                </c:pt>
                <c:pt idx="5">
                  <c:v>0.44975431895748863</c:v>
                </c:pt>
                <c:pt idx="6">
                  <c:v>0.58078547151945692</c:v>
                </c:pt>
                <c:pt idx="7">
                  <c:v>0.64850367284041288</c:v>
                </c:pt>
                <c:pt idx="8">
                  <c:v>0.69985015286472951</c:v>
                </c:pt>
                <c:pt idx="9">
                  <c:v>0.76617665675638946</c:v>
                </c:pt>
                <c:pt idx="10">
                  <c:v>0.8822555193963687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USA'!$AJ$70:$AJ$81</c:f>
              <c:numCache>
                <c:formatCode>0%</c:formatCode>
                <c:ptCount val="12"/>
                <c:pt idx="0">
                  <c:v>6.2684570293168054E-2</c:v>
                </c:pt>
                <c:pt idx="1">
                  <c:v>0.11319942247234963</c:v>
                </c:pt>
                <c:pt idx="2">
                  <c:v>0.17701968009938304</c:v>
                </c:pt>
                <c:pt idx="3">
                  <c:v>0.22899492269464938</c:v>
                </c:pt>
                <c:pt idx="4">
                  <c:v>0.35023180648189434</c:v>
                </c:pt>
                <c:pt idx="5">
                  <c:v>0.45371986979543072</c:v>
                </c:pt>
                <c:pt idx="6">
                  <c:v>0.55172411216960526</c:v>
                </c:pt>
                <c:pt idx="7">
                  <c:v>0.62029303681626446</c:v>
                </c:pt>
                <c:pt idx="8">
                  <c:v>0.67407079971684858</c:v>
                </c:pt>
                <c:pt idx="9">
                  <c:v>0.73119471511269307</c:v>
                </c:pt>
                <c:pt idx="10">
                  <c:v>0.84745267946314551</c:v>
                </c:pt>
                <c:pt idx="1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USA'!$A$70:$A$81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USA'!$AK$70:$AK$81</c:f>
              <c:numCache>
                <c:formatCode>0%</c:formatCode>
                <c:ptCount val="12"/>
                <c:pt idx="0">
                  <c:v>3.9271894190672257E-2</c:v>
                </c:pt>
                <c:pt idx="1">
                  <c:v>9.9493424861252094E-2</c:v>
                </c:pt>
                <c:pt idx="2">
                  <c:v>0.19896054626538207</c:v>
                </c:pt>
                <c:pt idx="3">
                  <c:v>0.25936404191091572</c:v>
                </c:pt>
                <c:pt idx="4">
                  <c:v>0.35349720379852639</c:v>
                </c:pt>
                <c:pt idx="5">
                  <c:v>0.49387654674936582</c:v>
                </c:pt>
                <c:pt idx="6">
                  <c:v>0.60520855542191732</c:v>
                </c:pt>
                <c:pt idx="7">
                  <c:v>0.66882887981623829</c:v>
                </c:pt>
                <c:pt idx="8">
                  <c:v>0.71936069102046452</c:v>
                </c:pt>
                <c:pt idx="9">
                  <c:v>0.78381851750548304</c:v>
                </c:pt>
                <c:pt idx="10">
                  <c:v>0.89685170458960961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73920"/>
        <c:axId val="132675456"/>
      </c:lineChart>
      <c:dateAx>
        <c:axId val="132673920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32675456"/>
        <c:crosses val="autoZero"/>
        <c:auto val="1"/>
        <c:lblOffset val="100"/>
        <c:baseTimeUnit val="months"/>
      </c:dateAx>
      <c:valAx>
        <c:axId val="13267545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Cumulative</a:t>
                </a:r>
                <a:r>
                  <a:rPr lang="en-US" sz="1200" baseline="0"/>
                  <a:t> movie sales</a:t>
                </a:r>
                <a:endParaRPr lang="en-US" sz="120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3267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Blockbuster sales by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USA'!$AB$85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USA'!$AB$86:$AB$97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6.2416532253354348E-2</c:v>
                </c:pt>
                <c:pt idx="3">
                  <c:v>0</c:v>
                </c:pt>
                <c:pt idx="4">
                  <c:v>0.23659579913206574</c:v>
                </c:pt>
                <c:pt idx="5">
                  <c:v>0.18583298340286128</c:v>
                </c:pt>
                <c:pt idx="6">
                  <c:v>0.13526760370588739</c:v>
                </c:pt>
                <c:pt idx="7">
                  <c:v>4.7360546843800123E-2</c:v>
                </c:pt>
                <c:pt idx="8">
                  <c:v>0</c:v>
                </c:pt>
                <c:pt idx="9">
                  <c:v>4.2598596618534899E-2</c:v>
                </c:pt>
                <c:pt idx="10">
                  <c:v>0.15781310788461955</c:v>
                </c:pt>
                <c:pt idx="11">
                  <c:v>0.13211483015887665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USA'!$AC$86:$AC$97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8.703059120804911E-2</c:v>
                </c:pt>
                <c:pt idx="3">
                  <c:v>0</c:v>
                </c:pt>
                <c:pt idx="4">
                  <c:v>0.22253863199751256</c:v>
                </c:pt>
                <c:pt idx="5">
                  <c:v>0.1428174192848316</c:v>
                </c:pt>
                <c:pt idx="6">
                  <c:v>0.18249913679470958</c:v>
                </c:pt>
                <c:pt idx="7">
                  <c:v>8.4450313535308144E-2</c:v>
                </c:pt>
                <c:pt idx="8">
                  <c:v>0</c:v>
                </c:pt>
                <c:pt idx="9">
                  <c:v>0</c:v>
                </c:pt>
                <c:pt idx="10">
                  <c:v>8.8334177303010714E-2</c:v>
                </c:pt>
                <c:pt idx="11">
                  <c:v>0.19232972987657829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USA'!$AD$86:$AD$97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3.9310937047256717E-2</c:v>
                </c:pt>
                <c:pt idx="3">
                  <c:v>0</c:v>
                </c:pt>
                <c:pt idx="4">
                  <c:v>0.23655758963135295</c:v>
                </c:pt>
                <c:pt idx="5">
                  <c:v>0.21340307669894337</c:v>
                </c:pt>
                <c:pt idx="6">
                  <c:v>0.23033135617198136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0.17386857324441907</c:v>
                </c:pt>
                <c:pt idx="11">
                  <c:v>0.10652846720604653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USA'!$AE$86:$AE$97</c:f>
              <c:numCache>
                <c:formatCode>0%</c:formatCode>
                <c:ptCount val="12"/>
                <c:pt idx="0">
                  <c:v>5.4464288095675994E-2</c:v>
                </c:pt>
                <c:pt idx="1">
                  <c:v>0</c:v>
                </c:pt>
                <c:pt idx="2">
                  <c:v>3.7081004004823621E-2</c:v>
                </c:pt>
                <c:pt idx="3">
                  <c:v>2.8988628156407684E-2</c:v>
                </c:pt>
                <c:pt idx="4">
                  <c:v>0.21808348927610743</c:v>
                </c:pt>
                <c:pt idx="5">
                  <c:v>0.15766874972447564</c:v>
                </c:pt>
                <c:pt idx="6">
                  <c:v>9.319868068773185E-2</c:v>
                </c:pt>
                <c:pt idx="7">
                  <c:v>2.8079553816331652E-2</c:v>
                </c:pt>
                <c:pt idx="8">
                  <c:v>0</c:v>
                </c:pt>
                <c:pt idx="9">
                  <c:v>0</c:v>
                </c:pt>
                <c:pt idx="10">
                  <c:v>0.16012872124611349</c:v>
                </c:pt>
                <c:pt idx="11">
                  <c:v>0.22230688499233264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USA'!$AF$86:$AF$97</c:f>
              <c:numCache>
                <c:formatCode>0%</c:formatCode>
                <c:ptCount val="12"/>
                <c:pt idx="0">
                  <c:v>0</c:v>
                </c:pt>
                <c:pt idx="1">
                  <c:v>3.0278709294221186E-2</c:v>
                </c:pt>
                <c:pt idx="2">
                  <c:v>0.13050989292793555</c:v>
                </c:pt>
                <c:pt idx="3">
                  <c:v>3.860497523040031E-2</c:v>
                </c:pt>
                <c:pt idx="4">
                  <c:v>0.13036745001550848</c:v>
                </c:pt>
                <c:pt idx="5">
                  <c:v>0.24932684965969987</c:v>
                </c:pt>
                <c:pt idx="6">
                  <c:v>0.15986072261492912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0.1495951227150174</c:v>
                </c:pt>
                <c:pt idx="11">
                  <c:v>0.11145627754228807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07840"/>
        <c:axId val="132709376"/>
      </c:lineChart>
      <c:dateAx>
        <c:axId val="132707840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32709376"/>
        <c:crosses val="autoZero"/>
        <c:auto val="1"/>
        <c:lblOffset val="100"/>
        <c:baseTimeUnit val="months"/>
      </c:dateAx>
      <c:valAx>
        <c:axId val="13270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Blockbuster sales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32707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578947368421108"/>
          <c:y val="0.26702809108320941"/>
          <c:w val="0.13927977839335171"/>
          <c:h val="0.4072728240051074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blockbuster sales by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2006</c:v>
          </c:tx>
          <c:marker>
            <c:symbol val="none"/>
          </c:marker>
          <c:cat>
            <c:numRef>
              <c:f>'Summary USA'!$A$86:$A$97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USA'!$AG$86:$AG$97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6.2416532253354348E-2</c:v>
                </c:pt>
                <c:pt idx="3">
                  <c:v>6.2416532253354348E-2</c:v>
                </c:pt>
                <c:pt idx="4">
                  <c:v>0.2990123313854201</c:v>
                </c:pt>
                <c:pt idx="5">
                  <c:v>0.48484531478828141</c:v>
                </c:pt>
                <c:pt idx="6">
                  <c:v>0.62011291849416883</c:v>
                </c:pt>
                <c:pt idx="7">
                  <c:v>0.66747346533796892</c:v>
                </c:pt>
                <c:pt idx="8">
                  <c:v>0.66747346533796892</c:v>
                </c:pt>
                <c:pt idx="9">
                  <c:v>0.71007206195650385</c:v>
                </c:pt>
                <c:pt idx="10">
                  <c:v>0.86788516984112341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cat>
            <c:numRef>
              <c:f>'Summary USA'!$A$86:$A$97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USA'!$AH$86:$AH$97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8.703059120804911E-2</c:v>
                </c:pt>
                <c:pt idx="3">
                  <c:v>8.703059120804911E-2</c:v>
                </c:pt>
                <c:pt idx="4">
                  <c:v>0.30956922320556168</c:v>
                </c:pt>
                <c:pt idx="5">
                  <c:v>0.45238664249039329</c:v>
                </c:pt>
                <c:pt idx="6">
                  <c:v>0.63488577928510281</c:v>
                </c:pt>
                <c:pt idx="7">
                  <c:v>0.719336092820411</c:v>
                </c:pt>
                <c:pt idx="8">
                  <c:v>0.719336092820411</c:v>
                </c:pt>
                <c:pt idx="9">
                  <c:v>0.719336092820411</c:v>
                </c:pt>
                <c:pt idx="10">
                  <c:v>0.80767027012342174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cat>
            <c:numRef>
              <c:f>'Summary USA'!$A$86:$A$97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USA'!$AI$86:$AI$97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3.9310937047256717E-2</c:v>
                </c:pt>
                <c:pt idx="3">
                  <c:v>3.9310937047256717E-2</c:v>
                </c:pt>
                <c:pt idx="4">
                  <c:v>0.27586852667860967</c:v>
                </c:pt>
                <c:pt idx="5">
                  <c:v>0.48927160337755304</c:v>
                </c:pt>
                <c:pt idx="6">
                  <c:v>0.71960295954953435</c:v>
                </c:pt>
                <c:pt idx="7">
                  <c:v>0.71960295954953435</c:v>
                </c:pt>
                <c:pt idx="8">
                  <c:v>0.71960295954953435</c:v>
                </c:pt>
                <c:pt idx="9">
                  <c:v>0.71960295954953435</c:v>
                </c:pt>
                <c:pt idx="10">
                  <c:v>0.89347153279395342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cat>
            <c:numRef>
              <c:f>'Summary USA'!$A$86:$A$97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USA'!$AJ$86:$AJ$97</c:f>
              <c:numCache>
                <c:formatCode>0%</c:formatCode>
                <c:ptCount val="12"/>
                <c:pt idx="0">
                  <c:v>5.4464288095675994E-2</c:v>
                </c:pt>
                <c:pt idx="1">
                  <c:v>5.4464288095675994E-2</c:v>
                </c:pt>
                <c:pt idx="2">
                  <c:v>9.1545292100499609E-2</c:v>
                </c:pt>
                <c:pt idx="3">
                  <c:v>0.12053392025690729</c:v>
                </c:pt>
                <c:pt idx="4">
                  <c:v>0.33861740953301472</c:v>
                </c:pt>
                <c:pt idx="5">
                  <c:v>0.49628615925749037</c:v>
                </c:pt>
                <c:pt idx="6">
                  <c:v>0.58948483994522216</c:v>
                </c:pt>
                <c:pt idx="7">
                  <c:v>0.61756439376155381</c:v>
                </c:pt>
                <c:pt idx="8">
                  <c:v>0.61756439376155381</c:v>
                </c:pt>
                <c:pt idx="9">
                  <c:v>0.61756439376155381</c:v>
                </c:pt>
                <c:pt idx="10">
                  <c:v>0.77769311500766736</c:v>
                </c:pt>
                <c:pt idx="11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cat>
            <c:numRef>
              <c:f>'Summary USA'!$A$86:$A$97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USA'!$AK$86:$AK$97</c:f>
              <c:numCache>
                <c:formatCode>0%</c:formatCode>
                <c:ptCount val="12"/>
                <c:pt idx="0">
                  <c:v>0</c:v>
                </c:pt>
                <c:pt idx="1">
                  <c:v>3.0278709294221186E-2</c:v>
                </c:pt>
                <c:pt idx="2">
                  <c:v>0.16078860222215674</c:v>
                </c:pt>
                <c:pt idx="3">
                  <c:v>0.19939357745255704</c:v>
                </c:pt>
                <c:pt idx="4">
                  <c:v>0.32976102746806552</c:v>
                </c:pt>
                <c:pt idx="5">
                  <c:v>0.57908787712776544</c:v>
                </c:pt>
                <c:pt idx="6">
                  <c:v>0.73894859974269456</c:v>
                </c:pt>
                <c:pt idx="7">
                  <c:v>0.73894859974269456</c:v>
                </c:pt>
                <c:pt idx="8">
                  <c:v>0.73894859974269456</c:v>
                </c:pt>
                <c:pt idx="9">
                  <c:v>0.73894859974269456</c:v>
                </c:pt>
                <c:pt idx="10">
                  <c:v>0.88854372245771196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14496"/>
        <c:axId val="133132672"/>
      </c:lineChart>
      <c:dateAx>
        <c:axId val="133114496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33132672"/>
        <c:crosses val="autoZero"/>
        <c:auto val="1"/>
        <c:lblOffset val="100"/>
        <c:baseTimeUnit val="months"/>
      </c:dateAx>
      <c:valAx>
        <c:axId val="13313267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Cumulative</a:t>
                </a:r>
                <a:r>
                  <a:rPr lang="en-US" sz="1200" baseline="0"/>
                  <a:t> movie sales</a:t>
                </a:r>
                <a:endParaRPr lang="en-US" sz="120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33114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Movie</a:t>
            </a:r>
            <a:r>
              <a:rPr lang="en-US" baseline="0"/>
              <a:t> sales by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World'!$H$53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'Summary World'!$A$54:$A$65</c:f>
              <c:numCache>
                <c:formatCode>mmmm</c:formatCode>
                <c:ptCount val="12"/>
                <c:pt idx="0">
                  <c:v>40558</c:v>
                </c:pt>
                <c:pt idx="1">
                  <c:v>40589</c:v>
                </c:pt>
                <c:pt idx="2">
                  <c:v>40617</c:v>
                </c:pt>
                <c:pt idx="3">
                  <c:v>40648</c:v>
                </c:pt>
                <c:pt idx="4">
                  <c:v>40678</c:v>
                </c:pt>
                <c:pt idx="5">
                  <c:v>40709</c:v>
                </c:pt>
                <c:pt idx="6">
                  <c:v>40739</c:v>
                </c:pt>
                <c:pt idx="7">
                  <c:v>40770</c:v>
                </c:pt>
                <c:pt idx="8">
                  <c:v>40801</c:v>
                </c:pt>
                <c:pt idx="9">
                  <c:v>40831</c:v>
                </c:pt>
                <c:pt idx="10">
                  <c:v>40862</c:v>
                </c:pt>
                <c:pt idx="11">
                  <c:v>40892</c:v>
                </c:pt>
              </c:numCache>
            </c:numRef>
          </c:cat>
          <c:val>
            <c:numRef>
              <c:f>'Summary World'!$AB$54:$AB$65</c:f>
              <c:numCache>
                <c:formatCode>0%</c:formatCode>
                <c:ptCount val="12"/>
                <c:pt idx="0">
                  <c:v>3.1806470159880355E-2</c:v>
                </c:pt>
                <c:pt idx="1">
                  <c:v>5.1183923189561428E-2</c:v>
                </c:pt>
                <c:pt idx="2">
                  <c:v>8.3884614076215336E-2</c:v>
                </c:pt>
                <c:pt idx="3">
                  <c:v>4.7358174572530255E-2</c:v>
                </c:pt>
                <c:pt idx="4">
                  <c:v>0.12598784531839149</c:v>
                </c:pt>
                <c:pt idx="5">
                  <c:v>0.12433141181357708</c:v>
                </c:pt>
                <c:pt idx="6">
                  <c:v>0.11406075890080157</c:v>
                </c:pt>
                <c:pt idx="7">
                  <c:v>5.3143794089734062E-2</c:v>
                </c:pt>
                <c:pt idx="8">
                  <c:v>5.3231240231001078E-2</c:v>
                </c:pt>
                <c:pt idx="9">
                  <c:v>5.8059303377399771E-2</c:v>
                </c:pt>
                <c:pt idx="10">
                  <c:v>0.10829203725394677</c:v>
                </c:pt>
                <c:pt idx="11">
                  <c:v>0.14866042701696078</c:v>
                </c:pt>
              </c:numCache>
            </c:numRef>
          </c:val>
          <c:smooth val="0"/>
        </c:ser>
        <c:ser>
          <c:idx val="1"/>
          <c:order val="1"/>
          <c:tx>
            <c:v>2007</c:v>
          </c:tx>
          <c:marker>
            <c:symbol val="none"/>
          </c:marker>
          <c:val>
            <c:numRef>
              <c:f>'Summary World'!$AC$54:$AC$65</c:f>
              <c:numCache>
                <c:formatCode>0%</c:formatCode>
                <c:ptCount val="12"/>
                <c:pt idx="0">
                  <c:v>1.6549661697014904E-2</c:v>
                </c:pt>
                <c:pt idx="1">
                  <c:v>5.5143478270344139E-2</c:v>
                </c:pt>
                <c:pt idx="2">
                  <c:v>7.8788809549501113E-2</c:v>
                </c:pt>
                <c:pt idx="3">
                  <c:v>3.6932790498502489E-2</c:v>
                </c:pt>
                <c:pt idx="4">
                  <c:v>0.12661910394667392</c:v>
                </c:pt>
                <c:pt idx="5">
                  <c:v>0.1186823469152483</c:v>
                </c:pt>
                <c:pt idx="6">
                  <c:v>0.13073101711162854</c:v>
                </c:pt>
                <c:pt idx="7">
                  <c:v>8.3122098067667932E-2</c:v>
                </c:pt>
                <c:pt idx="8">
                  <c:v>5.2364364653650047E-2</c:v>
                </c:pt>
                <c:pt idx="9">
                  <c:v>4.4588654072423482E-2</c:v>
                </c:pt>
                <c:pt idx="10">
                  <c:v>9.630975434981276E-2</c:v>
                </c:pt>
                <c:pt idx="11">
                  <c:v>0.16016792086753237</c:v>
                </c:pt>
              </c:numCache>
            </c:numRef>
          </c:val>
          <c:smooth val="0"/>
        </c:ser>
        <c:ser>
          <c:idx val="2"/>
          <c:order val="2"/>
          <c:tx>
            <c:v>2008</c:v>
          </c:tx>
          <c:marker>
            <c:symbol val="none"/>
          </c:marker>
          <c:val>
            <c:numRef>
              <c:f>'Summary World'!$AD$54:$AD$65</c:f>
              <c:numCache>
                <c:formatCode>0%</c:formatCode>
                <c:ptCount val="12"/>
                <c:pt idx="0">
                  <c:v>4.6893884781124745E-2</c:v>
                </c:pt>
                <c:pt idx="1">
                  <c:v>6.5142130237587886E-2</c:v>
                </c:pt>
                <c:pt idx="2">
                  <c:v>6.1338015171135692E-2</c:v>
                </c:pt>
                <c:pt idx="3">
                  <c:v>3.9834513431017946E-2</c:v>
                </c:pt>
                <c:pt idx="4">
                  <c:v>0.12268796036992008</c:v>
                </c:pt>
                <c:pt idx="5">
                  <c:v>0.1147264776159134</c:v>
                </c:pt>
                <c:pt idx="6">
                  <c:v>0.14682488407590896</c:v>
                </c:pt>
                <c:pt idx="7">
                  <c:v>6.6700217989121957E-2</c:v>
                </c:pt>
                <c:pt idx="8">
                  <c:v>4.2298426538573124E-2</c:v>
                </c:pt>
                <c:pt idx="9">
                  <c:v>5.7928428298699583E-2</c:v>
                </c:pt>
                <c:pt idx="10">
                  <c:v>0.12693555420594513</c:v>
                </c:pt>
                <c:pt idx="11">
                  <c:v>0.10868950728505149</c:v>
                </c:pt>
              </c:numCache>
            </c:numRef>
          </c:val>
          <c:smooth val="0"/>
        </c:ser>
        <c:ser>
          <c:idx val="3"/>
          <c:order val="3"/>
          <c:tx>
            <c:v>2009</c:v>
          </c:tx>
          <c:marker>
            <c:symbol val="none"/>
          </c:marker>
          <c:val>
            <c:numRef>
              <c:f>'Summary World'!$AE$54:$AE$65</c:f>
              <c:numCache>
                <c:formatCode>0%</c:formatCode>
                <c:ptCount val="12"/>
                <c:pt idx="0">
                  <c:v>4.5467225834357944E-2</c:v>
                </c:pt>
                <c:pt idx="1">
                  <c:v>3.2583249611432469E-2</c:v>
                </c:pt>
                <c:pt idx="2">
                  <c:v>5.3643637333830936E-2</c:v>
                </c:pt>
                <c:pt idx="3">
                  <c:v>4.5428631592096147E-2</c:v>
                </c:pt>
                <c:pt idx="4">
                  <c:v>0.12739011283992152</c:v>
                </c:pt>
                <c:pt idx="5">
                  <c:v>8.6792481568295152E-2</c:v>
                </c:pt>
                <c:pt idx="6">
                  <c:v>0.1267673820385728</c:v>
                </c:pt>
                <c:pt idx="7">
                  <c:v>6.5654469052505937E-2</c:v>
                </c:pt>
                <c:pt idx="8">
                  <c:v>4.4301130172108953E-2</c:v>
                </c:pt>
                <c:pt idx="9">
                  <c:v>4.5993878065102974E-2</c:v>
                </c:pt>
                <c:pt idx="10">
                  <c:v>0.12581733464316658</c:v>
                </c:pt>
                <c:pt idx="11">
                  <c:v>0.20016046724860859</c:v>
                </c:pt>
              </c:numCache>
            </c:numRef>
          </c:val>
          <c:smooth val="0"/>
        </c:ser>
        <c:ser>
          <c:idx val="4"/>
          <c:order val="4"/>
          <c:tx>
            <c:v>2010</c:v>
          </c:tx>
          <c:marker>
            <c:symbol val="none"/>
          </c:marker>
          <c:val>
            <c:numRef>
              <c:f>'Summary World'!$AF$54:$AF$65</c:f>
              <c:numCache>
                <c:formatCode>0%</c:formatCode>
                <c:ptCount val="12"/>
                <c:pt idx="0">
                  <c:v>2.9946050779457774E-2</c:v>
                </c:pt>
                <c:pt idx="1">
                  <c:v>6.0913246727405966E-2</c:v>
                </c:pt>
                <c:pt idx="2">
                  <c:v>0.10533078101618018</c:v>
                </c:pt>
                <c:pt idx="3">
                  <c:v>5.943335434811084E-2</c:v>
                </c:pt>
                <c:pt idx="4">
                  <c:v>0.11362805267552502</c:v>
                </c:pt>
                <c:pt idx="5">
                  <c:v>0.14296418576310316</c:v>
                </c:pt>
                <c:pt idx="6">
                  <c:v>0.12232246667532838</c:v>
                </c:pt>
                <c:pt idx="7">
                  <c:v>5.7014747887519347E-2</c:v>
                </c:pt>
                <c:pt idx="8">
                  <c:v>4.793774558846782E-2</c:v>
                </c:pt>
                <c:pt idx="9">
                  <c:v>4.908320563507048E-2</c:v>
                </c:pt>
                <c:pt idx="10">
                  <c:v>0.11428106968747992</c:v>
                </c:pt>
                <c:pt idx="11">
                  <c:v>9.7145093216351106E-2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52128"/>
        <c:axId val="133162112"/>
      </c:lineChart>
      <c:dateAx>
        <c:axId val="133152128"/>
        <c:scaling>
          <c:orientation val="minMax"/>
        </c:scaling>
        <c:delete val="0"/>
        <c:axPos val="b"/>
        <c:majorGridlines/>
        <c:numFmt formatCode="mmmm" sourceLinked="1"/>
        <c:majorTickMark val="out"/>
        <c:minorTickMark val="none"/>
        <c:tickLblPos val="nextTo"/>
        <c:crossAx val="133162112"/>
        <c:crosses val="autoZero"/>
        <c:auto val="1"/>
        <c:lblOffset val="100"/>
        <c:baseTimeUnit val="months"/>
      </c:dateAx>
      <c:valAx>
        <c:axId val="133162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Movie sales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3315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492125</xdr:colOff>
      <xdr:row>96</xdr:row>
      <xdr:rowOff>123824</xdr:rowOff>
    </xdr:from>
    <xdr:to>
      <xdr:col>52</xdr:col>
      <xdr:colOff>352425</xdr:colOff>
      <xdr:row>117</xdr:row>
      <xdr:rowOff>101599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69850</xdr:colOff>
      <xdr:row>95</xdr:row>
      <xdr:rowOff>53975</xdr:rowOff>
    </xdr:from>
    <xdr:to>
      <xdr:col>62</xdr:col>
      <xdr:colOff>476250</xdr:colOff>
      <xdr:row>116</xdr:row>
      <xdr:rowOff>95250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28575</xdr:colOff>
      <xdr:row>118</xdr:row>
      <xdr:rowOff>0</xdr:rowOff>
    </xdr:from>
    <xdr:to>
      <xdr:col>52</xdr:col>
      <xdr:colOff>434975</xdr:colOff>
      <xdr:row>139</xdr:row>
      <xdr:rowOff>34925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511175</xdr:colOff>
      <xdr:row>118</xdr:row>
      <xdr:rowOff>25400</xdr:rowOff>
    </xdr:from>
    <xdr:to>
      <xdr:col>63</xdr:col>
      <xdr:colOff>327025</xdr:colOff>
      <xdr:row>139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393700</xdr:colOff>
      <xdr:row>74</xdr:row>
      <xdr:rowOff>0</xdr:rowOff>
    </xdr:from>
    <xdr:to>
      <xdr:col>52</xdr:col>
      <xdr:colOff>203200</xdr:colOff>
      <xdr:row>95</xdr:row>
      <xdr:rowOff>50800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292100</xdr:colOff>
      <xdr:row>74</xdr:row>
      <xdr:rowOff>25400</xdr:rowOff>
    </xdr:from>
    <xdr:to>
      <xdr:col>62</xdr:col>
      <xdr:colOff>177800</xdr:colOff>
      <xdr:row>94</xdr:row>
      <xdr:rowOff>139700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53</xdr:col>
      <xdr:colOff>190500</xdr:colOff>
      <xdr:row>51</xdr:row>
      <xdr:rowOff>101600</xdr:rowOff>
    </xdr:from>
    <xdr:to>
      <xdr:col>63</xdr:col>
      <xdr:colOff>50800</xdr:colOff>
      <xdr:row>72</xdr:row>
      <xdr:rowOff>50800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577850</xdr:colOff>
      <xdr:row>52</xdr:row>
      <xdr:rowOff>44450</xdr:rowOff>
    </xdr:from>
    <xdr:to>
      <xdr:col>52</xdr:col>
      <xdr:colOff>387350</xdr:colOff>
      <xdr:row>73</xdr:row>
      <xdr:rowOff>38100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66675</xdr:colOff>
      <xdr:row>29</xdr:row>
      <xdr:rowOff>66675</xdr:rowOff>
    </xdr:from>
    <xdr:to>
      <xdr:col>52</xdr:col>
      <xdr:colOff>466725</xdr:colOff>
      <xdr:row>50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311150</xdr:colOff>
      <xdr:row>42</xdr:row>
      <xdr:rowOff>47624</xdr:rowOff>
    </xdr:from>
    <xdr:to>
      <xdr:col>61</xdr:col>
      <xdr:colOff>139700</xdr:colOff>
      <xdr:row>64</xdr:row>
      <xdr:rowOff>25399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47624</xdr:colOff>
      <xdr:row>113</xdr:row>
      <xdr:rowOff>15874</xdr:rowOff>
    </xdr:from>
    <xdr:to>
      <xdr:col>61</xdr:col>
      <xdr:colOff>431800</xdr:colOff>
      <xdr:row>134</xdr:row>
      <xdr:rowOff>126999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63</xdr:col>
      <xdr:colOff>63500</xdr:colOff>
      <xdr:row>112</xdr:row>
      <xdr:rowOff>73024</xdr:rowOff>
    </xdr:from>
    <xdr:to>
      <xdr:col>72</xdr:col>
      <xdr:colOff>419100</xdr:colOff>
      <xdr:row>134</xdr:row>
      <xdr:rowOff>12699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161924</xdr:colOff>
      <xdr:row>136</xdr:row>
      <xdr:rowOff>146050</xdr:rowOff>
    </xdr:from>
    <xdr:to>
      <xdr:col>61</xdr:col>
      <xdr:colOff>533399</xdr:colOff>
      <xdr:row>158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63</xdr:col>
      <xdr:colOff>66674</xdr:colOff>
      <xdr:row>136</xdr:row>
      <xdr:rowOff>120650</xdr:rowOff>
    </xdr:from>
    <xdr:to>
      <xdr:col>72</xdr:col>
      <xdr:colOff>444499</xdr:colOff>
      <xdr:row>158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61</xdr:col>
      <xdr:colOff>584200</xdr:colOff>
      <xdr:row>65</xdr:row>
      <xdr:rowOff>63500</xdr:rowOff>
    </xdr:from>
    <xdr:to>
      <xdr:col>71</xdr:col>
      <xdr:colOff>342900</xdr:colOff>
      <xdr:row>86</xdr:row>
      <xdr:rowOff>139700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51</xdr:col>
      <xdr:colOff>596900</xdr:colOff>
      <xdr:row>89</xdr:row>
      <xdr:rowOff>38100</xdr:rowOff>
    </xdr:from>
    <xdr:to>
      <xdr:col>61</xdr:col>
      <xdr:colOff>368300</xdr:colOff>
      <xdr:row>111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457200</xdr:colOff>
      <xdr:row>89</xdr:row>
      <xdr:rowOff>0</xdr:rowOff>
    </xdr:from>
    <xdr:to>
      <xdr:col>72</xdr:col>
      <xdr:colOff>228600</xdr:colOff>
      <xdr:row>110</xdr:row>
      <xdr:rowOff>127000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51</xdr:col>
      <xdr:colOff>381000</xdr:colOff>
      <xdr:row>65</xdr:row>
      <xdr:rowOff>139700</xdr:rowOff>
    </xdr:from>
    <xdr:to>
      <xdr:col>61</xdr:col>
      <xdr:colOff>190500</xdr:colOff>
      <xdr:row>87</xdr:row>
      <xdr:rowOff>57150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workbookViewId="0">
      <selection activeCell="G13" sqref="G13"/>
    </sheetView>
  </sheetViews>
  <sheetFormatPr defaultColWidth="17.140625" defaultRowHeight="12.75" customHeight="1" x14ac:dyDescent="0.2"/>
  <cols>
    <col min="1" max="20" width="17.140625" customWidth="1"/>
  </cols>
  <sheetData>
    <row r="1" spans="1:10" ht="12.75" customHeight="1" x14ac:dyDescent="0.2">
      <c r="A1" s="1"/>
      <c r="D1" s="2"/>
      <c r="E1" s="2"/>
      <c r="F1" s="2"/>
      <c r="G1" s="2"/>
      <c r="H1" s="3"/>
    </row>
    <row r="2" spans="1:10" ht="12.75" customHeight="1" x14ac:dyDescent="0.2">
      <c r="A2" s="1"/>
      <c r="D2" s="2"/>
      <c r="E2" s="2"/>
      <c r="F2" s="2"/>
      <c r="G2" s="2"/>
      <c r="H2" s="3"/>
    </row>
    <row r="3" spans="1:10" ht="12.75" customHeight="1" x14ac:dyDescent="0.2">
      <c r="A3" s="1"/>
      <c r="D3" s="2"/>
      <c r="E3" s="2"/>
      <c r="F3" s="2"/>
      <c r="G3" s="2"/>
      <c r="H3" s="3"/>
    </row>
    <row r="4" spans="1:10" ht="12.75" customHeight="1" x14ac:dyDescent="0.2">
      <c r="A4" s="1"/>
      <c r="D4" s="2"/>
      <c r="E4" s="2"/>
      <c r="F4" s="2"/>
      <c r="G4" s="2"/>
      <c r="H4" s="3"/>
    </row>
    <row r="5" spans="1:10" ht="12.75" customHeight="1" x14ac:dyDescent="0.2">
      <c r="A5" s="1"/>
      <c r="D5" s="2"/>
      <c r="E5" s="2"/>
      <c r="F5" s="2"/>
      <c r="G5" s="2"/>
      <c r="H5" s="3"/>
    </row>
    <row r="6" spans="1:10" ht="12.75" customHeight="1" x14ac:dyDescent="0.2">
      <c r="A6" s="1"/>
      <c r="D6" s="2"/>
      <c r="E6" s="2"/>
      <c r="F6" s="2"/>
      <c r="G6" s="2"/>
      <c r="H6" s="3"/>
    </row>
    <row r="7" spans="1:10" ht="12.75" customHeight="1" x14ac:dyDescent="0.2">
      <c r="A7" s="4"/>
      <c r="B7" s="5"/>
      <c r="C7" s="5"/>
      <c r="D7" s="6"/>
      <c r="E7" s="6"/>
      <c r="F7" s="6"/>
      <c r="G7" s="6"/>
      <c r="H7" s="7"/>
    </row>
    <row r="8" spans="1:10" ht="12.75" customHeight="1" x14ac:dyDescent="0.2">
      <c r="A8" s="8" t="s">
        <v>377</v>
      </c>
      <c r="B8" s="9" t="s">
        <v>1153</v>
      </c>
      <c r="C8" s="9" t="s">
        <v>2600</v>
      </c>
      <c r="D8" s="10" t="s">
        <v>132</v>
      </c>
      <c r="E8" s="10" t="s">
        <v>2322</v>
      </c>
      <c r="F8" s="10" t="s">
        <v>1982</v>
      </c>
      <c r="G8" s="10" t="s">
        <v>3073</v>
      </c>
      <c r="H8" s="11" t="s">
        <v>151</v>
      </c>
      <c r="I8" s="12"/>
    </row>
    <row r="9" spans="1:10" ht="12.75" customHeight="1" x14ac:dyDescent="0.2">
      <c r="A9" s="13">
        <v>1</v>
      </c>
      <c r="B9" s="14" t="s">
        <v>3385</v>
      </c>
      <c r="C9" s="14" t="s">
        <v>1878</v>
      </c>
      <c r="D9" s="15">
        <v>1063161943</v>
      </c>
      <c r="E9" s="15">
        <v>415004880</v>
      </c>
      <c r="F9" s="15">
        <v>116625632</v>
      </c>
      <c r="G9" s="15">
        <v>42244540</v>
      </c>
      <c r="H9" s="16" t="s">
        <v>3348</v>
      </c>
      <c r="I9" s="16"/>
      <c r="J9" s="17"/>
    </row>
    <row r="10" spans="1:10" ht="25.5" x14ac:dyDescent="0.2">
      <c r="A10" s="13">
        <v>2</v>
      </c>
      <c r="B10" s="14" t="s">
        <v>1476</v>
      </c>
      <c r="C10" s="14" t="s">
        <v>2158</v>
      </c>
      <c r="D10" s="15">
        <v>1024299722</v>
      </c>
      <c r="E10" s="15">
        <v>334191110</v>
      </c>
      <c r="F10" s="15">
        <v>64437055</v>
      </c>
      <c r="G10" s="15">
        <v>33234316</v>
      </c>
      <c r="H10" s="16" t="s">
        <v>2565</v>
      </c>
      <c r="I10" s="18"/>
    </row>
    <row r="11" spans="1:10" ht="38.25" x14ac:dyDescent="0.2">
      <c r="A11" s="13">
        <v>3</v>
      </c>
      <c r="B11" s="14" t="s">
        <v>292</v>
      </c>
      <c r="C11" s="14" t="s">
        <v>3209</v>
      </c>
      <c r="D11" s="15">
        <v>947591821</v>
      </c>
      <c r="E11" s="15">
        <v>292791821</v>
      </c>
      <c r="F11" s="15">
        <v>82857014</v>
      </c>
      <c r="G11" s="15">
        <v>41350865</v>
      </c>
      <c r="H11" s="16" t="s">
        <v>515</v>
      </c>
      <c r="I11" s="17"/>
    </row>
    <row r="12" spans="1:10" ht="12.75" customHeight="1" x14ac:dyDescent="0.2">
      <c r="A12" s="13">
        <v>4</v>
      </c>
      <c r="B12" s="14" t="s">
        <v>1548</v>
      </c>
      <c r="C12" s="14" t="s">
        <v>3209</v>
      </c>
      <c r="D12" s="15">
        <v>823576195</v>
      </c>
      <c r="E12" s="15">
        <v>292576195</v>
      </c>
      <c r="F12" s="15">
        <v>56566947</v>
      </c>
      <c r="G12" s="15">
        <v>35025970</v>
      </c>
      <c r="H12" s="16" t="s">
        <v>1949</v>
      </c>
      <c r="I12" s="17"/>
    </row>
    <row r="13" spans="1:10" ht="25.5" x14ac:dyDescent="0.2">
      <c r="A13" s="13">
        <v>5</v>
      </c>
      <c r="B13" s="14" t="s">
        <v>924</v>
      </c>
      <c r="C13" s="14" t="s">
        <v>1595</v>
      </c>
      <c r="D13" s="15">
        <v>749952787</v>
      </c>
      <c r="E13" s="15">
        <v>238736787</v>
      </c>
      <c r="F13" s="15">
        <v>51056068</v>
      </c>
      <c r="G13" s="15">
        <v>24485148</v>
      </c>
      <c r="H13" s="16" t="s">
        <v>3162</v>
      </c>
      <c r="I13" s="17"/>
    </row>
    <row r="14" spans="1:10" ht="25.5" x14ac:dyDescent="0.2">
      <c r="A14" s="13">
        <v>6</v>
      </c>
      <c r="B14" s="14" t="s">
        <v>91</v>
      </c>
      <c r="C14" s="14" t="s">
        <v>1066</v>
      </c>
      <c r="D14" s="15">
        <v>693579566</v>
      </c>
      <c r="E14" s="15">
        <v>300531751</v>
      </c>
      <c r="F14" s="15">
        <v>45709785</v>
      </c>
      <c r="G14" s="15">
        <v>28566737</v>
      </c>
      <c r="H14" s="16" t="s">
        <v>1971</v>
      </c>
      <c r="I14" s="17"/>
    </row>
    <row r="15" spans="1:10" x14ac:dyDescent="0.2">
      <c r="A15" s="13">
        <v>7</v>
      </c>
      <c r="B15" s="14" t="s">
        <v>3021</v>
      </c>
      <c r="C15" s="14" t="s">
        <v>685</v>
      </c>
      <c r="D15" s="15">
        <v>622056974</v>
      </c>
      <c r="E15" s="15">
        <v>312128345</v>
      </c>
      <c r="F15" s="15">
        <v>30456328</v>
      </c>
      <c r="G15" s="15">
        <v>22418342</v>
      </c>
      <c r="H15" s="16" t="s">
        <v>1938</v>
      </c>
      <c r="I15" s="17"/>
    </row>
    <row r="16" spans="1:10" ht="12.75" customHeight="1" x14ac:dyDescent="0.2">
      <c r="A16" s="13">
        <v>8</v>
      </c>
      <c r="B16" s="14" t="s">
        <v>1183</v>
      </c>
      <c r="C16" s="14" t="s">
        <v>3096</v>
      </c>
      <c r="D16" s="15">
        <v>543713985</v>
      </c>
      <c r="E16" s="15">
        <v>251513985</v>
      </c>
      <c r="F16" s="15">
        <v>31094158</v>
      </c>
      <c r="G16" s="15">
        <v>21817532</v>
      </c>
      <c r="H16" s="16" t="s">
        <v>2191</v>
      </c>
      <c r="I16" s="17"/>
    </row>
    <row r="17" spans="1:17" ht="25.5" x14ac:dyDescent="0.2">
      <c r="A17" s="13">
        <v>9</v>
      </c>
      <c r="B17" s="14" t="s">
        <v>623</v>
      </c>
      <c r="C17" s="14" t="s">
        <v>1595</v>
      </c>
      <c r="D17" s="15">
        <v>494878759</v>
      </c>
      <c r="E17" s="15">
        <v>217581231</v>
      </c>
      <c r="F17" s="15">
        <v>26488493</v>
      </c>
      <c r="G17" s="15">
        <v>16883185</v>
      </c>
      <c r="H17" s="16" t="s">
        <v>573</v>
      </c>
      <c r="I17" s="17"/>
    </row>
    <row r="18" spans="1:17" ht="25.5" x14ac:dyDescent="0.2">
      <c r="A18" s="13">
        <v>10</v>
      </c>
      <c r="B18" s="14" t="s">
        <v>1367</v>
      </c>
      <c r="C18" s="14" t="s">
        <v>3209</v>
      </c>
      <c r="D18" s="15">
        <v>493214993</v>
      </c>
      <c r="E18" s="15">
        <v>163214888</v>
      </c>
      <c r="F18" s="15">
        <v>29242160</v>
      </c>
      <c r="G18" s="15">
        <v>17033579</v>
      </c>
      <c r="H18" s="16" t="s">
        <v>807</v>
      </c>
      <c r="I18" s="17"/>
    </row>
    <row r="19" spans="1:17" ht="12.75" customHeight="1" x14ac:dyDescent="0.2">
      <c r="A19" s="19"/>
      <c r="B19" s="20"/>
      <c r="C19" s="20"/>
      <c r="D19" s="21">
        <f>SUM(D9:D18)</f>
        <v>7456026745</v>
      </c>
      <c r="E19" s="21">
        <f>SUM(E9:E18)</f>
        <v>2818270993</v>
      </c>
      <c r="F19" s="21">
        <f>SUM(F9:F18)</f>
        <v>534533640</v>
      </c>
      <c r="G19" s="21">
        <f>SUM(G9:G18)</f>
        <v>283060214</v>
      </c>
      <c r="H19" s="21"/>
    </row>
    <row r="20" spans="1:17" ht="12.75" customHeight="1" x14ac:dyDescent="0.2">
      <c r="A20" s="1"/>
      <c r="D20" s="2"/>
      <c r="E20" s="2"/>
      <c r="F20" s="2"/>
      <c r="G20" s="2"/>
      <c r="H20" s="7"/>
    </row>
    <row r="21" spans="1:17" ht="25.5" x14ac:dyDescent="0.2">
      <c r="A21" s="22" t="s">
        <v>377</v>
      </c>
      <c r="B21" s="23" t="s">
        <v>1153</v>
      </c>
      <c r="C21" s="23" t="s">
        <v>2600</v>
      </c>
      <c r="D21" s="24" t="s">
        <v>132</v>
      </c>
      <c r="E21" s="24" t="s">
        <v>1855</v>
      </c>
      <c r="F21" s="24" t="s">
        <v>1982</v>
      </c>
      <c r="G21" s="25" t="s">
        <v>3073</v>
      </c>
      <c r="H21" s="11" t="s">
        <v>151</v>
      </c>
      <c r="I21" s="17"/>
    </row>
    <row r="22" spans="1:17" ht="25.5" x14ac:dyDescent="0.2">
      <c r="A22" s="1">
        <v>1</v>
      </c>
      <c r="B22" s="26" t="s">
        <v>2290</v>
      </c>
      <c r="C22" s="26" t="s">
        <v>1797</v>
      </c>
      <c r="D22" s="2">
        <v>2782206970</v>
      </c>
      <c r="E22" s="2">
        <v>760507625</v>
      </c>
      <c r="F22" s="2">
        <v>150025197</v>
      </c>
      <c r="G22" s="2">
        <v>105779507</v>
      </c>
      <c r="H22" s="27" t="s">
        <v>1426</v>
      </c>
    </row>
    <row r="23" spans="1:17" ht="38.25" x14ac:dyDescent="0.2">
      <c r="A23" s="1">
        <v>2</v>
      </c>
      <c r="B23" s="26" t="s">
        <v>2827</v>
      </c>
      <c r="C23" s="26" t="s">
        <v>3209</v>
      </c>
      <c r="D23" s="2">
        <v>933959197</v>
      </c>
      <c r="E23" s="2">
        <v>301959197</v>
      </c>
      <c r="F23" s="2">
        <v>84089250</v>
      </c>
      <c r="G23" s="2">
        <v>34954004</v>
      </c>
      <c r="H23" s="3" t="s">
        <v>1246</v>
      </c>
      <c r="Q23" s="3" t="e">
        <v>#VALUE!</v>
      </c>
    </row>
    <row r="24" spans="1:17" ht="25.5" x14ac:dyDescent="0.2">
      <c r="A24" s="1">
        <v>3</v>
      </c>
      <c r="B24" s="26" t="s">
        <v>1850</v>
      </c>
      <c r="C24" s="26" t="s">
        <v>384</v>
      </c>
      <c r="D24" s="2">
        <v>886686280</v>
      </c>
      <c r="E24" s="2">
        <v>196573705</v>
      </c>
      <c r="F24" s="2">
        <v>56859040</v>
      </c>
      <c r="G24" s="2">
        <v>24725499</v>
      </c>
      <c r="H24" s="3" t="s">
        <v>2134</v>
      </c>
    </row>
    <row r="25" spans="1:17" ht="38.25" x14ac:dyDescent="0.2">
      <c r="A25" s="1">
        <v>4</v>
      </c>
      <c r="B25" s="26" t="s">
        <v>2690</v>
      </c>
      <c r="C25" s="26" t="s">
        <v>3146</v>
      </c>
      <c r="D25" s="2">
        <v>836297228</v>
      </c>
      <c r="E25" s="2">
        <v>402111870</v>
      </c>
      <c r="F25" s="2">
        <v>44383558</v>
      </c>
      <c r="G25" s="2">
        <v>33554033</v>
      </c>
      <c r="H25" s="3" t="s">
        <v>1025</v>
      </c>
    </row>
    <row r="26" spans="1:17" ht="12.75" customHeight="1" x14ac:dyDescent="0.2">
      <c r="A26" s="1">
        <v>5</v>
      </c>
      <c r="B26" s="26" t="s">
        <v>1780</v>
      </c>
      <c r="C26" s="26" t="s">
        <v>403</v>
      </c>
      <c r="D26" s="2">
        <v>769679128</v>
      </c>
      <c r="E26" s="2">
        <v>166112167</v>
      </c>
      <c r="F26" s="2">
        <v>31052159</v>
      </c>
      <c r="G26" s="2">
        <v>18123801</v>
      </c>
      <c r="H26" s="3">
        <v>40130</v>
      </c>
    </row>
    <row r="27" spans="1:17" ht="12.75" customHeight="1" x14ac:dyDescent="0.2">
      <c r="A27" s="1">
        <v>6</v>
      </c>
      <c r="B27" s="26" t="s">
        <v>1276</v>
      </c>
      <c r="C27" s="26" t="s">
        <v>1878</v>
      </c>
      <c r="D27" s="2">
        <v>731342724</v>
      </c>
      <c r="E27" s="2">
        <v>293004164</v>
      </c>
      <c r="F27" s="2">
        <v>55413275</v>
      </c>
      <c r="G27" s="2">
        <v>25296200</v>
      </c>
      <c r="H27" s="3" t="s">
        <v>24</v>
      </c>
    </row>
    <row r="28" spans="1:17" ht="25.5" x14ac:dyDescent="0.2">
      <c r="A28" s="1">
        <v>7</v>
      </c>
      <c r="B28" s="26" t="s">
        <v>2538</v>
      </c>
      <c r="C28" s="26" t="s">
        <v>130</v>
      </c>
      <c r="D28" s="2">
        <v>709826790</v>
      </c>
      <c r="E28" s="2">
        <v>296623634</v>
      </c>
      <c r="F28" s="2">
        <v>43409449</v>
      </c>
      <c r="G28" s="2">
        <v>35164930</v>
      </c>
      <c r="H28" s="3" t="s">
        <v>2274</v>
      </c>
    </row>
    <row r="29" spans="1:17" x14ac:dyDescent="0.2">
      <c r="A29" s="1">
        <v>8</v>
      </c>
      <c r="B29" s="26" t="s">
        <v>1297</v>
      </c>
      <c r="C29" s="26" t="s">
        <v>3209</v>
      </c>
      <c r="D29" s="2">
        <v>524028679</v>
      </c>
      <c r="E29" s="2">
        <v>209028679</v>
      </c>
      <c r="F29" s="2">
        <v>39795286</v>
      </c>
      <c r="G29" s="2">
        <v>22777578</v>
      </c>
      <c r="H29" s="3" t="s">
        <v>514</v>
      </c>
    </row>
    <row r="30" spans="1:17" ht="25.5" x14ac:dyDescent="0.2">
      <c r="A30" s="1">
        <v>9</v>
      </c>
      <c r="B30" s="26" t="s">
        <v>3373</v>
      </c>
      <c r="C30" s="26" t="s">
        <v>193</v>
      </c>
      <c r="D30" s="2">
        <v>485930816</v>
      </c>
      <c r="E30" s="2">
        <v>133375846</v>
      </c>
      <c r="F30" s="2">
        <v>30726140</v>
      </c>
      <c r="G30" s="2">
        <v>14065391</v>
      </c>
      <c r="H30" s="3" t="s">
        <v>352</v>
      </c>
    </row>
    <row r="31" spans="1:17" ht="12.75" customHeight="1" x14ac:dyDescent="0.2">
      <c r="A31" s="1">
        <v>10</v>
      </c>
      <c r="B31" s="26" t="s">
        <v>2527</v>
      </c>
      <c r="C31" s="26" t="s">
        <v>3209</v>
      </c>
      <c r="D31" s="6">
        <v>467483912</v>
      </c>
      <c r="E31" s="6">
        <v>277322503</v>
      </c>
      <c r="F31" s="6">
        <v>36033624</v>
      </c>
      <c r="G31" s="6">
        <v>17934378</v>
      </c>
      <c r="H31" s="3" t="s">
        <v>2598</v>
      </c>
    </row>
    <row r="32" spans="1:17" ht="12.75" customHeight="1" x14ac:dyDescent="0.2">
      <c r="A32" s="1"/>
      <c r="D32" s="21">
        <f>SUM(D22:D31)</f>
        <v>9127441724</v>
      </c>
      <c r="E32" s="21">
        <f>SUM(E22:E31)</f>
        <v>3036619390</v>
      </c>
      <c r="F32" s="21">
        <f>SUM(F22:F31)</f>
        <v>571786978</v>
      </c>
      <c r="G32" s="21">
        <f>SUM(G22:G31)</f>
        <v>332375321</v>
      </c>
      <c r="H32" s="7"/>
    </row>
    <row r="33" spans="1:10" ht="25.5" x14ac:dyDescent="0.2">
      <c r="A33" s="22" t="s">
        <v>1299</v>
      </c>
      <c r="B33" s="23" t="s">
        <v>1153</v>
      </c>
      <c r="C33" s="23" t="s">
        <v>2600</v>
      </c>
      <c r="D33" s="24" t="s">
        <v>1419</v>
      </c>
      <c r="E33" s="24" t="s">
        <v>2456</v>
      </c>
      <c r="F33" s="24" t="s">
        <v>1957</v>
      </c>
      <c r="G33" s="25" t="s">
        <v>3047</v>
      </c>
      <c r="H33" s="11" t="s">
        <v>151</v>
      </c>
      <c r="I33" s="17"/>
    </row>
    <row r="34" spans="1:10" ht="12.75" customHeight="1" x14ac:dyDescent="0.2">
      <c r="A34" s="1">
        <v>1</v>
      </c>
      <c r="B34" s="26" t="s">
        <v>3302</v>
      </c>
      <c r="C34" s="26" t="s">
        <v>3209</v>
      </c>
      <c r="D34" s="2">
        <v>1001921825</v>
      </c>
      <c r="E34" s="2">
        <v>533345358</v>
      </c>
      <c r="F34" s="2">
        <v>89066002</v>
      </c>
      <c r="G34" s="2">
        <v>39880001</v>
      </c>
      <c r="H34" s="27" t="s">
        <v>2416</v>
      </c>
    </row>
    <row r="35" spans="1:10" ht="38.25" x14ac:dyDescent="0.2">
      <c r="A35" s="1">
        <v>2</v>
      </c>
      <c r="B35" s="26" t="s">
        <v>487</v>
      </c>
      <c r="C35" s="26" t="s">
        <v>762</v>
      </c>
      <c r="D35" s="2">
        <v>786636033</v>
      </c>
      <c r="E35" s="2">
        <v>317101110</v>
      </c>
      <c r="F35" s="2">
        <v>79283312</v>
      </c>
      <c r="G35" s="2">
        <v>27981873</v>
      </c>
      <c r="H35" s="3" t="s">
        <v>2599</v>
      </c>
    </row>
    <row r="36" spans="1:10" ht="12.75" customHeight="1" x14ac:dyDescent="0.2">
      <c r="A36" s="1">
        <v>3</v>
      </c>
      <c r="B36" s="26" t="s">
        <v>905</v>
      </c>
      <c r="C36" s="26" t="s">
        <v>1595</v>
      </c>
      <c r="D36" s="2">
        <v>645737680</v>
      </c>
      <c r="E36" s="2">
        <v>215434591</v>
      </c>
      <c r="F36" s="2">
        <v>39405501</v>
      </c>
      <c r="G36" s="2">
        <v>24764811</v>
      </c>
      <c r="H36" s="3" t="s">
        <v>3223</v>
      </c>
    </row>
    <row r="37" spans="1:10" ht="12.75" customHeight="1" x14ac:dyDescent="0.2">
      <c r="A37" s="1">
        <v>4</v>
      </c>
      <c r="B37" s="26" t="s">
        <v>3029</v>
      </c>
      <c r="C37" s="26" t="s">
        <v>403</v>
      </c>
      <c r="D37" s="2">
        <v>624386746</v>
      </c>
      <c r="E37" s="2">
        <v>227946274</v>
      </c>
      <c r="F37" s="2">
        <v>49170891</v>
      </c>
      <c r="G37" s="2">
        <v>19636856</v>
      </c>
      <c r="H37" s="3" t="s">
        <v>1479</v>
      </c>
    </row>
    <row r="38" spans="1:10" ht="12.75" customHeight="1" x14ac:dyDescent="0.2">
      <c r="A38" s="1">
        <v>5</v>
      </c>
      <c r="B38" s="26" t="s">
        <v>2507</v>
      </c>
      <c r="C38" s="26" t="s">
        <v>3096</v>
      </c>
      <c r="D38" s="2">
        <v>609827661</v>
      </c>
      <c r="E38" s="2">
        <v>144130063</v>
      </c>
      <c r="F38" s="2">
        <v>132342643</v>
      </c>
      <c r="G38" s="2">
        <v>29287466</v>
      </c>
      <c r="H38" s="3" t="s">
        <v>2416</v>
      </c>
    </row>
    <row r="39" spans="1:10" ht="25.5" x14ac:dyDescent="0.2">
      <c r="A39" s="1">
        <v>6</v>
      </c>
      <c r="B39" s="26" t="s">
        <v>2922</v>
      </c>
      <c r="C39" s="26" t="s">
        <v>1595</v>
      </c>
      <c r="D39" s="2">
        <v>603900309</v>
      </c>
      <c r="E39" s="2">
        <v>180010950</v>
      </c>
      <c r="F39" s="2">
        <v>35471617</v>
      </c>
      <c r="G39" s="2">
        <v>15093421</v>
      </c>
      <c r="H39" s="3" t="s">
        <v>2866</v>
      </c>
    </row>
    <row r="40" spans="1:10" ht="25.5" x14ac:dyDescent="0.2">
      <c r="A40" s="1">
        <v>7</v>
      </c>
      <c r="B40" s="26" t="s">
        <v>1333</v>
      </c>
      <c r="C40" s="26" t="s">
        <v>2269</v>
      </c>
      <c r="D40" s="2">
        <v>586090727</v>
      </c>
      <c r="E40" s="2">
        <v>168368427</v>
      </c>
      <c r="F40" s="2">
        <v>80805643</v>
      </c>
      <c r="G40" s="2">
        <v>20645336</v>
      </c>
      <c r="H40" s="3" t="s">
        <v>3159</v>
      </c>
    </row>
    <row r="41" spans="1:10" ht="12.75" customHeight="1" x14ac:dyDescent="0.2">
      <c r="A41" s="1">
        <v>8</v>
      </c>
      <c r="B41" s="26" t="s">
        <v>2770</v>
      </c>
      <c r="C41" s="26" t="s">
        <v>3375</v>
      </c>
      <c r="D41" s="2">
        <v>585133287</v>
      </c>
      <c r="E41" s="2">
        <v>318412101</v>
      </c>
      <c r="F41" s="2">
        <v>33822889</v>
      </c>
      <c r="G41" s="2">
        <v>18880106</v>
      </c>
      <c r="H41" s="3" t="s">
        <v>3234</v>
      </c>
    </row>
    <row r="42" spans="1:10" ht="12.75" customHeight="1" x14ac:dyDescent="0.2">
      <c r="A42" s="1">
        <v>9</v>
      </c>
      <c r="B42" s="26" t="s">
        <v>2208</v>
      </c>
      <c r="C42" s="26" t="s">
        <v>1878</v>
      </c>
      <c r="D42" s="2">
        <v>534767889</v>
      </c>
      <c r="E42" s="2">
        <v>223808164</v>
      </c>
      <c r="F42" s="2">
        <v>41215600</v>
      </c>
      <c r="G42" s="2">
        <v>14165390</v>
      </c>
      <c r="H42" s="3" t="s">
        <v>2931</v>
      </c>
    </row>
    <row r="43" spans="1:10" ht="38.25" x14ac:dyDescent="0.2">
      <c r="A43" s="1">
        <v>10</v>
      </c>
      <c r="B43" s="26" t="s">
        <v>350</v>
      </c>
      <c r="C43" s="26" t="s">
        <v>1776</v>
      </c>
      <c r="D43" s="6">
        <v>419651413</v>
      </c>
      <c r="E43" s="6">
        <v>141621490</v>
      </c>
      <c r="F43" s="6">
        <v>21581030</v>
      </c>
      <c r="G43" s="6">
        <v>13181570</v>
      </c>
      <c r="H43" s="3" t="s">
        <v>3032</v>
      </c>
    </row>
    <row r="44" spans="1:10" ht="12.75" customHeight="1" x14ac:dyDescent="0.2">
      <c r="A44" s="1"/>
      <c r="D44" s="21">
        <f>SUM(D34:D43)</f>
        <v>6398053570</v>
      </c>
      <c r="E44" s="21">
        <f>SUM(E34:E43)</f>
        <v>2470178528</v>
      </c>
      <c r="F44" s="21">
        <f>SUM(F34:F43)</f>
        <v>602165128</v>
      </c>
      <c r="G44" s="21">
        <f>SUM(G34:G43)</f>
        <v>223516830</v>
      </c>
      <c r="H44" s="7"/>
    </row>
    <row r="45" spans="1:10" ht="25.5" x14ac:dyDescent="0.2">
      <c r="A45" s="22" t="s">
        <v>3126</v>
      </c>
      <c r="B45" s="23" t="s">
        <v>1153</v>
      </c>
      <c r="C45" s="23" t="s">
        <v>2600</v>
      </c>
      <c r="D45" s="24" t="s">
        <v>1728</v>
      </c>
      <c r="E45" s="24" t="s">
        <v>2495</v>
      </c>
      <c r="F45" s="24" t="s">
        <v>3395</v>
      </c>
      <c r="G45" s="25" t="s">
        <v>2481</v>
      </c>
      <c r="H45" s="11" t="s">
        <v>151</v>
      </c>
      <c r="I45" s="17"/>
    </row>
    <row r="46" spans="1:10" ht="38.25" x14ac:dyDescent="0.2">
      <c r="A46" s="1">
        <v>1</v>
      </c>
      <c r="B46" s="26" t="s">
        <v>757</v>
      </c>
      <c r="C46" s="26" t="s">
        <v>2158</v>
      </c>
      <c r="D46" s="26" t="s">
        <v>2468</v>
      </c>
      <c r="E46" s="2">
        <v>309420425</v>
      </c>
      <c r="F46" s="2">
        <v>81415664</v>
      </c>
      <c r="G46" s="2">
        <v>29085288</v>
      </c>
      <c r="H46" s="27" t="s">
        <v>963</v>
      </c>
      <c r="I46" s="26">
        <v>960996492</v>
      </c>
      <c r="J46" s="2"/>
    </row>
    <row r="47" spans="1:10" ht="38.25" x14ac:dyDescent="0.2">
      <c r="A47" s="1">
        <v>2</v>
      </c>
      <c r="B47" s="26" t="s">
        <v>565</v>
      </c>
      <c r="C47" s="26" t="s">
        <v>3209</v>
      </c>
      <c r="D47" s="2" t="s">
        <v>446</v>
      </c>
      <c r="E47" s="2">
        <v>292004738</v>
      </c>
      <c r="F47" s="2">
        <v>101360911</v>
      </c>
      <c r="G47" s="2">
        <v>29409933</v>
      </c>
      <c r="H47" s="3" t="s">
        <v>855</v>
      </c>
      <c r="J47" s="2"/>
    </row>
    <row r="48" spans="1:10" ht="12.75" customHeight="1" x14ac:dyDescent="0.2">
      <c r="A48" s="1">
        <v>3</v>
      </c>
      <c r="B48" s="26" t="s">
        <v>2762</v>
      </c>
      <c r="C48" s="26" t="s">
        <v>403</v>
      </c>
      <c r="D48" s="2" t="s">
        <v>2741</v>
      </c>
      <c r="E48" s="2">
        <v>336530303</v>
      </c>
      <c r="F48" s="2">
        <v>67049819</v>
      </c>
      <c r="G48" s="2">
        <v>19667403</v>
      </c>
      <c r="H48" s="3" t="s">
        <v>1597</v>
      </c>
      <c r="J48" s="2"/>
    </row>
    <row r="49" spans="1:10" ht="12.75" customHeight="1" x14ac:dyDescent="0.2">
      <c r="A49" s="1">
        <v>4</v>
      </c>
      <c r="B49" s="26" t="s">
        <v>1224</v>
      </c>
      <c r="C49" s="26" t="s">
        <v>3240</v>
      </c>
      <c r="D49" s="2" t="s">
        <v>3383</v>
      </c>
      <c r="E49" s="2">
        <v>322719944</v>
      </c>
      <c r="F49" s="2">
        <v>78167259</v>
      </c>
      <c r="G49" s="2">
        <v>28594698</v>
      </c>
      <c r="H49" s="3" t="s">
        <v>2976</v>
      </c>
      <c r="J49" s="2"/>
    </row>
    <row r="50" spans="1:10" ht="25.5" x14ac:dyDescent="0.2">
      <c r="A50" s="1">
        <v>5</v>
      </c>
      <c r="B50" s="26" t="s">
        <v>625</v>
      </c>
      <c r="C50" s="26" t="s">
        <v>2973</v>
      </c>
      <c r="D50" s="2" t="s">
        <v>2809</v>
      </c>
      <c r="E50" s="2">
        <v>319246193</v>
      </c>
      <c r="F50" s="2">
        <v>47478290</v>
      </c>
      <c r="G50" s="2">
        <v>23929895</v>
      </c>
      <c r="H50" s="3" t="s">
        <v>1873</v>
      </c>
      <c r="J50" s="2"/>
    </row>
    <row r="51" spans="1:10" ht="12.75" customHeight="1" x14ac:dyDescent="0.2">
      <c r="A51" s="1">
        <v>6</v>
      </c>
      <c r="B51" s="26" t="s">
        <v>1497</v>
      </c>
      <c r="C51" s="26" t="s">
        <v>336</v>
      </c>
      <c r="D51" s="2" t="s">
        <v>2870</v>
      </c>
      <c r="E51" s="2">
        <v>206445654</v>
      </c>
      <c r="F51" s="2">
        <v>48619933</v>
      </c>
      <c r="G51" s="2">
        <v>13240587</v>
      </c>
      <c r="H51" s="3" t="s">
        <v>1610</v>
      </c>
      <c r="J51" s="2"/>
    </row>
    <row r="52" spans="1:10" x14ac:dyDescent="0.2">
      <c r="A52" s="1">
        <v>7</v>
      </c>
      <c r="B52" s="26" t="s">
        <v>2842</v>
      </c>
      <c r="C52" s="26" t="s">
        <v>3209</v>
      </c>
      <c r="D52" s="2" t="s">
        <v>2257</v>
      </c>
      <c r="E52" s="2">
        <v>256393010</v>
      </c>
      <c r="F52" s="2">
        <v>51672734</v>
      </c>
      <c r="G52" s="2">
        <v>21160195</v>
      </c>
      <c r="H52" s="3" t="s">
        <v>2494</v>
      </c>
      <c r="J52" s="2"/>
    </row>
    <row r="53" spans="1:10" ht="25.5" x14ac:dyDescent="0.2">
      <c r="A53" s="1">
        <v>8</v>
      </c>
      <c r="B53" s="26" t="s">
        <v>2660</v>
      </c>
      <c r="C53" s="26" t="s">
        <v>384</v>
      </c>
      <c r="D53" s="2" t="s">
        <v>494</v>
      </c>
      <c r="E53" s="2">
        <v>183135014</v>
      </c>
      <c r="F53" s="2">
        <v>78426654</v>
      </c>
      <c r="G53" s="2">
        <v>26654369</v>
      </c>
      <c r="H53" s="3" t="s">
        <v>2294</v>
      </c>
      <c r="J53" s="2"/>
    </row>
    <row r="54" spans="1:10" ht="25.5" x14ac:dyDescent="0.2">
      <c r="A54" s="1">
        <v>9</v>
      </c>
      <c r="B54" s="26" t="s">
        <v>227</v>
      </c>
      <c r="C54" s="26" t="s">
        <v>2158</v>
      </c>
      <c r="D54" s="2" t="s">
        <v>99</v>
      </c>
      <c r="E54" s="2">
        <v>219964115</v>
      </c>
      <c r="F54" s="2">
        <v>17626166</v>
      </c>
      <c r="G54" s="2">
        <v>11790412</v>
      </c>
      <c r="H54" s="3" t="s">
        <v>2365</v>
      </c>
      <c r="J54" s="2"/>
    </row>
    <row r="55" spans="1:10" ht="12.75" customHeight="1" x14ac:dyDescent="0.2">
      <c r="A55" s="1">
        <v>10</v>
      </c>
      <c r="B55" s="26" t="s">
        <v>2247</v>
      </c>
      <c r="C55" s="26" t="s">
        <v>3209</v>
      </c>
      <c r="D55" s="6" t="s">
        <v>520</v>
      </c>
      <c r="E55" s="6">
        <v>210614939</v>
      </c>
      <c r="F55" s="6">
        <v>27994700</v>
      </c>
      <c r="G55" s="6">
        <v>12304031</v>
      </c>
      <c r="H55" s="3">
        <v>39150</v>
      </c>
      <c r="J55" s="2"/>
    </row>
    <row r="56" spans="1:10" ht="12.75" customHeight="1" x14ac:dyDescent="0.2">
      <c r="A56" s="1" t="e">
        <v>#VALUE!</v>
      </c>
      <c r="D56" s="21">
        <f>SUM(D46:D55)</f>
        <v>0</v>
      </c>
      <c r="E56" s="21">
        <f>SUM(E46:E55)</f>
        <v>2656474335</v>
      </c>
      <c r="F56" s="21">
        <f>SUM(F46:F55)</f>
        <v>599812130</v>
      </c>
      <c r="G56" s="21">
        <f>SUM(G46:G55)</f>
        <v>215836811</v>
      </c>
      <c r="H56" s="7"/>
    </row>
    <row r="57" spans="1:10" ht="25.5" x14ac:dyDescent="0.2">
      <c r="A57" s="22" t="s">
        <v>377</v>
      </c>
      <c r="B57" s="23" t="s">
        <v>1153</v>
      </c>
      <c r="C57" s="23" t="s">
        <v>2600</v>
      </c>
      <c r="D57" s="24" t="s">
        <v>132</v>
      </c>
      <c r="E57" s="24" t="s">
        <v>1855</v>
      </c>
      <c r="F57" s="24" t="s">
        <v>1982</v>
      </c>
      <c r="G57" s="25" t="s">
        <v>3073</v>
      </c>
      <c r="H57" s="11" t="s">
        <v>151</v>
      </c>
      <c r="I57" s="17"/>
    </row>
    <row r="58" spans="1:10" ht="38.25" x14ac:dyDescent="0.2">
      <c r="A58" s="1">
        <v>1</v>
      </c>
      <c r="B58" s="26" t="s">
        <v>2549</v>
      </c>
      <c r="C58" s="26" t="s">
        <v>2204</v>
      </c>
      <c r="D58" s="2">
        <v>1066179725</v>
      </c>
      <c r="E58" s="2">
        <v>423315812</v>
      </c>
      <c r="F58" s="2">
        <v>98668102</v>
      </c>
      <c r="G58" s="2">
        <v>28477460</v>
      </c>
      <c r="H58" s="27" t="s">
        <v>104</v>
      </c>
    </row>
    <row r="59" spans="1:10" ht="25.5" x14ac:dyDescent="0.2">
      <c r="A59" s="1">
        <v>2</v>
      </c>
      <c r="B59" s="26" t="s">
        <v>3353</v>
      </c>
      <c r="C59" s="26" t="s">
        <v>403</v>
      </c>
      <c r="D59" s="2">
        <v>758239851</v>
      </c>
      <c r="E59" s="2">
        <v>217536138</v>
      </c>
      <c r="F59" s="2">
        <v>55723141</v>
      </c>
      <c r="G59" s="2">
        <v>20561541</v>
      </c>
      <c r="H59" s="3" t="s">
        <v>2351</v>
      </c>
    </row>
    <row r="60" spans="1:10" ht="25.5" x14ac:dyDescent="0.2">
      <c r="A60" s="1">
        <v>3</v>
      </c>
      <c r="B60" s="26" t="s">
        <v>829</v>
      </c>
      <c r="C60" s="26" t="s">
        <v>384</v>
      </c>
      <c r="D60" s="2">
        <v>655388158</v>
      </c>
      <c r="E60" s="2">
        <v>195330621</v>
      </c>
      <c r="F60" s="2">
        <v>52328847</v>
      </c>
      <c r="G60" s="2">
        <v>17960331</v>
      </c>
      <c r="H60" s="3" t="s">
        <v>1707</v>
      </c>
    </row>
    <row r="61" spans="1:10" x14ac:dyDescent="0.2">
      <c r="A61" s="1">
        <v>4</v>
      </c>
      <c r="B61" s="26" t="s">
        <v>3010</v>
      </c>
      <c r="C61" s="26" t="s">
        <v>2779</v>
      </c>
      <c r="D61" s="2">
        <v>594239066</v>
      </c>
      <c r="E61" s="2">
        <v>167445960</v>
      </c>
      <c r="F61" s="2">
        <v>105932056</v>
      </c>
      <c r="G61" s="2">
        <v>25391472</v>
      </c>
      <c r="H61" s="3" t="s">
        <v>2095</v>
      </c>
    </row>
    <row r="62" spans="1:10" ht="25.5" x14ac:dyDescent="0.2">
      <c r="A62" s="1">
        <v>5</v>
      </c>
      <c r="B62" s="26" t="s">
        <v>3157</v>
      </c>
      <c r="C62" s="26" t="s">
        <v>384</v>
      </c>
      <c r="D62" s="2">
        <v>574480052</v>
      </c>
      <c r="E62" s="2">
        <v>250863268</v>
      </c>
      <c r="F62" s="2">
        <v>40838600</v>
      </c>
      <c r="G62" s="2">
        <v>18944343</v>
      </c>
      <c r="H62" s="3" t="s">
        <v>1467</v>
      </c>
    </row>
    <row r="63" spans="1:10" ht="12.75" customHeight="1" x14ac:dyDescent="0.2">
      <c r="A63" s="1">
        <v>6</v>
      </c>
      <c r="B63" s="26" t="s">
        <v>2603</v>
      </c>
      <c r="C63" s="26" t="s">
        <v>2238</v>
      </c>
      <c r="D63" s="2">
        <v>461983149</v>
      </c>
      <c r="E63" s="2">
        <v>244082982</v>
      </c>
      <c r="F63" s="2">
        <v>30858370</v>
      </c>
      <c r="G63" s="2">
        <v>13450636</v>
      </c>
      <c r="H63" s="3" t="s">
        <v>43</v>
      </c>
    </row>
    <row r="64" spans="1:10" ht="25.5" x14ac:dyDescent="0.2">
      <c r="A64" s="1">
        <v>7</v>
      </c>
      <c r="B64" s="26" t="s">
        <v>2915</v>
      </c>
      <c r="C64" s="26" t="s">
        <v>384</v>
      </c>
      <c r="D64" s="2">
        <v>459359555</v>
      </c>
      <c r="E64" s="2">
        <v>234362462</v>
      </c>
      <c r="F64" s="2">
        <v>35817332</v>
      </c>
      <c r="G64" s="2">
        <v>12601706</v>
      </c>
      <c r="H64" s="3" t="s">
        <v>569</v>
      </c>
    </row>
    <row r="65" spans="1:9" ht="25.5" x14ac:dyDescent="0.2">
      <c r="A65" s="1">
        <v>8</v>
      </c>
      <c r="B65" s="26" t="s">
        <v>2267</v>
      </c>
      <c r="C65" s="26" t="s">
        <v>3375</v>
      </c>
      <c r="D65" s="2">
        <v>397850012</v>
      </c>
      <c r="E65" s="2">
        <v>134029801</v>
      </c>
      <c r="F65" s="2">
        <v>29032559</v>
      </c>
      <c r="G65" s="2">
        <v>8446854</v>
      </c>
      <c r="H65" s="3" t="s">
        <v>1019</v>
      </c>
    </row>
    <row r="66" spans="1:9" ht="25.5" x14ac:dyDescent="0.2">
      <c r="A66" s="1">
        <v>9</v>
      </c>
      <c r="B66" s="26" t="s">
        <v>2100</v>
      </c>
      <c r="C66" s="26" t="s">
        <v>3209</v>
      </c>
      <c r="D66" s="2">
        <v>391081192</v>
      </c>
      <c r="E66" s="2">
        <v>200081192</v>
      </c>
      <c r="F66" s="2">
        <v>30157106</v>
      </c>
      <c r="G66" s="2">
        <v>10300000</v>
      </c>
      <c r="H66" s="3" t="s">
        <v>2801</v>
      </c>
    </row>
    <row r="67" spans="1:9" x14ac:dyDescent="0.2">
      <c r="A67" s="1">
        <v>10</v>
      </c>
      <c r="B67" s="26" t="s">
        <v>1543</v>
      </c>
      <c r="C67" s="26" t="s">
        <v>3209</v>
      </c>
      <c r="D67" s="6">
        <v>384335608</v>
      </c>
      <c r="E67" s="6">
        <v>198000317</v>
      </c>
      <c r="F67" s="6">
        <v>37779303</v>
      </c>
      <c r="G67" s="6">
        <v>26245071</v>
      </c>
      <c r="H67" s="3" t="s">
        <v>2095</v>
      </c>
    </row>
    <row r="68" spans="1:9" ht="12.75" customHeight="1" x14ac:dyDescent="0.2">
      <c r="A68" s="1" t="e">
        <v>#VALUE!</v>
      </c>
      <c r="D68" s="21">
        <f>SUM(D58:D67)</f>
        <v>5743136368</v>
      </c>
      <c r="E68" s="21">
        <f>SUM(E58:E67)</f>
        <v>2265048553</v>
      </c>
      <c r="F68" s="21">
        <f>SUM(F58:F67)</f>
        <v>517135416</v>
      </c>
      <c r="G68" s="21">
        <f>SUM(G58:G67)</f>
        <v>182379414</v>
      </c>
      <c r="H68" s="7"/>
    </row>
    <row r="69" spans="1:9" ht="25.5" x14ac:dyDescent="0.2">
      <c r="A69" s="22" t="s">
        <v>377</v>
      </c>
      <c r="B69" s="23" t="s">
        <v>1153</v>
      </c>
      <c r="C69" s="23" t="s">
        <v>2600</v>
      </c>
      <c r="D69" s="24" t="s">
        <v>132</v>
      </c>
      <c r="E69" s="24" t="s">
        <v>1855</v>
      </c>
      <c r="F69" s="24" t="s">
        <v>1982</v>
      </c>
      <c r="G69" s="25" t="s">
        <v>3073</v>
      </c>
      <c r="H69" s="11" t="s">
        <v>151</v>
      </c>
      <c r="I69" s="17"/>
    </row>
    <row r="70" spans="1:9" ht="25.5" x14ac:dyDescent="0.2">
      <c r="A70" s="1">
        <v>1</v>
      </c>
      <c r="B70" s="26" t="s">
        <v>3443</v>
      </c>
      <c r="C70" s="26" t="s">
        <v>3209</v>
      </c>
      <c r="D70" s="2">
        <v>895921036</v>
      </c>
      <c r="E70" s="2">
        <v>290013036</v>
      </c>
      <c r="F70" s="2">
        <v>85870215</v>
      </c>
      <c r="G70" s="2">
        <v>26734333</v>
      </c>
      <c r="H70" s="27" t="s">
        <v>3171</v>
      </c>
    </row>
    <row r="71" spans="1:9" ht="51" x14ac:dyDescent="0.2">
      <c r="A71" s="1">
        <v>2</v>
      </c>
      <c r="B71" s="26" t="s">
        <v>2760</v>
      </c>
      <c r="C71" s="26" t="s">
        <v>384</v>
      </c>
      <c r="D71" s="2">
        <v>848754768</v>
      </c>
      <c r="E71" s="2">
        <v>380270577</v>
      </c>
      <c r="F71" s="2">
        <v>72827146</v>
      </c>
      <c r="G71" s="2">
        <v>27248575</v>
      </c>
      <c r="H71" s="3" t="s">
        <v>3156</v>
      </c>
    </row>
    <row r="72" spans="1:9" ht="63.75" x14ac:dyDescent="0.2">
      <c r="A72" s="1">
        <v>3</v>
      </c>
      <c r="B72" s="26" t="s">
        <v>1814</v>
      </c>
      <c r="C72" s="26" t="s">
        <v>2204</v>
      </c>
      <c r="D72" s="2">
        <v>745011272</v>
      </c>
      <c r="E72" s="2">
        <v>291710957</v>
      </c>
      <c r="F72" s="2">
        <v>77933064</v>
      </c>
      <c r="G72" s="2">
        <v>25842771</v>
      </c>
      <c r="H72" s="3" t="s">
        <v>744</v>
      </c>
    </row>
    <row r="73" spans="1:9" ht="25.5" x14ac:dyDescent="0.2">
      <c r="A73" s="1">
        <v>4</v>
      </c>
      <c r="B73" s="26" t="s">
        <v>40</v>
      </c>
      <c r="C73" s="26" t="s">
        <v>2168</v>
      </c>
      <c r="D73" s="2">
        <v>591745540</v>
      </c>
      <c r="E73" s="2">
        <v>234280354</v>
      </c>
      <c r="F73" s="2">
        <v>55555574</v>
      </c>
      <c r="G73" s="2">
        <v>16532633</v>
      </c>
      <c r="H73" s="3" t="s">
        <v>1584</v>
      </c>
    </row>
    <row r="74" spans="1:9" x14ac:dyDescent="0.2">
      <c r="A74" s="1">
        <v>5</v>
      </c>
      <c r="B74" s="26" t="s">
        <v>3298</v>
      </c>
      <c r="C74" s="26" t="s">
        <v>2292</v>
      </c>
      <c r="D74" s="2">
        <v>550517357</v>
      </c>
      <c r="E74" s="2">
        <v>218080025</v>
      </c>
      <c r="F74" s="2">
        <v>52619933</v>
      </c>
      <c r="G74" s="2">
        <v>15970050</v>
      </c>
      <c r="H74" s="3" t="s">
        <v>2492</v>
      </c>
    </row>
    <row r="75" spans="1:9" ht="25.5" x14ac:dyDescent="0.2">
      <c r="A75" s="1">
        <v>6</v>
      </c>
      <c r="B75" s="26" t="s">
        <v>498</v>
      </c>
      <c r="C75" s="26" t="s">
        <v>1125</v>
      </c>
      <c r="D75" s="2">
        <v>532680671</v>
      </c>
      <c r="E75" s="2">
        <v>193595521</v>
      </c>
      <c r="F75" s="2">
        <v>40690223</v>
      </c>
      <c r="G75" s="2">
        <v>19539058</v>
      </c>
      <c r="H75" s="3" t="s">
        <v>2892</v>
      </c>
    </row>
    <row r="76" spans="1:9" x14ac:dyDescent="0.2">
      <c r="A76" s="1">
        <v>7</v>
      </c>
      <c r="B76" s="26" t="s">
        <v>1480</v>
      </c>
      <c r="C76" s="26" t="s">
        <v>384</v>
      </c>
      <c r="D76" s="2">
        <v>478207520</v>
      </c>
      <c r="E76" s="2">
        <v>186336279</v>
      </c>
      <c r="F76" s="2">
        <v>24619123</v>
      </c>
      <c r="G76" s="2">
        <v>15564796</v>
      </c>
      <c r="H76" s="3" t="s">
        <v>667</v>
      </c>
    </row>
    <row r="77" spans="1:9" ht="25.5" x14ac:dyDescent="0.2">
      <c r="A77" s="1">
        <v>8</v>
      </c>
      <c r="B77" s="26" t="s">
        <v>1872</v>
      </c>
      <c r="C77" s="26" t="s">
        <v>3209</v>
      </c>
      <c r="D77" s="2">
        <v>474968763</v>
      </c>
      <c r="E77" s="2">
        <v>206459076</v>
      </c>
      <c r="F77" s="2">
        <v>65842139</v>
      </c>
      <c r="G77" s="2">
        <v>18812394</v>
      </c>
      <c r="H77" s="3" t="s">
        <v>2280</v>
      </c>
    </row>
    <row r="78" spans="1:9" ht="12.75" customHeight="1" x14ac:dyDescent="0.2">
      <c r="A78" s="1">
        <v>9</v>
      </c>
      <c r="B78" s="26" t="s">
        <v>1822</v>
      </c>
      <c r="C78" s="26" t="s">
        <v>3209</v>
      </c>
      <c r="D78" s="2">
        <v>372710015</v>
      </c>
      <c r="E78" s="2">
        <v>205343774</v>
      </c>
      <c r="F78" s="2">
        <v>30042288</v>
      </c>
      <c r="G78" s="2">
        <v>12262065</v>
      </c>
      <c r="H78" s="3" t="s">
        <v>2017</v>
      </c>
    </row>
    <row r="79" spans="1:9" ht="12.75" customHeight="1" x14ac:dyDescent="0.2">
      <c r="A79" s="1">
        <v>10</v>
      </c>
      <c r="B79" s="26" t="s">
        <v>1553</v>
      </c>
      <c r="C79" s="26" t="s">
        <v>238</v>
      </c>
      <c r="D79" s="6">
        <v>368100420</v>
      </c>
      <c r="E79" s="6">
        <v>179495555</v>
      </c>
      <c r="F79" s="6">
        <v>33371422</v>
      </c>
      <c r="G79" s="6">
        <v>11109579</v>
      </c>
      <c r="H79" s="3" t="s">
        <v>408</v>
      </c>
    </row>
    <row r="80" spans="1:9" ht="12.75" customHeight="1" x14ac:dyDescent="0.2">
      <c r="A80" s="1"/>
      <c r="D80" s="21">
        <f>SUM(D70:D79)</f>
        <v>5858617362</v>
      </c>
      <c r="E80" s="21">
        <f>SUM(E70:E79)</f>
        <v>2385585154</v>
      </c>
      <c r="F80" s="21">
        <f>SUM(F70:F79)</f>
        <v>539371127</v>
      </c>
      <c r="G80" s="21">
        <f>SUM(G70:G79)</f>
        <v>189616254</v>
      </c>
      <c r="H80" s="3"/>
    </row>
    <row r="81" spans="1:8" ht="12.75" customHeight="1" x14ac:dyDescent="0.2">
      <c r="A81" s="1"/>
      <c r="D81" s="2"/>
      <c r="E81" s="2"/>
      <c r="F81" s="2"/>
      <c r="G81" s="2"/>
      <c r="H81" s="3"/>
    </row>
    <row r="82" spans="1:8" ht="12.75" customHeight="1" x14ac:dyDescent="0.2">
      <c r="A82" s="1"/>
      <c r="D82" s="2"/>
      <c r="E82" s="2"/>
      <c r="F82" s="2"/>
      <c r="G82" s="2"/>
      <c r="H82" s="3"/>
    </row>
    <row r="83" spans="1:8" ht="12.75" customHeight="1" x14ac:dyDescent="0.2">
      <c r="A83" s="1"/>
      <c r="D83" s="2"/>
      <c r="E83" s="2"/>
      <c r="F83" s="2"/>
      <c r="G83" s="2"/>
      <c r="H83" s="3"/>
    </row>
    <row r="84" spans="1:8" ht="12.75" customHeight="1" x14ac:dyDescent="0.2">
      <c r="A84" s="1"/>
      <c r="D84" s="2"/>
      <c r="E84" s="2"/>
      <c r="F84" s="2"/>
      <c r="G84" s="2"/>
      <c r="H84" s="3"/>
    </row>
    <row r="85" spans="1:8" ht="12.75" customHeight="1" x14ac:dyDescent="0.2">
      <c r="A85" s="1"/>
      <c r="D85" s="2"/>
      <c r="E85" s="2"/>
      <c r="F85" s="2"/>
      <c r="G85" s="2"/>
      <c r="H85" s="3"/>
    </row>
    <row r="86" spans="1:8" ht="12.75" customHeight="1" x14ac:dyDescent="0.2">
      <c r="A86" s="1"/>
      <c r="D86" s="2"/>
      <c r="E86" s="2"/>
      <c r="F86" s="2"/>
      <c r="G86" s="2"/>
      <c r="H86" s="3"/>
    </row>
    <row r="87" spans="1:8" ht="12.75" customHeight="1" x14ac:dyDescent="0.2">
      <c r="A87" s="1"/>
      <c r="D87" s="2"/>
      <c r="E87" s="2"/>
      <c r="F87" s="2"/>
      <c r="G87" s="2"/>
      <c r="H87" s="3"/>
    </row>
    <row r="88" spans="1:8" ht="12.75" customHeight="1" x14ac:dyDescent="0.2">
      <c r="A88" s="1"/>
      <c r="D88" s="2"/>
      <c r="E88" s="2"/>
      <c r="F88" s="2"/>
      <c r="G88" s="2"/>
      <c r="H88" s="3"/>
    </row>
    <row r="89" spans="1:8" ht="12.75" customHeight="1" x14ac:dyDescent="0.2">
      <c r="A89" s="1"/>
      <c r="D89" s="2"/>
      <c r="E89" s="2"/>
      <c r="F89" s="2"/>
      <c r="G89" s="2"/>
      <c r="H89" s="3"/>
    </row>
    <row r="90" spans="1:8" ht="12.75" customHeight="1" x14ac:dyDescent="0.2">
      <c r="A90" s="1"/>
      <c r="D90" s="2"/>
      <c r="E90" s="2"/>
      <c r="F90" s="2"/>
      <c r="G90" s="2"/>
      <c r="H90" s="3"/>
    </row>
    <row r="91" spans="1:8" ht="12.75" customHeight="1" x14ac:dyDescent="0.2">
      <c r="A91" s="1"/>
      <c r="D91" s="2"/>
      <c r="E91" s="2"/>
      <c r="F91" s="2"/>
      <c r="G91" s="2"/>
      <c r="H91" s="3"/>
    </row>
    <row r="92" spans="1:8" ht="12.75" customHeight="1" x14ac:dyDescent="0.2">
      <c r="A92" s="1"/>
      <c r="D92" s="2"/>
      <c r="E92" s="2"/>
      <c r="F92" s="2"/>
      <c r="G92" s="2"/>
      <c r="H92" s="3"/>
    </row>
    <row r="93" spans="1:8" ht="12.75" customHeight="1" x14ac:dyDescent="0.2">
      <c r="A93" s="1"/>
      <c r="D93" s="2"/>
      <c r="E93" s="2"/>
      <c r="F93" s="2"/>
      <c r="G93" s="2"/>
      <c r="H93" s="3"/>
    </row>
    <row r="94" spans="1:8" ht="12.75" customHeight="1" x14ac:dyDescent="0.2">
      <c r="A94" s="1"/>
      <c r="D94" s="2"/>
      <c r="E94" s="2"/>
      <c r="F94" s="2"/>
      <c r="G94" s="2"/>
      <c r="H94" s="3"/>
    </row>
    <row r="95" spans="1:8" ht="12.75" customHeight="1" x14ac:dyDescent="0.2">
      <c r="A95" s="1"/>
      <c r="D95" s="2"/>
      <c r="E95" s="2"/>
      <c r="F95" s="2"/>
      <c r="G95" s="2"/>
      <c r="H95" s="3"/>
    </row>
    <row r="96" spans="1:8" ht="12.75" customHeight="1" x14ac:dyDescent="0.2">
      <c r="A96" s="1"/>
      <c r="D96" s="2"/>
      <c r="E96" s="2"/>
      <c r="F96" s="2"/>
      <c r="G96" s="2"/>
      <c r="H96" s="3"/>
    </row>
    <row r="97" spans="1:8" ht="12.75" customHeight="1" x14ac:dyDescent="0.2">
      <c r="A97" s="1"/>
      <c r="D97" s="2"/>
      <c r="E97" s="2"/>
      <c r="F97" s="2"/>
      <c r="G97" s="2"/>
      <c r="H97" s="3"/>
    </row>
    <row r="98" spans="1:8" ht="12.75" customHeight="1" x14ac:dyDescent="0.2">
      <c r="A98" s="1"/>
      <c r="D98" s="2"/>
      <c r="E98" s="2"/>
      <c r="F98" s="2"/>
      <c r="G98" s="2"/>
      <c r="H98" s="3"/>
    </row>
    <row r="99" spans="1:8" ht="12.75" customHeight="1" x14ac:dyDescent="0.2">
      <c r="A99" s="1"/>
      <c r="D99" s="2"/>
      <c r="E99" s="2"/>
      <c r="F99" s="2"/>
      <c r="G99" s="2"/>
      <c r="H99" s="3"/>
    </row>
    <row r="100" spans="1:8" ht="12.75" customHeight="1" x14ac:dyDescent="0.2">
      <c r="A100" s="1"/>
      <c r="D100" s="2"/>
      <c r="E100" s="2"/>
      <c r="F100" s="2"/>
      <c r="G100" s="2"/>
      <c r="H100" s="3"/>
    </row>
  </sheetData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workbookViewId="0">
      <pane xSplit="1" ySplit="1" topLeftCell="B2" activePane="bottomRight" state="frozenSplit"/>
      <selection pane="topRight" activeCell="I1" sqref="I1"/>
      <selection pane="bottomLeft" activeCell="A19" sqref="A19"/>
      <selection pane="bottomRight" activeCell="I7" sqref="I7"/>
    </sheetView>
  </sheetViews>
  <sheetFormatPr defaultColWidth="17.140625" defaultRowHeight="12.75" customHeight="1" x14ac:dyDescent="0.2"/>
  <cols>
    <col min="1" max="3" width="17.140625" customWidth="1"/>
    <col min="4" max="6" width="17.140625" style="36" customWidth="1"/>
    <col min="7" max="255" width="17.140625" customWidth="1"/>
  </cols>
  <sheetData>
    <row r="1" spans="1:9" ht="12.75" customHeight="1" x14ac:dyDescent="0.25">
      <c r="A1" s="30" t="s">
        <v>3490</v>
      </c>
      <c r="B1" s="30" t="s">
        <v>2968</v>
      </c>
      <c r="C1" s="30" t="s">
        <v>2266</v>
      </c>
      <c r="D1" s="34" t="s">
        <v>1858</v>
      </c>
      <c r="E1" s="34" t="s">
        <v>606</v>
      </c>
      <c r="F1" s="34" t="s">
        <v>1728</v>
      </c>
      <c r="G1" s="31" t="s">
        <v>3488</v>
      </c>
      <c r="H1" s="31" t="s">
        <v>3489</v>
      </c>
      <c r="I1" s="31" t="s">
        <v>3490</v>
      </c>
    </row>
    <row r="2" spans="1:9" ht="12.75" customHeight="1" x14ac:dyDescent="0.2">
      <c r="A2" s="28">
        <v>40179</v>
      </c>
      <c r="B2" s="26" t="s">
        <v>18</v>
      </c>
      <c r="C2" s="26" t="s">
        <v>9</v>
      </c>
      <c r="D2" s="35" t="s">
        <v>20</v>
      </c>
      <c r="E2" s="35">
        <v>9628</v>
      </c>
      <c r="F2" s="35" t="s">
        <v>20</v>
      </c>
      <c r="G2" t="b">
        <f t="shared" ref="G2" si="0">ISBLANK(A2)</f>
        <v>0</v>
      </c>
      <c r="H2" t="b">
        <f t="shared" ref="H2" si="1">ISTEXT(A2)</f>
        <v>0</v>
      </c>
      <c r="I2" s="29">
        <f>DATE(2010,MONTH(A2), DAY(A2))</f>
        <v>40179</v>
      </c>
    </row>
    <row r="3" spans="1:9" ht="25.5" x14ac:dyDescent="0.2">
      <c r="A3" s="28">
        <v>40179</v>
      </c>
      <c r="B3" s="26" t="s">
        <v>2751</v>
      </c>
      <c r="C3" s="26" t="s">
        <v>9</v>
      </c>
      <c r="D3" s="35" t="s">
        <v>20</v>
      </c>
      <c r="E3" s="35">
        <v>98926</v>
      </c>
      <c r="F3" s="35" t="s">
        <v>20</v>
      </c>
      <c r="G3" t="b">
        <f t="shared" ref="G3:G66" si="2">ISBLANK(A3)</f>
        <v>0</v>
      </c>
      <c r="H3" t="b">
        <f t="shared" ref="H3:H66" si="3">ISTEXT(A3)</f>
        <v>0</v>
      </c>
      <c r="I3" s="29">
        <f t="shared" ref="I3:I66" si="4">DATE(2010,MONTH(A3), DAY(A3))</f>
        <v>40179</v>
      </c>
    </row>
    <row r="4" spans="1:9" ht="12.75" customHeight="1" x14ac:dyDescent="0.2">
      <c r="A4" s="28">
        <v>40183</v>
      </c>
      <c r="B4" s="26" t="s">
        <v>3089</v>
      </c>
      <c r="C4" s="26" t="s">
        <v>9</v>
      </c>
      <c r="D4" s="35" t="s">
        <v>20</v>
      </c>
      <c r="E4" s="35" t="s">
        <v>20</v>
      </c>
      <c r="F4" s="35">
        <v>21903000</v>
      </c>
      <c r="G4" t="b">
        <f t="shared" si="2"/>
        <v>0</v>
      </c>
      <c r="H4" t="b">
        <f t="shared" si="3"/>
        <v>0</v>
      </c>
      <c r="I4" s="29">
        <f t="shared" si="4"/>
        <v>40183</v>
      </c>
    </row>
    <row r="5" spans="1:9" ht="12.75" customHeight="1" x14ac:dyDescent="0.2">
      <c r="A5" s="28">
        <v>40184</v>
      </c>
      <c r="B5" s="26" t="s">
        <v>3274</v>
      </c>
      <c r="C5" s="26" t="s">
        <v>9</v>
      </c>
      <c r="D5" s="35" t="s">
        <v>20</v>
      </c>
      <c r="E5" s="35">
        <v>206728</v>
      </c>
      <c r="F5" s="35" t="s">
        <v>20</v>
      </c>
      <c r="G5" t="b">
        <f t="shared" si="2"/>
        <v>0</v>
      </c>
      <c r="H5" t="b">
        <f t="shared" si="3"/>
        <v>0</v>
      </c>
      <c r="I5" s="29">
        <f t="shared" si="4"/>
        <v>40184</v>
      </c>
    </row>
    <row r="6" spans="1:9" ht="12.75" customHeight="1" x14ac:dyDescent="0.2">
      <c r="A6" s="28">
        <v>40185</v>
      </c>
      <c r="B6" s="26" t="s">
        <v>2701</v>
      </c>
      <c r="C6" s="26" t="s">
        <v>9</v>
      </c>
      <c r="D6" s="35" t="s">
        <v>20</v>
      </c>
      <c r="E6" s="35" t="s">
        <v>20</v>
      </c>
      <c r="F6" s="35">
        <v>1528815</v>
      </c>
      <c r="G6" t="b">
        <f t="shared" si="2"/>
        <v>0</v>
      </c>
      <c r="H6" t="b">
        <f t="shared" si="3"/>
        <v>0</v>
      </c>
      <c r="I6" s="29">
        <f t="shared" si="4"/>
        <v>40185</v>
      </c>
    </row>
    <row r="7" spans="1:9" ht="12.75" customHeight="1" x14ac:dyDescent="0.2">
      <c r="A7" s="28">
        <v>40186</v>
      </c>
      <c r="B7" s="26" t="s">
        <v>2453</v>
      </c>
      <c r="C7" s="26" t="s">
        <v>9</v>
      </c>
      <c r="D7" s="35" t="s">
        <v>20</v>
      </c>
      <c r="E7" s="35">
        <v>17365</v>
      </c>
      <c r="F7" s="35" t="s">
        <v>20</v>
      </c>
      <c r="G7" t="b">
        <f t="shared" si="2"/>
        <v>0</v>
      </c>
      <c r="H7" t="b">
        <f t="shared" si="3"/>
        <v>0</v>
      </c>
      <c r="I7" s="29">
        <f t="shared" si="4"/>
        <v>40186</v>
      </c>
    </row>
    <row r="8" spans="1:9" ht="12.75" customHeight="1" x14ac:dyDescent="0.2">
      <c r="A8" s="28">
        <v>40186</v>
      </c>
      <c r="B8" s="26" t="s">
        <v>1840</v>
      </c>
      <c r="C8" s="26" t="s">
        <v>2310</v>
      </c>
      <c r="D8" s="35">
        <v>20000000</v>
      </c>
      <c r="E8" s="35">
        <v>30101577</v>
      </c>
      <c r="F8" s="35">
        <v>51401577</v>
      </c>
      <c r="G8" t="b">
        <f t="shared" si="2"/>
        <v>0</v>
      </c>
      <c r="H8" t="b">
        <f t="shared" si="3"/>
        <v>0</v>
      </c>
      <c r="I8" s="29">
        <f t="shared" si="4"/>
        <v>40186</v>
      </c>
    </row>
    <row r="9" spans="1:9" ht="12.75" customHeight="1" x14ac:dyDescent="0.2">
      <c r="A9" s="28">
        <v>40186</v>
      </c>
      <c r="B9" s="26" t="s">
        <v>2568</v>
      </c>
      <c r="C9" s="26" t="s">
        <v>9</v>
      </c>
      <c r="D9" s="35" t="s">
        <v>20</v>
      </c>
      <c r="E9" s="35">
        <v>25918920</v>
      </c>
      <c r="F9" s="35">
        <v>28913496</v>
      </c>
      <c r="G9" t="b">
        <f t="shared" si="2"/>
        <v>0</v>
      </c>
      <c r="H9" t="b">
        <f t="shared" si="3"/>
        <v>0</v>
      </c>
      <c r="I9" s="29">
        <f t="shared" si="4"/>
        <v>40186</v>
      </c>
    </row>
    <row r="10" spans="1:9" ht="12.75" customHeight="1" x14ac:dyDescent="0.2">
      <c r="A10" s="28">
        <v>40186</v>
      </c>
      <c r="B10" s="26" t="s">
        <v>971</v>
      </c>
      <c r="C10" s="26" t="s">
        <v>9</v>
      </c>
      <c r="D10" s="35" t="s">
        <v>20</v>
      </c>
      <c r="E10" s="35" t="s">
        <v>20</v>
      </c>
      <c r="F10" s="35" t="s">
        <v>20</v>
      </c>
      <c r="G10" t="b">
        <f t="shared" si="2"/>
        <v>0</v>
      </c>
      <c r="H10" t="b">
        <f t="shared" si="3"/>
        <v>0</v>
      </c>
      <c r="I10" s="29">
        <f t="shared" si="4"/>
        <v>40186</v>
      </c>
    </row>
    <row r="11" spans="1:9" ht="25.5" x14ac:dyDescent="0.2">
      <c r="A11" s="28">
        <v>40186</v>
      </c>
      <c r="B11" s="26" t="s">
        <v>2093</v>
      </c>
      <c r="C11" s="26" t="s">
        <v>2964</v>
      </c>
      <c r="D11" s="35" t="s">
        <v>20</v>
      </c>
      <c r="E11" s="35">
        <v>10501</v>
      </c>
      <c r="F11" s="35" t="s">
        <v>20</v>
      </c>
      <c r="G11" t="b">
        <f t="shared" si="2"/>
        <v>0</v>
      </c>
      <c r="H11" t="b">
        <f t="shared" si="3"/>
        <v>0</v>
      </c>
      <c r="I11" s="29">
        <f t="shared" si="4"/>
        <v>40186</v>
      </c>
    </row>
    <row r="12" spans="1:9" ht="25.5" x14ac:dyDescent="0.2">
      <c r="A12" s="28">
        <v>40186</v>
      </c>
      <c r="B12" s="26" t="s">
        <v>2248</v>
      </c>
      <c r="C12" s="26" t="s">
        <v>902</v>
      </c>
      <c r="D12" s="35" t="s">
        <v>20</v>
      </c>
      <c r="E12" s="35">
        <v>31052</v>
      </c>
      <c r="F12" s="35" t="s">
        <v>20</v>
      </c>
      <c r="G12" t="b">
        <f t="shared" si="2"/>
        <v>0</v>
      </c>
      <c r="H12" t="b">
        <f t="shared" si="3"/>
        <v>0</v>
      </c>
      <c r="I12" s="29">
        <f t="shared" si="4"/>
        <v>40186</v>
      </c>
    </row>
    <row r="13" spans="1:9" ht="25.5" x14ac:dyDescent="0.2">
      <c r="A13" s="28">
        <v>40186</v>
      </c>
      <c r="B13" s="26" t="s">
        <v>889</v>
      </c>
      <c r="C13" s="26" t="s">
        <v>150</v>
      </c>
      <c r="D13" s="35" t="s">
        <v>20</v>
      </c>
      <c r="E13" s="35">
        <v>88335</v>
      </c>
      <c r="F13" s="35" t="s">
        <v>20</v>
      </c>
      <c r="G13" t="b">
        <f t="shared" si="2"/>
        <v>0</v>
      </c>
      <c r="H13" t="b">
        <f t="shared" si="3"/>
        <v>0</v>
      </c>
      <c r="I13" s="29">
        <f t="shared" si="4"/>
        <v>40186</v>
      </c>
    </row>
    <row r="14" spans="1:9" ht="12.75" customHeight="1" x14ac:dyDescent="0.2">
      <c r="A14" s="28">
        <v>40186</v>
      </c>
      <c r="B14" s="26" t="s">
        <v>553</v>
      </c>
      <c r="C14" s="26" t="s">
        <v>746</v>
      </c>
      <c r="D14" s="35" t="s">
        <v>20</v>
      </c>
      <c r="E14" s="35">
        <v>9309</v>
      </c>
      <c r="F14" s="35" t="s">
        <v>20</v>
      </c>
      <c r="G14" t="b">
        <f t="shared" si="2"/>
        <v>0</v>
      </c>
      <c r="H14" t="b">
        <f t="shared" si="3"/>
        <v>0</v>
      </c>
      <c r="I14" s="29">
        <f t="shared" si="4"/>
        <v>40186</v>
      </c>
    </row>
    <row r="15" spans="1:9" x14ac:dyDescent="0.2">
      <c r="A15" s="28">
        <v>40186</v>
      </c>
      <c r="B15" s="26" t="s">
        <v>1496</v>
      </c>
      <c r="C15" s="26" t="s">
        <v>3318</v>
      </c>
      <c r="D15" s="35" t="s">
        <v>20</v>
      </c>
      <c r="E15" s="35">
        <v>67511</v>
      </c>
      <c r="F15" s="35" t="s">
        <v>20</v>
      </c>
      <c r="G15" t="b">
        <f t="shared" si="2"/>
        <v>0</v>
      </c>
      <c r="H15" t="b">
        <f t="shared" si="3"/>
        <v>0</v>
      </c>
      <c r="I15" s="29">
        <f t="shared" si="4"/>
        <v>40186</v>
      </c>
    </row>
    <row r="16" spans="1:9" ht="12.75" customHeight="1" x14ac:dyDescent="0.2">
      <c r="A16" s="28">
        <v>40186</v>
      </c>
      <c r="B16" s="26" t="s">
        <v>2604</v>
      </c>
      <c r="C16" s="26" t="s">
        <v>49</v>
      </c>
      <c r="D16" s="35">
        <v>18000000</v>
      </c>
      <c r="E16" s="35">
        <v>15285588</v>
      </c>
      <c r="F16" s="35">
        <v>17585588</v>
      </c>
      <c r="G16" t="b">
        <f t="shared" si="2"/>
        <v>0</v>
      </c>
      <c r="H16" t="b">
        <f t="shared" si="3"/>
        <v>0</v>
      </c>
      <c r="I16" s="29">
        <f t="shared" si="4"/>
        <v>40186</v>
      </c>
    </row>
    <row r="17" spans="1:9" ht="12.75" customHeight="1" x14ac:dyDescent="0.2">
      <c r="A17" s="28">
        <v>40190</v>
      </c>
      <c r="B17" s="26" t="s">
        <v>2403</v>
      </c>
      <c r="C17" s="26" t="s">
        <v>9</v>
      </c>
      <c r="D17" s="35" t="s">
        <v>20</v>
      </c>
      <c r="E17" s="35" t="s">
        <v>20</v>
      </c>
      <c r="F17" s="35" t="s">
        <v>20</v>
      </c>
      <c r="G17" t="b">
        <f t="shared" si="2"/>
        <v>0</v>
      </c>
      <c r="H17" t="b">
        <f t="shared" si="3"/>
        <v>0</v>
      </c>
      <c r="I17" s="29">
        <f t="shared" si="4"/>
        <v>40190</v>
      </c>
    </row>
    <row r="18" spans="1:9" ht="12.75" customHeight="1" x14ac:dyDescent="0.2">
      <c r="A18" s="28">
        <v>40190</v>
      </c>
      <c r="B18" s="26" t="s">
        <v>2852</v>
      </c>
      <c r="C18" s="26" t="s">
        <v>9</v>
      </c>
      <c r="D18" s="35" t="s">
        <v>20</v>
      </c>
      <c r="E18" s="35" t="s">
        <v>20</v>
      </c>
      <c r="F18" s="35" t="s">
        <v>20</v>
      </c>
      <c r="G18" t="b">
        <f t="shared" si="2"/>
        <v>0</v>
      </c>
      <c r="H18" t="b">
        <f t="shared" si="3"/>
        <v>0</v>
      </c>
      <c r="I18" s="29">
        <f t="shared" si="4"/>
        <v>40190</v>
      </c>
    </row>
    <row r="19" spans="1:9" ht="25.5" x14ac:dyDescent="0.2">
      <c r="A19" s="28">
        <v>40193</v>
      </c>
      <c r="B19" s="26" t="s">
        <v>1160</v>
      </c>
      <c r="C19" s="26" t="s">
        <v>2310</v>
      </c>
      <c r="D19" s="35" t="s">
        <v>20</v>
      </c>
      <c r="E19" s="35">
        <v>24307106</v>
      </c>
      <c r="F19" s="35">
        <v>50983364</v>
      </c>
      <c r="G19" t="b">
        <f t="shared" si="2"/>
        <v>0</v>
      </c>
      <c r="H19" t="b">
        <f t="shared" si="3"/>
        <v>0</v>
      </c>
      <c r="I19" s="29">
        <f t="shared" si="4"/>
        <v>40193</v>
      </c>
    </row>
    <row r="20" spans="1:9" ht="12.75" customHeight="1" x14ac:dyDescent="0.2">
      <c r="A20" s="28">
        <v>40193</v>
      </c>
      <c r="B20" s="26" t="s">
        <v>1860</v>
      </c>
      <c r="C20" s="26" t="s">
        <v>9</v>
      </c>
      <c r="D20" s="35" t="s">
        <v>20</v>
      </c>
      <c r="E20" s="35">
        <v>39033</v>
      </c>
      <c r="F20" s="35" t="s">
        <v>20</v>
      </c>
      <c r="G20" t="b">
        <f t="shared" si="2"/>
        <v>0</v>
      </c>
      <c r="H20" t="b">
        <f t="shared" si="3"/>
        <v>0</v>
      </c>
      <c r="I20" s="29">
        <f t="shared" si="4"/>
        <v>40193</v>
      </c>
    </row>
    <row r="21" spans="1:9" ht="12.75" customHeight="1" x14ac:dyDescent="0.2">
      <c r="A21" s="28">
        <v>40193</v>
      </c>
      <c r="B21" s="26" t="s">
        <v>1994</v>
      </c>
      <c r="C21" s="26" t="s">
        <v>9</v>
      </c>
      <c r="D21" s="35">
        <v>3000000</v>
      </c>
      <c r="E21" s="35">
        <v>374675</v>
      </c>
      <c r="F21" s="35" t="s">
        <v>20</v>
      </c>
      <c r="G21" t="b">
        <f t="shared" si="2"/>
        <v>0</v>
      </c>
      <c r="H21" t="b">
        <f t="shared" si="3"/>
        <v>0</v>
      </c>
      <c r="I21" s="29">
        <f t="shared" si="4"/>
        <v>40193</v>
      </c>
    </row>
    <row r="22" spans="1:9" ht="12.75" customHeight="1" x14ac:dyDescent="0.2">
      <c r="A22" s="28">
        <v>40193</v>
      </c>
      <c r="B22" s="26" t="s">
        <v>1240</v>
      </c>
      <c r="C22" s="26" t="s">
        <v>9</v>
      </c>
      <c r="D22" s="35">
        <v>80000000</v>
      </c>
      <c r="E22" s="35">
        <v>94835059</v>
      </c>
      <c r="F22" s="35">
        <v>158860864</v>
      </c>
      <c r="G22" t="b">
        <f t="shared" si="2"/>
        <v>0</v>
      </c>
      <c r="H22" t="b">
        <f t="shared" si="3"/>
        <v>0</v>
      </c>
      <c r="I22" s="29">
        <f t="shared" si="4"/>
        <v>40193</v>
      </c>
    </row>
    <row r="23" spans="1:9" ht="12.75" customHeight="1" x14ac:dyDescent="0.2">
      <c r="A23" s="28">
        <v>40193</v>
      </c>
      <c r="B23" s="26" t="s">
        <v>3485</v>
      </c>
      <c r="C23" s="26" t="s">
        <v>9</v>
      </c>
      <c r="D23" s="35" t="s">
        <v>20</v>
      </c>
      <c r="E23" s="35">
        <v>140750</v>
      </c>
      <c r="F23" s="35" t="s">
        <v>20</v>
      </c>
      <c r="G23" t="b">
        <f t="shared" si="2"/>
        <v>0</v>
      </c>
      <c r="H23" t="b">
        <f t="shared" si="3"/>
        <v>0</v>
      </c>
      <c r="I23" s="29">
        <f t="shared" si="4"/>
        <v>40193</v>
      </c>
    </row>
    <row r="24" spans="1:9" ht="12.75" customHeight="1" x14ac:dyDescent="0.2">
      <c r="A24" s="28">
        <v>40193</v>
      </c>
      <c r="B24" s="26" t="s">
        <v>331</v>
      </c>
      <c r="C24" s="26" t="s">
        <v>3426</v>
      </c>
      <c r="D24" s="35" t="s">
        <v>20</v>
      </c>
      <c r="E24" s="35">
        <v>168643</v>
      </c>
      <c r="F24" s="35">
        <v>1945716</v>
      </c>
      <c r="G24" t="b">
        <f t="shared" si="2"/>
        <v>0</v>
      </c>
      <c r="H24" t="b">
        <f t="shared" si="3"/>
        <v>0</v>
      </c>
      <c r="I24" s="29">
        <f t="shared" si="4"/>
        <v>40193</v>
      </c>
    </row>
    <row r="25" spans="1:9" ht="12.75" customHeight="1" x14ac:dyDescent="0.2">
      <c r="A25" s="28">
        <v>40193</v>
      </c>
      <c r="B25" s="26" t="s">
        <v>2768</v>
      </c>
      <c r="C25" s="26" t="s">
        <v>612</v>
      </c>
      <c r="D25" s="35">
        <v>18000000</v>
      </c>
      <c r="E25" s="35">
        <v>6617867</v>
      </c>
      <c r="F25" s="35" t="s">
        <v>20</v>
      </c>
      <c r="G25" t="b">
        <f t="shared" si="2"/>
        <v>0</v>
      </c>
      <c r="H25" t="b">
        <f t="shared" si="3"/>
        <v>0</v>
      </c>
      <c r="I25" s="29">
        <f t="shared" si="4"/>
        <v>40193</v>
      </c>
    </row>
    <row r="26" spans="1:9" ht="12.75" customHeight="1" x14ac:dyDescent="0.2">
      <c r="A26" s="28">
        <v>40197</v>
      </c>
      <c r="B26" s="26" t="s">
        <v>2511</v>
      </c>
      <c r="C26" s="26" t="s">
        <v>9</v>
      </c>
      <c r="D26" s="35" t="s">
        <v>20</v>
      </c>
      <c r="E26" s="35" t="s">
        <v>20</v>
      </c>
      <c r="F26" s="35" t="s">
        <v>20</v>
      </c>
      <c r="G26" t="b">
        <f t="shared" si="2"/>
        <v>0</v>
      </c>
      <c r="H26" t="b">
        <f t="shared" si="3"/>
        <v>0</v>
      </c>
      <c r="I26" s="29">
        <f t="shared" si="4"/>
        <v>40197</v>
      </c>
    </row>
    <row r="27" spans="1:9" ht="25.5" x14ac:dyDescent="0.2">
      <c r="A27" s="28">
        <v>40197</v>
      </c>
      <c r="B27" s="26" t="s">
        <v>1955</v>
      </c>
      <c r="C27" s="26" t="s">
        <v>9</v>
      </c>
      <c r="D27" s="35" t="s">
        <v>20</v>
      </c>
      <c r="E27" s="35" t="s">
        <v>20</v>
      </c>
      <c r="F27" s="35" t="s">
        <v>20</v>
      </c>
      <c r="G27" t="b">
        <f t="shared" si="2"/>
        <v>0</v>
      </c>
      <c r="H27" t="b">
        <f t="shared" si="3"/>
        <v>0</v>
      </c>
      <c r="I27" s="29">
        <f t="shared" si="4"/>
        <v>40197</v>
      </c>
    </row>
    <row r="28" spans="1:9" x14ac:dyDescent="0.2">
      <c r="A28" s="28">
        <v>40197</v>
      </c>
      <c r="B28" s="26" t="s">
        <v>1742</v>
      </c>
      <c r="C28" s="26" t="s">
        <v>9</v>
      </c>
      <c r="D28" s="35" t="s">
        <v>20</v>
      </c>
      <c r="E28" s="35" t="s">
        <v>20</v>
      </c>
      <c r="F28" s="35" t="s">
        <v>20</v>
      </c>
      <c r="G28" t="b">
        <f t="shared" si="2"/>
        <v>0</v>
      </c>
      <c r="H28" t="b">
        <f t="shared" si="3"/>
        <v>0</v>
      </c>
      <c r="I28" s="29">
        <f t="shared" si="4"/>
        <v>40197</v>
      </c>
    </row>
    <row r="29" spans="1:9" ht="12.75" customHeight="1" x14ac:dyDescent="0.2">
      <c r="A29" s="28">
        <v>40197</v>
      </c>
      <c r="B29" s="26" t="s">
        <v>791</v>
      </c>
      <c r="C29" s="26" t="s">
        <v>9</v>
      </c>
      <c r="D29" s="35" t="s">
        <v>20</v>
      </c>
      <c r="E29" s="35" t="s">
        <v>20</v>
      </c>
      <c r="F29" s="35" t="s">
        <v>20</v>
      </c>
      <c r="G29" t="b">
        <f t="shared" si="2"/>
        <v>0</v>
      </c>
      <c r="H29" t="b">
        <f t="shared" si="3"/>
        <v>0</v>
      </c>
      <c r="I29" s="29">
        <f t="shared" si="4"/>
        <v>40197</v>
      </c>
    </row>
    <row r="30" spans="1:9" ht="25.5" x14ac:dyDescent="0.2">
      <c r="A30" s="28">
        <v>40197</v>
      </c>
      <c r="B30" s="26" t="s">
        <v>207</v>
      </c>
      <c r="C30" s="26" t="s">
        <v>9</v>
      </c>
      <c r="D30" s="35" t="s">
        <v>20</v>
      </c>
      <c r="E30" s="35" t="s">
        <v>20</v>
      </c>
      <c r="F30" s="35" t="s">
        <v>20</v>
      </c>
      <c r="G30" t="b">
        <f t="shared" si="2"/>
        <v>0</v>
      </c>
      <c r="H30" t="b">
        <f t="shared" si="3"/>
        <v>0</v>
      </c>
      <c r="I30" s="29">
        <f t="shared" si="4"/>
        <v>40197</v>
      </c>
    </row>
    <row r="31" spans="1:9" ht="12.75" customHeight="1" x14ac:dyDescent="0.2">
      <c r="A31" s="28">
        <v>40200</v>
      </c>
      <c r="B31" s="26" t="s">
        <v>3166</v>
      </c>
      <c r="C31" s="26" t="s">
        <v>9</v>
      </c>
      <c r="D31" s="35" t="s">
        <v>20</v>
      </c>
      <c r="E31" s="35">
        <v>3346</v>
      </c>
      <c r="F31" s="35" t="s">
        <v>20</v>
      </c>
      <c r="G31" t="b">
        <f t="shared" si="2"/>
        <v>0</v>
      </c>
      <c r="H31" t="b">
        <f t="shared" si="3"/>
        <v>0</v>
      </c>
      <c r="I31" s="29">
        <f t="shared" si="4"/>
        <v>40200</v>
      </c>
    </row>
    <row r="32" spans="1:9" ht="12.75" customHeight="1" x14ac:dyDescent="0.2">
      <c r="A32" s="28">
        <v>40200</v>
      </c>
      <c r="B32" s="26" t="s">
        <v>1602</v>
      </c>
      <c r="C32" s="26" t="s">
        <v>9</v>
      </c>
      <c r="D32" s="35" t="s">
        <v>20</v>
      </c>
      <c r="E32" s="35">
        <v>208163</v>
      </c>
      <c r="F32" s="35" t="s">
        <v>20</v>
      </c>
      <c r="G32" t="b">
        <f t="shared" si="2"/>
        <v>0</v>
      </c>
      <c r="H32" t="b">
        <f t="shared" si="3"/>
        <v>0</v>
      </c>
      <c r="I32" s="29">
        <f t="shared" si="4"/>
        <v>40200</v>
      </c>
    </row>
    <row r="33" spans="1:9" ht="12.75" customHeight="1" x14ac:dyDescent="0.2">
      <c r="A33" s="28">
        <v>40200</v>
      </c>
      <c r="B33" s="26" t="s">
        <v>3196</v>
      </c>
      <c r="C33" s="26" t="s">
        <v>1053</v>
      </c>
      <c r="D33" s="35" t="s">
        <v>20</v>
      </c>
      <c r="E33" s="35">
        <v>341323</v>
      </c>
      <c r="F33" s="35" t="s">
        <v>20</v>
      </c>
      <c r="G33" t="b">
        <f t="shared" si="2"/>
        <v>0</v>
      </c>
      <c r="H33" t="b">
        <f t="shared" si="3"/>
        <v>0</v>
      </c>
      <c r="I33" s="29">
        <f t="shared" si="4"/>
        <v>40200</v>
      </c>
    </row>
    <row r="34" spans="1:9" ht="12.75" customHeight="1" x14ac:dyDescent="0.2">
      <c r="A34" s="28">
        <v>40200</v>
      </c>
      <c r="B34" s="26" t="s">
        <v>3346</v>
      </c>
      <c r="C34" s="26" t="s">
        <v>322</v>
      </c>
      <c r="D34" s="35" t="s">
        <v>20</v>
      </c>
      <c r="E34" s="35" t="s">
        <v>20</v>
      </c>
      <c r="F34" s="35" t="s">
        <v>20</v>
      </c>
      <c r="G34" t="b">
        <f t="shared" si="2"/>
        <v>0</v>
      </c>
      <c r="H34" t="b">
        <f t="shared" si="3"/>
        <v>0</v>
      </c>
      <c r="I34" s="29">
        <f t="shared" si="4"/>
        <v>40200</v>
      </c>
    </row>
    <row r="35" spans="1:9" ht="12.75" customHeight="1" x14ac:dyDescent="0.2">
      <c r="A35" s="28">
        <v>40200</v>
      </c>
      <c r="B35" s="26" t="s">
        <v>3398</v>
      </c>
      <c r="C35" s="26" t="s">
        <v>647</v>
      </c>
      <c r="D35" s="35" t="s">
        <v>20</v>
      </c>
      <c r="E35" s="35">
        <v>527193</v>
      </c>
      <c r="F35" s="35">
        <v>8049862</v>
      </c>
      <c r="G35" t="b">
        <f t="shared" si="2"/>
        <v>0</v>
      </c>
      <c r="H35" t="b">
        <f t="shared" si="3"/>
        <v>0</v>
      </c>
      <c r="I35" s="29">
        <f t="shared" si="4"/>
        <v>40200</v>
      </c>
    </row>
    <row r="36" spans="1:9" ht="12.75" customHeight="1" x14ac:dyDescent="0.2">
      <c r="A36" s="28">
        <v>40200</v>
      </c>
      <c r="B36" s="26" t="s">
        <v>3317</v>
      </c>
      <c r="C36" s="26" t="s">
        <v>2160</v>
      </c>
      <c r="D36" s="35">
        <v>26000000</v>
      </c>
      <c r="E36" s="35">
        <v>40168080</v>
      </c>
      <c r="F36" s="35">
        <v>67868080</v>
      </c>
      <c r="G36" t="b">
        <f t="shared" si="2"/>
        <v>0</v>
      </c>
      <c r="H36" t="b">
        <f t="shared" si="3"/>
        <v>0</v>
      </c>
      <c r="I36" s="29">
        <f t="shared" si="4"/>
        <v>40200</v>
      </c>
    </row>
    <row r="37" spans="1:9" ht="12.75" customHeight="1" x14ac:dyDescent="0.2">
      <c r="A37" s="28">
        <v>40200</v>
      </c>
      <c r="B37" s="26" t="s">
        <v>3128</v>
      </c>
      <c r="C37" s="26" t="s">
        <v>2775</v>
      </c>
      <c r="D37" s="35" t="s">
        <v>20</v>
      </c>
      <c r="E37" s="35">
        <v>6892</v>
      </c>
      <c r="F37" s="35" t="s">
        <v>20</v>
      </c>
      <c r="G37" t="b">
        <f t="shared" si="2"/>
        <v>0</v>
      </c>
      <c r="H37" t="b">
        <f t="shared" si="3"/>
        <v>0</v>
      </c>
      <c r="I37" s="29">
        <f t="shared" si="4"/>
        <v>40200</v>
      </c>
    </row>
    <row r="38" spans="1:9" ht="12.75" customHeight="1" x14ac:dyDescent="0.2">
      <c r="A38" s="28">
        <v>40200</v>
      </c>
      <c r="B38" s="26" t="s">
        <v>2137</v>
      </c>
      <c r="C38" s="26" t="s">
        <v>9</v>
      </c>
      <c r="D38" s="35" t="s">
        <v>20</v>
      </c>
      <c r="E38" s="35">
        <v>3773863</v>
      </c>
      <c r="F38" s="35" t="s">
        <v>20</v>
      </c>
      <c r="G38" t="b">
        <f t="shared" si="2"/>
        <v>0</v>
      </c>
      <c r="H38" t="b">
        <f t="shared" si="3"/>
        <v>0</v>
      </c>
      <c r="I38" s="29">
        <f t="shared" si="4"/>
        <v>40200</v>
      </c>
    </row>
    <row r="39" spans="1:9" ht="12.75" customHeight="1" x14ac:dyDescent="0.2">
      <c r="A39" s="28">
        <v>40200</v>
      </c>
      <c r="B39" s="26" t="s">
        <v>2472</v>
      </c>
      <c r="C39" s="26" t="s">
        <v>2775</v>
      </c>
      <c r="D39" s="35" t="s">
        <v>20</v>
      </c>
      <c r="E39" s="35">
        <v>6305</v>
      </c>
      <c r="F39" s="35" t="s">
        <v>20</v>
      </c>
      <c r="G39" t="b">
        <f t="shared" si="2"/>
        <v>0</v>
      </c>
      <c r="H39" t="b">
        <f t="shared" si="3"/>
        <v>0</v>
      </c>
      <c r="I39" s="29">
        <f t="shared" si="4"/>
        <v>40200</v>
      </c>
    </row>
    <row r="40" spans="1:9" ht="12.75" customHeight="1" x14ac:dyDescent="0.2">
      <c r="A40" s="28">
        <v>40200</v>
      </c>
      <c r="B40" s="26" t="s">
        <v>3461</v>
      </c>
      <c r="C40" s="26" t="s">
        <v>384</v>
      </c>
      <c r="D40" s="35">
        <v>48000000</v>
      </c>
      <c r="E40" s="35">
        <v>60022256</v>
      </c>
      <c r="F40" s="35">
        <v>112610386</v>
      </c>
      <c r="G40" t="b">
        <f t="shared" si="2"/>
        <v>0</v>
      </c>
      <c r="H40" t="b">
        <f t="shared" si="3"/>
        <v>0</v>
      </c>
      <c r="I40" s="29">
        <f t="shared" si="4"/>
        <v>40200</v>
      </c>
    </row>
    <row r="41" spans="1:9" ht="25.5" x14ac:dyDescent="0.2">
      <c r="A41" s="28">
        <v>40200</v>
      </c>
      <c r="B41" s="26" t="s">
        <v>1206</v>
      </c>
      <c r="C41" s="26" t="s">
        <v>9</v>
      </c>
      <c r="D41" s="35">
        <v>31000000</v>
      </c>
      <c r="E41" s="35">
        <v>12482741</v>
      </c>
      <c r="F41" s="35">
        <v>12697741</v>
      </c>
      <c r="G41" t="b">
        <f t="shared" si="2"/>
        <v>0</v>
      </c>
      <c r="H41" t="b">
        <f t="shared" si="3"/>
        <v>0</v>
      </c>
      <c r="I41" s="29">
        <f t="shared" si="4"/>
        <v>40200</v>
      </c>
    </row>
    <row r="42" spans="1:9" ht="25.5" x14ac:dyDescent="0.2">
      <c r="A42" s="28">
        <v>40200</v>
      </c>
      <c r="B42" s="26" t="s">
        <v>2918</v>
      </c>
      <c r="C42" s="26" t="s">
        <v>9</v>
      </c>
      <c r="D42" s="35" t="s">
        <v>20</v>
      </c>
      <c r="E42" s="35" t="s">
        <v>20</v>
      </c>
      <c r="F42" s="35">
        <v>1426523</v>
      </c>
      <c r="G42" t="b">
        <f t="shared" si="2"/>
        <v>0</v>
      </c>
      <c r="H42" t="b">
        <f t="shared" si="3"/>
        <v>0</v>
      </c>
      <c r="I42" s="29">
        <f t="shared" si="4"/>
        <v>40200</v>
      </c>
    </row>
    <row r="43" spans="1:9" ht="12.75" customHeight="1" x14ac:dyDescent="0.2">
      <c r="A43" s="28">
        <v>40200</v>
      </c>
      <c r="B43" s="26" t="s">
        <v>2345</v>
      </c>
      <c r="C43" s="26" t="s">
        <v>9</v>
      </c>
      <c r="D43" s="35" t="s">
        <v>20</v>
      </c>
      <c r="E43" s="35">
        <v>1403</v>
      </c>
      <c r="F43" s="35" t="s">
        <v>20</v>
      </c>
      <c r="G43" t="b">
        <f t="shared" si="2"/>
        <v>0</v>
      </c>
      <c r="H43" t="b">
        <f t="shared" si="3"/>
        <v>0</v>
      </c>
      <c r="I43" s="29">
        <f t="shared" si="4"/>
        <v>40200</v>
      </c>
    </row>
    <row r="44" spans="1:9" ht="12.75" customHeight="1" x14ac:dyDescent="0.2">
      <c r="A44" s="28">
        <v>40204</v>
      </c>
      <c r="B44" s="26" t="s">
        <v>3052</v>
      </c>
      <c r="C44" s="26" t="s">
        <v>9</v>
      </c>
      <c r="D44" s="35" t="s">
        <v>20</v>
      </c>
      <c r="E44" s="35" t="s">
        <v>20</v>
      </c>
      <c r="F44" s="35" t="s">
        <v>20</v>
      </c>
      <c r="G44" t="b">
        <f t="shared" si="2"/>
        <v>0</v>
      </c>
      <c r="H44" t="b">
        <f t="shared" si="3"/>
        <v>0</v>
      </c>
      <c r="I44" s="29">
        <f t="shared" si="4"/>
        <v>40204</v>
      </c>
    </row>
    <row r="45" spans="1:9" ht="25.5" x14ac:dyDescent="0.2">
      <c r="A45" s="28">
        <v>40204</v>
      </c>
      <c r="B45" s="26" t="s">
        <v>858</v>
      </c>
      <c r="C45" s="26" t="s">
        <v>9</v>
      </c>
      <c r="D45" s="35" t="s">
        <v>20</v>
      </c>
      <c r="E45" s="35" t="s">
        <v>20</v>
      </c>
      <c r="F45" s="35" t="s">
        <v>20</v>
      </c>
      <c r="G45" t="b">
        <f t="shared" si="2"/>
        <v>0</v>
      </c>
      <c r="H45" t="b">
        <f t="shared" si="3"/>
        <v>0</v>
      </c>
      <c r="I45" s="29">
        <f t="shared" si="4"/>
        <v>40204</v>
      </c>
    </row>
    <row r="46" spans="1:9" ht="12.75" customHeight="1" x14ac:dyDescent="0.2">
      <c r="A46" s="28">
        <v>40204</v>
      </c>
      <c r="B46" s="26" t="s">
        <v>3324</v>
      </c>
      <c r="C46" s="26" t="s">
        <v>9</v>
      </c>
      <c r="D46" s="35" t="s">
        <v>20</v>
      </c>
      <c r="E46" s="35" t="s">
        <v>20</v>
      </c>
      <c r="F46" s="35" t="s">
        <v>20</v>
      </c>
      <c r="G46" t="b">
        <f t="shared" si="2"/>
        <v>0</v>
      </c>
      <c r="H46" t="b">
        <f t="shared" si="3"/>
        <v>0</v>
      </c>
      <c r="I46" s="29">
        <f t="shared" si="4"/>
        <v>40204</v>
      </c>
    </row>
    <row r="47" spans="1:9" ht="12.75" customHeight="1" x14ac:dyDescent="0.2">
      <c r="A47" s="28">
        <v>40204</v>
      </c>
      <c r="B47" s="26" t="s">
        <v>29</v>
      </c>
      <c r="C47" s="26" t="s">
        <v>9</v>
      </c>
      <c r="D47" s="35" t="s">
        <v>20</v>
      </c>
      <c r="E47" s="35" t="s">
        <v>20</v>
      </c>
      <c r="F47" s="35" t="s">
        <v>20</v>
      </c>
      <c r="G47" t="b">
        <f t="shared" si="2"/>
        <v>0</v>
      </c>
      <c r="H47" t="b">
        <f t="shared" si="3"/>
        <v>0</v>
      </c>
      <c r="I47" s="29">
        <f t="shared" si="4"/>
        <v>40204</v>
      </c>
    </row>
    <row r="48" spans="1:9" ht="25.5" x14ac:dyDescent="0.2">
      <c r="A48" s="28">
        <v>40204</v>
      </c>
      <c r="B48" s="26" t="s">
        <v>1983</v>
      </c>
      <c r="C48" s="26" t="s">
        <v>9</v>
      </c>
      <c r="D48" s="35" t="s">
        <v>20</v>
      </c>
      <c r="E48" s="35">
        <v>140091</v>
      </c>
      <c r="F48" s="35" t="s">
        <v>20</v>
      </c>
      <c r="G48" t="b">
        <f t="shared" si="2"/>
        <v>0</v>
      </c>
      <c r="H48" t="b">
        <f t="shared" si="3"/>
        <v>0</v>
      </c>
      <c r="I48" s="29">
        <f t="shared" si="4"/>
        <v>40204</v>
      </c>
    </row>
    <row r="49" spans="1:9" x14ac:dyDescent="0.2">
      <c r="A49" s="28">
        <v>40204</v>
      </c>
      <c r="B49" s="26" t="s">
        <v>1226</v>
      </c>
      <c r="C49" s="26" t="s">
        <v>9</v>
      </c>
      <c r="D49" s="35" t="s">
        <v>20</v>
      </c>
      <c r="E49" s="35" t="s">
        <v>20</v>
      </c>
      <c r="F49" s="35" t="s">
        <v>20</v>
      </c>
      <c r="G49" t="b">
        <f t="shared" si="2"/>
        <v>0</v>
      </c>
      <c r="H49" t="b">
        <f t="shared" si="3"/>
        <v>0</v>
      </c>
      <c r="I49" s="29">
        <f t="shared" si="4"/>
        <v>40204</v>
      </c>
    </row>
    <row r="50" spans="1:9" ht="12.75" customHeight="1" x14ac:dyDescent="0.2">
      <c r="A50" s="28">
        <v>40204</v>
      </c>
      <c r="B50" s="26" t="s">
        <v>465</v>
      </c>
      <c r="C50" s="26" t="s">
        <v>9</v>
      </c>
      <c r="D50" s="35" t="s">
        <v>20</v>
      </c>
      <c r="E50" s="35" t="s">
        <v>20</v>
      </c>
      <c r="F50" s="35" t="s">
        <v>20</v>
      </c>
      <c r="G50" t="b">
        <f t="shared" si="2"/>
        <v>0</v>
      </c>
      <c r="H50" t="b">
        <f t="shared" si="3"/>
        <v>0</v>
      </c>
      <c r="I50" s="29">
        <f t="shared" si="4"/>
        <v>40204</v>
      </c>
    </row>
    <row r="51" spans="1:9" ht="25.5" x14ac:dyDescent="0.2">
      <c r="A51" s="28">
        <v>40204</v>
      </c>
      <c r="B51" s="26" t="s">
        <v>458</v>
      </c>
      <c r="C51" s="26" t="s">
        <v>9</v>
      </c>
      <c r="D51" s="35" t="s">
        <v>20</v>
      </c>
      <c r="E51" s="35" t="s">
        <v>20</v>
      </c>
      <c r="F51" s="35" t="s">
        <v>20</v>
      </c>
      <c r="G51" t="b">
        <f t="shared" si="2"/>
        <v>0</v>
      </c>
      <c r="H51" t="b">
        <f t="shared" si="3"/>
        <v>0</v>
      </c>
      <c r="I51" s="29">
        <f t="shared" si="4"/>
        <v>40204</v>
      </c>
    </row>
    <row r="52" spans="1:9" ht="12.75" customHeight="1" x14ac:dyDescent="0.2">
      <c r="A52" s="28">
        <v>40204</v>
      </c>
      <c r="B52" s="26" t="s">
        <v>373</v>
      </c>
      <c r="C52" s="26" t="s">
        <v>9</v>
      </c>
      <c r="D52" s="35" t="s">
        <v>20</v>
      </c>
      <c r="E52" s="35" t="s">
        <v>20</v>
      </c>
      <c r="F52" s="35" t="s">
        <v>20</v>
      </c>
      <c r="G52" t="b">
        <f t="shared" si="2"/>
        <v>0</v>
      </c>
      <c r="H52" t="b">
        <f t="shared" si="3"/>
        <v>0</v>
      </c>
      <c r="I52" s="29">
        <f t="shared" si="4"/>
        <v>40204</v>
      </c>
    </row>
    <row r="53" spans="1:9" ht="12.75" customHeight="1" x14ac:dyDescent="0.2">
      <c r="A53" s="28">
        <v>40204</v>
      </c>
      <c r="B53" s="26" t="s">
        <v>2034</v>
      </c>
      <c r="C53" s="26" t="s">
        <v>9</v>
      </c>
      <c r="D53" s="35" t="s">
        <v>20</v>
      </c>
      <c r="E53" s="35" t="s">
        <v>20</v>
      </c>
      <c r="F53" s="35" t="s">
        <v>20</v>
      </c>
      <c r="G53" t="b">
        <f t="shared" si="2"/>
        <v>0</v>
      </c>
      <c r="H53" t="b">
        <f t="shared" si="3"/>
        <v>0</v>
      </c>
      <c r="I53" s="29">
        <f t="shared" si="4"/>
        <v>40204</v>
      </c>
    </row>
    <row r="54" spans="1:9" ht="12.75" customHeight="1" x14ac:dyDescent="0.2">
      <c r="A54" s="28">
        <v>40207</v>
      </c>
      <c r="B54" s="26" t="s">
        <v>2222</v>
      </c>
      <c r="C54" s="26" t="s">
        <v>901</v>
      </c>
      <c r="D54" s="35" t="s">
        <v>20</v>
      </c>
      <c r="E54" s="35">
        <v>91468</v>
      </c>
      <c r="F54" s="35">
        <v>5749388</v>
      </c>
      <c r="G54" t="b">
        <f t="shared" si="2"/>
        <v>0</v>
      </c>
      <c r="H54" t="b">
        <f t="shared" si="3"/>
        <v>0</v>
      </c>
      <c r="I54" s="29">
        <f t="shared" si="4"/>
        <v>40207</v>
      </c>
    </row>
    <row r="55" spans="1:9" ht="25.5" x14ac:dyDescent="0.2">
      <c r="A55" s="28">
        <v>40207</v>
      </c>
      <c r="B55" s="26" t="s">
        <v>908</v>
      </c>
      <c r="C55" s="26" t="s">
        <v>9</v>
      </c>
      <c r="D55" s="35" t="s">
        <v>20</v>
      </c>
      <c r="E55" s="35" t="s">
        <v>20</v>
      </c>
      <c r="F55" s="35" t="s">
        <v>20</v>
      </c>
      <c r="G55" t="b">
        <f t="shared" si="2"/>
        <v>0</v>
      </c>
      <c r="H55" t="b">
        <f t="shared" si="3"/>
        <v>0</v>
      </c>
      <c r="I55" s="29">
        <f t="shared" si="4"/>
        <v>40207</v>
      </c>
    </row>
    <row r="56" spans="1:9" ht="12.75" customHeight="1" x14ac:dyDescent="0.2">
      <c r="A56" s="28">
        <v>40207</v>
      </c>
      <c r="B56" s="26" t="s">
        <v>1622</v>
      </c>
      <c r="C56" s="26" t="s">
        <v>9</v>
      </c>
      <c r="D56" s="35" t="s">
        <v>20</v>
      </c>
      <c r="E56" s="35">
        <v>390157</v>
      </c>
      <c r="F56" s="35" t="s">
        <v>20</v>
      </c>
      <c r="G56" t="b">
        <f t="shared" si="2"/>
        <v>0</v>
      </c>
      <c r="H56" t="b">
        <f t="shared" si="3"/>
        <v>0</v>
      </c>
      <c r="I56" s="29">
        <f t="shared" si="4"/>
        <v>40207</v>
      </c>
    </row>
    <row r="57" spans="1:9" ht="12.75" customHeight="1" x14ac:dyDescent="0.2">
      <c r="A57" s="28">
        <v>40207</v>
      </c>
      <c r="B57" s="26" t="s">
        <v>775</v>
      </c>
      <c r="C57" s="26" t="s">
        <v>9</v>
      </c>
      <c r="D57" s="35" t="s">
        <v>20</v>
      </c>
      <c r="E57" s="35">
        <v>165873</v>
      </c>
      <c r="F57" s="35">
        <v>2758179</v>
      </c>
      <c r="G57" t="b">
        <f t="shared" si="2"/>
        <v>0</v>
      </c>
      <c r="H57" t="b">
        <f t="shared" si="3"/>
        <v>0</v>
      </c>
      <c r="I57" s="29">
        <f t="shared" si="4"/>
        <v>40207</v>
      </c>
    </row>
    <row r="58" spans="1:9" ht="63.75" x14ac:dyDescent="0.2">
      <c r="A58" s="28">
        <v>40207</v>
      </c>
      <c r="B58" s="26" t="s">
        <v>724</v>
      </c>
      <c r="C58" s="26" t="s">
        <v>9</v>
      </c>
      <c r="D58" s="35" t="s">
        <v>20</v>
      </c>
      <c r="E58" s="35">
        <v>453650</v>
      </c>
      <c r="F58" s="35" t="s">
        <v>20</v>
      </c>
      <c r="G58" t="b">
        <f t="shared" si="2"/>
        <v>0</v>
      </c>
      <c r="H58" t="b">
        <f t="shared" si="3"/>
        <v>0</v>
      </c>
      <c r="I58" s="29">
        <f t="shared" si="4"/>
        <v>40207</v>
      </c>
    </row>
    <row r="59" spans="1:9" ht="25.5" x14ac:dyDescent="0.2">
      <c r="A59" s="28">
        <v>40207</v>
      </c>
      <c r="B59" s="26" t="s">
        <v>2045</v>
      </c>
      <c r="C59" s="26" t="s">
        <v>1414</v>
      </c>
      <c r="D59" s="35" t="s">
        <v>20</v>
      </c>
      <c r="E59" s="35">
        <v>5729</v>
      </c>
      <c r="F59" s="35" t="s">
        <v>20</v>
      </c>
      <c r="G59" t="b">
        <f t="shared" si="2"/>
        <v>0</v>
      </c>
      <c r="H59" t="b">
        <f t="shared" si="3"/>
        <v>0</v>
      </c>
      <c r="I59" s="29">
        <f t="shared" si="4"/>
        <v>40207</v>
      </c>
    </row>
    <row r="60" spans="1:9" ht="12.75" customHeight="1" x14ac:dyDescent="0.2">
      <c r="A60" s="28">
        <v>40207</v>
      </c>
      <c r="B60" s="26" t="s">
        <v>1646</v>
      </c>
      <c r="C60" s="26" t="s">
        <v>2964</v>
      </c>
      <c r="D60" s="35" t="s">
        <v>20</v>
      </c>
      <c r="E60" s="35">
        <v>18262</v>
      </c>
      <c r="F60" s="35" t="s">
        <v>20</v>
      </c>
      <c r="G60" t="b">
        <f t="shared" si="2"/>
        <v>0</v>
      </c>
      <c r="H60" t="b">
        <f t="shared" si="3"/>
        <v>0</v>
      </c>
      <c r="I60" s="29">
        <f t="shared" si="4"/>
        <v>40207</v>
      </c>
    </row>
    <row r="61" spans="1:9" ht="12.75" customHeight="1" x14ac:dyDescent="0.2">
      <c r="A61" s="28">
        <v>40207</v>
      </c>
      <c r="B61" s="26" t="s">
        <v>2665</v>
      </c>
      <c r="C61" s="26" t="s">
        <v>3241</v>
      </c>
      <c r="D61" s="35" t="s">
        <v>20</v>
      </c>
      <c r="E61" s="35">
        <v>711421</v>
      </c>
      <c r="F61" s="35" t="s">
        <v>20</v>
      </c>
      <c r="G61" t="b">
        <f t="shared" si="2"/>
        <v>0</v>
      </c>
      <c r="H61" t="b">
        <f t="shared" si="3"/>
        <v>0</v>
      </c>
      <c r="I61" s="29">
        <f t="shared" si="4"/>
        <v>40207</v>
      </c>
    </row>
    <row r="62" spans="1:9" ht="12.75" customHeight="1" x14ac:dyDescent="0.2">
      <c r="A62" s="28">
        <v>40207</v>
      </c>
      <c r="B62" s="26" t="s">
        <v>1806</v>
      </c>
      <c r="C62" s="26" t="s">
        <v>9</v>
      </c>
      <c r="D62" s="35" t="s">
        <v>20</v>
      </c>
      <c r="E62" s="35" t="s">
        <v>20</v>
      </c>
      <c r="F62" s="35" t="s">
        <v>20</v>
      </c>
      <c r="G62" t="b">
        <f t="shared" si="2"/>
        <v>0</v>
      </c>
      <c r="H62" t="b">
        <f t="shared" si="3"/>
        <v>0</v>
      </c>
      <c r="I62" s="29">
        <f t="shared" si="4"/>
        <v>40207</v>
      </c>
    </row>
    <row r="63" spans="1:9" ht="12.75" customHeight="1" x14ac:dyDescent="0.2">
      <c r="A63" s="28">
        <v>40207</v>
      </c>
      <c r="B63" s="26" t="s">
        <v>2869</v>
      </c>
      <c r="C63" s="26" t="s">
        <v>3390</v>
      </c>
      <c r="D63" s="35" t="s">
        <v>20</v>
      </c>
      <c r="E63" s="35">
        <v>32680633</v>
      </c>
      <c r="F63" s="35">
        <v>39692267</v>
      </c>
      <c r="G63" t="b">
        <f t="shared" si="2"/>
        <v>0</v>
      </c>
      <c r="H63" t="b">
        <f t="shared" si="3"/>
        <v>0</v>
      </c>
      <c r="I63" s="29">
        <f t="shared" si="4"/>
        <v>40207</v>
      </c>
    </row>
    <row r="64" spans="1:9" ht="12.75" customHeight="1" x14ac:dyDescent="0.2">
      <c r="A64" s="28">
        <v>40207</v>
      </c>
      <c r="B64" s="26" t="s">
        <v>75</v>
      </c>
      <c r="C64" s="26" t="s">
        <v>9</v>
      </c>
      <c r="D64" s="35" t="s">
        <v>20</v>
      </c>
      <c r="E64" s="35">
        <v>514522</v>
      </c>
      <c r="F64" s="35" t="s">
        <v>20</v>
      </c>
      <c r="G64" t="b">
        <f t="shared" si="2"/>
        <v>0</v>
      </c>
      <c r="H64" t="b">
        <f t="shared" si="3"/>
        <v>0</v>
      </c>
      <c r="I64" s="29">
        <f t="shared" si="4"/>
        <v>40207</v>
      </c>
    </row>
    <row r="65" spans="1:9" ht="12.75" customHeight="1" x14ac:dyDescent="0.2">
      <c r="A65" s="28">
        <v>40207</v>
      </c>
      <c r="B65" s="26" t="s">
        <v>32</v>
      </c>
      <c r="C65" s="26" t="s">
        <v>9</v>
      </c>
      <c r="D65" s="35" t="s">
        <v>20</v>
      </c>
      <c r="E65" s="35">
        <v>1978</v>
      </c>
      <c r="F65" s="35" t="s">
        <v>20</v>
      </c>
      <c r="G65" t="b">
        <f t="shared" si="2"/>
        <v>0</v>
      </c>
      <c r="H65" t="b">
        <f t="shared" si="3"/>
        <v>0</v>
      </c>
      <c r="I65" s="29">
        <f t="shared" si="4"/>
        <v>40207</v>
      </c>
    </row>
    <row r="66" spans="1:9" ht="25.5" x14ac:dyDescent="0.2">
      <c r="A66" s="28">
        <v>40207</v>
      </c>
      <c r="B66" s="26" t="s">
        <v>2353</v>
      </c>
      <c r="C66" s="26" t="s">
        <v>9</v>
      </c>
      <c r="D66" s="35" t="s">
        <v>20</v>
      </c>
      <c r="E66" s="35">
        <v>102645</v>
      </c>
      <c r="F66" s="35" t="s">
        <v>20</v>
      </c>
      <c r="G66" t="b">
        <f t="shared" si="2"/>
        <v>0</v>
      </c>
      <c r="H66" t="b">
        <f t="shared" si="3"/>
        <v>0</v>
      </c>
      <c r="I66" s="29">
        <f t="shared" si="4"/>
        <v>40207</v>
      </c>
    </row>
    <row r="67" spans="1:9" ht="12.75" customHeight="1" x14ac:dyDescent="0.2">
      <c r="A67" s="28">
        <v>40207</v>
      </c>
      <c r="B67" s="26" t="s">
        <v>719</v>
      </c>
      <c r="C67" s="26" t="s">
        <v>9</v>
      </c>
      <c r="D67" s="35">
        <v>60000000</v>
      </c>
      <c r="E67" s="35">
        <v>43313890</v>
      </c>
      <c r="F67" s="35">
        <v>78739628</v>
      </c>
      <c r="G67" t="b">
        <f t="shared" ref="G67:G128" si="5">ISBLANK(A67)</f>
        <v>0</v>
      </c>
      <c r="H67" t="b">
        <f t="shared" ref="H67:H128" si="6">ISTEXT(A67)</f>
        <v>0</v>
      </c>
      <c r="I67" s="29">
        <f t="shared" ref="I67:I128" si="7">DATE(2010,MONTH(A67), DAY(A67))</f>
        <v>40207</v>
      </c>
    </row>
    <row r="68" spans="1:9" ht="12.75" customHeight="1" x14ac:dyDescent="0.2">
      <c r="A68" s="28">
        <v>40211</v>
      </c>
      <c r="B68" s="26" t="s">
        <v>2259</v>
      </c>
      <c r="C68" s="26" t="s">
        <v>9</v>
      </c>
      <c r="D68" s="35" t="s">
        <v>20</v>
      </c>
      <c r="E68" s="35" t="s">
        <v>20</v>
      </c>
      <c r="F68" s="35" t="s">
        <v>20</v>
      </c>
      <c r="G68" t="b">
        <f t="shared" si="5"/>
        <v>0</v>
      </c>
      <c r="H68" t="b">
        <f t="shared" si="6"/>
        <v>0</v>
      </c>
      <c r="I68" s="29">
        <f t="shared" si="7"/>
        <v>40211</v>
      </c>
    </row>
    <row r="69" spans="1:9" ht="12.75" customHeight="1" x14ac:dyDescent="0.2">
      <c r="A69" s="28">
        <v>40212</v>
      </c>
      <c r="B69" s="26" t="s">
        <v>650</v>
      </c>
      <c r="C69" s="26" t="s">
        <v>1760</v>
      </c>
      <c r="D69" s="35" t="s">
        <v>20</v>
      </c>
      <c r="E69" s="35">
        <v>621240</v>
      </c>
      <c r="F69" s="35" t="s">
        <v>20</v>
      </c>
      <c r="G69" t="b">
        <f t="shared" si="5"/>
        <v>0</v>
      </c>
      <c r="H69" t="b">
        <f t="shared" si="6"/>
        <v>0</v>
      </c>
      <c r="I69" s="29">
        <f t="shared" si="7"/>
        <v>40212</v>
      </c>
    </row>
    <row r="70" spans="1:9" ht="12.75" customHeight="1" x14ac:dyDescent="0.2">
      <c r="A70" s="28">
        <v>40214</v>
      </c>
      <c r="B70" s="26" t="s">
        <v>2339</v>
      </c>
      <c r="C70" s="26" t="s">
        <v>3209</v>
      </c>
      <c r="D70" s="35">
        <v>25000000</v>
      </c>
      <c r="E70" s="35">
        <v>80014842</v>
      </c>
      <c r="F70" s="35">
        <v>111362410</v>
      </c>
      <c r="G70" t="b">
        <f t="shared" si="5"/>
        <v>0</v>
      </c>
      <c r="H70" t="b">
        <f t="shared" si="6"/>
        <v>0</v>
      </c>
      <c r="I70" s="29">
        <f t="shared" si="7"/>
        <v>40214</v>
      </c>
    </row>
    <row r="71" spans="1:9" ht="25.5" x14ac:dyDescent="0.2">
      <c r="A71" s="28">
        <v>40214</v>
      </c>
      <c r="B71" s="26" t="s">
        <v>1011</v>
      </c>
      <c r="C71" s="26" t="s">
        <v>9</v>
      </c>
      <c r="D71" s="35" t="s">
        <v>20</v>
      </c>
      <c r="E71" s="35">
        <v>36136</v>
      </c>
      <c r="F71" s="35">
        <v>8786375</v>
      </c>
      <c r="G71" t="b">
        <f t="shared" si="5"/>
        <v>0</v>
      </c>
      <c r="H71" t="b">
        <f t="shared" si="6"/>
        <v>0</v>
      </c>
      <c r="I71" s="29">
        <f t="shared" si="7"/>
        <v>40214</v>
      </c>
    </row>
    <row r="72" spans="1:9" ht="12.75" customHeight="1" x14ac:dyDescent="0.2">
      <c r="A72" s="28">
        <v>40214</v>
      </c>
      <c r="B72" s="26" t="s">
        <v>2362</v>
      </c>
      <c r="C72" s="26" t="s">
        <v>9</v>
      </c>
      <c r="D72" s="35" t="s">
        <v>20</v>
      </c>
      <c r="E72" s="35">
        <v>19990</v>
      </c>
      <c r="F72" s="35" t="s">
        <v>20</v>
      </c>
      <c r="G72" t="b">
        <f t="shared" si="5"/>
        <v>0</v>
      </c>
      <c r="H72" t="b">
        <f t="shared" si="6"/>
        <v>0</v>
      </c>
      <c r="I72" s="29">
        <f t="shared" si="7"/>
        <v>40214</v>
      </c>
    </row>
    <row r="73" spans="1:9" ht="25.5" x14ac:dyDescent="0.2">
      <c r="A73" s="28">
        <v>40214</v>
      </c>
      <c r="B73" s="26" t="s">
        <v>2787</v>
      </c>
      <c r="C73" s="26" t="s">
        <v>3466</v>
      </c>
      <c r="D73" s="35" t="s">
        <v>20</v>
      </c>
      <c r="E73" s="35">
        <v>148826</v>
      </c>
      <c r="F73" s="35" t="s">
        <v>20</v>
      </c>
      <c r="G73" t="b">
        <f t="shared" si="5"/>
        <v>0</v>
      </c>
      <c r="H73" t="b">
        <f t="shared" si="6"/>
        <v>0</v>
      </c>
      <c r="I73" s="29">
        <f t="shared" si="7"/>
        <v>40214</v>
      </c>
    </row>
    <row r="74" spans="1:9" ht="12.75" customHeight="1" x14ac:dyDescent="0.2">
      <c r="A74" s="28">
        <v>40214</v>
      </c>
      <c r="B74" s="26" t="s">
        <v>1005</v>
      </c>
      <c r="C74" s="26" t="s">
        <v>9</v>
      </c>
      <c r="D74" s="35" t="s">
        <v>20</v>
      </c>
      <c r="E74" s="35">
        <v>246177</v>
      </c>
      <c r="F74" s="35">
        <v>2746177</v>
      </c>
      <c r="G74" t="b">
        <f t="shared" si="5"/>
        <v>0</v>
      </c>
      <c r="H74" t="b">
        <f t="shared" si="6"/>
        <v>0</v>
      </c>
      <c r="I74" s="29">
        <f t="shared" si="7"/>
        <v>40214</v>
      </c>
    </row>
    <row r="75" spans="1:9" ht="12.75" customHeight="1" x14ac:dyDescent="0.2">
      <c r="A75" s="28">
        <v>40214</v>
      </c>
      <c r="B75" s="26" t="s">
        <v>2072</v>
      </c>
      <c r="C75" s="26" t="s">
        <v>9</v>
      </c>
      <c r="D75" s="35" t="s">
        <v>20</v>
      </c>
      <c r="E75" s="35">
        <v>25846</v>
      </c>
      <c r="F75" s="35" t="s">
        <v>20</v>
      </c>
      <c r="G75" t="b">
        <f t="shared" si="5"/>
        <v>0</v>
      </c>
      <c r="H75" t="b">
        <f t="shared" si="6"/>
        <v>0</v>
      </c>
      <c r="I75" s="29">
        <f t="shared" si="7"/>
        <v>40214</v>
      </c>
    </row>
    <row r="76" spans="1:9" ht="25.5" x14ac:dyDescent="0.2">
      <c r="A76" s="28">
        <v>40214</v>
      </c>
      <c r="B76" s="26" t="s">
        <v>2064</v>
      </c>
      <c r="C76" s="26" t="s">
        <v>3466</v>
      </c>
      <c r="D76" s="35" t="s">
        <v>20</v>
      </c>
      <c r="E76" s="35" t="s">
        <v>20</v>
      </c>
      <c r="F76" s="35" t="s">
        <v>20</v>
      </c>
      <c r="G76" t="b">
        <f t="shared" si="5"/>
        <v>0</v>
      </c>
      <c r="H76" t="b">
        <f t="shared" si="6"/>
        <v>0</v>
      </c>
      <c r="I76" s="29">
        <f t="shared" si="7"/>
        <v>40214</v>
      </c>
    </row>
    <row r="77" spans="1:9" ht="12.75" customHeight="1" x14ac:dyDescent="0.2">
      <c r="A77" s="28">
        <v>40214</v>
      </c>
      <c r="B77" s="26" t="s">
        <v>65</v>
      </c>
      <c r="C77" s="26" t="s">
        <v>322</v>
      </c>
      <c r="D77" s="35" t="s">
        <v>20</v>
      </c>
      <c r="E77" s="35">
        <v>170943</v>
      </c>
      <c r="F77" s="35" t="s">
        <v>20</v>
      </c>
      <c r="G77" t="b">
        <f t="shared" si="5"/>
        <v>0</v>
      </c>
      <c r="H77" t="b">
        <f t="shared" si="6"/>
        <v>0</v>
      </c>
      <c r="I77" s="29">
        <f t="shared" si="7"/>
        <v>40214</v>
      </c>
    </row>
    <row r="78" spans="1:9" ht="25.5" x14ac:dyDescent="0.2">
      <c r="A78" s="28">
        <v>40214</v>
      </c>
      <c r="B78" s="26" t="s">
        <v>2636</v>
      </c>
      <c r="C78" s="26" t="s">
        <v>2310</v>
      </c>
      <c r="D78" s="35" t="s">
        <v>20</v>
      </c>
      <c r="E78" s="35">
        <v>24077427</v>
      </c>
      <c r="F78" s="35">
        <v>48311601</v>
      </c>
      <c r="G78" t="b">
        <f t="shared" si="5"/>
        <v>0</v>
      </c>
      <c r="H78" t="b">
        <f t="shared" si="6"/>
        <v>0</v>
      </c>
      <c r="I78" s="29">
        <f t="shared" si="7"/>
        <v>40214</v>
      </c>
    </row>
    <row r="79" spans="1:9" ht="25.5" x14ac:dyDescent="0.2">
      <c r="A79" s="28">
        <v>40214</v>
      </c>
      <c r="B79" s="26" t="s">
        <v>1572</v>
      </c>
      <c r="C79" s="26" t="s">
        <v>9</v>
      </c>
      <c r="D79" s="35" t="s">
        <v>20</v>
      </c>
      <c r="E79" s="35">
        <v>1011919</v>
      </c>
      <c r="F79" s="35" t="s">
        <v>20</v>
      </c>
      <c r="G79" t="b">
        <f t="shared" si="5"/>
        <v>0</v>
      </c>
      <c r="H79" t="b">
        <f t="shared" si="6"/>
        <v>0</v>
      </c>
      <c r="I79" s="29">
        <f t="shared" si="7"/>
        <v>40214</v>
      </c>
    </row>
    <row r="80" spans="1:9" ht="12.75" customHeight="1" x14ac:dyDescent="0.2">
      <c r="A80" s="28">
        <v>40214</v>
      </c>
      <c r="B80" s="26" t="s">
        <v>1119</v>
      </c>
      <c r="C80" s="26" t="s">
        <v>451</v>
      </c>
      <c r="D80" s="35">
        <v>25000000</v>
      </c>
      <c r="E80" s="35" t="s">
        <v>20</v>
      </c>
      <c r="F80" s="35" t="s">
        <v>20</v>
      </c>
      <c r="G80" t="b">
        <f t="shared" si="5"/>
        <v>0</v>
      </c>
      <c r="H80" t="b">
        <f t="shared" si="6"/>
        <v>0</v>
      </c>
      <c r="I80" s="29">
        <f t="shared" si="7"/>
        <v>40214</v>
      </c>
    </row>
    <row r="81" spans="1:9" ht="25.5" x14ac:dyDescent="0.2">
      <c r="A81" s="28">
        <v>40214</v>
      </c>
      <c r="B81" s="26" t="s">
        <v>2069</v>
      </c>
      <c r="C81" s="26" t="s">
        <v>3466</v>
      </c>
      <c r="D81" s="35" t="s">
        <v>20</v>
      </c>
      <c r="E81" s="35">
        <v>151644</v>
      </c>
      <c r="F81" s="35" t="s">
        <v>20</v>
      </c>
      <c r="G81" t="b">
        <f t="shared" si="5"/>
        <v>0</v>
      </c>
      <c r="H81" t="b">
        <f t="shared" si="6"/>
        <v>0</v>
      </c>
      <c r="I81" s="29">
        <f t="shared" si="7"/>
        <v>40214</v>
      </c>
    </row>
    <row r="82" spans="1:9" ht="25.5" x14ac:dyDescent="0.2">
      <c r="A82" s="28">
        <v>40215</v>
      </c>
      <c r="B82" s="26" t="s">
        <v>764</v>
      </c>
      <c r="C82" s="26" t="s">
        <v>9</v>
      </c>
      <c r="D82" s="35" t="s">
        <v>20</v>
      </c>
      <c r="E82" s="35" t="s">
        <v>20</v>
      </c>
      <c r="F82" s="35" t="s">
        <v>20</v>
      </c>
      <c r="G82" t="b">
        <f t="shared" si="5"/>
        <v>0</v>
      </c>
      <c r="H82" t="b">
        <f t="shared" si="6"/>
        <v>0</v>
      </c>
      <c r="I82" s="29">
        <f t="shared" si="7"/>
        <v>40215</v>
      </c>
    </row>
    <row r="83" spans="1:9" ht="12.75" customHeight="1" x14ac:dyDescent="0.2">
      <c r="A83" s="28">
        <v>40218</v>
      </c>
      <c r="B83" s="26" t="s">
        <v>1441</v>
      </c>
      <c r="C83" s="26" t="s">
        <v>9</v>
      </c>
      <c r="D83" s="35" t="s">
        <v>20</v>
      </c>
      <c r="E83" s="35" t="s">
        <v>20</v>
      </c>
      <c r="F83" s="35" t="s">
        <v>20</v>
      </c>
      <c r="G83" t="b">
        <f t="shared" si="5"/>
        <v>0</v>
      </c>
      <c r="H83" t="b">
        <f t="shared" si="6"/>
        <v>0</v>
      </c>
      <c r="I83" s="29">
        <f t="shared" si="7"/>
        <v>40218</v>
      </c>
    </row>
    <row r="84" spans="1:9" ht="12.75" customHeight="1" x14ac:dyDescent="0.2">
      <c r="A84" s="28">
        <v>40218</v>
      </c>
      <c r="B84" s="26" t="s">
        <v>547</v>
      </c>
      <c r="C84" s="26" t="s">
        <v>9</v>
      </c>
      <c r="D84" s="35" t="s">
        <v>20</v>
      </c>
      <c r="E84" s="35" t="s">
        <v>20</v>
      </c>
      <c r="F84" s="35" t="s">
        <v>20</v>
      </c>
      <c r="G84" t="b">
        <f t="shared" si="5"/>
        <v>0</v>
      </c>
      <c r="H84" t="b">
        <f t="shared" si="6"/>
        <v>0</v>
      </c>
      <c r="I84" s="29">
        <f t="shared" si="7"/>
        <v>40218</v>
      </c>
    </row>
    <row r="85" spans="1:9" ht="38.25" x14ac:dyDescent="0.2">
      <c r="A85" s="28">
        <v>40218</v>
      </c>
      <c r="B85" s="26" t="s">
        <v>2171</v>
      </c>
      <c r="C85" s="26" t="s">
        <v>9</v>
      </c>
      <c r="D85" s="35" t="s">
        <v>20</v>
      </c>
      <c r="E85" s="35" t="s">
        <v>20</v>
      </c>
      <c r="F85" s="35" t="s">
        <v>20</v>
      </c>
      <c r="G85" t="b">
        <f t="shared" si="5"/>
        <v>0</v>
      </c>
      <c r="H85" t="b">
        <f t="shared" si="6"/>
        <v>0</v>
      </c>
      <c r="I85" s="29">
        <f t="shared" si="7"/>
        <v>40218</v>
      </c>
    </row>
    <row r="86" spans="1:9" ht="12.75" customHeight="1" x14ac:dyDescent="0.2">
      <c r="A86" s="28">
        <v>40218</v>
      </c>
      <c r="B86" s="26" t="s">
        <v>2081</v>
      </c>
      <c r="C86" s="26" t="s">
        <v>9</v>
      </c>
      <c r="D86" s="35" t="s">
        <v>20</v>
      </c>
      <c r="E86" s="35" t="s">
        <v>20</v>
      </c>
      <c r="F86" s="35" t="s">
        <v>20</v>
      </c>
      <c r="G86" t="b">
        <f t="shared" si="5"/>
        <v>0</v>
      </c>
      <c r="H86" t="b">
        <f t="shared" si="6"/>
        <v>0</v>
      </c>
      <c r="I86" s="29">
        <f t="shared" si="7"/>
        <v>40218</v>
      </c>
    </row>
    <row r="87" spans="1:9" ht="25.5" x14ac:dyDescent="0.2">
      <c r="A87" s="28">
        <v>40218</v>
      </c>
      <c r="B87" s="26" t="s">
        <v>1708</v>
      </c>
      <c r="C87" s="26" t="s">
        <v>9</v>
      </c>
      <c r="D87" s="35" t="s">
        <v>20</v>
      </c>
      <c r="E87" s="35" t="s">
        <v>20</v>
      </c>
      <c r="F87" s="35" t="s">
        <v>20</v>
      </c>
      <c r="G87" t="b">
        <f t="shared" si="5"/>
        <v>0</v>
      </c>
      <c r="H87" t="b">
        <f t="shared" si="6"/>
        <v>0</v>
      </c>
      <c r="I87" s="29">
        <f t="shared" si="7"/>
        <v>40218</v>
      </c>
    </row>
    <row r="88" spans="1:9" x14ac:dyDescent="0.2">
      <c r="A88" s="28">
        <v>40218</v>
      </c>
      <c r="B88" s="26" t="s">
        <v>3239</v>
      </c>
      <c r="C88" s="26" t="s">
        <v>49</v>
      </c>
      <c r="D88" s="35" t="s">
        <v>20</v>
      </c>
      <c r="E88" s="35" t="s">
        <v>20</v>
      </c>
      <c r="F88" s="35" t="s">
        <v>20</v>
      </c>
      <c r="G88" t="b">
        <f t="shared" si="5"/>
        <v>0</v>
      </c>
      <c r="H88" t="b">
        <f t="shared" si="6"/>
        <v>0</v>
      </c>
      <c r="I88" s="29">
        <f t="shared" si="7"/>
        <v>40218</v>
      </c>
    </row>
    <row r="89" spans="1:9" x14ac:dyDescent="0.2">
      <c r="A89" s="28">
        <v>40218</v>
      </c>
      <c r="B89" s="26" t="s">
        <v>2987</v>
      </c>
      <c r="C89" s="26" t="s">
        <v>9</v>
      </c>
      <c r="D89" s="35" t="s">
        <v>20</v>
      </c>
      <c r="E89" s="35" t="s">
        <v>20</v>
      </c>
      <c r="F89" s="35" t="s">
        <v>20</v>
      </c>
      <c r="G89" t="b">
        <f t="shared" si="5"/>
        <v>0</v>
      </c>
      <c r="H89" t="b">
        <f t="shared" si="6"/>
        <v>0</v>
      </c>
      <c r="I89" s="29">
        <f t="shared" si="7"/>
        <v>40218</v>
      </c>
    </row>
    <row r="90" spans="1:9" ht="51" x14ac:dyDescent="0.2">
      <c r="A90" s="28">
        <v>40218</v>
      </c>
      <c r="B90" s="26" t="s">
        <v>137</v>
      </c>
      <c r="C90" s="26" t="s">
        <v>9</v>
      </c>
      <c r="D90" s="35" t="s">
        <v>20</v>
      </c>
      <c r="E90" s="35" t="s">
        <v>20</v>
      </c>
      <c r="F90" s="35" t="s">
        <v>20</v>
      </c>
      <c r="G90" t="b">
        <f t="shared" si="5"/>
        <v>0</v>
      </c>
      <c r="H90" t="b">
        <f t="shared" si="6"/>
        <v>0</v>
      </c>
      <c r="I90" s="29">
        <f t="shared" si="7"/>
        <v>40218</v>
      </c>
    </row>
    <row r="91" spans="1:9" ht="12.75" customHeight="1" x14ac:dyDescent="0.2">
      <c r="A91" s="28">
        <v>40218</v>
      </c>
      <c r="B91" s="26" t="s">
        <v>2138</v>
      </c>
      <c r="C91" s="26" t="s">
        <v>9</v>
      </c>
      <c r="D91" s="35" t="s">
        <v>20</v>
      </c>
      <c r="E91" s="35" t="s">
        <v>20</v>
      </c>
      <c r="F91" s="35" t="s">
        <v>20</v>
      </c>
      <c r="G91" t="b">
        <f t="shared" si="5"/>
        <v>0</v>
      </c>
      <c r="H91" t="b">
        <f t="shared" si="6"/>
        <v>0</v>
      </c>
      <c r="I91" s="29">
        <f t="shared" si="7"/>
        <v>40218</v>
      </c>
    </row>
    <row r="92" spans="1:9" ht="25.5" x14ac:dyDescent="0.2">
      <c r="A92" s="28">
        <v>40219</v>
      </c>
      <c r="B92" s="26" t="s">
        <v>3111</v>
      </c>
      <c r="C92" s="26" t="s">
        <v>9</v>
      </c>
      <c r="D92" s="35" t="s">
        <v>20</v>
      </c>
      <c r="E92" s="35" t="s">
        <v>20</v>
      </c>
      <c r="F92" s="35">
        <v>9532354</v>
      </c>
      <c r="G92" t="b">
        <f t="shared" si="5"/>
        <v>0</v>
      </c>
      <c r="H92" t="b">
        <f t="shared" si="6"/>
        <v>0</v>
      </c>
      <c r="I92" s="29">
        <f t="shared" si="7"/>
        <v>40219</v>
      </c>
    </row>
    <row r="93" spans="1:9" ht="12.75" customHeight="1" x14ac:dyDescent="0.2">
      <c r="A93" s="28">
        <v>40221</v>
      </c>
      <c r="B93" s="26" t="s">
        <v>53</v>
      </c>
      <c r="C93" s="26" t="s">
        <v>9</v>
      </c>
      <c r="D93" s="35" t="s">
        <v>20</v>
      </c>
      <c r="E93" s="35">
        <v>3054</v>
      </c>
      <c r="F93" s="35" t="s">
        <v>20</v>
      </c>
      <c r="G93" t="b">
        <f t="shared" si="5"/>
        <v>0</v>
      </c>
      <c r="H93" t="b">
        <f t="shared" si="6"/>
        <v>0</v>
      </c>
      <c r="I93" s="29">
        <f t="shared" si="7"/>
        <v>40221</v>
      </c>
    </row>
    <row r="94" spans="1:9" ht="25.5" x14ac:dyDescent="0.2">
      <c r="A94" s="28">
        <v>40221</v>
      </c>
      <c r="B94" s="26" t="s">
        <v>1191</v>
      </c>
      <c r="C94" s="26" t="s">
        <v>9</v>
      </c>
      <c r="D94" s="35" t="s">
        <v>20</v>
      </c>
      <c r="E94" s="35" t="s">
        <v>20</v>
      </c>
      <c r="F94" s="35" t="s">
        <v>20</v>
      </c>
      <c r="G94" t="b">
        <f t="shared" si="5"/>
        <v>0</v>
      </c>
      <c r="H94" t="b">
        <f t="shared" si="6"/>
        <v>0</v>
      </c>
      <c r="I94" s="29">
        <f t="shared" si="7"/>
        <v>40221</v>
      </c>
    </row>
    <row r="95" spans="1:9" ht="38.25" x14ac:dyDescent="0.2">
      <c r="A95" s="28">
        <v>40221</v>
      </c>
      <c r="B95" s="26" t="s">
        <v>2991</v>
      </c>
      <c r="C95" s="26" t="s">
        <v>1196</v>
      </c>
      <c r="D95" s="35" t="s">
        <v>20</v>
      </c>
      <c r="E95" s="35">
        <v>15451</v>
      </c>
      <c r="F95" s="35" t="s">
        <v>20</v>
      </c>
      <c r="G95" t="b">
        <f t="shared" si="5"/>
        <v>0</v>
      </c>
      <c r="H95" t="b">
        <f t="shared" si="6"/>
        <v>0</v>
      </c>
      <c r="I95" s="29">
        <f t="shared" si="7"/>
        <v>40221</v>
      </c>
    </row>
    <row r="96" spans="1:9" ht="12.75" customHeight="1" x14ac:dyDescent="0.2">
      <c r="A96" s="28">
        <v>40221</v>
      </c>
      <c r="B96" s="26" t="s">
        <v>2758</v>
      </c>
      <c r="C96" s="26" t="s">
        <v>1760</v>
      </c>
      <c r="D96" s="35" t="s">
        <v>20</v>
      </c>
      <c r="E96" s="35">
        <v>32790</v>
      </c>
      <c r="F96" s="35" t="s">
        <v>20</v>
      </c>
      <c r="G96" t="b">
        <f t="shared" si="5"/>
        <v>0</v>
      </c>
      <c r="H96" t="b">
        <f t="shared" si="6"/>
        <v>0</v>
      </c>
      <c r="I96" s="29">
        <f t="shared" si="7"/>
        <v>40221</v>
      </c>
    </row>
    <row r="97" spans="1:9" ht="12.75" customHeight="1" x14ac:dyDescent="0.2">
      <c r="A97" s="28">
        <v>40221</v>
      </c>
      <c r="B97" s="26" t="s">
        <v>3259</v>
      </c>
      <c r="C97" s="26" t="s">
        <v>3096</v>
      </c>
      <c r="D97" s="35">
        <v>150000000</v>
      </c>
      <c r="E97" s="35">
        <v>62189884</v>
      </c>
      <c r="F97" s="35">
        <v>142634358</v>
      </c>
      <c r="G97" t="b">
        <f t="shared" si="5"/>
        <v>0</v>
      </c>
      <c r="H97" t="b">
        <f t="shared" si="6"/>
        <v>0</v>
      </c>
      <c r="I97" s="29">
        <f t="shared" si="7"/>
        <v>40221</v>
      </c>
    </row>
    <row r="98" spans="1:9" ht="12.75" customHeight="1" x14ac:dyDescent="0.2">
      <c r="A98" s="28">
        <v>40221</v>
      </c>
      <c r="B98" s="26" t="s">
        <v>585</v>
      </c>
      <c r="C98" s="26" t="s">
        <v>9</v>
      </c>
      <c r="D98" s="35" t="s">
        <v>20</v>
      </c>
      <c r="E98" s="35">
        <v>26185</v>
      </c>
      <c r="F98" s="35" t="s">
        <v>20</v>
      </c>
      <c r="G98" t="b">
        <f t="shared" si="5"/>
        <v>0</v>
      </c>
      <c r="H98" t="b">
        <f t="shared" si="6"/>
        <v>0</v>
      </c>
      <c r="I98" s="29">
        <f t="shared" si="7"/>
        <v>40221</v>
      </c>
    </row>
    <row r="99" spans="1:9" ht="12.75" customHeight="1" x14ac:dyDescent="0.2">
      <c r="A99" s="28">
        <v>40221</v>
      </c>
      <c r="B99" s="26" t="s">
        <v>3327</v>
      </c>
      <c r="C99" s="26" t="s">
        <v>3209</v>
      </c>
      <c r="D99" s="35">
        <v>52000000</v>
      </c>
      <c r="E99" s="35">
        <v>110485654</v>
      </c>
      <c r="F99" s="35">
        <v>217569328</v>
      </c>
      <c r="G99" t="b">
        <f t="shared" si="5"/>
        <v>0</v>
      </c>
      <c r="H99" t="b">
        <f t="shared" si="6"/>
        <v>0</v>
      </c>
      <c r="I99" s="29">
        <f t="shared" si="7"/>
        <v>40221</v>
      </c>
    </row>
    <row r="100" spans="1:9" ht="12.75" customHeight="1" x14ac:dyDescent="0.2">
      <c r="A100" s="28">
        <v>40221</v>
      </c>
      <c r="B100" s="26" t="s">
        <v>2754</v>
      </c>
      <c r="C100" s="26" t="s">
        <v>155</v>
      </c>
      <c r="D100" s="35" t="s">
        <v>20</v>
      </c>
      <c r="E100" s="35">
        <v>4046336</v>
      </c>
      <c r="F100" s="35">
        <v>42355526</v>
      </c>
      <c r="G100" t="b">
        <f t="shared" si="5"/>
        <v>0</v>
      </c>
      <c r="H100" t="b">
        <f t="shared" si="6"/>
        <v>0</v>
      </c>
      <c r="I100" s="29">
        <f t="shared" si="7"/>
        <v>40221</v>
      </c>
    </row>
    <row r="101" spans="1:9" ht="38.25" x14ac:dyDescent="0.2">
      <c r="A101" s="28">
        <v>40221</v>
      </c>
      <c r="B101" s="26" t="s">
        <v>1065</v>
      </c>
      <c r="C101" s="26" t="s">
        <v>384</v>
      </c>
      <c r="D101" s="35">
        <v>95000000</v>
      </c>
      <c r="E101" s="35">
        <v>88768303</v>
      </c>
      <c r="F101" s="35">
        <v>226467130</v>
      </c>
      <c r="G101" t="b">
        <f t="shared" si="5"/>
        <v>0</v>
      </c>
      <c r="H101" t="b">
        <f t="shared" si="6"/>
        <v>0</v>
      </c>
      <c r="I101" s="29">
        <f t="shared" si="7"/>
        <v>40221</v>
      </c>
    </row>
    <row r="102" spans="1:9" ht="12.75" customHeight="1" x14ac:dyDescent="0.2">
      <c r="A102" s="28">
        <v>40225</v>
      </c>
      <c r="B102" s="26" t="s">
        <v>2638</v>
      </c>
      <c r="C102" s="26" t="s">
        <v>9</v>
      </c>
      <c r="D102" s="35" t="s">
        <v>20</v>
      </c>
      <c r="E102" s="35" t="s">
        <v>20</v>
      </c>
      <c r="F102" s="35" t="s">
        <v>20</v>
      </c>
      <c r="G102" t="b">
        <f t="shared" si="5"/>
        <v>0</v>
      </c>
      <c r="H102" t="b">
        <f t="shared" si="6"/>
        <v>0</v>
      </c>
      <c r="I102" s="29">
        <f t="shared" si="7"/>
        <v>40225</v>
      </c>
    </row>
    <row r="103" spans="1:9" ht="12.75" customHeight="1" x14ac:dyDescent="0.2">
      <c r="A103" s="28">
        <v>40225</v>
      </c>
      <c r="B103" s="26" t="s">
        <v>540</v>
      </c>
      <c r="C103" s="26" t="s">
        <v>9</v>
      </c>
      <c r="D103" s="35" t="s">
        <v>20</v>
      </c>
      <c r="E103" s="35" t="s">
        <v>20</v>
      </c>
      <c r="F103" s="35" t="s">
        <v>20</v>
      </c>
      <c r="G103" t="b">
        <f t="shared" si="5"/>
        <v>0</v>
      </c>
      <c r="H103" t="b">
        <f t="shared" si="6"/>
        <v>0</v>
      </c>
      <c r="I103" s="29">
        <f t="shared" si="7"/>
        <v>40225</v>
      </c>
    </row>
    <row r="104" spans="1:9" ht="25.5" x14ac:dyDescent="0.2">
      <c r="A104" s="28">
        <v>40225</v>
      </c>
      <c r="B104" s="26" t="s">
        <v>2746</v>
      </c>
      <c r="C104" s="26" t="s">
        <v>9</v>
      </c>
      <c r="D104" s="35" t="s">
        <v>20</v>
      </c>
      <c r="E104" s="35" t="s">
        <v>20</v>
      </c>
      <c r="F104" s="35" t="s">
        <v>20</v>
      </c>
      <c r="G104" t="b">
        <f t="shared" si="5"/>
        <v>0</v>
      </c>
      <c r="H104" t="b">
        <f t="shared" si="6"/>
        <v>0</v>
      </c>
      <c r="I104" s="29">
        <f t="shared" si="7"/>
        <v>40225</v>
      </c>
    </row>
    <row r="105" spans="1:9" ht="25.5" x14ac:dyDescent="0.2">
      <c r="A105" s="28">
        <v>40225</v>
      </c>
      <c r="B105" s="26" t="s">
        <v>3372</v>
      </c>
      <c r="C105" s="26" t="s">
        <v>9</v>
      </c>
      <c r="D105" s="35" t="s">
        <v>20</v>
      </c>
      <c r="E105" s="35" t="s">
        <v>20</v>
      </c>
      <c r="F105" s="35" t="s">
        <v>20</v>
      </c>
      <c r="G105" t="b">
        <f t="shared" si="5"/>
        <v>0</v>
      </c>
      <c r="H105" t="b">
        <f t="shared" si="6"/>
        <v>0</v>
      </c>
      <c r="I105" s="29">
        <f t="shared" si="7"/>
        <v>40225</v>
      </c>
    </row>
    <row r="106" spans="1:9" ht="12.75" customHeight="1" x14ac:dyDescent="0.2">
      <c r="A106" s="28">
        <v>40225</v>
      </c>
      <c r="B106" s="26" t="s">
        <v>3058</v>
      </c>
      <c r="C106" s="26" t="s">
        <v>9</v>
      </c>
      <c r="D106" s="35" t="s">
        <v>20</v>
      </c>
      <c r="E106" s="35" t="s">
        <v>20</v>
      </c>
      <c r="F106" s="35" t="s">
        <v>20</v>
      </c>
      <c r="G106" t="b">
        <f t="shared" si="5"/>
        <v>0</v>
      </c>
      <c r="H106" t="b">
        <f t="shared" si="6"/>
        <v>0</v>
      </c>
      <c r="I106" s="29">
        <f t="shared" si="7"/>
        <v>40225</v>
      </c>
    </row>
    <row r="107" spans="1:9" ht="12.75" customHeight="1" x14ac:dyDescent="0.2">
      <c r="A107" s="28">
        <v>40226</v>
      </c>
      <c r="B107" s="26" t="s">
        <v>1351</v>
      </c>
      <c r="C107" s="26" t="s">
        <v>9</v>
      </c>
      <c r="D107" s="35" t="s">
        <v>20</v>
      </c>
      <c r="E107" s="35">
        <v>9408</v>
      </c>
      <c r="F107" s="35" t="s">
        <v>20</v>
      </c>
      <c r="G107" t="b">
        <f t="shared" si="5"/>
        <v>0</v>
      </c>
      <c r="H107" t="b">
        <f t="shared" si="6"/>
        <v>0</v>
      </c>
      <c r="I107" s="29">
        <f t="shared" si="7"/>
        <v>40226</v>
      </c>
    </row>
    <row r="108" spans="1:9" ht="12.75" customHeight="1" x14ac:dyDescent="0.2">
      <c r="A108" s="28">
        <v>40228</v>
      </c>
      <c r="B108" s="26" t="s">
        <v>1637</v>
      </c>
      <c r="C108" s="26" t="s">
        <v>9</v>
      </c>
      <c r="D108" s="35" t="s">
        <v>20</v>
      </c>
      <c r="E108" s="35">
        <v>15318</v>
      </c>
      <c r="F108" s="35" t="s">
        <v>20</v>
      </c>
      <c r="G108" t="b">
        <f t="shared" si="5"/>
        <v>0</v>
      </c>
      <c r="H108" t="b">
        <f t="shared" si="6"/>
        <v>0</v>
      </c>
      <c r="I108" s="29">
        <f t="shared" si="7"/>
        <v>40228</v>
      </c>
    </row>
    <row r="109" spans="1:9" ht="25.5" x14ac:dyDescent="0.2">
      <c r="A109" s="28">
        <v>40228</v>
      </c>
      <c r="B109" s="26" t="s">
        <v>3205</v>
      </c>
      <c r="C109" s="26" t="s">
        <v>2168</v>
      </c>
      <c r="D109" s="35">
        <v>80000000</v>
      </c>
      <c r="E109" s="35">
        <v>128012934</v>
      </c>
      <c r="F109" s="35">
        <v>296831073</v>
      </c>
      <c r="G109" t="b">
        <f t="shared" si="5"/>
        <v>0</v>
      </c>
      <c r="H109" t="b">
        <f t="shared" si="6"/>
        <v>0</v>
      </c>
      <c r="I109" s="29">
        <f t="shared" si="7"/>
        <v>40228</v>
      </c>
    </row>
    <row r="110" spans="1:9" ht="25.5" x14ac:dyDescent="0.2">
      <c r="A110" s="28">
        <v>40228</v>
      </c>
      <c r="B110" s="26" t="s">
        <v>1560</v>
      </c>
      <c r="C110" s="26" t="s">
        <v>2164</v>
      </c>
      <c r="D110" s="35" t="s">
        <v>20</v>
      </c>
      <c r="E110" s="35">
        <v>1018169</v>
      </c>
      <c r="F110" s="35" t="s">
        <v>20</v>
      </c>
      <c r="G110" t="b">
        <f t="shared" si="5"/>
        <v>0</v>
      </c>
      <c r="H110" t="b">
        <f t="shared" si="6"/>
        <v>0</v>
      </c>
      <c r="I110" s="29">
        <f t="shared" si="7"/>
        <v>40228</v>
      </c>
    </row>
    <row r="111" spans="1:9" ht="12.75" customHeight="1" x14ac:dyDescent="0.2">
      <c r="A111" s="28">
        <v>40228</v>
      </c>
      <c r="B111" s="26" t="s">
        <v>844</v>
      </c>
      <c r="C111" s="26" t="s">
        <v>9</v>
      </c>
      <c r="D111" s="35" t="s">
        <v>20</v>
      </c>
      <c r="E111" s="35">
        <v>22464</v>
      </c>
      <c r="F111" s="35" t="s">
        <v>20</v>
      </c>
      <c r="G111" t="b">
        <f t="shared" si="5"/>
        <v>0</v>
      </c>
      <c r="H111" t="b">
        <f t="shared" si="6"/>
        <v>0</v>
      </c>
      <c r="I111" s="29">
        <f t="shared" si="7"/>
        <v>40228</v>
      </c>
    </row>
    <row r="112" spans="1:9" ht="12.75" customHeight="1" x14ac:dyDescent="0.2">
      <c r="A112" s="28">
        <v>40228</v>
      </c>
      <c r="B112" s="26" t="s">
        <v>1571</v>
      </c>
      <c r="C112" s="26" t="s">
        <v>9</v>
      </c>
      <c r="D112" s="35">
        <v>30000000</v>
      </c>
      <c r="E112" s="35">
        <v>201857</v>
      </c>
      <c r="F112" s="35">
        <v>52339566</v>
      </c>
      <c r="G112" t="b">
        <f t="shared" si="5"/>
        <v>0</v>
      </c>
      <c r="H112" t="b">
        <f t="shared" si="6"/>
        <v>0</v>
      </c>
      <c r="I112" s="29">
        <f t="shared" si="7"/>
        <v>40228</v>
      </c>
    </row>
    <row r="113" spans="1:9" ht="25.5" x14ac:dyDescent="0.2">
      <c r="A113" s="28">
        <v>40228</v>
      </c>
      <c r="B113" s="26" t="s">
        <v>88</v>
      </c>
      <c r="C113" s="26" t="s">
        <v>125</v>
      </c>
      <c r="D113" s="35" t="s">
        <v>20</v>
      </c>
      <c r="E113" s="35">
        <v>109383</v>
      </c>
      <c r="F113" s="35" t="s">
        <v>20</v>
      </c>
      <c r="G113" t="b">
        <f t="shared" si="5"/>
        <v>0</v>
      </c>
      <c r="H113" t="b">
        <f t="shared" si="6"/>
        <v>0</v>
      </c>
      <c r="I113" s="29">
        <f t="shared" si="7"/>
        <v>40228</v>
      </c>
    </row>
    <row r="114" spans="1:9" ht="25.5" x14ac:dyDescent="0.2">
      <c r="A114" s="28">
        <v>40228</v>
      </c>
      <c r="B114" s="26" t="s">
        <v>284</v>
      </c>
      <c r="C114" s="26" t="s">
        <v>2570</v>
      </c>
      <c r="D114" s="35" t="s">
        <v>20</v>
      </c>
      <c r="E114" s="35">
        <v>6607</v>
      </c>
      <c r="F114" s="35" t="s">
        <v>20</v>
      </c>
      <c r="G114" t="b">
        <f t="shared" si="5"/>
        <v>0</v>
      </c>
      <c r="H114" t="b">
        <f t="shared" si="6"/>
        <v>0</v>
      </c>
      <c r="I114" s="29">
        <f t="shared" si="7"/>
        <v>40228</v>
      </c>
    </row>
    <row r="115" spans="1:9" ht="12.75" customHeight="1" x14ac:dyDescent="0.2">
      <c r="A115" s="28">
        <v>40228</v>
      </c>
      <c r="B115" s="26" t="s">
        <v>497</v>
      </c>
      <c r="C115" s="26" t="s">
        <v>9</v>
      </c>
      <c r="D115" s="35" t="s">
        <v>20</v>
      </c>
      <c r="E115" s="35">
        <v>5992</v>
      </c>
      <c r="F115" s="35" t="s">
        <v>20</v>
      </c>
      <c r="G115" t="b">
        <f t="shared" si="5"/>
        <v>0</v>
      </c>
      <c r="H115" t="b">
        <f t="shared" si="6"/>
        <v>0</v>
      </c>
      <c r="I115" s="29">
        <f t="shared" si="7"/>
        <v>40228</v>
      </c>
    </row>
    <row r="116" spans="1:9" ht="12.75" customHeight="1" x14ac:dyDescent="0.2">
      <c r="A116" s="28">
        <v>40228</v>
      </c>
      <c r="B116" s="26" t="s">
        <v>2375</v>
      </c>
      <c r="C116" s="26" t="s">
        <v>9</v>
      </c>
      <c r="D116" s="35" t="s">
        <v>20</v>
      </c>
      <c r="E116" s="35">
        <v>44462</v>
      </c>
      <c r="F116" s="35" t="s">
        <v>20</v>
      </c>
      <c r="G116" t="b">
        <f t="shared" si="5"/>
        <v>0</v>
      </c>
      <c r="H116" t="b">
        <f t="shared" si="6"/>
        <v>0</v>
      </c>
      <c r="I116" s="29">
        <f t="shared" si="7"/>
        <v>40228</v>
      </c>
    </row>
    <row r="117" spans="1:9" ht="25.5" x14ac:dyDescent="0.2">
      <c r="A117" s="28">
        <v>40228</v>
      </c>
      <c r="B117" s="26" t="s">
        <v>2192</v>
      </c>
      <c r="C117" s="26" t="s">
        <v>2180</v>
      </c>
      <c r="D117" s="35" t="s">
        <v>20</v>
      </c>
      <c r="E117" s="35">
        <v>100688</v>
      </c>
      <c r="F117" s="35" t="s">
        <v>20</v>
      </c>
      <c r="G117" t="b">
        <f t="shared" si="5"/>
        <v>0</v>
      </c>
      <c r="H117" t="b">
        <f t="shared" si="6"/>
        <v>0</v>
      </c>
      <c r="I117" s="29">
        <f t="shared" si="7"/>
        <v>40228</v>
      </c>
    </row>
    <row r="118" spans="1:9" ht="12.75" customHeight="1" x14ac:dyDescent="0.2">
      <c r="A118" s="28">
        <v>40228</v>
      </c>
      <c r="B118" s="26" t="s">
        <v>1645</v>
      </c>
      <c r="C118" s="26" t="s">
        <v>1066</v>
      </c>
      <c r="D118" s="35">
        <v>45000000</v>
      </c>
      <c r="E118" s="35">
        <v>15541549</v>
      </c>
      <c r="F118" s="35">
        <v>63241549</v>
      </c>
      <c r="G118" t="b">
        <f t="shared" si="5"/>
        <v>0</v>
      </c>
      <c r="H118" t="b">
        <f t="shared" si="6"/>
        <v>0</v>
      </c>
      <c r="I118" s="29">
        <f t="shared" si="7"/>
        <v>40228</v>
      </c>
    </row>
    <row r="119" spans="1:9" ht="38.25" x14ac:dyDescent="0.2">
      <c r="A119" s="28">
        <v>40232</v>
      </c>
      <c r="B119" s="26" t="s">
        <v>631</v>
      </c>
      <c r="C119" s="26" t="s">
        <v>9</v>
      </c>
      <c r="D119" s="35" t="s">
        <v>20</v>
      </c>
      <c r="E119" s="35" t="s">
        <v>20</v>
      </c>
      <c r="F119" s="35" t="s">
        <v>20</v>
      </c>
      <c r="G119" t="b">
        <f t="shared" si="5"/>
        <v>0</v>
      </c>
      <c r="H119" t="b">
        <f t="shared" si="6"/>
        <v>0</v>
      </c>
      <c r="I119" s="29">
        <f t="shared" si="7"/>
        <v>40232</v>
      </c>
    </row>
    <row r="120" spans="1:9" ht="12.75" customHeight="1" x14ac:dyDescent="0.2">
      <c r="A120" s="28">
        <v>40235</v>
      </c>
      <c r="B120" s="26" t="s">
        <v>3007</v>
      </c>
      <c r="C120" s="26" t="s">
        <v>9</v>
      </c>
      <c r="D120" s="35" t="s">
        <v>20</v>
      </c>
      <c r="E120" s="35">
        <v>21648</v>
      </c>
      <c r="F120" s="35" t="s">
        <v>20</v>
      </c>
      <c r="G120" t="b">
        <f t="shared" si="5"/>
        <v>0</v>
      </c>
      <c r="H120" t="b">
        <f t="shared" si="6"/>
        <v>0</v>
      </c>
      <c r="I120" s="29">
        <f t="shared" si="7"/>
        <v>40235</v>
      </c>
    </row>
    <row r="121" spans="1:9" ht="25.5" x14ac:dyDescent="0.2">
      <c r="A121" s="28">
        <v>40235</v>
      </c>
      <c r="B121" s="26" t="s">
        <v>2558</v>
      </c>
      <c r="C121" s="26" t="s">
        <v>1992</v>
      </c>
      <c r="D121" s="35" t="s">
        <v>20</v>
      </c>
      <c r="E121" s="35">
        <v>225341</v>
      </c>
      <c r="F121" s="35" t="s">
        <v>20</v>
      </c>
      <c r="G121" t="b">
        <f t="shared" si="5"/>
        <v>0</v>
      </c>
      <c r="H121" t="b">
        <f t="shared" si="6"/>
        <v>0</v>
      </c>
      <c r="I121" s="29">
        <f t="shared" si="7"/>
        <v>40235</v>
      </c>
    </row>
    <row r="122" spans="1:9" ht="12.75" customHeight="1" x14ac:dyDescent="0.2">
      <c r="A122" s="28">
        <v>40235</v>
      </c>
      <c r="B122" s="26" t="s">
        <v>213</v>
      </c>
      <c r="C122" s="26" t="s">
        <v>9</v>
      </c>
      <c r="D122" s="35" t="s">
        <v>20</v>
      </c>
      <c r="E122" s="35">
        <v>40249</v>
      </c>
      <c r="F122" s="35" t="s">
        <v>20</v>
      </c>
      <c r="G122" t="b">
        <f t="shared" si="5"/>
        <v>0</v>
      </c>
      <c r="H122" t="b">
        <f t="shared" si="6"/>
        <v>0</v>
      </c>
      <c r="I122" s="29">
        <f t="shared" si="7"/>
        <v>40235</v>
      </c>
    </row>
    <row r="123" spans="1:9" ht="12.75" customHeight="1" x14ac:dyDescent="0.2">
      <c r="A123" s="28">
        <v>40235</v>
      </c>
      <c r="B123" s="26" t="s">
        <v>814</v>
      </c>
      <c r="C123" s="26" t="s">
        <v>9</v>
      </c>
      <c r="D123" s="35" t="s">
        <v>20</v>
      </c>
      <c r="E123" s="35">
        <v>63151</v>
      </c>
      <c r="F123" s="35" t="s">
        <v>20</v>
      </c>
      <c r="G123" t="b">
        <f t="shared" si="5"/>
        <v>0</v>
      </c>
      <c r="H123" t="b">
        <f t="shared" si="6"/>
        <v>0</v>
      </c>
      <c r="I123" s="29">
        <f t="shared" si="7"/>
        <v>40235</v>
      </c>
    </row>
    <row r="124" spans="1:9" ht="25.5" x14ac:dyDescent="0.2">
      <c r="A124" s="28">
        <v>40235</v>
      </c>
      <c r="B124" s="26" t="s">
        <v>3369</v>
      </c>
      <c r="C124" s="26" t="s">
        <v>3466</v>
      </c>
      <c r="D124" s="35" t="s">
        <v>20</v>
      </c>
      <c r="E124" s="35">
        <v>544890</v>
      </c>
      <c r="F124" s="35" t="s">
        <v>20</v>
      </c>
      <c r="G124" t="b">
        <f t="shared" si="5"/>
        <v>0</v>
      </c>
      <c r="H124" t="b">
        <f t="shared" si="6"/>
        <v>0</v>
      </c>
      <c r="I124" s="29">
        <f t="shared" si="7"/>
        <v>40235</v>
      </c>
    </row>
    <row r="125" spans="1:9" ht="12.75" customHeight="1" x14ac:dyDescent="0.2">
      <c r="A125" s="28">
        <v>40235</v>
      </c>
      <c r="B125" s="26" t="s">
        <v>1587</v>
      </c>
      <c r="C125" s="26" t="s">
        <v>9</v>
      </c>
      <c r="D125" s="35" t="s">
        <v>20</v>
      </c>
      <c r="E125" s="35">
        <v>2087720</v>
      </c>
      <c r="F125" s="35">
        <v>12081833</v>
      </c>
      <c r="G125" t="b">
        <f t="shared" si="5"/>
        <v>0</v>
      </c>
      <c r="H125" t="b">
        <f t="shared" si="6"/>
        <v>0</v>
      </c>
      <c r="I125" s="29">
        <f t="shared" si="7"/>
        <v>40235</v>
      </c>
    </row>
    <row r="126" spans="1:9" ht="12.75" customHeight="1" x14ac:dyDescent="0.2">
      <c r="A126" s="28">
        <v>40235</v>
      </c>
      <c r="B126" s="26" t="s">
        <v>508</v>
      </c>
      <c r="C126" s="26" t="s">
        <v>2964</v>
      </c>
      <c r="D126" s="35" t="s">
        <v>20</v>
      </c>
      <c r="E126" s="35">
        <v>73544</v>
      </c>
      <c r="F126" s="35" t="s">
        <v>20</v>
      </c>
      <c r="G126" t="b">
        <f t="shared" si="5"/>
        <v>0</v>
      </c>
      <c r="H126" t="b">
        <f t="shared" si="6"/>
        <v>0</v>
      </c>
      <c r="I126" s="29">
        <f t="shared" si="7"/>
        <v>40235</v>
      </c>
    </row>
    <row r="127" spans="1:9" ht="12.75" customHeight="1" x14ac:dyDescent="0.2">
      <c r="A127" s="28">
        <v>40235</v>
      </c>
      <c r="B127" s="26" t="s">
        <v>2203</v>
      </c>
      <c r="C127" s="26" t="s">
        <v>3209</v>
      </c>
      <c r="D127" s="35">
        <v>37000000</v>
      </c>
      <c r="E127" s="35">
        <v>44875481</v>
      </c>
      <c r="F127" s="35">
        <v>55909910</v>
      </c>
      <c r="G127" t="b">
        <f t="shared" si="5"/>
        <v>0</v>
      </c>
      <c r="H127" t="b">
        <f t="shared" si="6"/>
        <v>0</v>
      </c>
      <c r="I127" s="29">
        <f t="shared" si="7"/>
        <v>40235</v>
      </c>
    </row>
    <row r="128" spans="1:9" ht="12.75" customHeight="1" x14ac:dyDescent="0.2">
      <c r="A128" s="28">
        <v>40235</v>
      </c>
      <c r="B128" s="26">
        <v>45365</v>
      </c>
      <c r="C128" s="26" t="s">
        <v>9</v>
      </c>
      <c r="D128" s="35" t="s">
        <v>20</v>
      </c>
      <c r="E128" s="35">
        <v>1909</v>
      </c>
      <c r="F128" s="35" t="s">
        <v>20</v>
      </c>
      <c r="G128" t="b">
        <f t="shared" si="5"/>
        <v>0</v>
      </c>
      <c r="H128" t="b">
        <f t="shared" si="6"/>
        <v>0</v>
      </c>
      <c r="I128" s="29">
        <f t="shared" si="7"/>
        <v>40235</v>
      </c>
    </row>
    <row r="129" spans="1:9" ht="12.75" customHeight="1" x14ac:dyDescent="0.2">
      <c r="A129" s="28">
        <v>40235</v>
      </c>
      <c r="B129" s="26" t="s">
        <v>1424</v>
      </c>
      <c r="C129" s="26" t="s">
        <v>2776</v>
      </c>
      <c r="D129" s="35" t="s">
        <v>20</v>
      </c>
      <c r="E129" s="35" t="s">
        <v>20</v>
      </c>
      <c r="F129" s="35" t="s">
        <v>20</v>
      </c>
      <c r="G129" t="b">
        <f t="shared" ref="G129:G190" si="8">ISBLANK(A129)</f>
        <v>0</v>
      </c>
      <c r="H129" t="b">
        <f t="shared" ref="H129:H190" si="9">ISTEXT(A129)</f>
        <v>0</v>
      </c>
      <c r="I129" s="29">
        <f t="shared" ref="I129:I190" si="10">DATE(2010,MONTH(A129), DAY(A129))</f>
        <v>40235</v>
      </c>
    </row>
    <row r="130" spans="1:9" ht="25.5" x14ac:dyDescent="0.2">
      <c r="A130" s="28">
        <v>40235</v>
      </c>
      <c r="B130" s="26" t="s">
        <v>1744</v>
      </c>
      <c r="C130" s="26" t="s">
        <v>9</v>
      </c>
      <c r="D130" s="35" t="s">
        <v>20</v>
      </c>
      <c r="E130" s="35">
        <v>286409</v>
      </c>
      <c r="F130" s="35">
        <v>2901846</v>
      </c>
      <c r="G130" t="b">
        <f t="shared" si="8"/>
        <v>0</v>
      </c>
      <c r="H130" t="b">
        <f t="shared" si="9"/>
        <v>0</v>
      </c>
      <c r="I130" s="29">
        <f t="shared" si="10"/>
        <v>40235</v>
      </c>
    </row>
    <row r="131" spans="1:9" ht="12.75" customHeight="1" x14ac:dyDescent="0.2">
      <c r="A131" s="28">
        <v>40235</v>
      </c>
      <c r="B131" s="26" t="s">
        <v>3408</v>
      </c>
      <c r="C131" s="26" t="s">
        <v>980</v>
      </c>
      <c r="D131" s="35">
        <v>20000000</v>
      </c>
      <c r="E131" s="35">
        <v>39123589</v>
      </c>
      <c r="F131" s="35">
        <v>54956140</v>
      </c>
      <c r="G131" t="b">
        <f t="shared" si="8"/>
        <v>0</v>
      </c>
      <c r="H131" t="b">
        <f t="shared" si="9"/>
        <v>0</v>
      </c>
      <c r="I131" s="29">
        <f t="shared" si="10"/>
        <v>40235</v>
      </c>
    </row>
    <row r="132" spans="1:9" ht="25.5" x14ac:dyDescent="0.2">
      <c r="A132" s="28">
        <v>40235</v>
      </c>
      <c r="B132" s="26" t="s">
        <v>2887</v>
      </c>
      <c r="C132" s="26" t="s">
        <v>1319</v>
      </c>
      <c r="D132" s="35" t="s">
        <v>20</v>
      </c>
      <c r="E132" s="35">
        <v>318623</v>
      </c>
      <c r="F132" s="35" t="s">
        <v>20</v>
      </c>
      <c r="G132" t="b">
        <f t="shared" si="8"/>
        <v>0</v>
      </c>
      <c r="H132" t="b">
        <f t="shared" si="9"/>
        <v>0</v>
      </c>
      <c r="I132" s="29">
        <f t="shared" si="10"/>
        <v>40235</v>
      </c>
    </row>
    <row r="133" spans="1:9" ht="25.5" x14ac:dyDescent="0.2">
      <c r="A133" s="28">
        <v>40235</v>
      </c>
      <c r="B133" s="26" t="s">
        <v>2796</v>
      </c>
      <c r="C133" s="26" t="s">
        <v>9</v>
      </c>
      <c r="D133" s="35" t="s">
        <v>20</v>
      </c>
      <c r="E133" s="35">
        <v>41803</v>
      </c>
      <c r="F133" s="35" t="s">
        <v>20</v>
      </c>
      <c r="G133" t="b">
        <f t="shared" si="8"/>
        <v>0</v>
      </c>
      <c r="H133" t="b">
        <f t="shared" si="9"/>
        <v>0</v>
      </c>
      <c r="I133" s="29">
        <f t="shared" si="10"/>
        <v>40235</v>
      </c>
    </row>
    <row r="134" spans="1:9" ht="25.5" x14ac:dyDescent="0.2">
      <c r="A134" s="28">
        <v>40237</v>
      </c>
      <c r="B134" s="26" t="s">
        <v>2997</v>
      </c>
      <c r="C134" s="26" t="s">
        <v>9</v>
      </c>
      <c r="D134" s="35" t="s">
        <v>20</v>
      </c>
      <c r="E134" s="35" t="s">
        <v>20</v>
      </c>
      <c r="F134" s="35" t="s">
        <v>20</v>
      </c>
      <c r="G134" t="b">
        <f t="shared" si="8"/>
        <v>0</v>
      </c>
      <c r="H134" t="b">
        <f t="shared" si="9"/>
        <v>0</v>
      </c>
      <c r="I134" s="29">
        <f t="shared" si="10"/>
        <v>40237</v>
      </c>
    </row>
    <row r="135" spans="1:9" ht="25.5" x14ac:dyDescent="0.2">
      <c r="A135" s="28">
        <v>40238</v>
      </c>
      <c r="B135" s="26" t="s">
        <v>2410</v>
      </c>
      <c r="C135" s="26" t="s">
        <v>9</v>
      </c>
      <c r="D135" s="35" t="s">
        <v>20</v>
      </c>
      <c r="E135" s="35" t="s">
        <v>20</v>
      </c>
      <c r="F135" s="35" t="s">
        <v>20</v>
      </c>
      <c r="G135" t="b">
        <f t="shared" si="8"/>
        <v>0</v>
      </c>
      <c r="H135" t="b">
        <f t="shared" si="9"/>
        <v>0</v>
      </c>
      <c r="I135" s="29">
        <f t="shared" si="10"/>
        <v>40238</v>
      </c>
    </row>
    <row r="136" spans="1:9" ht="12.75" customHeight="1" x14ac:dyDescent="0.2">
      <c r="A136" s="28">
        <v>40239</v>
      </c>
      <c r="B136" s="26" t="s">
        <v>2899</v>
      </c>
      <c r="C136" s="26" t="s">
        <v>9</v>
      </c>
      <c r="D136" s="35" t="s">
        <v>20</v>
      </c>
      <c r="E136" s="35" t="s">
        <v>20</v>
      </c>
      <c r="F136" s="35" t="s">
        <v>20</v>
      </c>
      <c r="G136" t="b">
        <f t="shared" si="8"/>
        <v>0</v>
      </c>
      <c r="H136" t="b">
        <f t="shared" si="9"/>
        <v>0</v>
      </c>
      <c r="I136" s="29">
        <f t="shared" si="10"/>
        <v>40239</v>
      </c>
    </row>
    <row r="137" spans="1:9" ht="12.75" customHeight="1" x14ac:dyDescent="0.2">
      <c r="A137" s="28">
        <v>40239</v>
      </c>
      <c r="B137" s="26" t="s">
        <v>381</v>
      </c>
      <c r="C137" s="26" t="s">
        <v>9</v>
      </c>
      <c r="D137" s="35" t="s">
        <v>20</v>
      </c>
      <c r="E137" s="35" t="s">
        <v>20</v>
      </c>
      <c r="F137" s="35" t="s">
        <v>20</v>
      </c>
      <c r="G137" t="b">
        <f t="shared" si="8"/>
        <v>0</v>
      </c>
      <c r="H137" t="b">
        <f t="shared" si="9"/>
        <v>0</v>
      </c>
      <c r="I137" s="29">
        <f t="shared" si="10"/>
        <v>40239</v>
      </c>
    </row>
    <row r="138" spans="1:9" ht="51" x14ac:dyDescent="0.2">
      <c r="A138" s="28">
        <v>40239</v>
      </c>
      <c r="B138" s="26" t="s">
        <v>1355</v>
      </c>
      <c r="C138" s="26" t="s">
        <v>9</v>
      </c>
      <c r="D138" s="35" t="s">
        <v>20</v>
      </c>
      <c r="E138" s="35" t="s">
        <v>20</v>
      </c>
      <c r="F138" s="35" t="s">
        <v>20</v>
      </c>
      <c r="G138" t="b">
        <f t="shared" si="8"/>
        <v>0</v>
      </c>
      <c r="H138" t="b">
        <f t="shared" si="9"/>
        <v>0</v>
      </c>
      <c r="I138" s="29">
        <f t="shared" si="10"/>
        <v>40239</v>
      </c>
    </row>
    <row r="139" spans="1:9" ht="38.25" x14ac:dyDescent="0.2">
      <c r="A139" s="28">
        <v>40240</v>
      </c>
      <c r="B139" s="26" t="s">
        <v>2091</v>
      </c>
      <c r="C139" s="26" t="s">
        <v>9</v>
      </c>
      <c r="D139" s="35" t="s">
        <v>20</v>
      </c>
      <c r="E139" s="35">
        <v>54305</v>
      </c>
      <c r="F139" s="35" t="s">
        <v>20</v>
      </c>
      <c r="G139" t="b">
        <f t="shared" si="8"/>
        <v>0</v>
      </c>
      <c r="H139" t="b">
        <f t="shared" si="9"/>
        <v>0</v>
      </c>
      <c r="I139" s="29">
        <f t="shared" si="10"/>
        <v>40240</v>
      </c>
    </row>
    <row r="140" spans="1:9" ht="12.75" customHeight="1" x14ac:dyDescent="0.2">
      <c r="A140" s="28">
        <v>40242</v>
      </c>
      <c r="B140" s="26" t="s">
        <v>2502</v>
      </c>
      <c r="C140" s="26" t="s">
        <v>980</v>
      </c>
      <c r="D140" s="35">
        <v>25000000</v>
      </c>
      <c r="E140" s="35">
        <v>27163593</v>
      </c>
      <c r="F140" s="35">
        <v>35094656</v>
      </c>
      <c r="G140" t="b">
        <f t="shared" si="8"/>
        <v>0</v>
      </c>
      <c r="H140" t="b">
        <f t="shared" si="9"/>
        <v>0</v>
      </c>
      <c r="I140" s="29">
        <f t="shared" si="10"/>
        <v>40242</v>
      </c>
    </row>
    <row r="141" spans="1:9" ht="25.5" x14ac:dyDescent="0.2">
      <c r="A141" s="28">
        <v>40242</v>
      </c>
      <c r="B141" s="26" t="s">
        <v>217</v>
      </c>
      <c r="C141" s="26" t="s">
        <v>9</v>
      </c>
      <c r="D141" s="35" t="s">
        <v>20</v>
      </c>
      <c r="E141" s="35">
        <v>235847</v>
      </c>
      <c r="F141" s="35">
        <v>2738610</v>
      </c>
      <c r="G141" t="b">
        <f t="shared" si="8"/>
        <v>0</v>
      </c>
      <c r="H141" t="b">
        <f t="shared" si="9"/>
        <v>0</v>
      </c>
      <c r="I141" s="29">
        <f t="shared" si="10"/>
        <v>40242</v>
      </c>
    </row>
    <row r="142" spans="1:9" ht="25.5" x14ac:dyDescent="0.2">
      <c r="A142" s="28">
        <v>40242</v>
      </c>
      <c r="B142" s="26" t="s">
        <v>1848</v>
      </c>
      <c r="C142" s="26" t="s">
        <v>2752</v>
      </c>
      <c r="D142" s="35">
        <v>200000000</v>
      </c>
      <c r="E142" s="35">
        <v>334191110</v>
      </c>
      <c r="F142" s="35">
        <v>1024391110</v>
      </c>
      <c r="G142" t="b">
        <f t="shared" si="8"/>
        <v>0</v>
      </c>
      <c r="H142" t="b">
        <f t="shared" si="9"/>
        <v>0</v>
      </c>
      <c r="I142" s="29">
        <f t="shared" si="10"/>
        <v>40242</v>
      </c>
    </row>
    <row r="143" spans="1:9" x14ac:dyDescent="0.2">
      <c r="A143" s="28">
        <v>40242</v>
      </c>
      <c r="B143" s="26" t="s">
        <v>834</v>
      </c>
      <c r="C143" s="26" t="s">
        <v>3426</v>
      </c>
      <c r="D143" s="35" t="s">
        <v>20</v>
      </c>
      <c r="E143" s="35" t="s">
        <v>20</v>
      </c>
      <c r="F143" s="35" t="s">
        <v>20</v>
      </c>
      <c r="G143" t="b">
        <f t="shared" si="8"/>
        <v>0</v>
      </c>
      <c r="H143" t="b">
        <f t="shared" si="9"/>
        <v>0</v>
      </c>
      <c r="I143" s="29">
        <f t="shared" si="10"/>
        <v>40242</v>
      </c>
    </row>
    <row r="144" spans="1:9" ht="25.5" x14ac:dyDescent="0.2">
      <c r="A144" s="28">
        <v>40242</v>
      </c>
      <c r="B144" s="26" t="s">
        <v>570</v>
      </c>
      <c r="C144" s="26" t="s">
        <v>9</v>
      </c>
      <c r="D144" s="35" t="s">
        <v>20</v>
      </c>
      <c r="E144" s="35">
        <v>690290</v>
      </c>
      <c r="F144" s="35" t="s">
        <v>20</v>
      </c>
      <c r="G144" t="b">
        <f t="shared" si="8"/>
        <v>0</v>
      </c>
      <c r="H144" t="b">
        <f t="shared" si="9"/>
        <v>0</v>
      </c>
      <c r="I144" s="29">
        <f t="shared" si="10"/>
        <v>40242</v>
      </c>
    </row>
    <row r="145" spans="1:9" ht="25.5" x14ac:dyDescent="0.2">
      <c r="A145" s="28">
        <v>40246</v>
      </c>
      <c r="B145" s="26" t="s">
        <v>44</v>
      </c>
      <c r="C145" s="26" t="s">
        <v>9</v>
      </c>
      <c r="D145" s="35" t="s">
        <v>20</v>
      </c>
      <c r="E145" s="35" t="s">
        <v>20</v>
      </c>
      <c r="F145" s="35" t="s">
        <v>20</v>
      </c>
      <c r="G145" t="b">
        <f t="shared" si="8"/>
        <v>0</v>
      </c>
      <c r="H145" t="b">
        <f t="shared" si="9"/>
        <v>0</v>
      </c>
      <c r="I145" s="29">
        <f t="shared" si="10"/>
        <v>40246</v>
      </c>
    </row>
    <row r="146" spans="1:9" ht="12.75" customHeight="1" x14ac:dyDescent="0.2">
      <c r="A146" s="28">
        <v>40246</v>
      </c>
      <c r="B146" s="26" t="s">
        <v>2917</v>
      </c>
      <c r="C146" s="26" t="s">
        <v>9</v>
      </c>
      <c r="D146" s="35" t="s">
        <v>20</v>
      </c>
      <c r="E146" s="35" t="s">
        <v>20</v>
      </c>
      <c r="F146" s="35" t="s">
        <v>20</v>
      </c>
      <c r="G146" t="b">
        <f t="shared" si="8"/>
        <v>0</v>
      </c>
      <c r="H146" t="b">
        <f t="shared" si="9"/>
        <v>0</v>
      </c>
      <c r="I146" s="29">
        <f t="shared" si="10"/>
        <v>40246</v>
      </c>
    </row>
    <row r="147" spans="1:9" ht="25.5" x14ac:dyDescent="0.2">
      <c r="A147" s="28">
        <v>40246</v>
      </c>
      <c r="B147" s="26" t="s">
        <v>62</v>
      </c>
      <c r="C147" s="26" t="s">
        <v>9</v>
      </c>
      <c r="D147" s="35" t="s">
        <v>20</v>
      </c>
      <c r="E147" s="35" t="s">
        <v>20</v>
      </c>
      <c r="F147" s="35" t="s">
        <v>20</v>
      </c>
      <c r="G147" t="b">
        <f t="shared" si="8"/>
        <v>0</v>
      </c>
      <c r="H147" t="b">
        <f t="shared" si="9"/>
        <v>0</v>
      </c>
      <c r="I147" s="29">
        <f t="shared" si="10"/>
        <v>40246</v>
      </c>
    </row>
    <row r="148" spans="1:9" ht="12.75" customHeight="1" x14ac:dyDescent="0.2">
      <c r="A148" s="28">
        <v>40248</v>
      </c>
      <c r="B148" s="26" t="s">
        <v>1291</v>
      </c>
      <c r="C148" s="26" t="s">
        <v>9</v>
      </c>
      <c r="D148" s="35" t="s">
        <v>20</v>
      </c>
      <c r="E148" s="35" t="s">
        <v>20</v>
      </c>
      <c r="F148" s="35">
        <v>4642471</v>
      </c>
      <c r="G148" t="b">
        <f t="shared" si="8"/>
        <v>0</v>
      </c>
      <c r="H148" t="b">
        <f t="shared" si="9"/>
        <v>0</v>
      </c>
      <c r="I148" s="29">
        <f t="shared" si="10"/>
        <v>40248</v>
      </c>
    </row>
    <row r="149" spans="1:9" ht="25.5" x14ac:dyDescent="0.2">
      <c r="A149" s="28">
        <v>40249</v>
      </c>
      <c r="B149" s="26" t="s">
        <v>2376</v>
      </c>
      <c r="C149" s="26" t="s">
        <v>9</v>
      </c>
      <c r="D149" s="35" t="s">
        <v>20</v>
      </c>
      <c r="E149" s="35" t="s">
        <v>20</v>
      </c>
      <c r="F149" s="35" t="s">
        <v>20</v>
      </c>
      <c r="G149" t="b">
        <f t="shared" si="8"/>
        <v>0</v>
      </c>
      <c r="H149" t="b">
        <f t="shared" si="9"/>
        <v>0</v>
      </c>
      <c r="I149" s="29">
        <f t="shared" si="10"/>
        <v>40249</v>
      </c>
    </row>
    <row r="150" spans="1:9" ht="12.75" customHeight="1" x14ac:dyDescent="0.2">
      <c r="A150" s="28">
        <v>40249</v>
      </c>
      <c r="B150" s="26" t="s">
        <v>2189</v>
      </c>
      <c r="C150" s="26" t="s">
        <v>3096</v>
      </c>
      <c r="D150" s="35">
        <v>100000000</v>
      </c>
      <c r="E150" s="35">
        <v>35497337</v>
      </c>
      <c r="F150" s="35">
        <v>97523020</v>
      </c>
      <c r="G150" t="b">
        <f t="shared" si="8"/>
        <v>0</v>
      </c>
      <c r="H150" t="b">
        <f t="shared" si="9"/>
        <v>0</v>
      </c>
      <c r="I150" s="29">
        <f t="shared" si="10"/>
        <v>40249</v>
      </c>
    </row>
    <row r="151" spans="1:9" ht="12.75" customHeight="1" x14ac:dyDescent="0.2">
      <c r="A151" s="28">
        <v>40249</v>
      </c>
      <c r="B151" s="26" t="s">
        <v>397</v>
      </c>
      <c r="C151" s="26" t="s">
        <v>9</v>
      </c>
      <c r="D151" s="35" t="s">
        <v>20</v>
      </c>
      <c r="E151" s="35">
        <v>7306</v>
      </c>
      <c r="F151" s="35" t="s">
        <v>20</v>
      </c>
      <c r="G151" t="b">
        <f t="shared" si="8"/>
        <v>0</v>
      </c>
      <c r="H151" t="b">
        <f t="shared" si="9"/>
        <v>0</v>
      </c>
      <c r="I151" s="29">
        <f t="shared" si="10"/>
        <v>40249</v>
      </c>
    </row>
    <row r="152" spans="1:9" ht="25.5" x14ac:dyDescent="0.2">
      <c r="A152" s="28">
        <v>40249</v>
      </c>
      <c r="B152" s="26" t="s">
        <v>2465</v>
      </c>
      <c r="C152" s="26" t="s">
        <v>155</v>
      </c>
      <c r="D152" s="35" t="s">
        <v>20</v>
      </c>
      <c r="E152" s="35">
        <v>20255281</v>
      </c>
      <c r="F152" s="35">
        <v>21409028</v>
      </c>
      <c r="G152" t="b">
        <f t="shared" si="8"/>
        <v>0</v>
      </c>
      <c r="H152" t="b">
        <f t="shared" si="9"/>
        <v>0</v>
      </c>
      <c r="I152" s="29">
        <f t="shared" si="10"/>
        <v>40249</v>
      </c>
    </row>
    <row r="153" spans="1:9" ht="12.75" customHeight="1" x14ac:dyDescent="0.2">
      <c r="A153" s="28">
        <v>40249</v>
      </c>
      <c r="B153" s="26" t="s">
        <v>1555</v>
      </c>
      <c r="C153" s="26" t="s">
        <v>9</v>
      </c>
      <c r="D153" s="35" t="s">
        <v>20</v>
      </c>
      <c r="E153" s="35" t="s">
        <v>20</v>
      </c>
      <c r="F153" s="35">
        <v>2705914</v>
      </c>
      <c r="G153" t="b">
        <f t="shared" si="8"/>
        <v>0</v>
      </c>
      <c r="H153" t="b">
        <f t="shared" si="9"/>
        <v>0</v>
      </c>
      <c r="I153" s="29">
        <f t="shared" si="10"/>
        <v>40249</v>
      </c>
    </row>
    <row r="154" spans="1:9" ht="25.5" x14ac:dyDescent="0.2">
      <c r="A154" s="28">
        <v>40249</v>
      </c>
      <c r="B154" s="26" t="s">
        <v>817</v>
      </c>
      <c r="C154" s="26" t="s">
        <v>9</v>
      </c>
      <c r="D154" s="35" t="s">
        <v>20</v>
      </c>
      <c r="E154" s="35">
        <v>1226</v>
      </c>
      <c r="F154" s="35" t="s">
        <v>20</v>
      </c>
      <c r="G154" t="b">
        <f t="shared" si="8"/>
        <v>0</v>
      </c>
      <c r="H154" t="b">
        <f t="shared" si="9"/>
        <v>0</v>
      </c>
      <c r="I154" s="29">
        <f t="shared" si="10"/>
        <v>40249</v>
      </c>
    </row>
    <row r="155" spans="1:9" ht="25.5" x14ac:dyDescent="0.2">
      <c r="A155" s="28">
        <v>40249</v>
      </c>
      <c r="B155" s="26" t="s">
        <v>1456</v>
      </c>
      <c r="C155" s="26" t="s">
        <v>9</v>
      </c>
      <c r="D155" s="35" t="s">
        <v>20</v>
      </c>
      <c r="E155" s="35">
        <v>2344</v>
      </c>
      <c r="F155" s="35" t="s">
        <v>20</v>
      </c>
      <c r="G155" t="b">
        <f t="shared" si="8"/>
        <v>0</v>
      </c>
      <c r="H155" t="b">
        <f t="shared" si="9"/>
        <v>0</v>
      </c>
      <c r="I155" s="29">
        <f t="shared" si="10"/>
        <v>40249</v>
      </c>
    </row>
    <row r="156" spans="1:9" ht="12.75" customHeight="1" x14ac:dyDescent="0.2">
      <c r="A156" s="28">
        <v>40249</v>
      </c>
      <c r="B156" s="26" t="s">
        <v>3200</v>
      </c>
      <c r="C156" s="26" t="s">
        <v>1066</v>
      </c>
      <c r="D156" s="35">
        <v>16000000</v>
      </c>
      <c r="E156" s="35">
        <v>19068240</v>
      </c>
      <c r="F156" s="35">
        <v>55343435</v>
      </c>
      <c r="G156" t="b">
        <f t="shared" si="8"/>
        <v>0</v>
      </c>
      <c r="H156" t="b">
        <f t="shared" si="9"/>
        <v>0</v>
      </c>
      <c r="I156" s="29">
        <f t="shared" si="10"/>
        <v>40249</v>
      </c>
    </row>
    <row r="157" spans="1:9" ht="25.5" x14ac:dyDescent="0.2">
      <c r="A157" s="28">
        <v>40249</v>
      </c>
      <c r="B157" s="26" t="s">
        <v>306</v>
      </c>
      <c r="C157" s="26" t="s">
        <v>2168</v>
      </c>
      <c r="D157" s="35">
        <v>20000000</v>
      </c>
      <c r="E157" s="35">
        <v>32010860</v>
      </c>
      <c r="F157" s="35">
        <v>49613080</v>
      </c>
      <c r="G157" t="b">
        <f t="shared" si="8"/>
        <v>0</v>
      </c>
      <c r="H157" t="b">
        <f t="shared" si="9"/>
        <v>0</v>
      </c>
      <c r="I157" s="29">
        <f t="shared" si="10"/>
        <v>40249</v>
      </c>
    </row>
    <row r="158" spans="1:9" ht="12.75" customHeight="1" x14ac:dyDescent="0.2">
      <c r="A158" s="28">
        <v>40249</v>
      </c>
      <c r="B158" s="26" t="s">
        <v>786</v>
      </c>
      <c r="C158" s="26" t="s">
        <v>9</v>
      </c>
      <c r="D158" s="35" t="s">
        <v>20</v>
      </c>
      <c r="E158" s="35">
        <v>73133</v>
      </c>
      <c r="F158" s="35" t="s">
        <v>20</v>
      </c>
      <c r="G158" t="b">
        <f t="shared" si="8"/>
        <v>0</v>
      </c>
      <c r="H158" t="b">
        <f t="shared" si="9"/>
        <v>0</v>
      </c>
      <c r="I158" s="29">
        <f t="shared" si="10"/>
        <v>40249</v>
      </c>
    </row>
    <row r="159" spans="1:9" ht="12.75" customHeight="1" x14ac:dyDescent="0.2">
      <c r="A159" s="28">
        <v>40249</v>
      </c>
      <c r="B159" s="26" t="s">
        <v>723</v>
      </c>
      <c r="C159" s="26" t="s">
        <v>9</v>
      </c>
      <c r="D159" s="35" t="s">
        <v>20</v>
      </c>
      <c r="E159" s="35">
        <v>551509</v>
      </c>
      <c r="F159" s="35">
        <v>14472387</v>
      </c>
      <c r="G159" t="b">
        <f t="shared" si="8"/>
        <v>0</v>
      </c>
      <c r="H159" t="b">
        <f t="shared" si="9"/>
        <v>0</v>
      </c>
      <c r="I159" s="29">
        <f t="shared" si="10"/>
        <v>40249</v>
      </c>
    </row>
    <row r="160" spans="1:9" ht="25.5" x14ac:dyDescent="0.2">
      <c r="A160" s="28">
        <v>40249</v>
      </c>
      <c r="B160" s="26" t="s">
        <v>995</v>
      </c>
      <c r="C160" s="26" t="s">
        <v>9</v>
      </c>
      <c r="D160" s="35" t="s">
        <v>20</v>
      </c>
      <c r="E160" s="35">
        <v>7535</v>
      </c>
      <c r="F160" s="35" t="s">
        <v>20</v>
      </c>
      <c r="G160" t="b">
        <f t="shared" si="8"/>
        <v>0</v>
      </c>
      <c r="H160" t="b">
        <f t="shared" si="9"/>
        <v>0</v>
      </c>
      <c r="I160" s="29">
        <f t="shared" si="10"/>
        <v>40249</v>
      </c>
    </row>
    <row r="161" spans="1:9" ht="25.5" x14ac:dyDescent="0.2">
      <c r="A161" s="28">
        <v>40249</v>
      </c>
      <c r="B161" s="26" t="s">
        <v>2526</v>
      </c>
      <c r="C161" s="26" t="s">
        <v>9</v>
      </c>
      <c r="D161" s="35" t="s">
        <v>20</v>
      </c>
      <c r="E161" s="35">
        <v>11183</v>
      </c>
      <c r="F161" s="35" t="s">
        <v>20</v>
      </c>
      <c r="G161" t="b">
        <f t="shared" si="8"/>
        <v>0</v>
      </c>
      <c r="H161" t="b">
        <f t="shared" si="9"/>
        <v>0</v>
      </c>
      <c r="I161" s="29">
        <f t="shared" si="10"/>
        <v>40249</v>
      </c>
    </row>
    <row r="162" spans="1:9" ht="12.75" customHeight="1" x14ac:dyDescent="0.2">
      <c r="A162" s="28">
        <v>40249</v>
      </c>
      <c r="B162" s="26" t="s">
        <v>1936</v>
      </c>
      <c r="C162" s="26" t="s">
        <v>322</v>
      </c>
      <c r="D162" s="35">
        <v>40000</v>
      </c>
      <c r="E162" s="35">
        <v>25572</v>
      </c>
      <c r="F162" s="35" t="s">
        <v>20</v>
      </c>
      <c r="G162" t="b">
        <f t="shared" si="8"/>
        <v>0</v>
      </c>
      <c r="H162" t="b">
        <f t="shared" si="9"/>
        <v>0</v>
      </c>
      <c r="I162" s="29">
        <f t="shared" si="10"/>
        <v>40249</v>
      </c>
    </row>
    <row r="163" spans="1:9" ht="12.75" customHeight="1" x14ac:dyDescent="0.2">
      <c r="A163" s="28">
        <v>40253</v>
      </c>
      <c r="B163" s="26" t="s">
        <v>388</v>
      </c>
      <c r="C163" s="26" t="s">
        <v>9</v>
      </c>
      <c r="D163" s="35" t="s">
        <v>20</v>
      </c>
      <c r="E163" s="35" t="s">
        <v>20</v>
      </c>
      <c r="F163" s="35" t="s">
        <v>20</v>
      </c>
      <c r="G163" t="b">
        <f t="shared" si="8"/>
        <v>0</v>
      </c>
      <c r="H163" t="b">
        <f t="shared" si="9"/>
        <v>0</v>
      </c>
      <c r="I163" s="29">
        <f t="shared" si="10"/>
        <v>40253</v>
      </c>
    </row>
    <row r="164" spans="1:9" ht="12.75" customHeight="1" x14ac:dyDescent="0.2">
      <c r="A164" s="28">
        <v>40253</v>
      </c>
      <c r="B164" s="26" t="s">
        <v>119</v>
      </c>
      <c r="C164" s="26" t="s">
        <v>9</v>
      </c>
      <c r="D164" s="35" t="s">
        <v>20</v>
      </c>
      <c r="E164" s="35" t="s">
        <v>20</v>
      </c>
      <c r="F164" s="35" t="s">
        <v>20</v>
      </c>
      <c r="G164" t="b">
        <f t="shared" si="8"/>
        <v>0</v>
      </c>
      <c r="H164" t="b">
        <f t="shared" si="9"/>
        <v>0</v>
      </c>
      <c r="I164" s="29">
        <f t="shared" si="10"/>
        <v>40253</v>
      </c>
    </row>
    <row r="165" spans="1:9" x14ac:dyDescent="0.2">
      <c r="A165" s="28">
        <v>40254</v>
      </c>
      <c r="B165" s="26" t="s">
        <v>379</v>
      </c>
      <c r="C165" s="26" t="s">
        <v>9</v>
      </c>
      <c r="D165" s="35" t="s">
        <v>20</v>
      </c>
      <c r="E165" s="35">
        <v>675299</v>
      </c>
      <c r="F165" s="35" t="s">
        <v>20</v>
      </c>
      <c r="G165" t="b">
        <f t="shared" si="8"/>
        <v>0</v>
      </c>
      <c r="H165" t="b">
        <f t="shared" si="9"/>
        <v>0</v>
      </c>
      <c r="I165" s="29">
        <f t="shared" si="10"/>
        <v>40254</v>
      </c>
    </row>
    <row r="166" spans="1:9" ht="12.75" customHeight="1" x14ac:dyDescent="0.2">
      <c r="A166" s="28">
        <v>40256</v>
      </c>
      <c r="B166" s="26" t="s">
        <v>3351</v>
      </c>
      <c r="C166" s="26" t="s">
        <v>3096</v>
      </c>
      <c r="D166" s="35">
        <v>32000000</v>
      </c>
      <c r="E166" s="35">
        <v>13942007</v>
      </c>
      <c r="F166" s="35">
        <v>18955617</v>
      </c>
      <c r="G166" t="b">
        <f t="shared" si="8"/>
        <v>0</v>
      </c>
      <c r="H166" t="b">
        <f t="shared" si="9"/>
        <v>0</v>
      </c>
      <c r="I166" s="29">
        <f t="shared" si="10"/>
        <v>40256</v>
      </c>
    </row>
    <row r="167" spans="1:9" ht="12.75" customHeight="1" x14ac:dyDescent="0.2">
      <c r="A167" s="28">
        <v>40256</v>
      </c>
      <c r="B167" s="26" t="s">
        <v>2033</v>
      </c>
      <c r="C167" s="26" t="s">
        <v>2313</v>
      </c>
      <c r="D167" s="35" t="s">
        <v>20</v>
      </c>
      <c r="E167" s="35">
        <v>40789</v>
      </c>
      <c r="F167" s="35" t="s">
        <v>20</v>
      </c>
      <c r="G167" t="b">
        <f t="shared" si="8"/>
        <v>0</v>
      </c>
      <c r="H167" t="b">
        <f t="shared" si="9"/>
        <v>0</v>
      </c>
      <c r="I167" s="29">
        <f t="shared" si="10"/>
        <v>40256</v>
      </c>
    </row>
    <row r="168" spans="1:9" ht="12.75" customHeight="1" x14ac:dyDescent="0.2">
      <c r="A168" s="28">
        <v>40256</v>
      </c>
      <c r="B168" s="26" t="s">
        <v>3289</v>
      </c>
      <c r="C168" s="26" t="s">
        <v>2860</v>
      </c>
      <c r="D168" s="35">
        <v>9500000</v>
      </c>
      <c r="E168" s="35">
        <v>3573673</v>
      </c>
      <c r="F168" s="35" t="s">
        <v>20</v>
      </c>
      <c r="G168" t="b">
        <f t="shared" si="8"/>
        <v>0</v>
      </c>
      <c r="H168" t="b">
        <f t="shared" si="9"/>
        <v>0</v>
      </c>
      <c r="I168" s="29">
        <f t="shared" si="10"/>
        <v>40256</v>
      </c>
    </row>
    <row r="169" spans="1:9" ht="12.75" customHeight="1" x14ac:dyDescent="0.2">
      <c r="A169" s="28">
        <v>40256</v>
      </c>
      <c r="B169" s="26" t="s">
        <v>1034</v>
      </c>
      <c r="C169" s="26" t="s">
        <v>3209</v>
      </c>
      <c r="D169" s="35" t="s">
        <v>20</v>
      </c>
      <c r="E169" s="35">
        <v>21222697</v>
      </c>
      <c r="F169" s="35">
        <v>21972697</v>
      </c>
      <c r="G169" t="b">
        <f t="shared" si="8"/>
        <v>0</v>
      </c>
      <c r="H169" t="b">
        <f t="shared" si="9"/>
        <v>0</v>
      </c>
      <c r="I169" s="29">
        <f t="shared" si="10"/>
        <v>40256</v>
      </c>
    </row>
    <row r="170" spans="1:9" ht="12.75" customHeight="1" x14ac:dyDescent="0.2">
      <c r="A170" s="28">
        <v>40256</v>
      </c>
      <c r="B170" s="26" t="s">
        <v>269</v>
      </c>
      <c r="C170" s="26" t="s">
        <v>3466</v>
      </c>
      <c r="D170" s="35" t="s">
        <v>20</v>
      </c>
      <c r="E170" s="35">
        <v>619162</v>
      </c>
      <c r="F170" s="35">
        <v>1412865</v>
      </c>
      <c r="G170" t="b">
        <f t="shared" si="8"/>
        <v>0</v>
      </c>
      <c r="H170" t="b">
        <f t="shared" si="9"/>
        <v>0</v>
      </c>
      <c r="I170" s="29">
        <f t="shared" si="10"/>
        <v>40256</v>
      </c>
    </row>
    <row r="171" spans="1:9" ht="25.5" x14ac:dyDescent="0.2">
      <c r="A171" s="28">
        <v>40256</v>
      </c>
      <c r="B171" s="26" t="s">
        <v>2699</v>
      </c>
      <c r="C171" s="26" t="s">
        <v>9</v>
      </c>
      <c r="D171" s="35" t="s">
        <v>20</v>
      </c>
      <c r="E171" s="35" t="s">
        <v>20</v>
      </c>
      <c r="F171" s="35" t="s">
        <v>20</v>
      </c>
      <c r="G171" t="b">
        <f t="shared" si="8"/>
        <v>0</v>
      </c>
      <c r="H171" t="b">
        <f t="shared" si="9"/>
        <v>0</v>
      </c>
      <c r="I171" s="29">
        <f t="shared" si="10"/>
        <v>40256</v>
      </c>
    </row>
    <row r="172" spans="1:9" ht="25.5" x14ac:dyDescent="0.2">
      <c r="A172" s="28">
        <v>40256</v>
      </c>
      <c r="B172" s="26" t="s">
        <v>368</v>
      </c>
      <c r="C172" s="26" t="s">
        <v>384</v>
      </c>
      <c r="D172" s="35">
        <v>15000000</v>
      </c>
      <c r="E172" s="35">
        <v>64003625</v>
      </c>
      <c r="F172" s="35">
        <v>75966010</v>
      </c>
      <c r="G172" t="b">
        <f t="shared" si="8"/>
        <v>0</v>
      </c>
      <c r="H172" t="b">
        <f t="shared" si="9"/>
        <v>0</v>
      </c>
      <c r="I172" s="29">
        <f t="shared" si="10"/>
        <v>40256</v>
      </c>
    </row>
    <row r="173" spans="1:9" x14ac:dyDescent="0.2">
      <c r="A173" s="28">
        <v>40256</v>
      </c>
      <c r="B173" s="26" t="s">
        <v>575</v>
      </c>
      <c r="C173" s="26" t="s">
        <v>2160</v>
      </c>
      <c r="D173" s="35">
        <v>45000000</v>
      </c>
      <c r="E173" s="35">
        <v>67061228</v>
      </c>
      <c r="F173" s="35">
        <v>134945094</v>
      </c>
      <c r="G173" t="b">
        <f t="shared" si="8"/>
        <v>0</v>
      </c>
      <c r="H173" t="b">
        <f t="shared" si="9"/>
        <v>0</v>
      </c>
      <c r="I173" s="29">
        <f t="shared" si="10"/>
        <v>40256</v>
      </c>
    </row>
    <row r="174" spans="1:9" ht="12.75" customHeight="1" x14ac:dyDescent="0.2">
      <c r="A174" s="28">
        <v>40256</v>
      </c>
      <c r="B174" s="26" t="s">
        <v>953</v>
      </c>
      <c r="C174" s="26" t="s">
        <v>9</v>
      </c>
      <c r="D174" s="35" t="s">
        <v>20</v>
      </c>
      <c r="E174" s="35" t="s">
        <v>20</v>
      </c>
      <c r="F174" s="35" t="s">
        <v>20</v>
      </c>
      <c r="G174" t="b">
        <f t="shared" si="8"/>
        <v>0</v>
      </c>
      <c r="H174" t="b">
        <f t="shared" si="9"/>
        <v>0</v>
      </c>
      <c r="I174" s="29">
        <f t="shared" si="10"/>
        <v>40256</v>
      </c>
    </row>
    <row r="175" spans="1:9" ht="12.75" customHeight="1" x14ac:dyDescent="0.2">
      <c r="A175" s="28">
        <v>40256</v>
      </c>
      <c r="B175" s="26" t="s">
        <v>1431</v>
      </c>
      <c r="C175" s="26" t="s">
        <v>9</v>
      </c>
      <c r="D175" s="35" t="s">
        <v>20</v>
      </c>
      <c r="E175" s="35">
        <v>4234170</v>
      </c>
      <c r="F175" s="35">
        <v>5044262</v>
      </c>
      <c r="G175" t="b">
        <f t="shared" si="8"/>
        <v>0</v>
      </c>
      <c r="H175" t="b">
        <f t="shared" si="9"/>
        <v>0</v>
      </c>
      <c r="I175" s="29">
        <f t="shared" si="10"/>
        <v>40256</v>
      </c>
    </row>
    <row r="176" spans="1:9" ht="25.5" x14ac:dyDescent="0.2">
      <c r="A176" s="28">
        <v>40256</v>
      </c>
      <c r="B176" s="26" t="s">
        <v>57</v>
      </c>
      <c r="C176" s="26" t="s">
        <v>3241</v>
      </c>
      <c r="D176" s="35">
        <v>13000000</v>
      </c>
      <c r="E176" s="35">
        <v>12749592</v>
      </c>
      <c r="F176" s="35">
        <v>102749592</v>
      </c>
      <c r="G176" t="b">
        <f t="shared" si="8"/>
        <v>0</v>
      </c>
      <c r="H176" t="b">
        <f t="shared" si="9"/>
        <v>0</v>
      </c>
      <c r="I176" s="29">
        <f t="shared" si="10"/>
        <v>40256</v>
      </c>
    </row>
    <row r="177" spans="1:9" ht="12.75" customHeight="1" x14ac:dyDescent="0.2">
      <c r="A177" s="28">
        <v>40256</v>
      </c>
      <c r="B177" s="26" t="s">
        <v>850</v>
      </c>
      <c r="C177" s="26" t="s">
        <v>9</v>
      </c>
      <c r="D177" s="35" t="s">
        <v>20</v>
      </c>
      <c r="E177" s="35">
        <v>2830</v>
      </c>
      <c r="F177" s="35" t="s">
        <v>20</v>
      </c>
      <c r="G177" t="b">
        <f t="shared" si="8"/>
        <v>0</v>
      </c>
      <c r="H177" t="b">
        <f t="shared" si="9"/>
        <v>0</v>
      </c>
      <c r="I177" s="29">
        <f t="shared" si="10"/>
        <v>40256</v>
      </c>
    </row>
    <row r="178" spans="1:9" ht="12.75" customHeight="1" x14ac:dyDescent="0.2">
      <c r="A178" s="28">
        <v>40256</v>
      </c>
      <c r="B178" s="26" t="s">
        <v>2780</v>
      </c>
      <c r="C178" s="26" t="s">
        <v>2990</v>
      </c>
      <c r="D178" s="35">
        <v>6000000</v>
      </c>
      <c r="E178" s="35">
        <v>6671283</v>
      </c>
      <c r="F178" s="35" t="s">
        <v>20</v>
      </c>
      <c r="G178" t="b">
        <f t="shared" si="8"/>
        <v>0</v>
      </c>
      <c r="H178" t="b">
        <f t="shared" si="9"/>
        <v>0</v>
      </c>
      <c r="I178" s="29">
        <f t="shared" si="10"/>
        <v>40256</v>
      </c>
    </row>
    <row r="179" spans="1:9" ht="38.25" x14ac:dyDescent="0.2">
      <c r="A179" s="28">
        <v>40257</v>
      </c>
      <c r="B179" s="26" t="s">
        <v>3339</v>
      </c>
      <c r="C179" s="26" t="s">
        <v>9</v>
      </c>
      <c r="D179" s="35" t="s">
        <v>20</v>
      </c>
      <c r="E179" s="35" t="s">
        <v>20</v>
      </c>
      <c r="F179" s="35" t="s">
        <v>20</v>
      </c>
      <c r="G179" t="b">
        <f t="shared" si="8"/>
        <v>0</v>
      </c>
      <c r="H179" t="b">
        <f t="shared" si="9"/>
        <v>0</v>
      </c>
      <c r="I179" s="29">
        <f t="shared" si="10"/>
        <v>40257</v>
      </c>
    </row>
    <row r="180" spans="1:9" ht="12.75" customHeight="1" x14ac:dyDescent="0.2">
      <c r="A180" s="28">
        <v>40260</v>
      </c>
      <c r="B180" s="26" t="s">
        <v>987</v>
      </c>
      <c r="C180" s="26" t="s">
        <v>9</v>
      </c>
      <c r="D180" s="35" t="s">
        <v>20</v>
      </c>
      <c r="E180" s="35" t="s">
        <v>20</v>
      </c>
      <c r="F180" s="35" t="s">
        <v>20</v>
      </c>
      <c r="G180" t="b">
        <f t="shared" si="8"/>
        <v>0</v>
      </c>
      <c r="H180" t="b">
        <f t="shared" si="9"/>
        <v>0</v>
      </c>
      <c r="I180" s="29">
        <f t="shared" si="10"/>
        <v>40260</v>
      </c>
    </row>
    <row r="181" spans="1:9" ht="12.75" customHeight="1" x14ac:dyDescent="0.2">
      <c r="A181" s="28">
        <v>40260</v>
      </c>
      <c r="B181" s="26" t="s">
        <v>2426</v>
      </c>
      <c r="C181" s="26" t="s">
        <v>9</v>
      </c>
      <c r="D181" s="35" t="s">
        <v>20</v>
      </c>
      <c r="E181" s="35" t="s">
        <v>20</v>
      </c>
      <c r="F181" s="35" t="s">
        <v>20</v>
      </c>
      <c r="G181" t="b">
        <f t="shared" si="8"/>
        <v>0</v>
      </c>
      <c r="H181" t="b">
        <f t="shared" si="9"/>
        <v>0</v>
      </c>
      <c r="I181" s="29">
        <f t="shared" si="10"/>
        <v>40260</v>
      </c>
    </row>
    <row r="182" spans="1:9" ht="12.75" customHeight="1" x14ac:dyDescent="0.2">
      <c r="A182" s="28">
        <v>40263</v>
      </c>
      <c r="B182" s="26" t="s">
        <v>822</v>
      </c>
      <c r="C182" s="26" t="s">
        <v>2466</v>
      </c>
      <c r="D182" s="35" t="s">
        <v>20</v>
      </c>
      <c r="E182" s="35">
        <v>29866</v>
      </c>
      <c r="F182" s="35" t="s">
        <v>20</v>
      </c>
      <c r="G182" t="b">
        <f t="shared" si="8"/>
        <v>0</v>
      </c>
      <c r="H182" t="b">
        <f t="shared" si="9"/>
        <v>0</v>
      </c>
      <c r="I182" s="29">
        <f t="shared" si="10"/>
        <v>40263</v>
      </c>
    </row>
    <row r="183" spans="1:9" ht="12.75" customHeight="1" x14ac:dyDescent="0.2">
      <c r="A183" s="28">
        <v>40263</v>
      </c>
      <c r="B183" s="26" t="s">
        <v>1049</v>
      </c>
      <c r="C183" s="26" t="s">
        <v>571</v>
      </c>
      <c r="D183" s="35" t="s">
        <v>20</v>
      </c>
      <c r="E183" s="35">
        <v>10579</v>
      </c>
      <c r="F183" s="35" t="s">
        <v>20</v>
      </c>
      <c r="G183" t="b">
        <f t="shared" si="8"/>
        <v>0</v>
      </c>
      <c r="H183" t="b">
        <f t="shared" si="9"/>
        <v>0</v>
      </c>
      <c r="I183" s="29">
        <f t="shared" si="10"/>
        <v>40263</v>
      </c>
    </row>
    <row r="184" spans="1:9" ht="12.75" customHeight="1" x14ac:dyDescent="0.2">
      <c r="A184" s="28">
        <v>40263</v>
      </c>
      <c r="B184" s="26" t="s">
        <v>932</v>
      </c>
      <c r="C184" s="26" t="s">
        <v>9</v>
      </c>
      <c r="D184" s="35">
        <v>3000000</v>
      </c>
      <c r="E184" s="35">
        <v>133411</v>
      </c>
      <c r="F184" s="35" t="s">
        <v>20</v>
      </c>
      <c r="G184" t="b">
        <f t="shared" si="8"/>
        <v>0</v>
      </c>
      <c r="H184" t="b">
        <f t="shared" si="9"/>
        <v>0</v>
      </c>
      <c r="I184" s="29">
        <f t="shared" si="10"/>
        <v>40263</v>
      </c>
    </row>
    <row r="185" spans="1:9" ht="12.75" customHeight="1" x14ac:dyDescent="0.2">
      <c r="A185" s="28">
        <v>40263</v>
      </c>
      <c r="B185" s="26" t="s">
        <v>740</v>
      </c>
      <c r="C185" s="26" t="s">
        <v>612</v>
      </c>
      <c r="D185" s="35">
        <v>13000000</v>
      </c>
      <c r="E185" s="35">
        <v>3075255</v>
      </c>
      <c r="F185" s="35">
        <v>11075255</v>
      </c>
      <c r="G185" t="b">
        <f t="shared" si="8"/>
        <v>0</v>
      </c>
      <c r="H185" t="b">
        <f t="shared" si="9"/>
        <v>0</v>
      </c>
      <c r="I185" s="29">
        <f t="shared" si="10"/>
        <v>40263</v>
      </c>
    </row>
    <row r="186" spans="1:9" ht="12.75" customHeight="1" x14ac:dyDescent="0.2">
      <c r="A186" s="28">
        <v>40263</v>
      </c>
      <c r="B186" s="26" t="s">
        <v>1678</v>
      </c>
      <c r="C186" s="26" t="s">
        <v>9</v>
      </c>
      <c r="D186" s="35" t="s">
        <v>20</v>
      </c>
      <c r="E186" s="35">
        <v>144826</v>
      </c>
      <c r="F186" s="35">
        <v>4684666</v>
      </c>
      <c r="G186" t="b">
        <f t="shared" si="8"/>
        <v>0</v>
      </c>
      <c r="H186" t="b">
        <f t="shared" si="9"/>
        <v>0</v>
      </c>
      <c r="I186" s="29">
        <f t="shared" si="10"/>
        <v>40263</v>
      </c>
    </row>
    <row r="187" spans="1:9" ht="25.5" x14ac:dyDescent="0.2">
      <c r="A187" s="28">
        <v>40263</v>
      </c>
      <c r="B187" s="26" t="s">
        <v>2131</v>
      </c>
      <c r="C187" s="26" t="s">
        <v>9</v>
      </c>
      <c r="D187" s="35" t="s">
        <v>20</v>
      </c>
      <c r="E187" s="35">
        <v>6291</v>
      </c>
      <c r="F187" s="35" t="s">
        <v>20</v>
      </c>
      <c r="G187" t="b">
        <f t="shared" si="8"/>
        <v>0</v>
      </c>
      <c r="H187" t="b">
        <f t="shared" si="9"/>
        <v>0</v>
      </c>
      <c r="I187" s="29">
        <f t="shared" si="10"/>
        <v>40263</v>
      </c>
    </row>
    <row r="188" spans="1:9" ht="12.75" customHeight="1" x14ac:dyDescent="0.2">
      <c r="A188" s="28">
        <v>40263</v>
      </c>
      <c r="B188" s="26" t="s">
        <v>3429</v>
      </c>
      <c r="C188" s="26" t="s">
        <v>9</v>
      </c>
      <c r="D188" s="35" t="s">
        <v>20</v>
      </c>
      <c r="E188" s="35">
        <v>3944</v>
      </c>
      <c r="F188" s="35" t="s">
        <v>20</v>
      </c>
      <c r="G188" t="b">
        <f t="shared" si="8"/>
        <v>0</v>
      </c>
      <c r="H188" t="b">
        <f t="shared" si="9"/>
        <v>0</v>
      </c>
      <c r="I188" s="29">
        <f t="shared" si="10"/>
        <v>40263</v>
      </c>
    </row>
    <row r="189" spans="1:9" ht="12.75" customHeight="1" x14ac:dyDescent="0.2">
      <c r="A189" s="28">
        <v>40263</v>
      </c>
      <c r="B189" s="26" t="s">
        <v>2346</v>
      </c>
      <c r="C189" s="26" t="s">
        <v>9</v>
      </c>
      <c r="D189" s="35" t="s">
        <v>20</v>
      </c>
      <c r="E189" s="35">
        <v>33490</v>
      </c>
      <c r="F189" s="35" t="s">
        <v>20</v>
      </c>
      <c r="G189" t="b">
        <f t="shared" si="8"/>
        <v>0</v>
      </c>
      <c r="H189" t="b">
        <f t="shared" si="9"/>
        <v>0</v>
      </c>
      <c r="I189" s="29">
        <f t="shared" si="10"/>
        <v>40263</v>
      </c>
    </row>
    <row r="190" spans="1:9" ht="12.75" customHeight="1" x14ac:dyDescent="0.2">
      <c r="A190" s="28">
        <v>40263</v>
      </c>
      <c r="B190" s="26" t="s">
        <v>2296</v>
      </c>
      <c r="C190" s="26" t="s">
        <v>9</v>
      </c>
      <c r="D190" s="35" t="s">
        <v>20</v>
      </c>
      <c r="E190" s="35">
        <v>6534</v>
      </c>
      <c r="F190" s="35" t="s">
        <v>20</v>
      </c>
      <c r="G190" t="b">
        <f t="shared" si="8"/>
        <v>0</v>
      </c>
      <c r="H190" t="b">
        <f t="shared" si="9"/>
        <v>0</v>
      </c>
      <c r="I190" s="29">
        <f t="shared" si="10"/>
        <v>40263</v>
      </c>
    </row>
    <row r="191" spans="1:9" ht="25.5" x14ac:dyDescent="0.2">
      <c r="A191" s="28">
        <v>40263</v>
      </c>
      <c r="B191" s="26" t="s">
        <v>3406</v>
      </c>
      <c r="C191" s="26" t="s">
        <v>9</v>
      </c>
      <c r="D191" s="35" t="s">
        <v>20</v>
      </c>
      <c r="E191" s="35">
        <v>66166</v>
      </c>
      <c r="F191" s="35" t="s">
        <v>20</v>
      </c>
      <c r="G191" t="b">
        <f t="shared" ref="G191:G226" si="11">ISBLANK(A191)</f>
        <v>0</v>
      </c>
      <c r="H191" t="b">
        <f t="shared" ref="H191:H226" si="12">ISTEXT(A191)</f>
        <v>0</v>
      </c>
      <c r="I191" s="29">
        <f t="shared" ref="I191:I226" si="13">DATE(2010,MONTH(A191), DAY(A191))</f>
        <v>40263</v>
      </c>
    </row>
    <row r="192" spans="1:9" ht="12.75" customHeight="1" x14ac:dyDescent="0.2">
      <c r="A192" s="28">
        <v>40263</v>
      </c>
      <c r="B192" s="26" t="s">
        <v>320</v>
      </c>
      <c r="C192" s="26" t="s">
        <v>117</v>
      </c>
      <c r="D192" s="35" t="s">
        <v>20</v>
      </c>
      <c r="E192" s="35">
        <v>46488</v>
      </c>
      <c r="F192" s="35" t="s">
        <v>20</v>
      </c>
      <c r="G192" t="b">
        <f t="shared" si="11"/>
        <v>0</v>
      </c>
      <c r="H192" t="b">
        <f t="shared" si="12"/>
        <v>0</v>
      </c>
      <c r="I192" s="29">
        <f t="shared" si="13"/>
        <v>40263</v>
      </c>
    </row>
    <row r="193" spans="1:9" ht="25.5" x14ac:dyDescent="0.2">
      <c r="A193" s="28">
        <v>40263</v>
      </c>
      <c r="B193" s="26" t="s">
        <v>444</v>
      </c>
      <c r="C193" s="26" t="s">
        <v>2752</v>
      </c>
      <c r="D193" s="35" t="s">
        <v>20</v>
      </c>
      <c r="E193" s="35">
        <v>80741</v>
      </c>
      <c r="F193" s="35" t="s">
        <v>20</v>
      </c>
      <c r="G193" t="b">
        <f t="shared" si="11"/>
        <v>0</v>
      </c>
      <c r="H193" t="b">
        <f t="shared" si="12"/>
        <v>0</v>
      </c>
      <c r="I193" s="29">
        <f t="shared" si="13"/>
        <v>40263</v>
      </c>
    </row>
    <row r="194" spans="1:9" ht="25.5" x14ac:dyDescent="0.2">
      <c r="A194" s="28">
        <v>40263</v>
      </c>
      <c r="B194" s="26" t="s">
        <v>2821</v>
      </c>
      <c r="C194" s="26" t="s">
        <v>2779</v>
      </c>
      <c r="D194" s="35">
        <v>36000000</v>
      </c>
      <c r="E194" s="35">
        <v>50269859</v>
      </c>
      <c r="F194" s="35">
        <v>63209958</v>
      </c>
      <c r="G194" t="b">
        <f t="shared" si="11"/>
        <v>0</v>
      </c>
      <c r="H194" t="b">
        <f t="shared" si="12"/>
        <v>0</v>
      </c>
      <c r="I194" s="29">
        <f t="shared" si="13"/>
        <v>40263</v>
      </c>
    </row>
    <row r="195" spans="1:9" ht="25.5" x14ac:dyDescent="0.2">
      <c r="A195" s="28">
        <v>40263</v>
      </c>
      <c r="B195" s="26" t="s">
        <v>304</v>
      </c>
      <c r="C195" s="26" t="s">
        <v>3240</v>
      </c>
      <c r="D195" s="35">
        <v>165000000</v>
      </c>
      <c r="E195" s="35">
        <v>217581231</v>
      </c>
      <c r="F195" s="35">
        <v>494879607</v>
      </c>
      <c r="G195" t="b">
        <f t="shared" si="11"/>
        <v>0</v>
      </c>
      <c r="H195" t="b">
        <f t="shared" si="12"/>
        <v>0</v>
      </c>
      <c r="I195" s="29">
        <f t="shared" si="13"/>
        <v>40263</v>
      </c>
    </row>
    <row r="196" spans="1:9" ht="12.75" customHeight="1" x14ac:dyDescent="0.2">
      <c r="A196" s="28">
        <v>40267</v>
      </c>
      <c r="B196" s="26" t="s">
        <v>2633</v>
      </c>
      <c r="C196" s="26" t="s">
        <v>9</v>
      </c>
      <c r="D196" s="35" t="s">
        <v>20</v>
      </c>
      <c r="E196" s="35" t="s">
        <v>20</v>
      </c>
      <c r="F196" s="35" t="s">
        <v>20</v>
      </c>
      <c r="G196" t="b">
        <f t="shared" si="11"/>
        <v>0</v>
      </c>
      <c r="H196" t="b">
        <f t="shared" si="12"/>
        <v>0</v>
      </c>
      <c r="I196" s="29">
        <f t="shared" si="13"/>
        <v>40267</v>
      </c>
    </row>
    <row r="197" spans="1:9" ht="12.75" customHeight="1" x14ac:dyDescent="0.2">
      <c r="A197" s="28">
        <v>40268</v>
      </c>
      <c r="B197" s="26" t="s">
        <v>3413</v>
      </c>
      <c r="C197" s="26" t="s">
        <v>3390</v>
      </c>
      <c r="D197" s="35">
        <v>20000000</v>
      </c>
      <c r="E197" s="35">
        <v>62950384</v>
      </c>
      <c r="F197" s="35">
        <v>88170291</v>
      </c>
      <c r="G197" t="b">
        <f t="shared" si="11"/>
        <v>0</v>
      </c>
      <c r="H197" t="b">
        <f t="shared" si="12"/>
        <v>0</v>
      </c>
      <c r="I197" s="29">
        <f t="shared" si="13"/>
        <v>40268</v>
      </c>
    </row>
    <row r="198" spans="1:9" x14ac:dyDescent="0.2">
      <c r="A198" s="28">
        <v>40270</v>
      </c>
      <c r="B198" s="26" t="s">
        <v>689</v>
      </c>
      <c r="C198" s="26" t="s">
        <v>3466</v>
      </c>
      <c r="D198" s="35" t="s">
        <v>20</v>
      </c>
      <c r="E198" s="35">
        <v>78217</v>
      </c>
      <c r="F198" s="35" t="s">
        <v>20</v>
      </c>
      <c r="G198" t="b">
        <f t="shared" si="11"/>
        <v>0</v>
      </c>
      <c r="H198" t="b">
        <f t="shared" si="12"/>
        <v>0</v>
      </c>
      <c r="I198" s="29">
        <f t="shared" si="13"/>
        <v>40270</v>
      </c>
    </row>
    <row r="199" spans="1:9" ht="12.75" customHeight="1" x14ac:dyDescent="0.2">
      <c r="A199" s="28">
        <v>40270</v>
      </c>
      <c r="B199" s="26" t="s">
        <v>1785</v>
      </c>
      <c r="C199" s="26" t="s">
        <v>9</v>
      </c>
      <c r="D199" s="35" t="s">
        <v>20</v>
      </c>
      <c r="E199" s="35">
        <v>115862</v>
      </c>
      <c r="F199" s="35" t="s">
        <v>20</v>
      </c>
      <c r="G199" t="b">
        <f t="shared" si="11"/>
        <v>0</v>
      </c>
      <c r="H199" t="b">
        <f t="shared" si="12"/>
        <v>0</v>
      </c>
      <c r="I199" s="29">
        <f t="shared" si="13"/>
        <v>40270</v>
      </c>
    </row>
    <row r="200" spans="1:9" ht="25.5" x14ac:dyDescent="0.2">
      <c r="A200" s="28">
        <v>40270</v>
      </c>
      <c r="B200" s="26" t="s">
        <v>2923</v>
      </c>
      <c r="C200" s="26" t="s">
        <v>322</v>
      </c>
      <c r="D200" s="35" t="s">
        <v>20</v>
      </c>
      <c r="E200" s="35">
        <v>7376</v>
      </c>
      <c r="F200" s="35" t="s">
        <v>20</v>
      </c>
      <c r="G200" t="b">
        <f t="shared" si="11"/>
        <v>0</v>
      </c>
      <c r="H200" t="b">
        <f t="shared" si="12"/>
        <v>0</v>
      </c>
      <c r="I200" s="29">
        <f t="shared" si="13"/>
        <v>40270</v>
      </c>
    </row>
    <row r="201" spans="1:9" ht="25.5" x14ac:dyDescent="0.2">
      <c r="A201" s="28">
        <v>40270</v>
      </c>
      <c r="B201" s="26" t="s">
        <v>890</v>
      </c>
      <c r="C201" s="26" t="s">
        <v>9</v>
      </c>
      <c r="D201" s="35" t="s">
        <v>20</v>
      </c>
      <c r="E201" s="35">
        <v>60095852</v>
      </c>
      <c r="F201" s="35" t="s">
        <v>20</v>
      </c>
      <c r="G201" t="b">
        <f t="shared" si="11"/>
        <v>0</v>
      </c>
      <c r="H201" t="b">
        <f t="shared" si="12"/>
        <v>0</v>
      </c>
      <c r="I201" s="29">
        <f t="shared" si="13"/>
        <v>40270</v>
      </c>
    </row>
    <row r="202" spans="1:9" ht="12.75" customHeight="1" x14ac:dyDescent="0.2">
      <c r="A202" s="28">
        <v>40270</v>
      </c>
      <c r="B202" s="26" t="s">
        <v>1747</v>
      </c>
      <c r="C202" s="26" t="s">
        <v>9</v>
      </c>
      <c r="D202" s="35" t="s">
        <v>20</v>
      </c>
      <c r="E202" s="35">
        <v>13722</v>
      </c>
      <c r="F202" s="35" t="s">
        <v>20</v>
      </c>
      <c r="G202" t="b">
        <f t="shared" si="11"/>
        <v>0</v>
      </c>
      <c r="H202" t="b">
        <f t="shared" si="12"/>
        <v>0</v>
      </c>
      <c r="I202" s="29">
        <f t="shared" si="13"/>
        <v>40270</v>
      </c>
    </row>
    <row r="203" spans="1:9" ht="12.75" customHeight="1" x14ac:dyDescent="0.2">
      <c r="A203" s="28">
        <v>40270</v>
      </c>
      <c r="B203" s="26" t="s">
        <v>1154</v>
      </c>
      <c r="C203" s="26" t="s">
        <v>9</v>
      </c>
      <c r="D203" s="35" t="s">
        <v>20</v>
      </c>
      <c r="E203" s="35">
        <v>129078</v>
      </c>
      <c r="F203" s="35">
        <v>38899792</v>
      </c>
      <c r="G203" t="b">
        <f t="shared" si="11"/>
        <v>0</v>
      </c>
      <c r="H203" t="b">
        <f t="shared" si="12"/>
        <v>0</v>
      </c>
      <c r="I203" s="29">
        <f t="shared" si="13"/>
        <v>40270</v>
      </c>
    </row>
    <row r="204" spans="1:9" ht="25.5" x14ac:dyDescent="0.2">
      <c r="A204" s="28">
        <v>40270</v>
      </c>
      <c r="B204" s="26" t="s">
        <v>258</v>
      </c>
      <c r="C204" s="26" t="s">
        <v>9</v>
      </c>
      <c r="D204" s="35" t="s">
        <v>20</v>
      </c>
      <c r="E204" s="35">
        <v>267281</v>
      </c>
      <c r="F204" s="35" t="s">
        <v>20</v>
      </c>
      <c r="G204" t="b">
        <f t="shared" si="11"/>
        <v>0</v>
      </c>
      <c r="H204" t="b">
        <f t="shared" si="12"/>
        <v>0</v>
      </c>
      <c r="I204" s="29">
        <f t="shared" si="13"/>
        <v>40270</v>
      </c>
    </row>
    <row r="205" spans="1:9" ht="12.75" customHeight="1" x14ac:dyDescent="0.2">
      <c r="A205" s="28">
        <v>40270</v>
      </c>
      <c r="B205" s="26" t="s">
        <v>3290</v>
      </c>
      <c r="C205" s="26" t="s">
        <v>2865</v>
      </c>
      <c r="D205" s="35">
        <v>9000000</v>
      </c>
      <c r="E205" s="35">
        <v>68009</v>
      </c>
      <c r="F205" s="35" t="s">
        <v>20</v>
      </c>
      <c r="G205" t="b">
        <f t="shared" si="11"/>
        <v>0</v>
      </c>
      <c r="H205" t="b">
        <f t="shared" si="12"/>
        <v>0</v>
      </c>
      <c r="I205" s="29">
        <f t="shared" si="13"/>
        <v>40270</v>
      </c>
    </row>
    <row r="206" spans="1:9" x14ac:dyDescent="0.2">
      <c r="A206" s="28">
        <v>40270</v>
      </c>
      <c r="B206" s="26" t="s">
        <v>2940</v>
      </c>
      <c r="C206" s="26" t="s">
        <v>3209</v>
      </c>
      <c r="D206" s="35">
        <v>125000000</v>
      </c>
      <c r="E206" s="35">
        <v>163214888</v>
      </c>
      <c r="F206" s="35">
        <v>493214888</v>
      </c>
      <c r="G206" t="b">
        <f t="shared" si="11"/>
        <v>0</v>
      </c>
      <c r="H206" t="b">
        <f t="shared" si="12"/>
        <v>0</v>
      </c>
      <c r="I206" s="29">
        <f t="shared" si="13"/>
        <v>40270</v>
      </c>
    </row>
    <row r="207" spans="1:9" ht="12.75" customHeight="1" x14ac:dyDescent="0.2">
      <c r="A207" s="28">
        <v>40274</v>
      </c>
      <c r="B207" s="26" t="s">
        <v>3185</v>
      </c>
      <c r="C207" s="26" t="s">
        <v>9</v>
      </c>
      <c r="D207" s="35" t="s">
        <v>20</v>
      </c>
      <c r="E207" s="35" t="s">
        <v>20</v>
      </c>
      <c r="F207" s="35" t="s">
        <v>20</v>
      </c>
      <c r="G207" t="b">
        <f t="shared" si="11"/>
        <v>0</v>
      </c>
      <c r="H207" t="b">
        <f t="shared" si="12"/>
        <v>0</v>
      </c>
      <c r="I207" s="29">
        <f t="shared" si="13"/>
        <v>40274</v>
      </c>
    </row>
    <row r="208" spans="1:9" ht="25.5" x14ac:dyDescent="0.2">
      <c r="A208" s="28">
        <v>40274</v>
      </c>
      <c r="B208" s="26" t="s">
        <v>225</v>
      </c>
      <c r="C208" s="26" t="s">
        <v>9</v>
      </c>
      <c r="D208" s="35" t="s">
        <v>20</v>
      </c>
      <c r="E208" s="35" t="s">
        <v>20</v>
      </c>
      <c r="F208" s="35" t="s">
        <v>20</v>
      </c>
      <c r="G208" t="b">
        <f t="shared" si="11"/>
        <v>0</v>
      </c>
      <c r="H208" t="b">
        <f t="shared" si="12"/>
        <v>0</v>
      </c>
      <c r="I208" s="29">
        <f t="shared" si="13"/>
        <v>40274</v>
      </c>
    </row>
    <row r="209" spans="1:9" ht="25.5" x14ac:dyDescent="0.2">
      <c r="A209" s="28">
        <v>40274</v>
      </c>
      <c r="B209" s="26" t="s">
        <v>2332</v>
      </c>
      <c r="C209" s="26" t="s">
        <v>9</v>
      </c>
      <c r="D209" s="35" t="s">
        <v>20</v>
      </c>
      <c r="E209" s="35" t="s">
        <v>20</v>
      </c>
      <c r="F209" s="35" t="s">
        <v>20</v>
      </c>
      <c r="G209" t="b">
        <f t="shared" si="11"/>
        <v>0</v>
      </c>
      <c r="H209" t="b">
        <f t="shared" si="12"/>
        <v>0</v>
      </c>
      <c r="I209" s="29">
        <f t="shared" si="13"/>
        <v>40274</v>
      </c>
    </row>
    <row r="210" spans="1:9" ht="12.75" customHeight="1" x14ac:dyDescent="0.2">
      <c r="A210" s="28">
        <v>40276</v>
      </c>
      <c r="B210" s="26" t="s">
        <v>1437</v>
      </c>
      <c r="C210" s="26" t="s">
        <v>9</v>
      </c>
      <c r="D210" s="35" t="s">
        <v>20</v>
      </c>
      <c r="E210" s="35" t="s">
        <v>20</v>
      </c>
      <c r="F210" s="35">
        <v>1671612</v>
      </c>
      <c r="G210" t="b">
        <f t="shared" si="11"/>
        <v>0</v>
      </c>
      <c r="H210" t="b">
        <f t="shared" si="12"/>
        <v>0</v>
      </c>
      <c r="I210" s="29">
        <f t="shared" si="13"/>
        <v>40276</v>
      </c>
    </row>
    <row r="211" spans="1:9" ht="25.5" x14ac:dyDescent="0.2">
      <c r="A211" s="28">
        <v>40277</v>
      </c>
      <c r="B211" s="26" t="s">
        <v>3074</v>
      </c>
      <c r="C211" s="26" t="s">
        <v>1885</v>
      </c>
      <c r="D211" s="35" t="s">
        <v>20</v>
      </c>
      <c r="E211" s="35" t="s">
        <v>20</v>
      </c>
      <c r="F211" s="35" t="s">
        <v>20</v>
      </c>
      <c r="G211" t="b">
        <f t="shared" si="11"/>
        <v>0</v>
      </c>
      <c r="H211" t="b">
        <f t="shared" si="12"/>
        <v>0</v>
      </c>
      <c r="I211" s="29">
        <f t="shared" si="13"/>
        <v>40277</v>
      </c>
    </row>
    <row r="212" spans="1:9" ht="12.75" customHeight="1" x14ac:dyDescent="0.2">
      <c r="A212" s="28">
        <v>40277</v>
      </c>
      <c r="B212" s="26" t="s">
        <v>2025</v>
      </c>
      <c r="C212" s="26" t="s">
        <v>9</v>
      </c>
      <c r="D212" s="35" t="s">
        <v>20</v>
      </c>
      <c r="E212" s="35">
        <v>108596</v>
      </c>
      <c r="F212" s="35" t="s">
        <v>20</v>
      </c>
      <c r="G212" t="b">
        <f t="shared" si="11"/>
        <v>0</v>
      </c>
      <c r="H212" t="b">
        <f t="shared" si="12"/>
        <v>0</v>
      </c>
      <c r="I212" s="29">
        <f t="shared" si="13"/>
        <v>40277</v>
      </c>
    </row>
    <row r="213" spans="1:9" ht="25.5" x14ac:dyDescent="0.2">
      <c r="A213" s="28">
        <v>40277</v>
      </c>
      <c r="B213" s="26" t="s">
        <v>3363</v>
      </c>
      <c r="C213" s="26" t="s">
        <v>9</v>
      </c>
      <c r="D213" s="35" t="s">
        <v>20</v>
      </c>
      <c r="E213" s="35">
        <v>142364</v>
      </c>
      <c r="F213" s="35" t="s">
        <v>20</v>
      </c>
      <c r="G213" t="b">
        <f t="shared" si="11"/>
        <v>0</v>
      </c>
      <c r="H213" t="b">
        <f t="shared" si="12"/>
        <v>0</v>
      </c>
      <c r="I213" s="29">
        <f t="shared" si="13"/>
        <v>40277</v>
      </c>
    </row>
    <row r="214" spans="1:9" ht="12.75" customHeight="1" x14ac:dyDescent="0.2">
      <c r="A214" s="28">
        <v>40277</v>
      </c>
      <c r="B214" s="26" t="s">
        <v>1416</v>
      </c>
      <c r="C214" s="26" t="s">
        <v>384</v>
      </c>
      <c r="D214" s="35">
        <v>55000000</v>
      </c>
      <c r="E214" s="35">
        <v>98711404</v>
      </c>
      <c r="F214" s="35">
        <v>152269033</v>
      </c>
      <c r="G214" t="b">
        <f t="shared" si="11"/>
        <v>0</v>
      </c>
      <c r="H214" t="b">
        <f t="shared" si="12"/>
        <v>0</v>
      </c>
      <c r="I214" s="29">
        <f t="shared" si="13"/>
        <v>40277</v>
      </c>
    </row>
    <row r="215" spans="1:9" ht="25.5" x14ac:dyDescent="0.2">
      <c r="A215" s="28">
        <v>40277</v>
      </c>
      <c r="B215" s="26" t="s">
        <v>3101</v>
      </c>
      <c r="C215" s="26" t="s">
        <v>1885</v>
      </c>
      <c r="D215" s="35" t="s">
        <v>20</v>
      </c>
      <c r="E215" s="35">
        <v>200899</v>
      </c>
      <c r="F215" s="35" t="s">
        <v>20</v>
      </c>
      <c r="G215" t="b">
        <f t="shared" si="11"/>
        <v>0</v>
      </c>
      <c r="H215" t="b">
        <f t="shared" si="12"/>
        <v>0</v>
      </c>
      <c r="I215" s="29">
        <f t="shared" si="13"/>
        <v>40277</v>
      </c>
    </row>
    <row r="216" spans="1:9" ht="12.75" customHeight="1" x14ac:dyDescent="0.2">
      <c r="A216" s="28">
        <v>40277</v>
      </c>
      <c r="B216" s="26" t="s">
        <v>2772</v>
      </c>
      <c r="C216" s="26" t="s">
        <v>9</v>
      </c>
      <c r="D216" s="35" t="s">
        <v>20</v>
      </c>
      <c r="E216" s="35">
        <v>93389</v>
      </c>
      <c r="F216" s="35" t="s">
        <v>20</v>
      </c>
      <c r="G216" t="b">
        <f t="shared" si="11"/>
        <v>0</v>
      </c>
      <c r="H216" t="b">
        <f t="shared" si="12"/>
        <v>0</v>
      </c>
      <c r="I216" s="29">
        <f t="shared" si="13"/>
        <v>40277</v>
      </c>
    </row>
    <row r="217" spans="1:9" ht="25.5" x14ac:dyDescent="0.2">
      <c r="A217" s="28">
        <v>40277</v>
      </c>
      <c r="B217" s="26" t="s">
        <v>2185</v>
      </c>
      <c r="C217" s="26" t="s">
        <v>9</v>
      </c>
      <c r="D217" s="35" t="s">
        <v>20</v>
      </c>
      <c r="E217" s="35">
        <v>27170</v>
      </c>
      <c r="F217" s="35" t="s">
        <v>20</v>
      </c>
      <c r="G217" t="b">
        <f t="shared" si="11"/>
        <v>0</v>
      </c>
      <c r="H217" t="b">
        <f t="shared" si="12"/>
        <v>0</v>
      </c>
      <c r="I217" s="29">
        <f t="shared" si="13"/>
        <v>40277</v>
      </c>
    </row>
    <row r="218" spans="1:9" ht="25.5" x14ac:dyDescent="0.2">
      <c r="A218" s="28">
        <v>40277</v>
      </c>
      <c r="B218" s="26" t="s">
        <v>3319</v>
      </c>
      <c r="C218" s="26" t="s">
        <v>9</v>
      </c>
      <c r="D218" s="35" t="s">
        <v>20</v>
      </c>
      <c r="E218" s="35">
        <v>118666</v>
      </c>
      <c r="F218" s="35" t="s">
        <v>20</v>
      </c>
      <c r="G218" t="b">
        <f t="shared" si="11"/>
        <v>0</v>
      </c>
      <c r="H218" t="b">
        <f t="shared" si="12"/>
        <v>0</v>
      </c>
      <c r="I218" s="29">
        <f t="shared" si="13"/>
        <v>40277</v>
      </c>
    </row>
    <row r="219" spans="1:9" ht="38.25" x14ac:dyDescent="0.2">
      <c r="A219" s="28">
        <v>40277</v>
      </c>
      <c r="B219" s="26" t="s">
        <v>556</v>
      </c>
      <c r="C219" s="26" t="s">
        <v>9</v>
      </c>
      <c r="D219" s="35" t="s">
        <v>20</v>
      </c>
      <c r="E219" s="35">
        <v>246078</v>
      </c>
      <c r="F219" s="35" t="s">
        <v>20</v>
      </c>
      <c r="G219" t="b">
        <f t="shared" si="11"/>
        <v>0</v>
      </c>
      <c r="H219" t="b">
        <f t="shared" si="12"/>
        <v>0</v>
      </c>
      <c r="I219" s="29">
        <f t="shared" si="13"/>
        <v>40277</v>
      </c>
    </row>
    <row r="220" spans="1:9" ht="25.5" x14ac:dyDescent="0.2">
      <c r="A220" s="28">
        <v>40277</v>
      </c>
      <c r="B220" s="26" t="s">
        <v>2820</v>
      </c>
      <c r="C220" s="26" t="s">
        <v>9</v>
      </c>
      <c r="D220" s="35" t="s">
        <v>20</v>
      </c>
      <c r="E220" s="35">
        <v>68339</v>
      </c>
      <c r="F220" s="35" t="s">
        <v>20</v>
      </c>
      <c r="G220" t="b">
        <f t="shared" si="11"/>
        <v>0</v>
      </c>
      <c r="H220" t="b">
        <f t="shared" si="12"/>
        <v>0</v>
      </c>
      <c r="I220" s="29">
        <f t="shared" si="13"/>
        <v>40277</v>
      </c>
    </row>
    <row r="221" spans="1:9" ht="12.75" customHeight="1" x14ac:dyDescent="0.2">
      <c r="A221" s="28">
        <v>40277</v>
      </c>
      <c r="B221" s="26" t="s">
        <v>12</v>
      </c>
      <c r="C221" s="26" t="s">
        <v>2860</v>
      </c>
      <c r="D221" s="35">
        <v>1900000</v>
      </c>
      <c r="E221" s="35">
        <v>406216</v>
      </c>
      <c r="F221" s="35">
        <v>684214</v>
      </c>
      <c r="G221" t="b">
        <f t="shared" si="11"/>
        <v>0</v>
      </c>
      <c r="H221" t="b">
        <f t="shared" si="12"/>
        <v>0</v>
      </c>
      <c r="I221" s="29">
        <f t="shared" si="13"/>
        <v>40277</v>
      </c>
    </row>
    <row r="222" spans="1:9" ht="12.75" customHeight="1" x14ac:dyDescent="0.2">
      <c r="A222" s="28">
        <v>40277</v>
      </c>
      <c r="B222" s="26" t="s">
        <v>1705</v>
      </c>
      <c r="C222" s="26" t="s">
        <v>9</v>
      </c>
      <c r="D222" s="35">
        <v>3000000</v>
      </c>
      <c r="E222" s="35">
        <v>2848587</v>
      </c>
      <c r="F222" s="35" t="s">
        <v>20</v>
      </c>
      <c r="G222" t="b">
        <f t="shared" si="11"/>
        <v>0</v>
      </c>
      <c r="H222" t="b">
        <f t="shared" si="12"/>
        <v>0</v>
      </c>
      <c r="I222" s="29">
        <f t="shared" si="13"/>
        <v>40277</v>
      </c>
    </row>
    <row r="223" spans="1:9" ht="12.75" customHeight="1" x14ac:dyDescent="0.2">
      <c r="A223" s="28">
        <v>40277</v>
      </c>
      <c r="B223" s="26" t="s">
        <v>1540</v>
      </c>
      <c r="C223" s="26" t="s">
        <v>9</v>
      </c>
      <c r="D223" s="35" t="s">
        <v>20</v>
      </c>
      <c r="E223" s="35">
        <v>1062941</v>
      </c>
      <c r="F223" s="35" t="s">
        <v>20</v>
      </c>
      <c r="G223" t="b">
        <f t="shared" si="11"/>
        <v>0</v>
      </c>
      <c r="H223" t="b">
        <f t="shared" si="12"/>
        <v>0</v>
      </c>
      <c r="I223" s="29">
        <f t="shared" si="13"/>
        <v>40277</v>
      </c>
    </row>
    <row r="224" spans="1:9" ht="25.5" x14ac:dyDescent="0.2">
      <c r="A224" s="28">
        <v>40283</v>
      </c>
      <c r="B224" s="26" t="s">
        <v>1488</v>
      </c>
      <c r="C224" s="26" t="s">
        <v>645</v>
      </c>
      <c r="D224" s="35" t="s">
        <v>20</v>
      </c>
      <c r="E224" s="35" t="s">
        <v>20</v>
      </c>
      <c r="F224" s="35" t="s">
        <v>20</v>
      </c>
      <c r="G224" t="b">
        <f t="shared" si="11"/>
        <v>0</v>
      </c>
      <c r="H224" t="b">
        <f t="shared" si="12"/>
        <v>0</v>
      </c>
      <c r="I224" s="29">
        <f t="shared" si="13"/>
        <v>40283</v>
      </c>
    </row>
    <row r="225" spans="1:9" ht="12.75" customHeight="1" x14ac:dyDescent="0.2">
      <c r="A225" s="28">
        <v>40284</v>
      </c>
      <c r="B225" s="26" t="s">
        <v>25</v>
      </c>
      <c r="C225" s="26" t="s">
        <v>9</v>
      </c>
      <c r="D225" s="35" t="s">
        <v>20</v>
      </c>
      <c r="E225" s="35">
        <v>6569</v>
      </c>
      <c r="F225" s="35" t="s">
        <v>20</v>
      </c>
      <c r="G225" t="b">
        <f t="shared" si="11"/>
        <v>0</v>
      </c>
      <c r="H225" t="b">
        <f t="shared" si="12"/>
        <v>0</v>
      </c>
      <c r="I225" s="29">
        <f t="shared" si="13"/>
        <v>40284</v>
      </c>
    </row>
    <row r="226" spans="1:9" ht="12.75" customHeight="1" x14ac:dyDescent="0.2">
      <c r="A226" s="28">
        <v>40284</v>
      </c>
      <c r="B226" s="26" t="s">
        <v>1573</v>
      </c>
      <c r="C226" s="26" t="s">
        <v>125</v>
      </c>
      <c r="D226" s="35" t="s">
        <v>20</v>
      </c>
      <c r="E226" s="35">
        <v>22878</v>
      </c>
      <c r="F226" s="35" t="s">
        <v>20</v>
      </c>
      <c r="G226" t="b">
        <f t="shared" si="11"/>
        <v>0</v>
      </c>
      <c r="H226" t="b">
        <f t="shared" si="12"/>
        <v>0</v>
      </c>
      <c r="I226" s="29">
        <f t="shared" si="13"/>
        <v>40284</v>
      </c>
    </row>
    <row r="227" spans="1:9" x14ac:dyDescent="0.2">
      <c r="A227" s="28">
        <v>40284</v>
      </c>
      <c r="B227" s="26" t="s">
        <v>1300</v>
      </c>
      <c r="C227" s="26" t="s">
        <v>9</v>
      </c>
      <c r="D227" s="35" t="s">
        <v>20</v>
      </c>
      <c r="E227" s="35">
        <v>1089445</v>
      </c>
      <c r="F227" s="35">
        <v>3889445</v>
      </c>
      <c r="G227" t="b">
        <f t="shared" ref="G227:G288" si="14">ISBLANK(A227)</f>
        <v>0</v>
      </c>
      <c r="H227" t="b">
        <f t="shared" ref="H227:H288" si="15">ISTEXT(A227)</f>
        <v>0</v>
      </c>
      <c r="I227" s="29">
        <f t="shared" ref="I227:I288" si="16">DATE(2010,MONTH(A227), DAY(A227))</f>
        <v>40284</v>
      </c>
    </row>
    <row r="228" spans="1:9" ht="38.25" x14ac:dyDescent="0.2">
      <c r="A228" s="28">
        <v>40284</v>
      </c>
      <c r="B228" s="26" t="s">
        <v>2581</v>
      </c>
      <c r="C228" s="26" t="s">
        <v>9</v>
      </c>
      <c r="D228" s="35" t="s">
        <v>20</v>
      </c>
      <c r="E228" s="35">
        <v>81768</v>
      </c>
      <c r="F228" s="35" t="s">
        <v>20</v>
      </c>
      <c r="G228" t="b">
        <f t="shared" si="14"/>
        <v>0</v>
      </c>
      <c r="H228" t="b">
        <f t="shared" si="15"/>
        <v>0</v>
      </c>
      <c r="I228" s="29">
        <f t="shared" si="16"/>
        <v>40284</v>
      </c>
    </row>
    <row r="229" spans="1:9" ht="25.5" x14ac:dyDescent="0.2">
      <c r="A229" s="28">
        <v>40284</v>
      </c>
      <c r="B229" s="26" t="s">
        <v>1956</v>
      </c>
      <c r="C229" s="26" t="s">
        <v>2180</v>
      </c>
      <c r="D229" s="35">
        <v>10000000</v>
      </c>
      <c r="E229" s="35">
        <v>1475746</v>
      </c>
      <c r="F229" s="35" t="s">
        <v>20</v>
      </c>
      <c r="G229" t="b">
        <f t="shared" si="14"/>
        <v>0</v>
      </c>
      <c r="H229" t="b">
        <f t="shared" si="15"/>
        <v>0</v>
      </c>
      <c r="I229" s="29">
        <f t="shared" si="16"/>
        <v>40284</v>
      </c>
    </row>
    <row r="230" spans="1:9" ht="12.75" customHeight="1" x14ac:dyDescent="0.2">
      <c r="A230" s="28">
        <v>40284</v>
      </c>
      <c r="B230" s="26" t="s">
        <v>348</v>
      </c>
      <c r="C230" s="26" t="s">
        <v>9</v>
      </c>
      <c r="D230" s="35" t="s">
        <v>20</v>
      </c>
      <c r="E230" s="35">
        <v>533</v>
      </c>
      <c r="F230" s="35" t="s">
        <v>20</v>
      </c>
      <c r="G230" t="b">
        <f t="shared" si="14"/>
        <v>0</v>
      </c>
      <c r="H230" t="b">
        <f t="shared" si="15"/>
        <v>0</v>
      </c>
      <c r="I230" s="29">
        <f t="shared" si="16"/>
        <v>40284</v>
      </c>
    </row>
    <row r="231" spans="1:9" ht="25.5" x14ac:dyDescent="0.2">
      <c r="A231" s="28">
        <v>40284</v>
      </c>
      <c r="B231" s="26" t="s">
        <v>1</v>
      </c>
      <c r="C231" s="26" t="s">
        <v>9</v>
      </c>
      <c r="D231" s="35">
        <v>8300000</v>
      </c>
      <c r="E231" s="35">
        <v>493296</v>
      </c>
      <c r="F231" s="35" t="s">
        <v>20</v>
      </c>
      <c r="G231" t="b">
        <f t="shared" si="14"/>
        <v>0</v>
      </c>
      <c r="H231" t="b">
        <f t="shared" si="15"/>
        <v>0</v>
      </c>
      <c r="I231" s="29">
        <f t="shared" si="16"/>
        <v>40284</v>
      </c>
    </row>
    <row r="232" spans="1:9" ht="12.75" customHeight="1" x14ac:dyDescent="0.2">
      <c r="A232" s="28">
        <v>40284</v>
      </c>
      <c r="B232" s="26" t="s">
        <v>2443</v>
      </c>
      <c r="C232" s="26" t="s">
        <v>2310</v>
      </c>
      <c r="D232" s="35">
        <v>28000000</v>
      </c>
      <c r="E232" s="35">
        <v>48071303</v>
      </c>
      <c r="F232" s="35">
        <v>96171303</v>
      </c>
      <c r="G232" t="b">
        <f t="shared" si="14"/>
        <v>0</v>
      </c>
      <c r="H232" t="b">
        <f t="shared" si="15"/>
        <v>0</v>
      </c>
      <c r="I232" s="29">
        <f t="shared" si="16"/>
        <v>40284</v>
      </c>
    </row>
    <row r="233" spans="1:9" x14ac:dyDescent="0.2">
      <c r="A233" s="28">
        <v>40284</v>
      </c>
      <c r="B233" s="26" t="s">
        <v>3437</v>
      </c>
      <c r="C233" s="26" t="s">
        <v>2160</v>
      </c>
      <c r="D233" s="35">
        <v>21000000</v>
      </c>
      <c r="E233" s="35">
        <v>42739347</v>
      </c>
      <c r="F233" s="35">
        <v>45606661</v>
      </c>
      <c r="G233" t="b">
        <f t="shared" si="14"/>
        <v>0</v>
      </c>
      <c r="H233" t="b">
        <f t="shared" si="15"/>
        <v>0</v>
      </c>
      <c r="I233" s="29">
        <f t="shared" si="16"/>
        <v>40284</v>
      </c>
    </row>
    <row r="234" spans="1:9" ht="25.5" x14ac:dyDescent="0.2">
      <c r="A234" s="28">
        <v>40284</v>
      </c>
      <c r="B234" s="26" t="s">
        <v>1706</v>
      </c>
      <c r="C234" s="26" t="s">
        <v>9</v>
      </c>
      <c r="D234" s="35" t="s">
        <v>20</v>
      </c>
      <c r="E234" s="35">
        <v>3290582</v>
      </c>
      <c r="F234" s="35" t="s">
        <v>20</v>
      </c>
      <c r="G234" t="b">
        <f t="shared" si="14"/>
        <v>0</v>
      </c>
      <c r="H234" t="b">
        <f t="shared" si="15"/>
        <v>0</v>
      </c>
      <c r="I234" s="29">
        <f t="shared" si="16"/>
        <v>40284</v>
      </c>
    </row>
    <row r="235" spans="1:9" ht="25.5" x14ac:dyDescent="0.2">
      <c r="A235" s="28">
        <v>40284</v>
      </c>
      <c r="B235" s="26" t="s">
        <v>2798</v>
      </c>
      <c r="C235" s="26" t="s">
        <v>9</v>
      </c>
      <c r="D235" s="35">
        <v>3500000</v>
      </c>
      <c r="E235" s="35">
        <v>6390014</v>
      </c>
      <c r="F235" s="35">
        <v>34700929</v>
      </c>
      <c r="G235" t="b">
        <f t="shared" si="14"/>
        <v>0</v>
      </c>
      <c r="H235" t="b">
        <f t="shared" si="15"/>
        <v>0</v>
      </c>
      <c r="I235" s="29">
        <f t="shared" si="16"/>
        <v>40284</v>
      </c>
    </row>
    <row r="236" spans="1:9" ht="12.75" customHeight="1" x14ac:dyDescent="0.2">
      <c r="A236" s="28">
        <v>40288</v>
      </c>
      <c r="B236" s="26" t="s">
        <v>243</v>
      </c>
      <c r="C236" s="26" t="s">
        <v>9</v>
      </c>
      <c r="D236" s="35" t="s">
        <v>20</v>
      </c>
      <c r="E236" s="35" t="s">
        <v>20</v>
      </c>
      <c r="F236" s="35" t="s">
        <v>20</v>
      </c>
      <c r="G236" t="b">
        <f t="shared" si="14"/>
        <v>0</v>
      </c>
      <c r="H236" t="b">
        <f t="shared" si="15"/>
        <v>0</v>
      </c>
      <c r="I236" s="29">
        <f t="shared" si="16"/>
        <v>40288</v>
      </c>
    </row>
    <row r="237" spans="1:9" ht="25.5" x14ac:dyDescent="0.2">
      <c r="A237" s="28">
        <v>40288</v>
      </c>
      <c r="B237" s="26" t="s">
        <v>2136</v>
      </c>
      <c r="C237" s="26" t="s">
        <v>9</v>
      </c>
      <c r="D237" s="35" t="s">
        <v>20</v>
      </c>
      <c r="E237" s="35" t="s">
        <v>20</v>
      </c>
      <c r="F237" s="35" t="s">
        <v>20</v>
      </c>
      <c r="G237" t="b">
        <f t="shared" si="14"/>
        <v>0</v>
      </c>
      <c r="H237" t="b">
        <f t="shared" si="15"/>
        <v>0</v>
      </c>
      <c r="I237" s="29">
        <f t="shared" si="16"/>
        <v>40288</v>
      </c>
    </row>
    <row r="238" spans="1:9" ht="12.75" customHeight="1" x14ac:dyDescent="0.2">
      <c r="A238" s="28">
        <v>40288</v>
      </c>
      <c r="B238" s="26" t="s">
        <v>793</v>
      </c>
      <c r="C238" s="26" t="s">
        <v>9</v>
      </c>
      <c r="D238" s="35" t="s">
        <v>20</v>
      </c>
      <c r="E238" s="35" t="s">
        <v>20</v>
      </c>
      <c r="F238" s="35" t="s">
        <v>20</v>
      </c>
      <c r="G238" t="b">
        <f t="shared" si="14"/>
        <v>0</v>
      </c>
      <c r="H238" t="b">
        <f t="shared" si="15"/>
        <v>0</v>
      </c>
      <c r="I238" s="29">
        <f t="shared" si="16"/>
        <v>40288</v>
      </c>
    </row>
    <row r="239" spans="1:9" ht="25.5" x14ac:dyDescent="0.2">
      <c r="A239" s="28">
        <v>40288</v>
      </c>
      <c r="B239" s="26" t="s">
        <v>228</v>
      </c>
      <c r="C239" s="26" t="s">
        <v>9</v>
      </c>
      <c r="D239" s="35" t="s">
        <v>20</v>
      </c>
      <c r="E239" s="35">
        <v>15222</v>
      </c>
      <c r="F239" s="35" t="s">
        <v>20</v>
      </c>
      <c r="G239" t="b">
        <f t="shared" si="14"/>
        <v>0</v>
      </c>
      <c r="H239" t="b">
        <f t="shared" si="15"/>
        <v>0</v>
      </c>
      <c r="I239" s="29">
        <f t="shared" si="16"/>
        <v>40288</v>
      </c>
    </row>
    <row r="240" spans="1:9" ht="38.25" x14ac:dyDescent="0.2">
      <c r="A240" s="28">
        <v>40288</v>
      </c>
      <c r="B240" s="26" t="s">
        <v>3094</v>
      </c>
      <c r="C240" s="26" t="s">
        <v>9</v>
      </c>
      <c r="D240" s="35" t="s">
        <v>20</v>
      </c>
      <c r="E240" s="35" t="s">
        <v>20</v>
      </c>
      <c r="F240" s="35" t="s">
        <v>20</v>
      </c>
      <c r="G240" t="b">
        <f t="shared" si="14"/>
        <v>0</v>
      </c>
      <c r="H240" t="b">
        <f t="shared" si="15"/>
        <v>0</v>
      </c>
      <c r="I240" s="29">
        <f t="shared" si="16"/>
        <v>40288</v>
      </c>
    </row>
    <row r="241" spans="1:9" ht="12.75" customHeight="1" x14ac:dyDescent="0.2">
      <c r="A241" s="28">
        <v>40290</v>
      </c>
      <c r="B241" s="26" t="s">
        <v>3143</v>
      </c>
      <c r="C241" s="26" t="s">
        <v>3390</v>
      </c>
      <c r="D241" s="35">
        <v>80000000</v>
      </c>
      <c r="E241" s="35">
        <v>19422319</v>
      </c>
      <c r="F241" s="35">
        <v>82522319</v>
      </c>
      <c r="G241" t="b">
        <f t="shared" si="14"/>
        <v>0</v>
      </c>
      <c r="H241" t="b">
        <f t="shared" si="15"/>
        <v>0</v>
      </c>
      <c r="I241" s="29">
        <f t="shared" si="16"/>
        <v>40290</v>
      </c>
    </row>
    <row r="242" spans="1:9" ht="12.75" customHeight="1" x14ac:dyDescent="0.2">
      <c r="A242" s="28">
        <v>40291</v>
      </c>
      <c r="B242" s="26" t="s">
        <v>100</v>
      </c>
      <c r="C242" s="26" t="s">
        <v>9</v>
      </c>
      <c r="D242" s="35" t="s">
        <v>20</v>
      </c>
      <c r="E242" s="35">
        <v>31858</v>
      </c>
      <c r="F242" s="35" t="s">
        <v>20</v>
      </c>
      <c r="G242" t="b">
        <f t="shared" si="14"/>
        <v>0</v>
      </c>
      <c r="H242" t="b">
        <f t="shared" si="15"/>
        <v>0</v>
      </c>
      <c r="I242" s="29">
        <f t="shared" si="16"/>
        <v>40291</v>
      </c>
    </row>
    <row r="243" spans="1:9" ht="12.75" customHeight="1" x14ac:dyDescent="0.2">
      <c r="A243" s="28">
        <v>40291</v>
      </c>
      <c r="B243" s="26" t="s">
        <v>3037</v>
      </c>
      <c r="C243" s="26" t="s">
        <v>3209</v>
      </c>
      <c r="D243" s="35">
        <v>25000000</v>
      </c>
      <c r="E243" s="35">
        <v>23591432</v>
      </c>
      <c r="F243" s="35">
        <v>26714018</v>
      </c>
      <c r="G243" t="b">
        <f t="shared" si="14"/>
        <v>0</v>
      </c>
      <c r="H243" t="b">
        <f t="shared" si="15"/>
        <v>0</v>
      </c>
      <c r="I243" s="29">
        <f t="shared" si="16"/>
        <v>40291</v>
      </c>
    </row>
    <row r="244" spans="1:9" ht="12.75" customHeight="1" x14ac:dyDescent="0.2">
      <c r="A244" s="28">
        <v>40291</v>
      </c>
      <c r="B244" s="26" t="s">
        <v>1322</v>
      </c>
      <c r="C244" s="26" t="s">
        <v>2215</v>
      </c>
      <c r="D244" s="35" t="s">
        <v>20</v>
      </c>
      <c r="E244" s="35">
        <v>109895</v>
      </c>
      <c r="F244" s="35" t="s">
        <v>20</v>
      </c>
      <c r="G244" t="b">
        <f t="shared" si="14"/>
        <v>0</v>
      </c>
      <c r="H244" t="b">
        <f t="shared" si="15"/>
        <v>0</v>
      </c>
      <c r="I244" s="29">
        <f t="shared" si="16"/>
        <v>40291</v>
      </c>
    </row>
    <row r="245" spans="1:9" ht="12.75" customHeight="1" x14ac:dyDescent="0.2">
      <c r="A245" s="28">
        <v>40291</v>
      </c>
      <c r="B245" s="26" t="s">
        <v>2556</v>
      </c>
      <c r="C245" s="26" t="s">
        <v>880</v>
      </c>
      <c r="D245" s="35">
        <v>35000000</v>
      </c>
      <c r="E245" s="35">
        <v>37490007</v>
      </c>
      <c r="F245" s="35">
        <v>77090007</v>
      </c>
      <c r="G245" t="b">
        <f t="shared" si="14"/>
        <v>0</v>
      </c>
      <c r="H245" t="b">
        <f t="shared" si="15"/>
        <v>0</v>
      </c>
      <c r="I245" s="29">
        <f t="shared" si="16"/>
        <v>40291</v>
      </c>
    </row>
    <row r="246" spans="1:9" ht="12.75" customHeight="1" x14ac:dyDescent="0.2">
      <c r="A246" s="28">
        <v>40291</v>
      </c>
      <c r="B246" s="26" t="s">
        <v>404</v>
      </c>
      <c r="C246" s="26" t="s">
        <v>9</v>
      </c>
      <c r="D246" s="35" t="s">
        <v>20</v>
      </c>
      <c r="E246" s="35">
        <v>15389</v>
      </c>
      <c r="F246" s="35" t="s">
        <v>20</v>
      </c>
      <c r="G246" t="b">
        <f t="shared" si="14"/>
        <v>0</v>
      </c>
      <c r="H246" t="b">
        <f t="shared" si="15"/>
        <v>0</v>
      </c>
      <c r="I246" s="29">
        <f t="shared" si="16"/>
        <v>40291</v>
      </c>
    </row>
    <row r="247" spans="1:9" ht="38.25" x14ac:dyDescent="0.2">
      <c r="A247" s="28">
        <v>40291</v>
      </c>
      <c r="B247" s="26" t="s">
        <v>673</v>
      </c>
      <c r="C247" s="26" t="s">
        <v>9</v>
      </c>
      <c r="D247" s="35">
        <v>10000000</v>
      </c>
      <c r="E247" s="35">
        <v>128486</v>
      </c>
      <c r="F247" s="35">
        <v>42226657</v>
      </c>
      <c r="G247" t="b">
        <f t="shared" si="14"/>
        <v>0</v>
      </c>
      <c r="H247" t="b">
        <f t="shared" si="15"/>
        <v>0</v>
      </c>
      <c r="I247" s="29">
        <f t="shared" si="16"/>
        <v>40291</v>
      </c>
    </row>
    <row r="248" spans="1:9" ht="12.75" customHeight="1" x14ac:dyDescent="0.2">
      <c r="A248" s="28">
        <v>40291</v>
      </c>
      <c r="B248" s="26" t="s">
        <v>583</v>
      </c>
      <c r="C248" s="26" t="s">
        <v>3466</v>
      </c>
      <c r="D248" s="35" t="s">
        <v>20</v>
      </c>
      <c r="E248" s="35">
        <v>2618</v>
      </c>
      <c r="F248" s="35" t="s">
        <v>20</v>
      </c>
      <c r="G248" t="b">
        <f t="shared" si="14"/>
        <v>0</v>
      </c>
      <c r="H248" t="b">
        <f t="shared" si="15"/>
        <v>0</v>
      </c>
      <c r="I248" s="29">
        <f t="shared" si="16"/>
        <v>40291</v>
      </c>
    </row>
    <row r="249" spans="1:9" ht="12.75" customHeight="1" x14ac:dyDescent="0.2">
      <c r="A249" s="28">
        <v>40291</v>
      </c>
      <c r="B249" s="26" t="s">
        <v>621</v>
      </c>
      <c r="C249" s="26" t="s">
        <v>1227</v>
      </c>
      <c r="D249" s="35" t="s">
        <v>20</v>
      </c>
      <c r="E249" s="35">
        <v>23889</v>
      </c>
      <c r="F249" s="35" t="s">
        <v>20</v>
      </c>
      <c r="G249" t="b">
        <f t="shared" si="14"/>
        <v>0</v>
      </c>
      <c r="H249" t="b">
        <f t="shared" si="15"/>
        <v>0</v>
      </c>
      <c r="I249" s="29">
        <f t="shared" si="16"/>
        <v>40291</v>
      </c>
    </row>
    <row r="250" spans="1:9" ht="12.75" customHeight="1" x14ac:dyDescent="0.2">
      <c r="A250" s="28">
        <v>40295</v>
      </c>
      <c r="B250" s="26" t="s">
        <v>2906</v>
      </c>
      <c r="C250" s="26" t="s">
        <v>9</v>
      </c>
      <c r="D250" s="35" t="s">
        <v>20</v>
      </c>
      <c r="E250" s="35" t="s">
        <v>20</v>
      </c>
      <c r="F250" s="35" t="s">
        <v>20</v>
      </c>
      <c r="G250" t="b">
        <f t="shared" si="14"/>
        <v>0</v>
      </c>
      <c r="H250" t="b">
        <f t="shared" si="15"/>
        <v>0</v>
      </c>
      <c r="I250" s="29">
        <f t="shared" si="16"/>
        <v>40295</v>
      </c>
    </row>
    <row r="251" spans="1:9" ht="25.5" x14ac:dyDescent="0.2">
      <c r="A251" s="28">
        <v>40295</v>
      </c>
      <c r="B251" s="26" t="s">
        <v>965</v>
      </c>
      <c r="C251" s="26" t="s">
        <v>2310</v>
      </c>
      <c r="D251" s="35" t="s">
        <v>20</v>
      </c>
      <c r="E251" s="35" t="s">
        <v>20</v>
      </c>
      <c r="F251" s="35" t="s">
        <v>20</v>
      </c>
      <c r="G251" t="b">
        <f t="shared" si="14"/>
        <v>0</v>
      </c>
      <c r="H251" t="b">
        <f t="shared" si="15"/>
        <v>0</v>
      </c>
      <c r="I251" s="29">
        <f t="shared" si="16"/>
        <v>40295</v>
      </c>
    </row>
    <row r="252" spans="1:9" ht="12.75" customHeight="1" x14ac:dyDescent="0.2">
      <c r="A252" s="28">
        <v>40298</v>
      </c>
      <c r="B252" s="26" t="s">
        <v>3081</v>
      </c>
      <c r="C252" s="26" t="s">
        <v>3466</v>
      </c>
      <c r="D252" s="35" t="s">
        <v>20</v>
      </c>
      <c r="E252" s="35">
        <v>6780</v>
      </c>
      <c r="F252" s="35" t="s">
        <v>20</v>
      </c>
      <c r="G252" t="b">
        <f t="shared" si="14"/>
        <v>0</v>
      </c>
      <c r="H252" t="b">
        <f t="shared" si="15"/>
        <v>0</v>
      </c>
      <c r="I252" s="29">
        <f t="shared" si="16"/>
        <v>40298</v>
      </c>
    </row>
    <row r="253" spans="1:9" ht="12.75" customHeight="1" x14ac:dyDescent="0.2">
      <c r="A253" s="28">
        <v>40298</v>
      </c>
      <c r="B253" s="26" t="s">
        <v>2210</v>
      </c>
      <c r="C253" s="26" t="s">
        <v>1319</v>
      </c>
      <c r="D253" s="35">
        <v>7300000</v>
      </c>
      <c r="E253" s="35">
        <v>1818681</v>
      </c>
      <c r="F253" s="35">
        <v>6294140</v>
      </c>
      <c r="G253" t="b">
        <f t="shared" si="14"/>
        <v>0</v>
      </c>
      <c r="H253" t="b">
        <f t="shared" si="15"/>
        <v>0</v>
      </c>
      <c r="I253" s="29">
        <f t="shared" si="16"/>
        <v>40298</v>
      </c>
    </row>
    <row r="254" spans="1:9" ht="12.75" customHeight="1" x14ac:dyDescent="0.2">
      <c r="A254" s="28">
        <v>40298</v>
      </c>
      <c r="B254" s="26" t="s">
        <v>500</v>
      </c>
      <c r="C254" s="26" t="s">
        <v>1066</v>
      </c>
      <c r="D254" s="35">
        <v>35000000</v>
      </c>
      <c r="E254" s="35">
        <v>17630465</v>
      </c>
      <c r="F254" s="35">
        <v>35930465</v>
      </c>
      <c r="G254" t="b">
        <f t="shared" si="14"/>
        <v>0</v>
      </c>
      <c r="H254" t="b">
        <f t="shared" si="15"/>
        <v>0</v>
      </c>
      <c r="I254" s="29">
        <f t="shared" si="16"/>
        <v>40298</v>
      </c>
    </row>
    <row r="255" spans="1:9" ht="12.75" customHeight="1" x14ac:dyDescent="0.2">
      <c r="A255" s="28">
        <v>40298</v>
      </c>
      <c r="B255" s="26" t="s">
        <v>1349</v>
      </c>
      <c r="C255" s="26" t="s">
        <v>9</v>
      </c>
      <c r="D255" s="35" t="s">
        <v>20</v>
      </c>
      <c r="E255" s="35">
        <v>485913</v>
      </c>
      <c r="F255" s="35" t="s">
        <v>20</v>
      </c>
      <c r="G255" t="b">
        <f t="shared" si="14"/>
        <v>0</v>
      </c>
      <c r="H255" t="b">
        <f t="shared" si="15"/>
        <v>0</v>
      </c>
      <c r="I255" s="29">
        <f t="shared" si="16"/>
        <v>40298</v>
      </c>
    </row>
    <row r="256" spans="1:9" ht="12.75" customHeight="1" x14ac:dyDescent="0.2">
      <c r="A256" s="28">
        <v>40298</v>
      </c>
      <c r="B256" s="26" t="s">
        <v>624</v>
      </c>
      <c r="C256" s="26" t="s">
        <v>746</v>
      </c>
      <c r="D256" s="35" t="s">
        <v>20</v>
      </c>
      <c r="E256" s="35">
        <v>20930</v>
      </c>
      <c r="F256" s="35" t="s">
        <v>20</v>
      </c>
      <c r="G256" t="b">
        <f t="shared" si="14"/>
        <v>0</v>
      </c>
      <c r="H256" t="b">
        <f t="shared" si="15"/>
        <v>0</v>
      </c>
      <c r="I256" s="29">
        <f t="shared" si="16"/>
        <v>40298</v>
      </c>
    </row>
    <row r="257" spans="1:9" ht="25.5" x14ac:dyDescent="0.2">
      <c r="A257" s="28">
        <v>40298</v>
      </c>
      <c r="B257" s="26" t="s">
        <v>1794</v>
      </c>
      <c r="C257" s="26" t="s">
        <v>3209</v>
      </c>
      <c r="D257" s="35">
        <v>35000000</v>
      </c>
      <c r="E257" s="35">
        <v>63075011</v>
      </c>
      <c r="F257" s="35">
        <v>117729621</v>
      </c>
      <c r="G257" t="b">
        <f t="shared" si="14"/>
        <v>0</v>
      </c>
      <c r="H257" t="b">
        <f t="shared" si="15"/>
        <v>0</v>
      </c>
      <c r="I257" s="29">
        <f t="shared" si="16"/>
        <v>40298</v>
      </c>
    </row>
    <row r="258" spans="1:9" ht="12.75" customHeight="1" x14ac:dyDescent="0.2">
      <c r="A258" s="28">
        <v>40298</v>
      </c>
      <c r="B258" s="26" t="s">
        <v>234</v>
      </c>
      <c r="C258" s="26" t="s">
        <v>612</v>
      </c>
      <c r="D258" s="35">
        <v>3000000</v>
      </c>
      <c r="E258" s="35">
        <v>4033268</v>
      </c>
      <c r="F258" s="35" t="s">
        <v>20</v>
      </c>
      <c r="G258" t="b">
        <f t="shared" si="14"/>
        <v>0</v>
      </c>
      <c r="H258" t="b">
        <f t="shared" si="15"/>
        <v>0</v>
      </c>
      <c r="I258" s="29">
        <f t="shared" si="16"/>
        <v>40298</v>
      </c>
    </row>
    <row r="259" spans="1:9" ht="25.5" x14ac:dyDescent="0.2">
      <c r="A259" s="28">
        <v>40298</v>
      </c>
      <c r="B259" s="26" t="s">
        <v>704</v>
      </c>
      <c r="C259" s="26" t="s">
        <v>3466</v>
      </c>
      <c r="D259" s="35" t="s">
        <v>20</v>
      </c>
      <c r="E259" s="35">
        <v>181467</v>
      </c>
      <c r="F259" s="35" t="s">
        <v>20</v>
      </c>
      <c r="G259" t="b">
        <f t="shared" si="14"/>
        <v>0</v>
      </c>
      <c r="H259" t="b">
        <f t="shared" si="15"/>
        <v>0</v>
      </c>
      <c r="I259" s="29">
        <f t="shared" si="16"/>
        <v>40298</v>
      </c>
    </row>
    <row r="260" spans="1:9" ht="12.75" customHeight="1" x14ac:dyDescent="0.2">
      <c r="A260" s="28">
        <v>40298</v>
      </c>
      <c r="B260" s="26" t="s">
        <v>1941</v>
      </c>
      <c r="C260" s="26" t="s">
        <v>647</v>
      </c>
      <c r="D260" s="35">
        <v>10100000</v>
      </c>
      <c r="E260" s="35">
        <v>1183658</v>
      </c>
      <c r="F260" s="35">
        <v>18726300</v>
      </c>
      <c r="G260" t="b">
        <f t="shared" si="14"/>
        <v>0</v>
      </c>
      <c r="H260" t="b">
        <f t="shared" si="15"/>
        <v>0</v>
      </c>
      <c r="I260" s="29">
        <f t="shared" si="16"/>
        <v>40298</v>
      </c>
    </row>
    <row r="261" spans="1:9" ht="12.75" customHeight="1" x14ac:dyDescent="0.2">
      <c r="A261" s="28">
        <v>40298</v>
      </c>
      <c r="B261" s="26" t="s">
        <v>1570</v>
      </c>
      <c r="C261" s="26" t="s">
        <v>9</v>
      </c>
      <c r="D261" s="35" t="s">
        <v>20</v>
      </c>
      <c r="E261" s="35">
        <v>7839</v>
      </c>
      <c r="F261" s="35" t="s">
        <v>20</v>
      </c>
      <c r="G261" t="b">
        <f t="shared" si="14"/>
        <v>0</v>
      </c>
      <c r="H261" t="b">
        <f t="shared" si="15"/>
        <v>0</v>
      </c>
      <c r="I261" s="29">
        <f t="shared" si="16"/>
        <v>40298</v>
      </c>
    </row>
    <row r="262" spans="1:9" ht="12.75" customHeight="1" x14ac:dyDescent="0.2">
      <c r="A262" s="28">
        <v>40298</v>
      </c>
      <c r="B262" s="26" t="s">
        <v>3235</v>
      </c>
      <c r="C262" s="26" t="s">
        <v>9</v>
      </c>
      <c r="D262" s="35" t="s">
        <v>20</v>
      </c>
      <c r="E262" s="35">
        <v>110594</v>
      </c>
      <c r="F262" s="35" t="s">
        <v>20</v>
      </c>
      <c r="G262" t="b">
        <f t="shared" si="14"/>
        <v>0</v>
      </c>
      <c r="H262" t="b">
        <f t="shared" si="15"/>
        <v>0</v>
      </c>
      <c r="I262" s="29">
        <f t="shared" si="16"/>
        <v>40298</v>
      </c>
    </row>
    <row r="263" spans="1:9" ht="12.75" customHeight="1" x14ac:dyDescent="0.2">
      <c r="A263" s="28">
        <v>40298</v>
      </c>
      <c r="B263" s="26" t="s">
        <v>2629</v>
      </c>
      <c r="C263" s="26" t="s">
        <v>1619</v>
      </c>
      <c r="D263" s="35" t="s">
        <v>20</v>
      </c>
      <c r="E263" s="35">
        <v>458054</v>
      </c>
      <c r="F263" s="35" t="s">
        <v>20</v>
      </c>
      <c r="G263" t="b">
        <f t="shared" si="14"/>
        <v>0</v>
      </c>
      <c r="H263" t="b">
        <f t="shared" si="15"/>
        <v>0</v>
      </c>
      <c r="I263" s="29">
        <f t="shared" si="16"/>
        <v>40298</v>
      </c>
    </row>
    <row r="264" spans="1:9" ht="25.5" x14ac:dyDescent="0.2">
      <c r="A264" s="28">
        <v>40298</v>
      </c>
      <c r="B264" s="26" t="s">
        <v>349</v>
      </c>
      <c r="C264" s="26" t="s">
        <v>9</v>
      </c>
      <c r="D264" s="35" t="s">
        <v>20</v>
      </c>
      <c r="E264" s="35">
        <v>5183364</v>
      </c>
      <c r="F264" s="35">
        <v>40935340</v>
      </c>
      <c r="G264" t="b">
        <f t="shared" si="14"/>
        <v>0</v>
      </c>
      <c r="H264" t="b">
        <f t="shared" si="15"/>
        <v>0</v>
      </c>
      <c r="I264" s="29">
        <f t="shared" si="16"/>
        <v>40298</v>
      </c>
    </row>
    <row r="265" spans="1:9" ht="25.5" x14ac:dyDescent="0.2">
      <c r="A265" s="28">
        <v>40299</v>
      </c>
      <c r="B265" s="26" t="s">
        <v>728</v>
      </c>
      <c r="C265" s="26" t="s">
        <v>9</v>
      </c>
      <c r="D265" s="35" t="s">
        <v>20</v>
      </c>
      <c r="E265" s="35" t="s">
        <v>20</v>
      </c>
      <c r="F265" s="35" t="s">
        <v>20</v>
      </c>
      <c r="G265" t="b">
        <f t="shared" si="14"/>
        <v>0</v>
      </c>
      <c r="H265" t="b">
        <f t="shared" si="15"/>
        <v>0</v>
      </c>
      <c r="I265" s="29">
        <f t="shared" si="16"/>
        <v>40299</v>
      </c>
    </row>
    <row r="266" spans="1:9" ht="12.75" customHeight="1" x14ac:dyDescent="0.2">
      <c r="A266" s="28">
        <v>40302</v>
      </c>
      <c r="B266" s="26" t="s">
        <v>1169</v>
      </c>
      <c r="C266" s="26" t="s">
        <v>9</v>
      </c>
      <c r="D266" s="35" t="s">
        <v>20</v>
      </c>
      <c r="E266" s="35" t="s">
        <v>20</v>
      </c>
      <c r="F266" s="35" t="s">
        <v>20</v>
      </c>
      <c r="G266" t="b">
        <f t="shared" si="14"/>
        <v>0</v>
      </c>
      <c r="H266" t="b">
        <f t="shared" si="15"/>
        <v>0</v>
      </c>
      <c r="I266" s="29">
        <f t="shared" si="16"/>
        <v>40302</v>
      </c>
    </row>
    <row r="267" spans="1:9" ht="25.5" x14ac:dyDescent="0.2">
      <c r="A267" s="28">
        <v>40302</v>
      </c>
      <c r="B267" s="26" t="s">
        <v>449</v>
      </c>
      <c r="C267" s="26" t="s">
        <v>9</v>
      </c>
      <c r="D267" s="35" t="s">
        <v>20</v>
      </c>
      <c r="E267" s="35" t="s">
        <v>20</v>
      </c>
      <c r="F267" s="35" t="s">
        <v>20</v>
      </c>
      <c r="G267" t="b">
        <f t="shared" si="14"/>
        <v>0</v>
      </c>
      <c r="H267" t="b">
        <f t="shared" si="15"/>
        <v>0</v>
      </c>
      <c r="I267" s="29">
        <f t="shared" si="16"/>
        <v>40302</v>
      </c>
    </row>
    <row r="268" spans="1:9" ht="12.75" customHeight="1" x14ac:dyDescent="0.2">
      <c r="A268" s="28">
        <v>40302</v>
      </c>
      <c r="B268" s="26" t="s">
        <v>186</v>
      </c>
      <c r="C268" s="26" t="s">
        <v>9</v>
      </c>
      <c r="D268" s="35" t="s">
        <v>20</v>
      </c>
      <c r="E268" s="35" t="s">
        <v>20</v>
      </c>
      <c r="F268" s="35" t="s">
        <v>20</v>
      </c>
      <c r="G268" t="b">
        <f t="shared" si="14"/>
        <v>0</v>
      </c>
      <c r="H268" t="b">
        <f t="shared" si="15"/>
        <v>0</v>
      </c>
      <c r="I268" s="29">
        <f t="shared" si="16"/>
        <v>40302</v>
      </c>
    </row>
    <row r="269" spans="1:9" ht="25.5" x14ac:dyDescent="0.2">
      <c r="A269" s="28">
        <v>40305</v>
      </c>
      <c r="B269" s="26" t="s">
        <v>2862</v>
      </c>
      <c r="C269" s="26" t="s">
        <v>2168</v>
      </c>
      <c r="D269" s="35">
        <v>170000000</v>
      </c>
      <c r="E269" s="35">
        <v>312433331</v>
      </c>
      <c r="F269" s="35">
        <v>623433331</v>
      </c>
      <c r="G269" t="b">
        <f t="shared" si="14"/>
        <v>0</v>
      </c>
      <c r="H269" t="b">
        <f t="shared" si="15"/>
        <v>0</v>
      </c>
      <c r="I269" s="29">
        <f t="shared" si="16"/>
        <v>40305</v>
      </c>
    </row>
    <row r="270" spans="1:9" ht="12.75" customHeight="1" x14ac:dyDescent="0.2">
      <c r="A270" s="28">
        <v>40305</v>
      </c>
      <c r="B270" s="26" t="s">
        <v>2799</v>
      </c>
      <c r="C270" s="26" t="s">
        <v>2314</v>
      </c>
      <c r="D270" s="35" t="s">
        <v>20</v>
      </c>
      <c r="E270" s="35">
        <v>42273</v>
      </c>
      <c r="F270" s="35" t="s">
        <v>20</v>
      </c>
      <c r="G270" t="b">
        <f t="shared" si="14"/>
        <v>0</v>
      </c>
      <c r="H270" t="b">
        <f t="shared" si="15"/>
        <v>0</v>
      </c>
      <c r="I270" s="29">
        <f t="shared" si="16"/>
        <v>40305</v>
      </c>
    </row>
    <row r="271" spans="1:9" ht="38.25" x14ac:dyDescent="0.2">
      <c r="A271" s="28">
        <v>40305</v>
      </c>
      <c r="B271" s="26" t="s">
        <v>173</v>
      </c>
      <c r="C271" s="26" t="s">
        <v>746</v>
      </c>
      <c r="D271" s="35" t="s">
        <v>20</v>
      </c>
      <c r="E271" s="35">
        <v>176865</v>
      </c>
      <c r="F271" s="35" t="s">
        <v>20</v>
      </c>
      <c r="G271" t="b">
        <f t="shared" si="14"/>
        <v>0</v>
      </c>
      <c r="H271" t="b">
        <f t="shared" si="15"/>
        <v>0</v>
      </c>
      <c r="I271" s="29">
        <f t="shared" si="16"/>
        <v>40305</v>
      </c>
    </row>
    <row r="272" spans="1:9" ht="12.75" customHeight="1" x14ac:dyDescent="0.2">
      <c r="A272" s="28">
        <v>40305</v>
      </c>
      <c r="B272" s="26" t="s">
        <v>2272</v>
      </c>
      <c r="C272" s="26" t="s">
        <v>612</v>
      </c>
      <c r="D272" s="35">
        <v>7000000</v>
      </c>
      <c r="E272" s="35">
        <v>1109780</v>
      </c>
      <c r="F272" s="35" t="s">
        <v>20</v>
      </c>
      <c r="G272" t="b">
        <f t="shared" si="14"/>
        <v>0</v>
      </c>
      <c r="H272" t="b">
        <f t="shared" si="15"/>
        <v>0</v>
      </c>
      <c r="I272" s="29">
        <f t="shared" si="16"/>
        <v>40305</v>
      </c>
    </row>
    <row r="273" spans="1:9" ht="12.75" customHeight="1" x14ac:dyDescent="0.2">
      <c r="A273" s="28">
        <v>40305</v>
      </c>
      <c r="B273" s="26" t="s">
        <v>1660</v>
      </c>
      <c r="C273" s="26" t="s">
        <v>698</v>
      </c>
      <c r="D273" s="35" t="s">
        <v>20</v>
      </c>
      <c r="E273" s="35">
        <v>7320323</v>
      </c>
      <c r="F273" s="35">
        <v>9471465</v>
      </c>
      <c r="G273" t="b">
        <f t="shared" si="14"/>
        <v>0</v>
      </c>
      <c r="H273" t="b">
        <f t="shared" si="15"/>
        <v>0</v>
      </c>
      <c r="I273" s="29">
        <f t="shared" si="16"/>
        <v>40305</v>
      </c>
    </row>
    <row r="274" spans="1:9" ht="12.75" customHeight="1" x14ac:dyDescent="0.2">
      <c r="A274" s="28">
        <v>40305</v>
      </c>
      <c r="B274" s="26" t="s">
        <v>2578</v>
      </c>
      <c r="C274" s="26" t="s">
        <v>9</v>
      </c>
      <c r="D274" s="35" t="s">
        <v>20</v>
      </c>
      <c r="E274" s="35">
        <v>1470</v>
      </c>
      <c r="F274" s="35" t="s">
        <v>20</v>
      </c>
      <c r="G274" t="b">
        <f t="shared" si="14"/>
        <v>0</v>
      </c>
      <c r="H274" t="b">
        <f t="shared" si="15"/>
        <v>0</v>
      </c>
      <c r="I274" s="29">
        <f t="shared" si="16"/>
        <v>40305</v>
      </c>
    </row>
    <row r="275" spans="1:9" ht="12.75" customHeight="1" x14ac:dyDescent="0.2">
      <c r="A275" s="28">
        <v>40305</v>
      </c>
      <c r="B275" s="26" t="s">
        <v>1173</v>
      </c>
      <c r="C275" s="26" t="s">
        <v>9</v>
      </c>
      <c r="D275" s="35" t="s">
        <v>20</v>
      </c>
      <c r="E275" s="35">
        <v>7111</v>
      </c>
      <c r="F275" s="35" t="s">
        <v>20</v>
      </c>
      <c r="G275" t="b">
        <f t="shared" si="14"/>
        <v>0</v>
      </c>
      <c r="H275" t="b">
        <f t="shared" si="15"/>
        <v>0</v>
      </c>
      <c r="I275" s="29">
        <f t="shared" si="16"/>
        <v>40305</v>
      </c>
    </row>
    <row r="276" spans="1:9" x14ac:dyDescent="0.2">
      <c r="A276" s="28">
        <v>40305</v>
      </c>
      <c r="B276" s="26" t="s">
        <v>1580</v>
      </c>
      <c r="C276" s="26" t="s">
        <v>9</v>
      </c>
      <c r="D276" s="35" t="s">
        <v>20</v>
      </c>
      <c r="E276" s="35">
        <v>28943</v>
      </c>
      <c r="F276" s="35" t="s">
        <v>20</v>
      </c>
      <c r="G276" t="b">
        <f t="shared" si="14"/>
        <v>0</v>
      </c>
      <c r="H276" t="b">
        <f t="shared" si="15"/>
        <v>0</v>
      </c>
      <c r="I276" s="29">
        <f t="shared" si="16"/>
        <v>40305</v>
      </c>
    </row>
    <row r="277" spans="1:9" ht="12.75" customHeight="1" x14ac:dyDescent="0.2">
      <c r="A277" s="28">
        <v>40305</v>
      </c>
      <c r="B277" s="26" t="s">
        <v>1281</v>
      </c>
      <c r="C277" s="26" t="s">
        <v>9</v>
      </c>
      <c r="D277" s="35" t="s">
        <v>20</v>
      </c>
      <c r="E277" s="35">
        <v>21826</v>
      </c>
      <c r="F277" s="35" t="s">
        <v>20</v>
      </c>
      <c r="G277" t="b">
        <f t="shared" si="14"/>
        <v>0</v>
      </c>
      <c r="H277" t="b">
        <f t="shared" si="15"/>
        <v>0</v>
      </c>
      <c r="I277" s="29">
        <f t="shared" si="16"/>
        <v>40305</v>
      </c>
    </row>
    <row r="278" spans="1:9" ht="25.5" x14ac:dyDescent="0.2">
      <c r="A278" s="28">
        <v>40309</v>
      </c>
      <c r="B278" s="26" t="s">
        <v>3343</v>
      </c>
      <c r="C278" s="26" t="s">
        <v>9</v>
      </c>
      <c r="D278" s="35" t="s">
        <v>20</v>
      </c>
      <c r="E278" s="35" t="s">
        <v>20</v>
      </c>
      <c r="F278" s="35" t="s">
        <v>20</v>
      </c>
      <c r="G278" t="b">
        <f t="shared" si="14"/>
        <v>0</v>
      </c>
      <c r="H278" t="b">
        <f t="shared" si="15"/>
        <v>0</v>
      </c>
      <c r="I278" s="29">
        <f t="shared" si="16"/>
        <v>40309</v>
      </c>
    </row>
    <row r="279" spans="1:9" ht="25.5" x14ac:dyDescent="0.2">
      <c r="A279" s="28">
        <v>40309</v>
      </c>
      <c r="B279" s="26" t="s">
        <v>1618</v>
      </c>
      <c r="C279" s="26" t="s">
        <v>9</v>
      </c>
      <c r="D279" s="35" t="s">
        <v>20</v>
      </c>
      <c r="E279" s="35" t="s">
        <v>20</v>
      </c>
      <c r="F279" s="35" t="s">
        <v>20</v>
      </c>
      <c r="G279" t="b">
        <f t="shared" si="14"/>
        <v>0</v>
      </c>
      <c r="H279" t="b">
        <f t="shared" si="15"/>
        <v>0</v>
      </c>
      <c r="I279" s="29">
        <f t="shared" si="16"/>
        <v>40309</v>
      </c>
    </row>
    <row r="280" spans="1:9" ht="25.5" x14ac:dyDescent="0.2">
      <c r="A280" s="28">
        <v>40309</v>
      </c>
      <c r="B280" s="26" t="s">
        <v>1711</v>
      </c>
      <c r="C280" s="26" t="s">
        <v>9</v>
      </c>
      <c r="D280" s="35" t="s">
        <v>20</v>
      </c>
      <c r="E280" s="35" t="s">
        <v>20</v>
      </c>
      <c r="F280" s="35" t="s">
        <v>20</v>
      </c>
      <c r="G280" t="b">
        <f t="shared" si="14"/>
        <v>0</v>
      </c>
      <c r="H280" t="b">
        <f t="shared" si="15"/>
        <v>0</v>
      </c>
      <c r="I280" s="29">
        <f t="shared" si="16"/>
        <v>40309</v>
      </c>
    </row>
    <row r="281" spans="1:9" ht="25.5" x14ac:dyDescent="0.2">
      <c r="A281" s="28">
        <v>40309</v>
      </c>
      <c r="B281" s="26" t="s">
        <v>386</v>
      </c>
      <c r="C281" s="26" t="s">
        <v>9</v>
      </c>
      <c r="D281" s="35" t="s">
        <v>20</v>
      </c>
      <c r="E281" s="35" t="s">
        <v>20</v>
      </c>
      <c r="F281" s="35" t="s">
        <v>20</v>
      </c>
      <c r="G281" t="b">
        <f t="shared" si="14"/>
        <v>0</v>
      </c>
      <c r="H281" t="b">
        <f t="shared" si="15"/>
        <v>0</v>
      </c>
      <c r="I281" s="29">
        <f t="shared" si="16"/>
        <v>40309</v>
      </c>
    </row>
    <row r="282" spans="1:9" ht="25.5" x14ac:dyDescent="0.2">
      <c r="A282" s="28">
        <v>40310</v>
      </c>
      <c r="B282" s="26" t="s">
        <v>3252</v>
      </c>
      <c r="C282" s="26" t="s">
        <v>9</v>
      </c>
      <c r="D282" s="35" t="s">
        <v>20</v>
      </c>
      <c r="E282" s="35">
        <v>15930</v>
      </c>
      <c r="F282" s="35" t="s">
        <v>20</v>
      </c>
      <c r="G282" t="b">
        <f t="shared" si="14"/>
        <v>0</v>
      </c>
      <c r="H282" t="b">
        <f t="shared" si="15"/>
        <v>0</v>
      </c>
      <c r="I282" s="29">
        <f t="shared" si="16"/>
        <v>40310</v>
      </c>
    </row>
    <row r="283" spans="1:9" ht="12.75" customHeight="1" x14ac:dyDescent="0.2">
      <c r="A283" s="28">
        <v>40312</v>
      </c>
      <c r="B283" s="26" t="s">
        <v>1924</v>
      </c>
      <c r="C283" s="26" t="s">
        <v>1066</v>
      </c>
      <c r="D283" s="35">
        <v>30000000</v>
      </c>
      <c r="E283" s="35">
        <v>53032453</v>
      </c>
      <c r="F283" s="35">
        <v>70156857</v>
      </c>
      <c r="G283" t="b">
        <f t="shared" si="14"/>
        <v>0</v>
      </c>
      <c r="H283" t="b">
        <f t="shared" si="15"/>
        <v>0</v>
      </c>
      <c r="I283" s="29">
        <f t="shared" si="16"/>
        <v>40312</v>
      </c>
    </row>
    <row r="284" spans="1:9" ht="12.75" customHeight="1" x14ac:dyDescent="0.2">
      <c r="A284" s="28">
        <v>40312</v>
      </c>
      <c r="B284" s="26" t="s">
        <v>1519</v>
      </c>
      <c r="C284" s="26" t="s">
        <v>9</v>
      </c>
      <c r="D284" s="35" t="s">
        <v>20</v>
      </c>
      <c r="E284" s="35">
        <v>440008</v>
      </c>
      <c r="F284" s="35" t="s">
        <v>20</v>
      </c>
      <c r="G284" t="b">
        <f t="shared" si="14"/>
        <v>0</v>
      </c>
      <c r="H284" t="b">
        <f t="shared" si="15"/>
        <v>0</v>
      </c>
      <c r="I284" s="29">
        <f t="shared" si="16"/>
        <v>40312</v>
      </c>
    </row>
    <row r="285" spans="1:9" ht="12.75" customHeight="1" x14ac:dyDescent="0.2">
      <c r="A285" s="28">
        <v>40312</v>
      </c>
      <c r="B285" s="26" t="s">
        <v>1225</v>
      </c>
      <c r="C285" s="26" t="s">
        <v>155</v>
      </c>
      <c r="D285" s="35" t="s">
        <v>20</v>
      </c>
      <c r="E285" s="35">
        <v>21540363</v>
      </c>
      <c r="F285" s="35">
        <v>22054075</v>
      </c>
      <c r="G285" t="b">
        <f t="shared" si="14"/>
        <v>0</v>
      </c>
      <c r="H285" t="b">
        <f t="shared" si="15"/>
        <v>0</v>
      </c>
      <c r="I285" s="29">
        <f t="shared" si="16"/>
        <v>40312</v>
      </c>
    </row>
    <row r="286" spans="1:9" ht="25.5" x14ac:dyDescent="0.2">
      <c r="A286" s="28">
        <v>40312</v>
      </c>
      <c r="B286" s="26" t="s">
        <v>2115</v>
      </c>
      <c r="C286" s="26" t="s">
        <v>2180</v>
      </c>
      <c r="D286" s="35">
        <v>9000000</v>
      </c>
      <c r="E286" s="35">
        <v>883887</v>
      </c>
      <c r="F286" s="35" t="s">
        <v>20</v>
      </c>
      <c r="G286" t="b">
        <f t="shared" si="14"/>
        <v>0</v>
      </c>
      <c r="H286" t="b">
        <f t="shared" si="15"/>
        <v>0</v>
      </c>
      <c r="I286" s="29">
        <f t="shared" si="16"/>
        <v>40312</v>
      </c>
    </row>
    <row r="287" spans="1:9" ht="12.75" customHeight="1" x14ac:dyDescent="0.2">
      <c r="A287" s="28">
        <v>40312</v>
      </c>
      <c r="B287" s="26" t="s">
        <v>3430</v>
      </c>
      <c r="C287" s="26" t="s">
        <v>9</v>
      </c>
      <c r="D287" s="35" t="s">
        <v>20</v>
      </c>
      <c r="E287" s="35">
        <v>24460</v>
      </c>
      <c r="F287" s="35" t="s">
        <v>20</v>
      </c>
      <c r="G287" t="b">
        <f t="shared" si="14"/>
        <v>0</v>
      </c>
      <c r="H287" t="b">
        <f t="shared" si="15"/>
        <v>0</v>
      </c>
      <c r="I287" s="29">
        <f t="shared" si="16"/>
        <v>40312</v>
      </c>
    </row>
    <row r="288" spans="1:9" ht="12.75" customHeight="1" x14ac:dyDescent="0.2">
      <c r="A288" s="28">
        <v>40312</v>
      </c>
      <c r="B288" s="26" t="s">
        <v>733</v>
      </c>
      <c r="C288" s="26" t="s">
        <v>9</v>
      </c>
      <c r="D288" s="35" t="s">
        <v>20</v>
      </c>
      <c r="E288" s="35">
        <v>35855</v>
      </c>
      <c r="F288" s="35" t="s">
        <v>20</v>
      </c>
      <c r="G288" t="b">
        <f t="shared" si="14"/>
        <v>0</v>
      </c>
      <c r="H288" t="b">
        <f t="shared" si="15"/>
        <v>0</v>
      </c>
      <c r="I288" s="29">
        <f t="shared" si="16"/>
        <v>40312</v>
      </c>
    </row>
    <row r="289" spans="1:9" ht="12.75" customHeight="1" x14ac:dyDescent="0.2">
      <c r="A289" s="28">
        <v>40312</v>
      </c>
      <c r="B289" s="26" t="s">
        <v>1107</v>
      </c>
      <c r="C289" s="26" t="s">
        <v>3096</v>
      </c>
      <c r="D289" s="35">
        <v>210000000</v>
      </c>
      <c r="E289" s="35">
        <v>105487148</v>
      </c>
      <c r="F289" s="35">
        <v>322287918</v>
      </c>
      <c r="G289" t="b">
        <f t="shared" ref="G289:G350" si="17">ISBLANK(A289)</f>
        <v>0</v>
      </c>
      <c r="H289" t="b">
        <f t="shared" ref="H289:H350" si="18">ISTEXT(A289)</f>
        <v>0</v>
      </c>
      <c r="I289" s="29">
        <f t="shared" ref="I289:I350" si="19">DATE(2010,MONTH(A289), DAY(A289))</f>
        <v>40312</v>
      </c>
    </row>
    <row r="290" spans="1:9" ht="12.75" customHeight="1" x14ac:dyDescent="0.2">
      <c r="A290" s="28">
        <v>40312</v>
      </c>
      <c r="B290" s="26" t="s">
        <v>2800</v>
      </c>
      <c r="C290" s="26" t="s">
        <v>9</v>
      </c>
      <c r="D290" s="35" t="s">
        <v>20</v>
      </c>
      <c r="E290" s="35">
        <v>21766</v>
      </c>
      <c r="F290" s="35" t="s">
        <v>20</v>
      </c>
      <c r="G290" t="b">
        <f t="shared" si="17"/>
        <v>0</v>
      </c>
      <c r="H290" t="b">
        <f t="shared" si="18"/>
        <v>0</v>
      </c>
      <c r="I290" s="29">
        <f t="shared" si="19"/>
        <v>40312</v>
      </c>
    </row>
    <row r="291" spans="1:9" ht="12.75" customHeight="1" x14ac:dyDescent="0.2">
      <c r="A291" s="28">
        <v>40312</v>
      </c>
      <c r="B291" s="26" t="s">
        <v>513</v>
      </c>
      <c r="C291" s="26" t="s">
        <v>3466</v>
      </c>
      <c r="D291" s="35" t="s">
        <v>20</v>
      </c>
      <c r="E291" s="35">
        <v>55804</v>
      </c>
      <c r="F291" s="35">
        <v>10559972</v>
      </c>
      <c r="G291" t="b">
        <f t="shared" si="17"/>
        <v>0</v>
      </c>
      <c r="H291" t="b">
        <f t="shared" si="18"/>
        <v>0</v>
      </c>
      <c r="I291" s="29">
        <f t="shared" si="19"/>
        <v>40312</v>
      </c>
    </row>
    <row r="292" spans="1:9" ht="25.5" x14ac:dyDescent="0.2">
      <c r="A292" s="28">
        <v>40312</v>
      </c>
      <c r="B292" s="26" t="s">
        <v>1643</v>
      </c>
      <c r="C292" s="26" t="s">
        <v>897</v>
      </c>
      <c r="D292" s="35" t="s">
        <v>20</v>
      </c>
      <c r="E292" s="35">
        <v>12232</v>
      </c>
      <c r="F292" s="35" t="s">
        <v>20</v>
      </c>
      <c r="G292" t="b">
        <f t="shared" si="17"/>
        <v>0</v>
      </c>
      <c r="H292" t="b">
        <f t="shared" si="18"/>
        <v>0</v>
      </c>
      <c r="I292" s="29">
        <f t="shared" si="19"/>
        <v>40312</v>
      </c>
    </row>
    <row r="293" spans="1:9" ht="25.5" x14ac:dyDescent="0.2">
      <c r="A293" s="28">
        <v>40316</v>
      </c>
      <c r="B293" s="26" t="s">
        <v>1676</v>
      </c>
      <c r="C293" s="26" t="s">
        <v>9</v>
      </c>
      <c r="D293" s="35" t="s">
        <v>20</v>
      </c>
      <c r="E293" s="35" t="s">
        <v>20</v>
      </c>
      <c r="F293" s="35" t="s">
        <v>20</v>
      </c>
      <c r="G293" t="b">
        <f t="shared" si="17"/>
        <v>0</v>
      </c>
      <c r="H293" t="b">
        <f t="shared" si="18"/>
        <v>0</v>
      </c>
      <c r="I293" s="29">
        <f t="shared" si="19"/>
        <v>40316</v>
      </c>
    </row>
    <row r="294" spans="1:9" x14ac:dyDescent="0.2">
      <c r="A294" s="28">
        <v>40316</v>
      </c>
      <c r="B294" s="26" t="s">
        <v>972</v>
      </c>
      <c r="C294" s="26" t="s">
        <v>9</v>
      </c>
      <c r="D294" s="35" t="s">
        <v>20</v>
      </c>
      <c r="E294" s="35" t="s">
        <v>20</v>
      </c>
      <c r="F294" s="35" t="s">
        <v>20</v>
      </c>
      <c r="G294" t="b">
        <f t="shared" si="17"/>
        <v>0</v>
      </c>
      <c r="H294" t="b">
        <f t="shared" si="18"/>
        <v>0</v>
      </c>
      <c r="I294" s="29">
        <f t="shared" si="19"/>
        <v>40316</v>
      </c>
    </row>
    <row r="295" spans="1:9" ht="12.75" customHeight="1" x14ac:dyDescent="0.2">
      <c r="A295" s="28">
        <v>40316</v>
      </c>
      <c r="B295" s="26" t="s">
        <v>3106</v>
      </c>
      <c r="C295" s="26" t="s">
        <v>9</v>
      </c>
      <c r="D295" s="35" t="s">
        <v>20</v>
      </c>
      <c r="E295" s="35" t="s">
        <v>20</v>
      </c>
      <c r="F295" s="35" t="s">
        <v>20</v>
      </c>
      <c r="G295" t="b">
        <f t="shared" si="17"/>
        <v>0</v>
      </c>
      <c r="H295" t="b">
        <f t="shared" si="18"/>
        <v>0</v>
      </c>
      <c r="I295" s="29">
        <f t="shared" si="19"/>
        <v>40316</v>
      </c>
    </row>
    <row r="296" spans="1:9" ht="12.75" customHeight="1" x14ac:dyDescent="0.2">
      <c r="A296" s="28">
        <v>40317</v>
      </c>
      <c r="B296" s="26" t="s">
        <v>468</v>
      </c>
      <c r="C296" s="26" t="s">
        <v>9</v>
      </c>
      <c r="D296" s="35" t="s">
        <v>20</v>
      </c>
      <c r="E296" s="35">
        <v>28808</v>
      </c>
      <c r="F296" s="35" t="s">
        <v>20</v>
      </c>
      <c r="G296" t="b">
        <f t="shared" si="17"/>
        <v>0</v>
      </c>
      <c r="H296" t="b">
        <f t="shared" si="18"/>
        <v>0</v>
      </c>
      <c r="I296" s="29">
        <f t="shared" si="19"/>
        <v>40317</v>
      </c>
    </row>
    <row r="297" spans="1:9" ht="25.5" x14ac:dyDescent="0.2">
      <c r="A297" s="28">
        <v>40319</v>
      </c>
      <c r="B297" s="26" t="s">
        <v>1965</v>
      </c>
      <c r="C297" s="26" t="s">
        <v>3240</v>
      </c>
      <c r="D297" s="35">
        <v>165000000</v>
      </c>
      <c r="E297" s="35">
        <v>238736787</v>
      </c>
      <c r="F297" s="35">
        <v>752342375</v>
      </c>
      <c r="G297" t="b">
        <f t="shared" si="17"/>
        <v>0</v>
      </c>
      <c r="H297" t="b">
        <f t="shared" si="18"/>
        <v>0</v>
      </c>
      <c r="I297" s="29">
        <f t="shared" si="19"/>
        <v>40319</v>
      </c>
    </row>
    <row r="298" spans="1:9" ht="12.75" customHeight="1" x14ac:dyDescent="0.2">
      <c r="A298" s="28">
        <v>40319</v>
      </c>
      <c r="B298" s="26" t="s">
        <v>2233</v>
      </c>
      <c r="C298" s="26" t="s">
        <v>1137</v>
      </c>
      <c r="D298" s="35" t="s">
        <v>20</v>
      </c>
      <c r="E298" s="35">
        <v>65082</v>
      </c>
      <c r="F298" s="35" t="s">
        <v>20</v>
      </c>
      <c r="G298" t="b">
        <f t="shared" si="17"/>
        <v>0</v>
      </c>
      <c r="H298" t="b">
        <f t="shared" si="18"/>
        <v>0</v>
      </c>
      <c r="I298" s="29">
        <f t="shared" si="19"/>
        <v>40319</v>
      </c>
    </row>
    <row r="299" spans="1:9" ht="12.75" customHeight="1" x14ac:dyDescent="0.2">
      <c r="A299" s="28">
        <v>40319</v>
      </c>
      <c r="B299" s="26" t="s">
        <v>1788</v>
      </c>
      <c r="C299" s="26" t="s">
        <v>9</v>
      </c>
      <c r="D299" s="35">
        <v>6600000</v>
      </c>
      <c r="E299" s="35">
        <v>828</v>
      </c>
      <c r="F299" s="35" t="s">
        <v>20</v>
      </c>
      <c r="G299" t="b">
        <f t="shared" si="17"/>
        <v>0</v>
      </c>
      <c r="H299" t="b">
        <f t="shared" si="18"/>
        <v>0</v>
      </c>
      <c r="I299" s="29">
        <f t="shared" si="19"/>
        <v>40319</v>
      </c>
    </row>
    <row r="300" spans="1:9" ht="12.75" customHeight="1" x14ac:dyDescent="0.2">
      <c r="A300" s="28">
        <v>40319</v>
      </c>
      <c r="B300" s="26" t="s">
        <v>1138</v>
      </c>
      <c r="C300" s="26" t="s">
        <v>9</v>
      </c>
      <c r="D300" s="35">
        <v>12500000</v>
      </c>
      <c r="E300" s="35">
        <v>4360548</v>
      </c>
      <c r="F300" s="35" t="s">
        <v>20</v>
      </c>
      <c r="G300" t="b">
        <f t="shared" si="17"/>
        <v>0</v>
      </c>
      <c r="H300" t="b">
        <f t="shared" si="18"/>
        <v>0</v>
      </c>
      <c r="I300" s="29">
        <f t="shared" si="19"/>
        <v>40319</v>
      </c>
    </row>
    <row r="301" spans="1:9" ht="12.75" customHeight="1" x14ac:dyDescent="0.2">
      <c r="A301" s="28">
        <v>40319</v>
      </c>
      <c r="B301" s="26" t="s">
        <v>1382</v>
      </c>
      <c r="C301" s="26" t="s">
        <v>2493</v>
      </c>
      <c r="D301" s="35" t="s">
        <v>20</v>
      </c>
      <c r="E301" s="35">
        <v>1685269</v>
      </c>
      <c r="F301" s="35">
        <v>15203809</v>
      </c>
      <c r="G301" t="b">
        <f t="shared" si="17"/>
        <v>0</v>
      </c>
      <c r="H301" t="b">
        <f t="shared" si="18"/>
        <v>0</v>
      </c>
      <c r="I301" s="29">
        <f t="shared" si="19"/>
        <v>40319</v>
      </c>
    </row>
    <row r="302" spans="1:9" ht="12.75" customHeight="1" x14ac:dyDescent="0.2">
      <c r="A302" s="28">
        <v>40319</v>
      </c>
      <c r="B302" s="26" t="s">
        <v>2901</v>
      </c>
      <c r="C302" s="26" t="s">
        <v>9</v>
      </c>
      <c r="D302" s="35" t="s">
        <v>20</v>
      </c>
      <c r="E302" s="35">
        <v>31745</v>
      </c>
      <c r="F302" s="35" t="s">
        <v>20</v>
      </c>
      <c r="G302" t="b">
        <f t="shared" si="17"/>
        <v>0</v>
      </c>
      <c r="H302" t="b">
        <f t="shared" si="18"/>
        <v>0</v>
      </c>
      <c r="I302" s="29">
        <f t="shared" si="19"/>
        <v>40319</v>
      </c>
    </row>
    <row r="303" spans="1:9" ht="25.5" x14ac:dyDescent="0.2">
      <c r="A303" s="28">
        <v>40319</v>
      </c>
      <c r="B303" s="26" t="s">
        <v>1807</v>
      </c>
      <c r="C303" s="26" t="s">
        <v>9</v>
      </c>
      <c r="D303" s="35" t="s">
        <v>20</v>
      </c>
      <c r="E303" s="35">
        <v>144022</v>
      </c>
      <c r="F303" s="35" t="s">
        <v>20</v>
      </c>
      <c r="G303" t="b">
        <f t="shared" si="17"/>
        <v>0</v>
      </c>
      <c r="H303" t="b">
        <f t="shared" si="18"/>
        <v>0</v>
      </c>
      <c r="I303" s="29">
        <f t="shared" si="19"/>
        <v>40319</v>
      </c>
    </row>
    <row r="304" spans="1:9" ht="38.25" x14ac:dyDescent="0.2">
      <c r="A304" s="28">
        <v>40319</v>
      </c>
      <c r="B304" s="26" t="s">
        <v>2425</v>
      </c>
      <c r="C304" s="26" t="s">
        <v>9</v>
      </c>
      <c r="D304" s="35" t="s">
        <v>20</v>
      </c>
      <c r="E304" s="35">
        <v>12085</v>
      </c>
      <c r="F304" s="35" t="s">
        <v>20</v>
      </c>
      <c r="G304" t="b">
        <f t="shared" si="17"/>
        <v>0</v>
      </c>
      <c r="H304" t="b">
        <f t="shared" si="18"/>
        <v>0</v>
      </c>
      <c r="I304" s="29">
        <f t="shared" si="19"/>
        <v>40319</v>
      </c>
    </row>
    <row r="305" spans="1:9" ht="12.75" customHeight="1" x14ac:dyDescent="0.2">
      <c r="A305" s="28">
        <v>40319</v>
      </c>
      <c r="B305" s="26" t="s">
        <v>3238</v>
      </c>
      <c r="C305" s="26" t="s">
        <v>2285</v>
      </c>
      <c r="D305" s="35" t="s">
        <v>20</v>
      </c>
      <c r="E305" s="35">
        <v>67255</v>
      </c>
      <c r="F305" s="35" t="s">
        <v>20</v>
      </c>
      <c r="G305" t="b">
        <f t="shared" si="17"/>
        <v>0</v>
      </c>
      <c r="H305" t="b">
        <f t="shared" si="18"/>
        <v>0</v>
      </c>
      <c r="I305" s="29">
        <f t="shared" si="19"/>
        <v>40319</v>
      </c>
    </row>
    <row r="306" spans="1:9" ht="12.75" customHeight="1" x14ac:dyDescent="0.2">
      <c r="A306" s="28">
        <v>40319</v>
      </c>
      <c r="B306" s="26" t="s">
        <v>361</v>
      </c>
      <c r="C306" s="26" t="s">
        <v>9</v>
      </c>
      <c r="D306" s="35" t="s">
        <v>20</v>
      </c>
      <c r="E306" s="35">
        <v>8525600</v>
      </c>
      <c r="F306" s="35">
        <v>8629895</v>
      </c>
      <c r="G306" t="b">
        <f t="shared" si="17"/>
        <v>0</v>
      </c>
      <c r="H306" t="b">
        <f t="shared" si="18"/>
        <v>0</v>
      </c>
      <c r="I306" s="29">
        <f t="shared" si="19"/>
        <v>40319</v>
      </c>
    </row>
    <row r="307" spans="1:9" ht="12.75" customHeight="1" x14ac:dyDescent="0.2">
      <c r="A307" s="28">
        <v>40319</v>
      </c>
      <c r="B307" s="26" t="s">
        <v>1916</v>
      </c>
      <c r="C307" s="26" t="s">
        <v>241</v>
      </c>
      <c r="D307" s="35" t="s">
        <v>20</v>
      </c>
      <c r="E307" s="35">
        <v>303064</v>
      </c>
      <c r="F307" s="35" t="s">
        <v>20</v>
      </c>
      <c r="G307" t="b">
        <f t="shared" si="17"/>
        <v>0</v>
      </c>
      <c r="H307" t="b">
        <f t="shared" si="18"/>
        <v>0</v>
      </c>
      <c r="I307" s="29">
        <f t="shared" si="19"/>
        <v>40319</v>
      </c>
    </row>
    <row r="308" spans="1:9" ht="12.75" customHeight="1" x14ac:dyDescent="0.2">
      <c r="A308" s="28">
        <v>40323</v>
      </c>
      <c r="B308" s="26" t="s">
        <v>1770</v>
      </c>
      <c r="C308" s="26" t="s">
        <v>9</v>
      </c>
      <c r="D308" s="35" t="s">
        <v>20</v>
      </c>
      <c r="E308" s="35" t="s">
        <v>20</v>
      </c>
      <c r="F308" s="35" t="s">
        <v>20</v>
      </c>
      <c r="G308" t="b">
        <f t="shared" si="17"/>
        <v>0</v>
      </c>
      <c r="H308" t="b">
        <f t="shared" si="18"/>
        <v>0</v>
      </c>
      <c r="I308" s="29">
        <f t="shared" si="19"/>
        <v>40323</v>
      </c>
    </row>
    <row r="309" spans="1:9" ht="25.5" x14ac:dyDescent="0.2">
      <c r="A309" s="28">
        <v>40323</v>
      </c>
      <c r="B309" s="26" t="s">
        <v>788</v>
      </c>
      <c r="C309" s="26" t="s">
        <v>9</v>
      </c>
      <c r="D309" s="35" t="s">
        <v>20</v>
      </c>
      <c r="E309" s="35" t="s">
        <v>20</v>
      </c>
      <c r="F309" s="35" t="s">
        <v>20</v>
      </c>
      <c r="G309" t="b">
        <f t="shared" si="17"/>
        <v>0</v>
      </c>
      <c r="H309" t="b">
        <f t="shared" si="18"/>
        <v>0</v>
      </c>
      <c r="I309" s="29">
        <f t="shared" si="19"/>
        <v>40323</v>
      </c>
    </row>
    <row r="310" spans="1:9" ht="25.5" x14ac:dyDescent="0.2">
      <c r="A310" s="28">
        <v>40323</v>
      </c>
      <c r="B310" s="26" t="s">
        <v>3297</v>
      </c>
      <c r="C310" s="26" t="s">
        <v>9</v>
      </c>
      <c r="D310" s="35" t="s">
        <v>20</v>
      </c>
      <c r="E310" s="35" t="s">
        <v>20</v>
      </c>
      <c r="F310" s="35" t="s">
        <v>20</v>
      </c>
      <c r="G310" t="b">
        <f t="shared" si="17"/>
        <v>0</v>
      </c>
      <c r="H310" t="b">
        <f t="shared" si="18"/>
        <v>0</v>
      </c>
      <c r="I310" s="29">
        <f t="shared" si="19"/>
        <v>40323</v>
      </c>
    </row>
    <row r="311" spans="1:9" ht="12.75" customHeight="1" x14ac:dyDescent="0.2">
      <c r="A311" s="28">
        <v>40325</v>
      </c>
      <c r="B311" s="26" t="s">
        <v>135</v>
      </c>
      <c r="C311" s="26" t="s">
        <v>3209</v>
      </c>
      <c r="D311" s="35">
        <v>95000000</v>
      </c>
      <c r="E311" s="35">
        <v>95347692</v>
      </c>
      <c r="F311" s="35">
        <v>294680778</v>
      </c>
      <c r="G311" t="b">
        <f t="shared" si="17"/>
        <v>0</v>
      </c>
      <c r="H311" t="b">
        <f t="shared" si="18"/>
        <v>0</v>
      </c>
      <c r="I311" s="29">
        <f t="shared" si="19"/>
        <v>40325</v>
      </c>
    </row>
    <row r="312" spans="1:9" ht="12.75" customHeight="1" x14ac:dyDescent="0.2">
      <c r="A312" s="28">
        <v>40326</v>
      </c>
      <c r="B312" s="26" t="s">
        <v>3243</v>
      </c>
      <c r="C312" s="26" t="s">
        <v>1619</v>
      </c>
      <c r="D312" s="35" t="s">
        <v>20</v>
      </c>
      <c r="E312" s="35">
        <v>773615</v>
      </c>
      <c r="F312" s="35" t="s">
        <v>20</v>
      </c>
      <c r="G312" t="b">
        <f t="shared" si="17"/>
        <v>0</v>
      </c>
      <c r="H312" t="b">
        <f t="shared" si="18"/>
        <v>0</v>
      </c>
      <c r="I312" s="29">
        <f t="shared" si="19"/>
        <v>40326</v>
      </c>
    </row>
    <row r="313" spans="1:9" ht="38.25" x14ac:dyDescent="0.2">
      <c r="A313" s="28">
        <v>40326</v>
      </c>
      <c r="B313" s="26" t="s">
        <v>1663</v>
      </c>
      <c r="C313" s="26" t="s">
        <v>9</v>
      </c>
      <c r="D313" s="35">
        <v>4200000</v>
      </c>
      <c r="E313" s="35">
        <v>101740</v>
      </c>
      <c r="F313" s="35" t="s">
        <v>20</v>
      </c>
      <c r="G313" t="b">
        <f t="shared" si="17"/>
        <v>0</v>
      </c>
      <c r="H313" t="b">
        <f t="shared" si="18"/>
        <v>0</v>
      </c>
      <c r="I313" s="29">
        <f t="shared" si="19"/>
        <v>40326</v>
      </c>
    </row>
    <row r="314" spans="1:9" ht="12.75" customHeight="1" x14ac:dyDescent="0.2">
      <c r="A314" s="28">
        <v>40326</v>
      </c>
      <c r="B314" s="26" t="s">
        <v>2040</v>
      </c>
      <c r="C314" s="26" t="s">
        <v>612</v>
      </c>
      <c r="D314" s="35">
        <v>42000000</v>
      </c>
      <c r="E314" s="35">
        <v>1254927</v>
      </c>
      <c r="F314" s="35">
        <v>11752156</v>
      </c>
      <c r="G314" t="b">
        <f t="shared" si="17"/>
        <v>0</v>
      </c>
      <c r="H314" t="b">
        <f t="shared" si="18"/>
        <v>0</v>
      </c>
      <c r="I314" s="29">
        <f t="shared" si="19"/>
        <v>40326</v>
      </c>
    </row>
    <row r="315" spans="1:9" ht="12.75" customHeight="1" x14ac:dyDescent="0.2">
      <c r="A315" s="28">
        <v>40326</v>
      </c>
      <c r="B315" s="26" t="s">
        <v>1774</v>
      </c>
      <c r="C315" s="26" t="s">
        <v>9</v>
      </c>
      <c r="D315" s="35">
        <v>70000000</v>
      </c>
      <c r="E315" s="35">
        <v>619423</v>
      </c>
      <c r="F315" s="35">
        <v>38992292</v>
      </c>
      <c r="G315" t="b">
        <f t="shared" si="17"/>
        <v>0</v>
      </c>
      <c r="H315" t="b">
        <f t="shared" si="18"/>
        <v>0</v>
      </c>
      <c r="I315" s="29">
        <f t="shared" si="19"/>
        <v>40326</v>
      </c>
    </row>
    <row r="316" spans="1:9" ht="25.5" x14ac:dyDescent="0.2">
      <c r="A316" s="28">
        <v>40326</v>
      </c>
      <c r="B316" s="26" t="s">
        <v>1914</v>
      </c>
      <c r="C316" s="26" t="s">
        <v>3390</v>
      </c>
      <c r="D316" s="35">
        <v>200000000</v>
      </c>
      <c r="E316" s="35">
        <v>90755643</v>
      </c>
      <c r="F316" s="35">
        <v>335055643</v>
      </c>
      <c r="G316" t="b">
        <f t="shared" si="17"/>
        <v>0</v>
      </c>
      <c r="H316" t="b">
        <f t="shared" si="18"/>
        <v>0</v>
      </c>
      <c r="I316" s="29">
        <f t="shared" si="19"/>
        <v>40326</v>
      </c>
    </row>
    <row r="317" spans="1:9" ht="12.75" customHeight="1" x14ac:dyDescent="0.2">
      <c r="A317" s="28">
        <v>40330</v>
      </c>
      <c r="B317" s="26" t="s">
        <v>732</v>
      </c>
      <c r="C317" s="26" t="s">
        <v>9</v>
      </c>
      <c r="D317" s="35" t="s">
        <v>20</v>
      </c>
      <c r="E317" s="35" t="s">
        <v>20</v>
      </c>
      <c r="F317" s="35" t="s">
        <v>20</v>
      </c>
      <c r="G317" t="b">
        <f t="shared" si="17"/>
        <v>0</v>
      </c>
      <c r="H317" t="b">
        <f t="shared" si="18"/>
        <v>0</v>
      </c>
      <c r="I317" s="29">
        <f t="shared" si="19"/>
        <v>40330</v>
      </c>
    </row>
    <row r="318" spans="1:9" ht="25.5" x14ac:dyDescent="0.2">
      <c r="A318" s="28">
        <v>40330</v>
      </c>
      <c r="B318" s="26" t="s">
        <v>3287</v>
      </c>
      <c r="C318" s="26" t="s">
        <v>9</v>
      </c>
      <c r="D318" s="35" t="s">
        <v>20</v>
      </c>
      <c r="E318" s="35" t="s">
        <v>20</v>
      </c>
      <c r="F318" s="35" t="s">
        <v>20</v>
      </c>
      <c r="G318" t="b">
        <f t="shared" si="17"/>
        <v>0</v>
      </c>
      <c r="H318" t="b">
        <f t="shared" si="18"/>
        <v>0</v>
      </c>
      <c r="I318" s="29">
        <f t="shared" si="19"/>
        <v>40330</v>
      </c>
    </row>
    <row r="319" spans="1:9" ht="12.75" customHeight="1" x14ac:dyDescent="0.2">
      <c r="A319" s="28">
        <v>40333</v>
      </c>
      <c r="B319" s="26" t="s">
        <v>2220</v>
      </c>
      <c r="C319" s="26" t="s">
        <v>2310</v>
      </c>
      <c r="D319" s="35" t="s">
        <v>20</v>
      </c>
      <c r="E319" s="35">
        <v>47059963</v>
      </c>
      <c r="F319" s="35">
        <v>85704268</v>
      </c>
      <c r="G319" t="b">
        <f t="shared" si="17"/>
        <v>0</v>
      </c>
      <c r="H319" t="b">
        <f t="shared" si="18"/>
        <v>0</v>
      </c>
      <c r="I319" s="29">
        <f t="shared" si="19"/>
        <v>40333</v>
      </c>
    </row>
    <row r="320" spans="1:9" ht="12.75" customHeight="1" x14ac:dyDescent="0.2">
      <c r="A320" s="28">
        <v>40333</v>
      </c>
      <c r="B320" s="26" t="s">
        <v>466</v>
      </c>
      <c r="C320" s="26" t="s">
        <v>9</v>
      </c>
      <c r="D320" s="35" t="s">
        <v>20</v>
      </c>
      <c r="E320" s="35">
        <v>550472</v>
      </c>
      <c r="F320" s="35" t="s">
        <v>20</v>
      </c>
      <c r="G320" t="b">
        <f t="shared" si="17"/>
        <v>0</v>
      </c>
      <c r="H320" t="b">
        <f t="shared" si="18"/>
        <v>0</v>
      </c>
      <c r="I320" s="29">
        <f t="shared" si="19"/>
        <v>40333</v>
      </c>
    </row>
    <row r="321" spans="1:9" ht="25.5" x14ac:dyDescent="0.2">
      <c r="A321" s="28">
        <v>40333</v>
      </c>
      <c r="B321" s="26" t="s">
        <v>3401</v>
      </c>
      <c r="C321" s="26" t="s">
        <v>2285</v>
      </c>
      <c r="D321" s="35" t="s">
        <v>20</v>
      </c>
      <c r="E321" s="35">
        <v>10478</v>
      </c>
      <c r="F321" s="35" t="s">
        <v>20</v>
      </c>
      <c r="G321" t="b">
        <f t="shared" si="17"/>
        <v>0</v>
      </c>
      <c r="H321" t="b">
        <f t="shared" si="18"/>
        <v>0</v>
      </c>
      <c r="I321" s="29">
        <f t="shared" si="19"/>
        <v>40333</v>
      </c>
    </row>
    <row r="322" spans="1:9" ht="12.75" customHeight="1" x14ac:dyDescent="0.2">
      <c r="A322" s="28">
        <v>40333</v>
      </c>
      <c r="B322" s="26" t="s">
        <v>2496</v>
      </c>
      <c r="C322" s="26" t="s">
        <v>9</v>
      </c>
      <c r="D322" s="35" t="s">
        <v>20</v>
      </c>
      <c r="E322" s="35">
        <v>6783</v>
      </c>
      <c r="F322" s="35" t="s">
        <v>20</v>
      </c>
      <c r="G322" t="b">
        <f t="shared" si="17"/>
        <v>0</v>
      </c>
      <c r="H322" t="b">
        <f t="shared" si="18"/>
        <v>0</v>
      </c>
      <c r="I322" s="29">
        <f t="shared" si="19"/>
        <v>40333</v>
      </c>
    </row>
    <row r="323" spans="1:9" ht="12.75" customHeight="1" x14ac:dyDescent="0.2">
      <c r="A323" s="28">
        <v>40333</v>
      </c>
      <c r="B323" s="26" t="s">
        <v>1862</v>
      </c>
      <c r="C323" s="26" t="s">
        <v>9</v>
      </c>
      <c r="D323" s="35" t="s">
        <v>20</v>
      </c>
      <c r="E323" s="35">
        <v>3394</v>
      </c>
      <c r="F323" s="35" t="s">
        <v>20</v>
      </c>
      <c r="G323" t="b">
        <f t="shared" si="17"/>
        <v>0</v>
      </c>
      <c r="H323" t="b">
        <f t="shared" si="18"/>
        <v>0</v>
      </c>
      <c r="I323" s="29">
        <f t="shared" si="19"/>
        <v>40333</v>
      </c>
    </row>
    <row r="324" spans="1:9" ht="25.5" x14ac:dyDescent="0.2">
      <c r="A324" s="28">
        <v>40333</v>
      </c>
      <c r="B324" s="26" t="s">
        <v>387</v>
      </c>
      <c r="C324" s="26" t="s">
        <v>3096</v>
      </c>
      <c r="D324" s="35" t="s">
        <v>20</v>
      </c>
      <c r="E324" s="35">
        <v>61153526</v>
      </c>
      <c r="F324" s="35">
        <v>91079368</v>
      </c>
      <c r="G324" t="b">
        <f t="shared" si="17"/>
        <v>0</v>
      </c>
      <c r="H324" t="b">
        <f t="shared" si="18"/>
        <v>0</v>
      </c>
      <c r="I324" s="29">
        <f t="shared" si="19"/>
        <v>40333</v>
      </c>
    </row>
    <row r="325" spans="1:9" ht="12.75" customHeight="1" x14ac:dyDescent="0.2">
      <c r="A325" s="28">
        <v>40333</v>
      </c>
      <c r="B325" s="26" t="s">
        <v>3142</v>
      </c>
      <c r="C325" s="26" t="s">
        <v>9</v>
      </c>
      <c r="D325" s="35" t="s">
        <v>20</v>
      </c>
      <c r="E325" s="35">
        <v>5427</v>
      </c>
      <c r="F325" s="35" t="s">
        <v>20</v>
      </c>
      <c r="G325" t="b">
        <f t="shared" si="17"/>
        <v>0</v>
      </c>
      <c r="H325" t="b">
        <f t="shared" si="18"/>
        <v>0</v>
      </c>
      <c r="I325" s="29">
        <f t="shared" si="19"/>
        <v>40333</v>
      </c>
    </row>
    <row r="326" spans="1:9" ht="12.75" customHeight="1" x14ac:dyDescent="0.2">
      <c r="A326" s="28">
        <v>40333</v>
      </c>
      <c r="B326" s="26" t="s">
        <v>1950</v>
      </c>
      <c r="C326" s="26" t="s">
        <v>9</v>
      </c>
      <c r="D326" s="35" t="s">
        <v>20</v>
      </c>
      <c r="E326" s="35">
        <v>20218</v>
      </c>
      <c r="F326" s="35" t="s">
        <v>20</v>
      </c>
      <c r="G326" t="b">
        <f t="shared" si="17"/>
        <v>0</v>
      </c>
      <c r="H326" t="b">
        <f t="shared" si="18"/>
        <v>0</v>
      </c>
      <c r="I326" s="29">
        <f t="shared" si="19"/>
        <v>40333</v>
      </c>
    </row>
    <row r="327" spans="1:9" ht="25.5" x14ac:dyDescent="0.2">
      <c r="A327" s="28">
        <v>40333</v>
      </c>
      <c r="B327" s="26" t="s">
        <v>2725</v>
      </c>
      <c r="C327" s="26" t="s">
        <v>9</v>
      </c>
      <c r="D327" s="35" t="s">
        <v>20</v>
      </c>
      <c r="E327" s="35">
        <v>69047</v>
      </c>
      <c r="F327" s="35" t="s">
        <v>20</v>
      </c>
      <c r="G327" t="b">
        <f t="shared" si="17"/>
        <v>0</v>
      </c>
      <c r="H327" t="b">
        <f t="shared" si="18"/>
        <v>0</v>
      </c>
      <c r="I327" s="29">
        <f t="shared" si="19"/>
        <v>40333</v>
      </c>
    </row>
    <row r="328" spans="1:9" ht="12.75" customHeight="1" x14ac:dyDescent="0.2">
      <c r="A328" s="28">
        <v>40333</v>
      </c>
      <c r="B328" s="26" t="s">
        <v>385</v>
      </c>
      <c r="C328" s="26" t="s">
        <v>9</v>
      </c>
      <c r="D328" s="35" t="s">
        <v>20</v>
      </c>
      <c r="E328" s="35">
        <v>1514557</v>
      </c>
      <c r="F328" s="35">
        <v>27702802</v>
      </c>
      <c r="G328" t="b">
        <f t="shared" si="17"/>
        <v>0</v>
      </c>
      <c r="H328" t="b">
        <f t="shared" si="18"/>
        <v>0</v>
      </c>
      <c r="I328" s="29">
        <f t="shared" si="19"/>
        <v>40333</v>
      </c>
    </row>
    <row r="329" spans="1:9" ht="12.75" customHeight="1" x14ac:dyDescent="0.2">
      <c r="A329" s="28">
        <v>40333</v>
      </c>
      <c r="B329" s="26" t="s">
        <v>3367</v>
      </c>
      <c r="C329" s="26" t="s">
        <v>9</v>
      </c>
      <c r="D329" s="35" t="s">
        <v>20</v>
      </c>
      <c r="E329" s="35">
        <v>1220</v>
      </c>
      <c r="F329" s="35" t="s">
        <v>20</v>
      </c>
      <c r="G329" t="b">
        <f t="shared" si="17"/>
        <v>0</v>
      </c>
      <c r="H329" t="b">
        <f t="shared" si="18"/>
        <v>0</v>
      </c>
      <c r="I329" s="29">
        <f t="shared" si="19"/>
        <v>40333</v>
      </c>
    </row>
    <row r="330" spans="1:9" ht="12.75" customHeight="1" x14ac:dyDescent="0.2">
      <c r="A330" s="28">
        <v>40333</v>
      </c>
      <c r="B330" s="26" t="s">
        <v>839</v>
      </c>
      <c r="C330" s="26" t="s">
        <v>9</v>
      </c>
      <c r="D330" s="35" t="s">
        <v>20</v>
      </c>
      <c r="E330" s="35">
        <v>15628</v>
      </c>
      <c r="F330" s="35" t="s">
        <v>20</v>
      </c>
      <c r="G330" t="b">
        <f t="shared" si="17"/>
        <v>0</v>
      </c>
      <c r="H330" t="b">
        <f t="shared" si="18"/>
        <v>0</v>
      </c>
      <c r="I330" s="29">
        <f t="shared" si="19"/>
        <v>40333</v>
      </c>
    </row>
    <row r="331" spans="1:9" ht="38.25" x14ac:dyDescent="0.2">
      <c r="A331" s="28">
        <v>40333</v>
      </c>
      <c r="B331" s="26" t="s">
        <v>1640</v>
      </c>
      <c r="C331" s="26" t="s">
        <v>9</v>
      </c>
      <c r="D331" s="35" t="s">
        <v>20</v>
      </c>
      <c r="E331" s="35">
        <v>70115</v>
      </c>
      <c r="F331" s="35" t="s">
        <v>20</v>
      </c>
      <c r="G331" t="b">
        <f t="shared" si="17"/>
        <v>0</v>
      </c>
      <c r="H331" t="b">
        <f t="shared" si="18"/>
        <v>0</v>
      </c>
      <c r="I331" s="29">
        <f t="shared" si="19"/>
        <v>40333</v>
      </c>
    </row>
    <row r="332" spans="1:9" ht="12.75" customHeight="1" x14ac:dyDescent="0.2">
      <c r="A332" s="28">
        <v>40333</v>
      </c>
      <c r="B332" s="26" t="s">
        <v>3151</v>
      </c>
      <c r="C332" s="26" t="s">
        <v>384</v>
      </c>
      <c r="D332" s="35" t="s">
        <v>20</v>
      </c>
      <c r="E332" s="35">
        <v>33644788</v>
      </c>
      <c r="F332" s="35">
        <v>83992610</v>
      </c>
      <c r="G332" t="b">
        <f t="shared" si="17"/>
        <v>0</v>
      </c>
      <c r="H332" t="b">
        <f t="shared" si="18"/>
        <v>0</v>
      </c>
      <c r="I332" s="29">
        <f t="shared" si="19"/>
        <v>40333</v>
      </c>
    </row>
    <row r="333" spans="1:9" ht="12.75" customHeight="1" x14ac:dyDescent="0.2">
      <c r="A333" s="28">
        <v>40333</v>
      </c>
      <c r="B333" s="26" t="s">
        <v>824</v>
      </c>
      <c r="C333" s="26" t="s">
        <v>1695</v>
      </c>
      <c r="D333" s="35" t="s">
        <v>20</v>
      </c>
      <c r="E333" s="35">
        <v>17010170</v>
      </c>
      <c r="F333" s="35">
        <v>22461001</v>
      </c>
      <c r="G333" t="b">
        <f t="shared" si="17"/>
        <v>0</v>
      </c>
      <c r="H333" t="b">
        <f t="shared" si="18"/>
        <v>0</v>
      </c>
      <c r="I333" s="29">
        <f t="shared" si="19"/>
        <v>40333</v>
      </c>
    </row>
    <row r="334" spans="1:9" x14ac:dyDescent="0.2">
      <c r="A334" s="28">
        <v>40333</v>
      </c>
      <c r="B334" s="26" t="s">
        <v>3300</v>
      </c>
      <c r="C334" s="26" t="s">
        <v>2695</v>
      </c>
      <c r="D334" s="35" t="s">
        <v>20</v>
      </c>
      <c r="E334" s="35">
        <v>42392</v>
      </c>
      <c r="F334" s="35" t="s">
        <v>20</v>
      </c>
      <c r="G334" t="b">
        <f t="shared" si="17"/>
        <v>0</v>
      </c>
      <c r="H334" t="b">
        <f t="shared" si="18"/>
        <v>0</v>
      </c>
      <c r="I334" s="29">
        <f t="shared" si="19"/>
        <v>40333</v>
      </c>
    </row>
    <row r="335" spans="1:9" ht="25.5" x14ac:dyDescent="0.2">
      <c r="A335" s="28">
        <v>40333</v>
      </c>
      <c r="B335" s="26" t="s">
        <v>1591</v>
      </c>
      <c r="C335" s="26" t="s">
        <v>9</v>
      </c>
      <c r="D335" s="35" t="s">
        <v>20</v>
      </c>
      <c r="E335" s="35">
        <v>530369</v>
      </c>
      <c r="F335" s="35" t="s">
        <v>20</v>
      </c>
      <c r="G335" t="b">
        <f t="shared" si="17"/>
        <v>0</v>
      </c>
      <c r="H335" t="b">
        <f t="shared" si="18"/>
        <v>0</v>
      </c>
      <c r="I335" s="29">
        <f t="shared" si="19"/>
        <v>40333</v>
      </c>
    </row>
    <row r="336" spans="1:9" ht="25.5" x14ac:dyDescent="0.2">
      <c r="A336" s="28">
        <v>40337</v>
      </c>
      <c r="B336" s="26" t="s">
        <v>3016</v>
      </c>
      <c r="C336" s="26" t="s">
        <v>9</v>
      </c>
      <c r="D336" s="35" t="s">
        <v>20</v>
      </c>
      <c r="E336" s="35" t="s">
        <v>20</v>
      </c>
      <c r="F336" s="35" t="s">
        <v>20</v>
      </c>
      <c r="G336" t="b">
        <f t="shared" si="17"/>
        <v>0</v>
      </c>
      <c r="H336" t="b">
        <f t="shared" si="18"/>
        <v>0</v>
      </c>
      <c r="I336" s="29">
        <f t="shared" si="19"/>
        <v>40337</v>
      </c>
    </row>
    <row r="337" spans="1:9" ht="38.25" x14ac:dyDescent="0.2">
      <c r="A337" s="28">
        <v>40337</v>
      </c>
      <c r="B337" s="26" t="s">
        <v>1174</v>
      </c>
      <c r="C337" s="26" t="s">
        <v>9</v>
      </c>
      <c r="D337" s="35" t="s">
        <v>20</v>
      </c>
      <c r="E337" s="35" t="s">
        <v>20</v>
      </c>
      <c r="F337" s="35" t="s">
        <v>20</v>
      </c>
      <c r="G337" t="b">
        <f t="shared" si="17"/>
        <v>0</v>
      </c>
      <c r="H337" t="b">
        <f t="shared" si="18"/>
        <v>0</v>
      </c>
      <c r="I337" s="29">
        <f t="shared" si="19"/>
        <v>40337</v>
      </c>
    </row>
    <row r="338" spans="1:9" ht="12.75" customHeight="1" x14ac:dyDescent="0.2">
      <c r="A338" s="28">
        <v>40337</v>
      </c>
      <c r="B338" s="26" t="s">
        <v>1934</v>
      </c>
      <c r="C338" s="26" t="s">
        <v>9</v>
      </c>
      <c r="D338" s="35" t="s">
        <v>20</v>
      </c>
      <c r="E338" s="35" t="s">
        <v>20</v>
      </c>
      <c r="F338" s="35" t="s">
        <v>20</v>
      </c>
      <c r="G338" t="b">
        <f t="shared" si="17"/>
        <v>0</v>
      </c>
      <c r="H338" t="b">
        <f t="shared" si="18"/>
        <v>0</v>
      </c>
      <c r="I338" s="29">
        <f t="shared" si="19"/>
        <v>40337</v>
      </c>
    </row>
    <row r="339" spans="1:9" ht="12.75" customHeight="1" x14ac:dyDescent="0.2">
      <c r="A339" s="28">
        <v>40337</v>
      </c>
      <c r="B339" s="26" t="s">
        <v>509</v>
      </c>
      <c r="C339" s="26" t="s">
        <v>746</v>
      </c>
      <c r="D339" s="35" t="s">
        <v>20</v>
      </c>
      <c r="E339" s="35" t="s">
        <v>20</v>
      </c>
      <c r="F339" s="35" t="s">
        <v>20</v>
      </c>
      <c r="G339" t="b">
        <f t="shared" si="17"/>
        <v>0</v>
      </c>
      <c r="H339" t="b">
        <f t="shared" si="18"/>
        <v>0</v>
      </c>
      <c r="I339" s="29">
        <f t="shared" si="19"/>
        <v>40337</v>
      </c>
    </row>
    <row r="340" spans="1:9" ht="63.75" x14ac:dyDescent="0.2">
      <c r="A340" s="28">
        <v>40337</v>
      </c>
      <c r="B340" s="26" t="s">
        <v>3163</v>
      </c>
      <c r="C340" s="26" t="s">
        <v>9</v>
      </c>
      <c r="D340" s="35" t="s">
        <v>20</v>
      </c>
      <c r="E340" s="35" t="s">
        <v>20</v>
      </c>
      <c r="F340" s="35" t="s">
        <v>20</v>
      </c>
      <c r="G340" t="b">
        <f t="shared" si="17"/>
        <v>0</v>
      </c>
      <c r="H340" t="b">
        <f t="shared" si="18"/>
        <v>0</v>
      </c>
      <c r="I340" s="29">
        <f t="shared" si="19"/>
        <v>40337</v>
      </c>
    </row>
    <row r="341" spans="1:9" ht="12.75" customHeight="1" x14ac:dyDescent="0.2">
      <c r="A341" s="28">
        <v>40340</v>
      </c>
      <c r="B341" s="26" t="s">
        <v>2388</v>
      </c>
      <c r="C341" s="26" t="s">
        <v>384</v>
      </c>
      <c r="D341" s="35">
        <v>110000000</v>
      </c>
      <c r="E341" s="35">
        <v>77222099</v>
      </c>
      <c r="F341" s="35">
        <v>177167609</v>
      </c>
      <c r="G341" t="b">
        <f t="shared" si="17"/>
        <v>0</v>
      </c>
      <c r="H341" t="b">
        <f t="shared" si="18"/>
        <v>0</v>
      </c>
      <c r="I341" s="29">
        <f t="shared" si="19"/>
        <v>40340</v>
      </c>
    </row>
    <row r="342" spans="1:9" ht="25.5" x14ac:dyDescent="0.2">
      <c r="A342" s="28">
        <v>40340</v>
      </c>
      <c r="B342" s="26" t="s">
        <v>1481</v>
      </c>
      <c r="C342" s="26" t="s">
        <v>9</v>
      </c>
      <c r="D342" s="35" t="s">
        <v>20</v>
      </c>
      <c r="E342" s="35">
        <v>1724882</v>
      </c>
      <c r="F342" s="35" t="s">
        <v>20</v>
      </c>
      <c r="G342" t="b">
        <f t="shared" si="17"/>
        <v>0</v>
      </c>
      <c r="H342" t="b">
        <f t="shared" si="18"/>
        <v>0</v>
      </c>
      <c r="I342" s="29">
        <f t="shared" si="19"/>
        <v>40340</v>
      </c>
    </row>
    <row r="343" spans="1:9" ht="12.75" customHeight="1" x14ac:dyDescent="0.2">
      <c r="A343" s="28">
        <v>40340</v>
      </c>
      <c r="B343" s="26" t="s">
        <v>2451</v>
      </c>
      <c r="C343" s="26" t="s">
        <v>2160</v>
      </c>
      <c r="D343" s="35">
        <v>40000000</v>
      </c>
      <c r="E343" s="35">
        <v>176591618</v>
      </c>
      <c r="F343" s="35">
        <v>359091618</v>
      </c>
      <c r="G343" t="b">
        <f t="shared" si="17"/>
        <v>0</v>
      </c>
      <c r="H343" t="b">
        <f t="shared" si="18"/>
        <v>0</v>
      </c>
      <c r="I343" s="29">
        <f t="shared" si="19"/>
        <v>40340</v>
      </c>
    </row>
    <row r="344" spans="1:9" ht="25.5" x14ac:dyDescent="0.2">
      <c r="A344" s="28">
        <v>40340</v>
      </c>
      <c r="B344" s="26" t="s">
        <v>2317</v>
      </c>
      <c r="C344" s="26" t="s">
        <v>9</v>
      </c>
      <c r="D344" s="35" t="s">
        <v>20</v>
      </c>
      <c r="E344" s="35">
        <v>63696</v>
      </c>
      <c r="F344" s="35" t="s">
        <v>20</v>
      </c>
      <c r="G344" t="b">
        <f t="shared" si="17"/>
        <v>0</v>
      </c>
      <c r="H344" t="b">
        <f t="shared" si="18"/>
        <v>0</v>
      </c>
      <c r="I344" s="29">
        <f t="shared" si="19"/>
        <v>40340</v>
      </c>
    </row>
    <row r="345" spans="1:9" ht="12.75" customHeight="1" x14ac:dyDescent="0.2">
      <c r="A345" s="28">
        <v>40340</v>
      </c>
      <c r="B345" s="26" t="s">
        <v>577</v>
      </c>
      <c r="C345" s="26" t="s">
        <v>9</v>
      </c>
      <c r="D345" s="35">
        <v>2000000</v>
      </c>
      <c r="E345" s="35">
        <v>6356033</v>
      </c>
      <c r="F345" s="35" t="s">
        <v>20</v>
      </c>
      <c r="G345" t="b">
        <f t="shared" si="17"/>
        <v>0</v>
      </c>
      <c r="H345" t="b">
        <f t="shared" si="18"/>
        <v>0</v>
      </c>
      <c r="I345" s="29">
        <f t="shared" si="19"/>
        <v>40340</v>
      </c>
    </row>
    <row r="346" spans="1:9" ht="25.5" x14ac:dyDescent="0.2">
      <c r="A346" s="28">
        <v>40340</v>
      </c>
      <c r="B346" s="26" t="s">
        <v>2048</v>
      </c>
      <c r="C346" s="26" t="s">
        <v>1619</v>
      </c>
      <c r="D346" s="35" t="s">
        <v>20</v>
      </c>
      <c r="E346" s="35">
        <v>413432</v>
      </c>
      <c r="F346" s="35" t="s">
        <v>20</v>
      </c>
      <c r="G346" t="b">
        <f t="shared" si="17"/>
        <v>0</v>
      </c>
      <c r="H346" t="b">
        <f t="shared" si="18"/>
        <v>0</v>
      </c>
      <c r="I346" s="29">
        <f t="shared" si="19"/>
        <v>40340</v>
      </c>
    </row>
    <row r="347" spans="1:9" ht="25.5" x14ac:dyDescent="0.2">
      <c r="A347" s="28">
        <v>40340</v>
      </c>
      <c r="B347" s="26" t="s">
        <v>3227</v>
      </c>
      <c r="C347" s="26" t="s">
        <v>3466</v>
      </c>
      <c r="D347" s="35" t="s">
        <v>20</v>
      </c>
      <c r="E347" s="35">
        <v>2930687</v>
      </c>
      <c r="F347" s="35" t="s">
        <v>20</v>
      </c>
      <c r="G347" t="b">
        <f t="shared" si="17"/>
        <v>0</v>
      </c>
      <c r="H347" t="b">
        <f t="shared" si="18"/>
        <v>0</v>
      </c>
      <c r="I347" s="29">
        <f t="shared" si="19"/>
        <v>40340</v>
      </c>
    </row>
    <row r="348" spans="1:9" ht="12.75" customHeight="1" x14ac:dyDescent="0.2">
      <c r="A348" s="28">
        <v>40340</v>
      </c>
      <c r="B348" s="26" t="s">
        <v>1158</v>
      </c>
      <c r="C348" s="26" t="s">
        <v>9</v>
      </c>
      <c r="D348" s="35" t="s">
        <v>20</v>
      </c>
      <c r="E348" s="35">
        <v>54543</v>
      </c>
      <c r="F348" s="35" t="s">
        <v>20</v>
      </c>
      <c r="G348" t="b">
        <f t="shared" si="17"/>
        <v>0</v>
      </c>
      <c r="H348" t="b">
        <f t="shared" si="18"/>
        <v>0</v>
      </c>
      <c r="I348" s="29">
        <f t="shared" si="19"/>
        <v>40340</v>
      </c>
    </row>
    <row r="349" spans="1:9" ht="12.75" customHeight="1" x14ac:dyDescent="0.2">
      <c r="A349" s="28">
        <v>40344</v>
      </c>
      <c r="B349" s="26" t="s">
        <v>3269</v>
      </c>
      <c r="C349" s="26" t="s">
        <v>9</v>
      </c>
      <c r="D349" s="35" t="s">
        <v>20</v>
      </c>
      <c r="E349" s="35" t="s">
        <v>20</v>
      </c>
      <c r="F349" s="35" t="s">
        <v>20</v>
      </c>
      <c r="G349" t="b">
        <f t="shared" si="17"/>
        <v>0</v>
      </c>
      <c r="H349" t="b">
        <f t="shared" si="18"/>
        <v>0</v>
      </c>
      <c r="I349" s="29">
        <f t="shared" si="19"/>
        <v>40344</v>
      </c>
    </row>
    <row r="350" spans="1:9" ht="12.75" customHeight="1" x14ac:dyDescent="0.2">
      <c r="A350" s="28">
        <v>40344</v>
      </c>
      <c r="B350" s="26" t="s">
        <v>1917</v>
      </c>
      <c r="C350" s="26" t="s">
        <v>9</v>
      </c>
      <c r="D350" s="35" t="s">
        <v>20</v>
      </c>
      <c r="E350" s="35" t="s">
        <v>20</v>
      </c>
      <c r="F350" s="35" t="s">
        <v>20</v>
      </c>
      <c r="G350" t="b">
        <f t="shared" si="17"/>
        <v>0</v>
      </c>
      <c r="H350" t="b">
        <f t="shared" si="18"/>
        <v>0</v>
      </c>
      <c r="I350" s="29">
        <f t="shared" si="19"/>
        <v>40344</v>
      </c>
    </row>
    <row r="351" spans="1:9" x14ac:dyDescent="0.2">
      <c r="A351" s="28">
        <v>40345</v>
      </c>
      <c r="B351" s="26" t="s">
        <v>1347</v>
      </c>
      <c r="C351" s="26" t="s">
        <v>2964</v>
      </c>
      <c r="D351" s="35" t="s">
        <v>20</v>
      </c>
      <c r="E351" s="35">
        <v>127940</v>
      </c>
      <c r="F351" s="35" t="s">
        <v>20</v>
      </c>
      <c r="G351" t="b">
        <f t="shared" ref="G351:G412" si="20">ISBLANK(A351)</f>
        <v>0</v>
      </c>
      <c r="H351" t="b">
        <f t="shared" ref="H351:H412" si="21">ISTEXT(A351)</f>
        <v>0</v>
      </c>
      <c r="I351" s="29">
        <f t="shared" ref="I351:I412" si="22">DATE(2010,MONTH(A351), DAY(A351))</f>
        <v>40345</v>
      </c>
    </row>
    <row r="352" spans="1:9" ht="12.75" customHeight="1" x14ac:dyDescent="0.2">
      <c r="A352" s="28">
        <v>40346</v>
      </c>
      <c r="B352" s="26" t="s">
        <v>2535</v>
      </c>
      <c r="C352" s="26" t="s">
        <v>9</v>
      </c>
      <c r="D352" s="35" t="s">
        <v>20</v>
      </c>
      <c r="E352" s="35" t="s">
        <v>20</v>
      </c>
      <c r="F352" s="35">
        <v>1849944</v>
      </c>
      <c r="G352" t="b">
        <f t="shared" si="20"/>
        <v>0</v>
      </c>
      <c r="H352" t="b">
        <f t="shared" si="21"/>
        <v>0</v>
      </c>
      <c r="I352" s="29">
        <f t="shared" si="22"/>
        <v>40346</v>
      </c>
    </row>
    <row r="353" spans="1:9" ht="12.75" customHeight="1" x14ac:dyDescent="0.2">
      <c r="A353" s="28">
        <v>40347</v>
      </c>
      <c r="B353" s="26" t="s">
        <v>1757</v>
      </c>
      <c r="C353" s="26" t="s">
        <v>3209</v>
      </c>
      <c r="D353" s="35">
        <v>47000000</v>
      </c>
      <c r="E353" s="35">
        <v>10547117</v>
      </c>
      <c r="F353" s="35" t="s">
        <v>20</v>
      </c>
      <c r="G353" t="b">
        <f t="shared" si="20"/>
        <v>0</v>
      </c>
      <c r="H353" t="b">
        <f t="shared" si="21"/>
        <v>0</v>
      </c>
      <c r="I353" s="29">
        <f t="shared" si="22"/>
        <v>40347</v>
      </c>
    </row>
    <row r="354" spans="1:9" ht="25.5" x14ac:dyDescent="0.2">
      <c r="A354" s="28">
        <v>40347</v>
      </c>
      <c r="B354" s="26" t="s">
        <v>2732</v>
      </c>
      <c r="C354" s="26" t="s">
        <v>9</v>
      </c>
      <c r="D354" s="35" t="s">
        <v>20</v>
      </c>
      <c r="E354" s="35">
        <v>100280</v>
      </c>
      <c r="F354" s="35" t="s">
        <v>20</v>
      </c>
      <c r="G354" t="b">
        <f t="shared" si="20"/>
        <v>0</v>
      </c>
      <c r="H354" t="b">
        <f t="shared" si="21"/>
        <v>0</v>
      </c>
      <c r="I354" s="29">
        <f t="shared" si="22"/>
        <v>40347</v>
      </c>
    </row>
    <row r="355" spans="1:9" x14ac:dyDescent="0.2">
      <c r="A355" s="28">
        <v>40347</v>
      </c>
      <c r="B355" s="26" t="s">
        <v>1734</v>
      </c>
      <c r="C355" s="26" t="s">
        <v>1619</v>
      </c>
      <c r="D355" s="35" t="s">
        <v>20</v>
      </c>
      <c r="E355" s="35">
        <v>249519</v>
      </c>
      <c r="F355" s="35" t="s">
        <v>20</v>
      </c>
      <c r="G355" t="b">
        <f t="shared" si="20"/>
        <v>0</v>
      </c>
      <c r="H355" t="b">
        <f t="shared" si="21"/>
        <v>0</v>
      </c>
      <c r="I355" s="29">
        <f t="shared" si="22"/>
        <v>40347</v>
      </c>
    </row>
    <row r="356" spans="1:9" ht="12.75" customHeight="1" x14ac:dyDescent="0.2">
      <c r="A356" s="28">
        <v>40347</v>
      </c>
      <c r="B356" s="26" t="s">
        <v>2755</v>
      </c>
      <c r="C356" s="26" t="s">
        <v>155</v>
      </c>
      <c r="D356" s="35">
        <v>7000000</v>
      </c>
      <c r="E356" s="35">
        <v>7468936</v>
      </c>
      <c r="F356" s="35">
        <v>9950957</v>
      </c>
      <c r="G356" t="b">
        <f t="shared" si="20"/>
        <v>0</v>
      </c>
      <c r="H356" t="b">
        <f t="shared" si="21"/>
        <v>0</v>
      </c>
      <c r="I356" s="29">
        <f t="shared" si="22"/>
        <v>40347</v>
      </c>
    </row>
    <row r="357" spans="1:9" ht="25.5" x14ac:dyDescent="0.2">
      <c r="A357" s="28">
        <v>40347</v>
      </c>
      <c r="B357" s="26" t="s">
        <v>742</v>
      </c>
      <c r="C357" s="26" t="s">
        <v>930</v>
      </c>
      <c r="D357" s="35" t="s">
        <v>20</v>
      </c>
      <c r="E357" s="35">
        <v>54645</v>
      </c>
      <c r="F357" s="35" t="s">
        <v>20</v>
      </c>
      <c r="G357" t="b">
        <f t="shared" si="20"/>
        <v>0</v>
      </c>
      <c r="H357" t="b">
        <f t="shared" si="21"/>
        <v>0</v>
      </c>
      <c r="I357" s="29">
        <f t="shared" si="22"/>
        <v>40347</v>
      </c>
    </row>
    <row r="358" spans="1:9" ht="12.75" customHeight="1" x14ac:dyDescent="0.2">
      <c r="A358" s="28">
        <v>40347</v>
      </c>
      <c r="B358" s="26" t="s">
        <v>2080</v>
      </c>
      <c r="C358" s="26" t="s">
        <v>9</v>
      </c>
      <c r="D358" s="35" t="s">
        <v>20</v>
      </c>
      <c r="E358" s="35">
        <v>708726</v>
      </c>
      <c r="F358" s="35">
        <v>15284375</v>
      </c>
      <c r="G358" t="b">
        <f t="shared" si="20"/>
        <v>0</v>
      </c>
      <c r="H358" t="b">
        <f t="shared" si="21"/>
        <v>0</v>
      </c>
      <c r="I358" s="29">
        <f t="shared" si="22"/>
        <v>40347</v>
      </c>
    </row>
    <row r="359" spans="1:9" ht="12.75" customHeight="1" x14ac:dyDescent="0.2">
      <c r="A359" s="28">
        <v>40347</v>
      </c>
      <c r="B359" s="26" t="s">
        <v>2783</v>
      </c>
      <c r="C359" s="26" t="s">
        <v>3390</v>
      </c>
      <c r="D359" s="35">
        <v>200000000</v>
      </c>
      <c r="E359" s="35">
        <v>414984497</v>
      </c>
      <c r="F359" s="35">
        <v>1064184497</v>
      </c>
      <c r="G359" t="b">
        <f t="shared" si="20"/>
        <v>0</v>
      </c>
      <c r="H359" t="b">
        <f t="shared" si="21"/>
        <v>0</v>
      </c>
      <c r="I359" s="29">
        <f t="shared" si="22"/>
        <v>40347</v>
      </c>
    </row>
    <row r="360" spans="1:9" ht="25.5" x14ac:dyDescent="0.2">
      <c r="A360" s="28">
        <v>40347</v>
      </c>
      <c r="B360" s="26" t="s">
        <v>3187</v>
      </c>
      <c r="C360" s="26" t="s">
        <v>3466</v>
      </c>
      <c r="D360" s="35">
        <v>13000000</v>
      </c>
      <c r="E360" s="35">
        <v>217277</v>
      </c>
      <c r="F360" s="35">
        <v>3617277</v>
      </c>
      <c r="G360" t="b">
        <f t="shared" si="20"/>
        <v>0</v>
      </c>
      <c r="H360" t="b">
        <f t="shared" si="21"/>
        <v>0</v>
      </c>
      <c r="I360" s="29">
        <f t="shared" si="22"/>
        <v>40347</v>
      </c>
    </row>
    <row r="361" spans="1:9" ht="25.5" x14ac:dyDescent="0.2">
      <c r="A361" s="28">
        <v>40347</v>
      </c>
      <c r="B361" s="26" t="s">
        <v>3469</v>
      </c>
      <c r="C361" s="26" t="s">
        <v>9</v>
      </c>
      <c r="D361" s="35" t="s">
        <v>20</v>
      </c>
      <c r="E361" s="35">
        <v>4584</v>
      </c>
      <c r="F361" s="35" t="s">
        <v>20</v>
      </c>
      <c r="G361" t="b">
        <f t="shared" si="20"/>
        <v>0</v>
      </c>
      <c r="H361" t="b">
        <f t="shared" si="21"/>
        <v>0</v>
      </c>
      <c r="I361" s="29">
        <f t="shared" si="22"/>
        <v>40347</v>
      </c>
    </row>
    <row r="362" spans="1:9" ht="12.75" customHeight="1" x14ac:dyDescent="0.2">
      <c r="A362" s="28">
        <v>40347</v>
      </c>
      <c r="B362" s="26" t="s">
        <v>2590</v>
      </c>
      <c r="C362" s="26" t="s">
        <v>9</v>
      </c>
      <c r="D362" s="35" t="s">
        <v>20</v>
      </c>
      <c r="E362" s="35">
        <v>5004648</v>
      </c>
      <c r="F362" s="35" t="s">
        <v>20</v>
      </c>
      <c r="G362" t="b">
        <f t="shared" si="20"/>
        <v>0</v>
      </c>
      <c r="H362" t="b">
        <f t="shared" si="21"/>
        <v>0</v>
      </c>
      <c r="I362" s="29">
        <f t="shared" si="22"/>
        <v>40347</v>
      </c>
    </row>
    <row r="363" spans="1:9" ht="12.75" customHeight="1" x14ac:dyDescent="0.2">
      <c r="A363" s="28">
        <v>40351</v>
      </c>
      <c r="B363" s="26" t="s">
        <v>2333</v>
      </c>
      <c r="C363" s="26" t="s">
        <v>9</v>
      </c>
      <c r="D363" s="35" t="s">
        <v>20</v>
      </c>
      <c r="E363" s="35" t="s">
        <v>20</v>
      </c>
      <c r="F363" s="35" t="s">
        <v>20</v>
      </c>
      <c r="G363" t="b">
        <f t="shared" si="20"/>
        <v>0</v>
      </c>
      <c r="H363" t="b">
        <f t="shared" si="21"/>
        <v>0</v>
      </c>
      <c r="I363" s="29">
        <f t="shared" si="22"/>
        <v>40351</v>
      </c>
    </row>
    <row r="364" spans="1:9" ht="12.75" customHeight="1" x14ac:dyDescent="0.2">
      <c r="A364" s="28">
        <v>40351</v>
      </c>
      <c r="B364" s="26" t="s">
        <v>628</v>
      </c>
      <c r="C364" s="26" t="s">
        <v>2831</v>
      </c>
      <c r="D364" s="35" t="s">
        <v>20</v>
      </c>
      <c r="E364" s="35" t="s">
        <v>20</v>
      </c>
      <c r="F364" s="35" t="s">
        <v>20</v>
      </c>
      <c r="G364" t="b">
        <f t="shared" si="20"/>
        <v>0</v>
      </c>
      <c r="H364" t="b">
        <f t="shared" si="21"/>
        <v>0</v>
      </c>
      <c r="I364" s="29">
        <f t="shared" si="22"/>
        <v>40351</v>
      </c>
    </row>
    <row r="365" spans="1:9" ht="12.75" customHeight="1" x14ac:dyDescent="0.2">
      <c r="A365" s="28">
        <v>40352</v>
      </c>
      <c r="B365" s="26" t="s">
        <v>1142</v>
      </c>
      <c r="C365" s="26" t="s">
        <v>384</v>
      </c>
      <c r="D365" s="35">
        <v>117000000</v>
      </c>
      <c r="E365" s="35">
        <v>76423035</v>
      </c>
      <c r="F365" s="35">
        <v>262114479</v>
      </c>
      <c r="G365" t="b">
        <f t="shared" si="20"/>
        <v>0</v>
      </c>
      <c r="H365" t="b">
        <f t="shared" si="21"/>
        <v>0</v>
      </c>
      <c r="I365" s="29">
        <f t="shared" si="22"/>
        <v>40352</v>
      </c>
    </row>
    <row r="366" spans="1:9" ht="12.75" customHeight="1" x14ac:dyDescent="0.2">
      <c r="A366" s="28">
        <v>40354</v>
      </c>
      <c r="B366" s="26" t="s">
        <v>1689</v>
      </c>
      <c r="C366" s="26" t="s">
        <v>2160</v>
      </c>
      <c r="D366" s="35">
        <v>75000000</v>
      </c>
      <c r="E366" s="35">
        <v>162001186</v>
      </c>
      <c r="F366" s="35">
        <v>264301186</v>
      </c>
      <c r="G366" t="b">
        <f t="shared" si="20"/>
        <v>0</v>
      </c>
      <c r="H366" t="b">
        <f t="shared" si="21"/>
        <v>0</v>
      </c>
      <c r="I366" s="29">
        <f t="shared" si="22"/>
        <v>40354</v>
      </c>
    </row>
    <row r="367" spans="1:9" ht="12.75" customHeight="1" x14ac:dyDescent="0.2">
      <c r="A367" s="28">
        <v>40354</v>
      </c>
      <c r="B367" s="26" t="s">
        <v>936</v>
      </c>
      <c r="C367" s="26" t="s">
        <v>9</v>
      </c>
      <c r="D367" s="35">
        <v>14000000</v>
      </c>
      <c r="E367" s="35">
        <v>403649</v>
      </c>
      <c r="F367" s="35">
        <v>1903649</v>
      </c>
      <c r="G367" t="b">
        <f t="shared" si="20"/>
        <v>0</v>
      </c>
      <c r="H367" t="b">
        <f t="shared" si="21"/>
        <v>0</v>
      </c>
      <c r="I367" s="29">
        <f t="shared" si="22"/>
        <v>40354</v>
      </c>
    </row>
    <row r="368" spans="1:9" ht="25.5" x14ac:dyDescent="0.2">
      <c r="A368" s="28">
        <v>40354</v>
      </c>
      <c r="B368" s="26" t="s">
        <v>840</v>
      </c>
      <c r="C368" s="26" t="s">
        <v>1074</v>
      </c>
      <c r="D368" s="35" t="s">
        <v>20</v>
      </c>
      <c r="E368" s="35">
        <v>174203</v>
      </c>
      <c r="F368" s="35" t="s">
        <v>20</v>
      </c>
      <c r="G368" t="b">
        <f t="shared" si="20"/>
        <v>0</v>
      </c>
      <c r="H368" t="b">
        <f t="shared" si="21"/>
        <v>0</v>
      </c>
      <c r="I368" s="29">
        <f t="shared" si="22"/>
        <v>40354</v>
      </c>
    </row>
    <row r="369" spans="1:9" ht="12.75" customHeight="1" x14ac:dyDescent="0.2">
      <c r="A369" s="28">
        <v>40354</v>
      </c>
      <c r="B369" s="26" t="s">
        <v>2387</v>
      </c>
      <c r="C369" s="26" t="s">
        <v>1760</v>
      </c>
      <c r="D369" s="35" t="s">
        <v>20</v>
      </c>
      <c r="E369" s="35">
        <v>97016</v>
      </c>
      <c r="F369" s="35" t="s">
        <v>20</v>
      </c>
      <c r="G369" t="b">
        <f t="shared" si="20"/>
        <v>0</v>
      </c>
      <c r="H369" t="b">
        <f t="shared" si="21"/>
        <v>0</v>
      </c>
      <c r="I369" s="29">
        <f t="shared" si="22"/>
        <v>40354</v>
      </c>
    </row>
    <row r="370" spans="1:9" ht="25.5" x14ac:dyDescent="0.2">
      <c r="A370" s="28">
        <v>40354</v>
      </c>
      <c r="B370" s="26" t="s">
        <v>2913</v>
      </c>
      <c r="C370" s="26" t="s">
        <v>102</v>
      </c>
      <c r="D370" s="35" t="s">
        <v>20</v>
      </c>
      <c r="E370" s="35">
        <v>1330894</v>
      </c>
      <c r="F370" s="35" t="s">
        <v>20</v>
      </c>
      <c r="G370" t="b">
        <f t="shared" si="20"/>
        <v>0</v>
      </c>
      <c r="H370" t="b">
        <f t="shared" si="21"/>
        <v>0</v>
      </c>
      <c r="I370" s="29">
        <f t="shared" si="22"/>
        <v>40354</v>
      </c>
    </row>
    <row r="371" spans="1:9" ht="38.25" x14ac:dyDescent="0.2">
      <c r="A371" s="28">
        <v>40358</v>
      </c>
      <c r="B371" s="26" t="s">
        <v>1323</v>
      </c>
      <c r="C371" s="26" t="s">
        <v>1066</v>
      </c>
      <c r="D371" s="35" t="s">
        <v>20</v>
      </c>
      <c r="E371" s="35">
        <v>2385237</v>
      </c>
      <c r="F371" s="35" t="s">
        <v>20</v>
      </c>
      <c r="G371" t="b">
        <f t="shared" si="20"/>
        <v>0</v>
      </c>
      <c r="H371" t="b">
        <f t="shared" si="21"/>
        <v>0</v>
      </c>
      <c r="I371" s="29">
        <f t="shared" si="22"/>
        <v>40358</v>
      </c>
    </row>
    <row r="372" spans="1:9" ht="12.75" customHeight="1" x14ac:dyDescent="0.2">
      <c r="A372" s="28">
        <v>40359</v>
      </c>
      <c r="B372" s="26" t="s">
        <v>2597</v>
      </c>
      <c r="C372" s="26" t="s">
        <v>9</v>
      </c>
      <c r="D372" s="35">
        <v>25000000</v>
      </c>
      <c r="E372" s="35">
        <v>137885</v>
      </c>
      <c r="F372" s="35" t="s">
        <v>20</v>
      </c>
      <c r="G372" t="b">
        <f t="shared" si="20"/>
        <v>0</v>
      </c>
      <c r="H372" t="b">
        <f t="shared" si="21"/>
        <v>0</v>
      </c>
      <c r="I372" s="29">
        <f t="shared" si="22"/>
        <v>40359</v>
      </c>
    </row>
    <row r="373" spans="1:9" ht="25.5" x14ac:dyDescent="0.2">
      <c r="A373" s="28">
        <v>40359</v>
      </c>
      <c r="B373" s="26" t="s">
        <v>2156</v>
      </c>
      <c r="C373" s="26" t="s">
        <v>1066</v>
      </c>
      <c r="D373" s="35">
        <v>68000000</v>
      </c>
      <c r="E373" s="35">
        <v>300531751</v>
      </c>
      <c r="F373" s="35">
        <v>693431751</v>
      </c>
      <c r="G373" t="b">
        <f t="shared" si="20"/>
        <v>0</v>
      </c>
      <c r="H373" t="b">
        <f t="shared" si="21"/>
        <v>0</v>
      </c>
      <c r="I373" s="29">
        <f t="shared" si="22"/>
        <v>40359</v>
      </c>
    </row>
    <row r="374" spans="1:9" ht="25.5" x14ac:dyDescent="0.2">
      <c r="A374" s="28">
        <v>40360</v>
      </c>
      <c r="B374" s="26" t="s">
        <v>118</v>
      </c>
      <c r="C374" s="26" t="s">
        <v>9</v>
      </c>
      <c r="D374" s="35">
        <v>150000000</v>
      </c>
      <c r="E374" s="35">
        <v>131772187</v>
      </c>
      <c r="F374" s="35">
        <v>319248293</v>
      </c>
      <c r="G374" t="b">
        <f t="shared" si="20"/>
        <v>0</v>
      </c>
      <c r="H374" t="b">
        <f t="shared" si="21"/>
        <v>0</v>
      </c>
      <c r="I374" s="29">
        <f t="shared" si="22"/>
        <v>40360</v>
      </c>
    </row>
    <row r="375" spans="1:9" x14ac:dyDescent="0.2">
      <c r="A375" s="28">
        <v>40361</v>
      </c>
      <c r="B375" s="26" t="s">
        <v>1745</v>
      </c>
      <c r="C375" s="26" t="s">
        <v>1561</v>
      </c>
      <c r="D375" s="35" t="s">
        <v>20</v>
      </c>
      <c r="E375" s="35">
        <v>56705</v>
      </c>
      <c r="F375" s="35" t="s">
        <v>20</v>
      </c>
      <c r="G375" t="b">
        <f t="shared" si="20"/>
        <v>0</v>
      </c>
      <c r="H375" t="b">
        <f t="shared" si="21"/>
        <v>0</v>
      </c>
      <c r="I375" s="29">
        <f t="shared" si="22"/>
        <v>40361</v>
      </c>
    </row>
    <row r="376" spans="1:9" ht="12.75" customHeight="1" x14ac:dyDescent="0.2">
      <c r="A376" s="28">
        <v>40361</v>
      </c>
      <c r="B376" s="26" t="s">
        <v>2251</v>
      </c>
      <c r="C376" s="26" t="s">
        <v>3426</v>
      </c>
      <c r="D376" s="35" t="s">
        <v>20</v>
      </c>
      <c r="E376" s="35">
        <v>847993</v>
      </c>
      <c r="F376" s="35">
        <v>14720564</v>
      </c>
      <c r="G376" t="b">
        <f t="shared" si="20"/>
        <v>0</v>
      </c>
      <c r="H376" t="b">
        <f t="shared" si="21"/>
        <v>0</v>
      </c>
      <c r="I376" s="29">
        <f t="shared" si="22"/>
        <v>40361</v>
      </c>
    </row>
    <row r="377" spans="1:9" ht="12.75" customHeight="1" x14ac:dyDescent="0.2">
      <c r="A377" s="28">
        <v>40361</v>
      </c>
      <c r="B377" s="26" t="s">
        <v>2674</v>
      </c>
      <c r="C377" s="26" t="s">
        <v>125</v>
      </c>
      <c r="D377" s="35" t="s">
        <v>20</v>
      </c>
      <c r="E377" s="35">
        <v>17921</v>
      </c>
      <c r="F377" s="35" t="s">
        <v>20</v>
      </c>
      <c r="G377" t="b">
        <f t="shared" si="20"/>
        <v>0</v>
      </c>
      <c r="H377" t="b">
        <f t="shared" si="21"/>
        <v>0</v>
      </c>
      <c r="I377" s="29">
        <f t="shared" si="22"/>
        <v>40361</v>
      </c>
    </row>
    <row r="378" spans="1:9" ht="25.5" x14ac:dyDescent="0.2">
      <c r="A378" s="28">
        <v>40361</v>
      </c>
      <c r="B378" s="26" t="s">
        <v>2098</v>
      </c>
      <c r="C378" s="26" t="s">
        <v>1414</v>
      </c>
      <c r="D378" s="35" t="s">
        <v>20</v>
      </c>
      <c r="E378" s="35">
        <v>7150</v>
      </c>
      <c r="F378" s="35" t="s">
        <v>20</v>
      </c>
      <c r="G378" t="b">
        <f t="shared" si="20"/>
        <v>0</v>
      </c>
      <c r="H378" t="b">
        <f t="shared" si="21"/>
        <v>0</v>
      </c>
      <c r="I378" s="29">
        <f t="shared" si="22"/>
        <v>40361</v>
      </c>
    </row>
    <row r="379" spans="1:9" ht="12.75" customHeight="1" x14ac:dyDescent="0.2">
      <c r="A379" s="28">
        <v>40365</v>
      </c>
      <c r="B379" s="26" t="s">
        <v>1662</v>
      </c>
      <c r="C379" s="26" t="s">
        <v>9</v>
      </c>
      <c r="D379" s="35" t="s">
        <v>20</v>
      </c>
      <c r="E379" s="35" t="s">
        <v>20</v>
      </c>
      <c r="F379" s="35" t="s">
        <v>20</v>
      </c>
      <c r="G379" t="b">
        <f t="shared" si="20"/>
        <v>0</v>
      </c>
      <c r="H379" t="b">
        <f t="shared" si="21"/>
        <v>0</v>
      </c>
      <c r="I379" s="29">
        <f t="shared" si="22"/>
        <v>40365</v>
      </c>
    </row>
    <row r="380" spans="1:9" ht="12.75" customHeight="1" x14ac:dyDescent="0.2">
      <c r="A380" s="28">
        <v>40368</v>
      </c>
      <c r="B380" s="26" t="s">
        <v>1762</v>
      </c>
      <c r="C380" s="26" t="s">
        <v>3096</v>
      </c>
      <c r="D380" s="35">
        <v>69000000</v>
      </c>
      <c r="E380" s="35">
        <v>251513985</v>
      </c>
      <c r="F380" s="35">
        <v>543710524</v>
      </c>
      <c r="G380" t="b">
        <f t="shared" si="20"/>
        <v>0</v>
      </c>
      <c r="H380" t="b">
        <f t="shared" si="21"/>
        <v>0</v>
      </c>
      <c r="I380" s="29">
        <f t="shared" si="22"/>
        <v>40368</v>
      </c>
    </row>
    <row r="381" spans="1:9" ht="12.75" customHeight="1" x14ac:dyDescent="0.2">
      <c r="A381" s="28">
        <v>40368</v>
      </c>
      <c r="B381" s="26" t="s">
        <v>2234</v>
      </c>
      <c r="C381" s="26" t="s">
        <v>384</v>
      </c>
      <c r="D381" s="35">
        <v>40000000</v>
      </c>
      <c r="E381" s="35">
        <v>52000688</v>
      </c>
      <c r="F381" s="35">
        <v>127234032</v>
      </c>
      <c r="G381" t="b">
        <f t="shared" si="20"/>
        <v>0</v>
      </c>
      <c r="H381" t="b">
        <f t="shared" si="21"/>
        <v>0</v>
      </c>
      <c r="I381" s="29">
        <f t="shared" si="22"/>
        <v>40368</v>
      </c>
    </row>
    <row r="382" spans="1:9" ht="12.75" customHeight="1" x14ac:dyDescent="0.2">
      <c r="A382" s="28">
        <v>40368</v>
      </c>
      <c r="B382" s="26" t="s">
        <v>1521</v>
      </c>
      <c r="C382" s="26" t="s">
        <v>9</v>
      </c>
      <c r="D382" s="35" t="s">
        <v>20</v>
      </c>
      <c r="E382" s="35">
        <v>27766</v>
      </c>
      <c r="F382" s="35">
        <v>18527766</v>
      </c>
      <c r="G382" t="b">
        <f t="shared" si="20"/>
        <v>0</v>
      </c>
      <c r="H382" t="b">
        <f t="shared" si="21"/>
        <v>0</v>
      </c>
      <c r="I382" s="29">
        <f t="shared" si="22"/>
        <v>40368</v>
      </c>
    </row>
    <row r="383" spans="1:9" ht="25.5" x14ac:dyDescent="0.2">
      <c r="A383" s="28">
        <v>40368</v>
      </c>
      <c r="B383" s="26" t="s">
        <v>925</v>
      </c>
      <c r="C383" s="26" t="s">
        <v>842</v>
      </c>
      <c r="D383" s="35" t="s">
        <v>20</v>
      </c>
      <c r="E383" s="35">
        <v>31004</v>
      </c>
      <c r="F383" s="35" t="s">
        <v>20</v>
      </c>
      <c r="G383" t="b">
        <f t="shared" si="20"/>
        <v>0</v>
      </c>
      <c r="H383" t="b">
        <f t="shared" si="21"/>
        <v>0</v>
      </c>
      <c r="I383" s="29">
        <f t="shared" si="22"/>
        <v>40368</v>
      </c>
    </row>
    <row r="384" spans="1:9" ht="12.75" customHeight="1" x14ac:dyDescent="0.2">
      <c r="A384" s="28">
        <v>40368</v>
      </c>
      <c r="B384" s="26" t="s">
        <v>1421</v>
      </c>
      <c r="C384" s="26" t="s">
        <v>1760</v>
      </c>
      <c r="D384" s="35" t="s">
        <v>20</v>
      </c>
      <c r="E384" s="35">
        <v>178174</v>
      </c>
      <c r="F384" s="35" t="s">
        <v>20</v>
      </c>
      <c r="G384" t="b">
        <f t="shared" si="20"/>
        <v>0</v>
      </c>
      <c r="H384" t="b">
        <f t="shared" si="21"/>
        <v>0</v>
      </c>
      <c r="I384" s="29">
        <f t="shared" si="22"/>
        <v>40368</v>
      </c>
    </row>
    <row r="385" spans="1:9" ht="25.5" x14ac:dyDescent="0.2">
      <c r="A385" s="28">
        <v>40368</v>
      </c>
      <c r="B385" s="26" t="s">
        <v>2103</v>
      </c>
      <c r="C385" s="26" t="s">
        <v>698</v>
      </c>
      <c r="D385" s="35">
        <v>4000000</v>
      </c>
      <c r="E385" s="35">
        <v>20811365</v>
      </c>
      <c r="F385" s="35">
        <v>25043443</v>
      </c>
      <c r="G385" t="b">
        <f t="shared" si="20"/>
        <v>0</v>
      </c>
      <c r="H385" t="b">
        <f t="shared" si="21"/>
        <v>0</v>
      </c>
      <c r="I385" s="29">
        <f t="shared" si="22"/>
        <v>40368</v>
      </c>
    </row>
    <row r="386" spans="1:9" ht="25.5" x14ac:dyDescent="0.2">
      <c r="A386" s="28">
        <v>40372</v>
      </c>
      <c r="B386" s="26" t="s">
        <v>2491</v>
      </c>
      <c r="C386" s="26" t="s">
        <v>9</v>
      </c>
      <c r="D386" s="35" t="s">
        <v>20</v>
      </c>
      <c r="E386" s="35" t="s">
        <v>20</v>
      </c>
      <c r="F386" s="35" t="s">
        <v>20</v>
      </c>
      <c r="G386" t="b">
        <f t="shared" si="20"/>
        <v>0</v>
      </c>
      <c r="H386" t="b">
        <f t="shared" si="21"/>
        <v>0</v>
      </c>
      <c r="I386" s="29">
        <f t="shared" si="22"/>
        <v>40372</v>
      </c>
    </row>
    <row r="387" spans="1:9" ht="25.5" x14ac:dyDescent="0.2">
      <c r="A387" s="28">
        <v>40373</v>
      </c>
      <c r="B387" s="26" t="s">
        <v>1715</v>
      </c>
      <c r="C387" s="26" t="s">
        <v>3390</v>
      </c>
      <c r="D387" s="35">
        <v>160000000</v>
      </c>
      <c r="E387" s="35">
        <v>63143812</v>
      </c>
      <c r="F387" s="35">
        <v>215143812</v>
      </c>
      <c r="G387" t="b">
        <f t="shared" si="20"/>
        <v>0</v>
      </c>
      <c r="H387" t="b">
        <f t="shared" si="21"/>
        <v>0</v>
      </c>
      <c r="I387" s="29">
        <f t="shared" si="22"/>
        <v>40373</v>
      </c>
    </row>
    <row r="388" spans="1:9" ht="12.75" customHeight="1" x14ac:dyDescent="0.2">
      <c r="A388" s="28">
        <v>40373</v>
      </c>
      <c r="B388" s="26" t="s">
        <v>2945</v>
      </c>
      <c r="C388" s="26" t="s">
        <v>1414</v>
      </c>
      <c r="D388" s="35" t="s">
        <v>20</v>
      </c>
      <c r="E388" s="35">
        <v>58293</v>
      </c>
      <c r="F388" s="35" t="s">
        <v>20</v>
      </c>
      <c r="G388" t="b">
        <f t="shared" si="20"/>
        <v>0</v>
      </c>
      <c r="H388" t="b">
        <f t="shared" si="21"/>
        <v>0</v>
      </c>
      <c r="I388" s="29">
        <f t="shared" si="22"/>
        <v>40373</v>
      </c>
    </row>
    <row r="389" spans="1:9" ht="12.75" customHeight="1" x14ac:dyDescent="0.2">
      <c r="A389" s="28">
        <v>40375</v>
      </c>
      <c r="B389" s="26" t="s">
        <v>1958</v>
      </c>
      <c r="C389" s="26" t="s">
        <v>3209</v>
      </c>
      <c r="D389" s="35">
        <v>160000000</v>
      </c>
      <c r="E389" s="35">
        <v>292576195</v>
      </c>
      <c r="F389" s="35">
        <v>825476195</v>
      </c>
      <c r="G389" t="b">
        <f t="shared" si="20"/>
        <v>0</v>
      </c>
      <c r="H389" t="b">
        <f t="shared" si="21"/>
        <v>0</v>
      </c>
      <c r="I389" s="29">
        <f t="shared" si="22"/>
        <v>40375</v>
      </c>
    </row>
    <row r="390" spans="1:9" ht="25.5" x14ac:dyDescent="0.2">
      <c r="A390" s="28">
        <v>40375</v>
      </c>
      <c r="B390" s="26" t="s">
        <v>916</v>
      </c>
      <c r="C390" s="26" t="s">
        <v>2778</v>
      </c>
      <c r="D390" s="35" t="s">
        <v>20</v>
      </c>
      <c r="E390" s="35">
        <v>531806</v>
      </c>
      <c r="F390" s="35" t="s">
        <v>20</v>
      </c>
      <c r="G390" t="b">
        <f t="shared" si="20"/>
        <v>0</v>
      </c>
      <c r="H390" t="b">
        <f t="shared" si="21"/>
        <v>0</v>
      </c>
      <c r="I390" s="29">
        <f t="shared" si="22"/>
        <v>40375</v>
      </c>
    </row>
    <row r="391" spans="1:9" ht="12.75" customHeight="1" x14ac:dyDescent="0.2">
      <c r="A391" s="28">
        <v>40375</v>
      </c>
      <c r="B391" s="26" t="s">
        <v>2321</v>
      </c>
      <c r="C391" s="26" t="s">
        <v>3426</v>
      </c>
      <c r="D391" s="35" t="s">
        <v>20</v>
      </c>
      <c r="E391" s="35">
        <v>7461</v>
      </c>
      <c r="F391" s="35">
        <v>718924</v>
      </c>
      <c r="G391" t="b">
        <f t="shared" si="20"/>
        <v>0</v>
      </c>
      <c r="H391" t="b">
        <f t="shared" si="21"/>
        <v>0</v>
      </c>
      <c r="I391" s="29">
        <f t="shared" si="22"/>
        <v>40375</v>
      </c>
    </row>
    <row r="392" spans="1:9" ht="12.75" customHeight="1" x14ac:dyDescent="0.2">
      <c r="A392" s="28">
        <v>40375</v>
      </c>
      <c r="B392" s="26" t="s">
        <v>483</v>
      </c>
      <c r="C392" s="26" t="s">
        <v>9</v>
      </c>
      <c r="D392" s="35" t="s">
        <v>20</v>
      </c>
      <c r="E392" s="35">
        <v>81680</v>
      </c>
      <c r="F392" s="35" t="s">
        <v>20</v>
      </c>
      <c r="G392" t="b">
        <f t="shared" si="20"/>
        <v>0</v>
      </c>
      <c r="H392" t="b">
        <f t="shared" si="21"/>
        <v>0</v>
      </c>
      <c r="I392" s="29">
        <f t="shared" si="22"/>
        <v>40375</v>
      </c>
    </row>
    <row r="393" spans="1:9" ht="25.5" x14ac:dyDescent="0.2">
      <c r="A393" s="28">
        <v>40375</v>
      </c>
      <c r="B393" s="26" t="s">
        <v>3085</v>
      </c>
      <c r="C393" s="26" t="s">
        <v>9</v>
      </c>
      <c r="D393" s="35" t="s">
        <v>20</v>
      </c>
      <c r="E393" s="35">
        <v>25489</v>
      </c>
      <c r="F393" s="35" t="s">
        <v>20</v>
      </c>
      <c r="G393" t="b">
        <f t="shared" si="20"/>
        <v>0</v>
      </c>
      <c r="H393" t="b">
        <f t="shared" si="21"/>
        <v>0</v>
      </c>
      <c r="I393" s="29">
        <f t="shared" si="22"/>
        <v>40375</v>
      </c>
    </row>
    <row r="394" spans="1:9" ht="25.5" x14ac:dyDescent="0.2">
      <c r="A394" s="28">
        <v>40375</v>
      </c>
      <c r="B394" s="26" t="s">
        <v>1880</v>
      </c>
      <c r="C394" s="26" t="s">
        <v>2990</v>
      </c>
      <c r="D394" s="35" t="s">
        <v>20</v>
      </c>
      <c r="E394" s="35" t="s">
        <v>20</v>
      </c>
      <c r="F394" s="35" t="s">
        <v>20</v>
      </c>
      <c r="G394" t="b">
        <f t="shared" si="20"/>
        <v>0</v>
      </c>
      <c r="H394" t="b">
        <f t="shared" si="21"/>
        <v>0</v>
      </c>
      <c r="I394" s="29">
        <f t="shared" si="22"/>
        <v>40375</v>
      </c>
    </row>
    <row r="395" spans="1:9" ht="12.75" customHeight="1" x14ac:dyDescent="0.2">
      <c r="A395" s="28">
        <v>40375</v>
      </c>
      <c r="B395" s="26" t="s">
        <v>1919</v>
      </c>
      <c r="C395" s="26" t="s">
        <v>3466</v>
      </c>
      <c r="D395" s="35" t="s">
        <v>20</v>
      </c>
      <c r="E395" s="35">
        <v>30638</v>
      </c>
      <c r="F395" s="35" t="s">
        <v>20</v>
      </c>
      <c r="G395" t="b">
        <f t="shared" si="20"/>
        <v>0</v>
      </c>
      <c r="H395" t="b">
        <f t="shared" si="21"/>
        <v>0</v>
      </c>
      <c r="I395" s="29">
        <f t="shared" si="22"/>
        <v>40375</v>
      </c>
    </row>
    <row r="396" spans="1:9" ht="25.5" x14ac:dyDescent="0.2">
      <c r="A396" s="28">
        <v>40379</v>
      </c>
      <c r="B396" s="26" t="s">
        <v>600</v>
      </c>
      <c r="C396" s="26" t="s">
        <v>9</v>
      </c>
      <c r="D396" s="35" t="s">
        <v>20</v>
      </c>
      <c r="E396" s="35" t="s">
        <v>20</v>
      </c>
      <c r="F396" s="35" t="s">
        <v>20</v>
      </c>
      <c r="G396" t="b">
        <f t="shared" si="20"/>
        <v>0</v>
      </c>
      <c r="H396" t="b">
        <f t="shared" si="21"/>
        <v>0</v>
      </c>
      <c r="I396" s="29">
        <f t="shared" si="22"/>
        <v>40379</v>
      </c>
    </row>
    <row r="397" spans="1:9" ht="38.25" x14ac:dyDescent="0.2">
      <c r="A397" s="28">
        <v>40380</v>
      </c>
      <c r="B397" s="26" t="s">
        <v>169</v>
      </c>
      <c r="C397" s="26" t="s">
        <v>1115</v>
      </c>
      <c r="D397" s="35" t="s">
        <v>20</v>
      </c>
      <c r="E397" s="35">
        <v>256242</v>
      </c>
      <c r="F397" s="35" t="s">
        <v>20</v>
      </c>
      <c r="G397" t="b">
        <f t="shared" si="20"/>
        <v>0</v>
      </c>
      <c r="H397" t="b">
        <f t="shared" si="21"/>
        <v>0</v>
      </c>
      <c r="I397" s="29">
        <f t="shared" si="22"/>
        <v>40380</v>
      </c>
    </row>
    <row r="398" spans="1:9" ht="25.5" x14ac:dyDescent="0.2">
      <c r="A398" s="28">
        <v>40382</v>
      </c>
      <c r="B398" s="26" t="s">
        <v>1252</v>
      </c>
      <c r="C398" s="26" t="s">
        <v>2964</v>
      </c>
      <c r="D398" s="35" t="s">
        <v>20</v>
      </c>
      <c r="E398" s="35">
        <v>7924</v>
      </c>
      <c r="F398" s="35" t="s">
        <v>20</v>
      </c>
      <c r="G398" t="b">
        <f t="shared" si="20"/>
        <v>0</v>
      </c>
      <c r="H398" t="b">
        <f t="shared" si="21"/>
        <v>0</v>
      </c>
      <c r="I398" s="29">
        <f t="shared" si="22"/>
        <v>40382</v>
      </c>
    </row>
    <row r="399" spans="1:9" ht="25.5" x14ac:dyDescent="0.2">
      <c r="A399" s="28">
        <v>40382</v>
      </c>
      <c r="B399" s="26" t="s">
        <v>2919</v>
      </c>
      <c r="C399" s="26" t="s">
        <v>3466</v>
      </c>
      <c r="D399" s="35" t="s">
        <v>20</v>
      </c>
      <c r="E399" s="35">
        <v>281447</v>
      </c>
      <c r="F399" s="35" t="s">
        <v>20</v>
      </c>
      <c r="G399" t="b">
        <f t="shared" si="20"/>
        <v>0</v>
      </c>
      <c r="H399" t="b">
        <f t="shared" si="21"/>
        <v>0</v>
      </c>
      <c r="I399" s="29">
        <f t="shared" si="22"/>
        <v>40382</v>
      </c>
    </row>
    <row r="400" spans="1:9" x14ac:dyDescent="0.2">
      <c r="A400" s="28">
        <v>40382</v>
      </c>
      <c r="B400" s="26" t="s">
        <v>2448</v>
      </c>
      <c r="C400" s="26" t="s">
        <v>746</v>
      </c>
      <c r="D400" s="35" t="s">
        <v>20</v>
      </c>
      <c r="E400" s="35">
        <v>272040</v>
      </c>
      <c r="F400" s="35" t="s">
        <v>20</v>
      </c>
      <c r="G400" t="b">
        <f t="shared" si="20"/>
        <v>0</v>
      </c>
      <c r="H400" t="b">
        <f t="shared" si="21"/>
        <v>0</v>
      </c>
      <c r="I400" s="29">
        <f t="shared" si="22"/>
        <v>40382</v>
      </c>
    </row>
    <row r="401" spans="1:9" ht="12.75" customHeight="1" x14ac:dyDescent="0.2">
      <c r="A401" s="28">
        <v>40382</v>
      </c>
      <c r="B401" s="26" t="s">
        <v>1164</v>
      </c>
      <c r="C401" s="26" t="s">
        <v>49</v>
      </c>
      <c r="D401" s="35" t="s">
        <v>20</v>
      </c>
      <c r="E401" s="35">
        <v>657986</v>
      </c>
      <c r="F401" s="35">
        <v>1320976</v>
      </c>
      <c r="G401" t="b">
        <f t="shared" si="20"/>
        <v>0</v>
      </c>
      <c r="H401" t="b">
        <f t="shared" si="21"/>
        <v>0</v>
      </c>
      <c r="I401" s="29">
        <f t="shared" si="22"/>
        <v>40382</v>
      </c>
    </row>
    <row r="402" spans="1:9" ht="12.75" customHeight="1" x14ac:dyDescent="0.2">
      <c r="A402" s="28">
        <v>40382</v>
      </c>
      <c r="B402" s="26" t="s">
        <v>1520</v>
      </c>
      <c r="C402" s="26" t="s">
        <v>2160</v>
      </c>
      <c r="D402" s="35" t="s">
        <v>20</v>
      </c>
      <c r="E402" s="35">
        <v>118311368</v>
      </c>
      <c r="F402" s="35">
        <v>294011368</v>
      </c>
      <c r="G402" t="b">
        <f t="shared" si="20"/>
        <v>0</v>
      </c>
      <c r="H402" t="b">
        <f t="shared" si="21"/>
        <v>0</v>
      </c>
      <c r="I402" s="29">
        <f t="shared" si="22"/>
        <v>40382</v>
      </c>
    </row>
    <row r="403" spans="1:9" ht="25.5" x14ac:dyDescent="0.2">
      <c r="A403" s="28">
        <v>40382</v>
      </c>
      <c r="B403" s="26" t="s">
        <v>741</v>
      </c>
      <c r="C403" s="26" t="s">
        <v>384</v>
      </c>
      <c r="D403" s="35" t="s">
        <v>20</v>
      </c>
      <c r="E403" s="35">
        <v>26167002</v>
      </c>
      <c r="F403" s="35">
        <v>27448678</v>
      </c>
      <c r="G403" t="b">
        <f t="shared" si="20"/>
        <v>0</v>
      </c>
      <c r="H403" t="b">
        <f t="shared" si="21"/>
        <v>0</v>
      </c>
      <c r="I403" s="29">
        <f t="shared" si="22"/>
        <v>40382</v>
      </c>
    </row>
    <row r="404" spans="1:9" ht="12.75" customHeight="1" x14ac:dyDescent="0.2">
      <c r="A404" s="28">
        <v>40382</v>
      </c>
      <c r="B404" s="26" t="s">
        <v>1623</v>
      </c>
      <c r="C404" s="26" t="s">
        <v>2395</v>
      </c>
      <c r="D404" s="35" t="s">
        <v>20</v>
      </c>
      <c r="E404" s="35">
        <v>32961</v>
      </c>
      <c r="F404" s="35" t="s">
        <v>20</v>
      </c>
      <c r="G404" t="b">
        <f t="shared" si="20"/>
        <v>0</v>
      </c>
      <c r="H404" t="b">
        <f t="shared" si="21"/>
        <v>0</v>
      </c>
      <c r="I404" s="29">
        <f t="shared" si="22"/>
        <v>40382</v>
      </c>
    </row>
    <row r="405" spans="1:9" ht="12.75" customHeight="1" x14ac:dyDescent="0.2">
      <c r="A405" s="28">
        <v>40382</v>
      </c>
      <c r="B405" s="26" t="s">
        <v>726</v>
      </c>
      <c r="C405" s="26" t="s">
        <v>9</v>
      </c>
      <c r="D405" s="35" t="s">
        <v>20</v>
      </c>
      <c r="E405" s="35">
        <v>541904</v>
      </c>
      <c r="F405" s="35">
        <v>11635261</v>
      </c>
      <c r="G405" t="b">
        <f t="shared" si="20"/>
        <v>0</v>
      </c>
      <c r="H405" t="b">
        <f t="shared" si="21"/>
        <v>0</v>
      </c>
      <c r="I405" s="29">
        <f t="shared" si="22"/>
        <v>40382</v>
      </c>
    </row>
    <row r="406" spans="1:9" ht="12.75" customHeight="1" x14ac:dyDescent="0.2">
      <c r="A406" s="28">
        <v>40386</v>
      </c>
      <c r="B406" s="26" t="s">
        <v>3379</v>
      </c>
      <c r="C406" s="26" t="s">
        <v>9</v>
      </c>
      <c r="D406" s="35" t="s">
        <v>20</v>
      </c>
      <c r="E406" s="35" t="s">
        <v>20</v>
      </c>
      <c r="F406" s="35">
        <v>4643051</v>
      </c>
      <c r="G406" t="b">
        <f t="shared" si="20"/>
        <v>0</v>
      </c>
      <c r="H406" t="b">
        <f t="shared" si="21"/>
        <v>0</v>
      </c>
      <c r="I406" s="29">
        <f t="shared" si="22"/>
        <v>40386</v>
      </c>
    </row>
    <row r="407" spans="1:9" x14ac:dyDescent="0.2">
      <c r="A407" s="28">
        <v>40386</v>
      </c>
      <c r="B407" s="26" t="s">
        <v>3147</v>
      </c>
      <c r="C407" s="26" t="s">
        <v>9</v>
      </c>
      <c r="D407" s="35" t="s">
        <v>20</v>
      </c>
      <c r="E407" s="35" t="s">
        <v>20</v>
      </c>
      <c r="F407" s="35" t="s">
        <v>20</v>
      </c>
      <c r="G407" t="b">
        <f t="shared" si="20"/>
        <v>0</v>
      </c>
      <c r="H407" t="b">
        <f t="shared" si="21"/>
        <v>0</v>
      </c>
      <c r="I407" s="29">
        <f t="shared" si="22"/>
        <v>40386</v>
      </c>
    </row>
    <row r="408" spans="1:9" ht="25.5" x14ac:dyDescent="0.2">
      <c r="A408" s="28">
        <v>40386</v>
      </c>
      <c r="B408" s="26" t="s">
        <v>886</v>
      </c>
      <c r="C408" s="26" t="s">
        <v>9</v>
      </c>
      <c r="D408" s="35" t="s">
        <v>20</v>
      </c>
      <c r="E408" s="35" t="s">
        <v>20</v>
      </c>
      <c r="F408" s="35" t="s">
        <v>20</v>
      </c>
      <c r="G408" t="b">
        <f t="shared" si="20"/>
        <v>0</v>
      </c>
      <c r="H408" t="b">
        <f t="shared" si="21"/>
        <v>0</v>
      </c>
      <c r="I408" s="29">
        <f t="shared" si="22"/>
        <v>40386</v>
      </c>
    </row>
    <row r="409" spans="1:9" ht="12.75" customHeight="1" x14ac:dyDescent="0.2">
      <c r="A409" s="28">
        <v>40386</v>
      </c>
      <c r="B409" s="26" t="s">
        <v>2537</v>
      </c>
      <c r="C409" s="26" t="s">
        <v>9</v>
      </c>
      <c r="D409" s="35" t="s">
        <v>20</v>
      </c>
      <c r="E409" s="35" t="s">
        <v>20</v>
      </c>
      <c r="F409" s="35" t="s">
        <v>20</v>
      </c>
      <c r="G409" t="b">
        <f t="shared" si="20"/>
        <v>0</v>
      </c>
      <c r="H409" t="b">
        <f t="shared" si="21"/>
        <v>0</v>
      </c>
      <c r="I409" s="29">
        <f t="shared" si="22"/>
        <v>40386</v>
      </c>
    </row>
    <row r="410" spans="1:9" ht="12.75" customHeight="1" x14ac:dyDescent="0.2">
      <c r="A410" s="28">
        <v>40389</v>
      </c>
      <c r="B410" s="26" t="s">
        <v>176</v>
      </c>
      <c r="C410" s="26" t="s">
        <v>9</v>
      </c>
      <c r="D410" s="35" t="s">
        <v>20</v>
      </c>
      <c r="E410" s="35">
        <v>11777</v>
      </c>
      <c r="F410" s="35" t="s">
        <v>20</v>
      </c>
      <c r="G410" t="b">
        <f t="shared" si="20"/>
        <v>0</v>
      </c>
      <c r="H410" t="b">
        <f t="shared" si="21"/>
        <v>0</v>
      </c>
      <c r="I410" s="29">
        <f t="shared" si="22"/>
        <v>40389</v>
      </c>
    </row>
    <row r="411" spans="1:9" ht="25.5" x14ac:dyDescent="0.2">
      <c r="A411" s="28">
        <v>40389</v>
      </c>
      <c r="B411" s="26" t="s">
        <v>161</v>
      </c>
      <c r="C411" s="26" t="s">
        <v>9</v>
      </c>
      <c r="D411" s="35" t="s">
        <v>20</v>
      </c>
      <c r="E411" s="35">
        <v>60621</v>
      </c>
      <c r="F411" s="35" t="s">
        <v>20</v>
      </c>
      <c r="G411" t="b">
        <f t="shared" si="20"/>
        <v>0</v>
      </c>
      <c r="H411" t="b">
        <f t="shared" si="21"/>
        <v>0</v>
      </c>
      <c r="I411" s="29">
        <f t="shared" si="22"/>
        <v>40389</v>
      </c>
    </row>
    <row r="412" spans="1:9" ht="12.75" customHeight="1" x14ac:dyDescent="0.2">
      <c r="A412" s="28">
        <v>40389</v>
      </c>
      <c r="B412" s="26" t="s">
        <v>3349</v>
      </c>
      <c r="C412" s="26" t="s">
        <v>9</v>
      </c>
      <c r="D412" s="35" t="s">
        <v>20</v>
      </c>
      <c r="E412" s="35">
        <v>159335</v>
      </c>
      <c r="F412" s="35">
        <v>19321681</v>
      </c>
      <c r="G412" t="b">
        <f t="shared" si="20"/>
        <v>0</v>
      </c>
      <c r="H412" t="b">
        <f t="shared" si="21"/>
        <v>0</v>
      </c>
      <c r="I412" s="29">
        <f t="shared" si="22"/>
        <v>40389</v>
      </c>
    </row>
    <row r="413" spans="1:9" ht="25.5" x14ac:dyDescent="0.2">
      <c r="A413" s="28">
        <v>40389</v>
      </c>
      <c r="B413" s="26" t="s">
        <v>1110</v>
      </c>
      <c r="C413" s="26" t="s">
        <v>746</v>
      </c>
      <c r="D413" s="35" t="s">
        <v>20</v>
      </c>
      <c r="E413" s="35">
        <v>23671</v>
      </c>
      <c r="F413" s="35" t="s">
        <v>20</v>
      </c>
      <c r="G413" t="b">
        <f t="shared" ref="G413:G472" si="23">ISBLANK(A413)</f>
        <v>0</v>
      </c>
      <c r="H413" t="b">
        <f t="shared" ref="H413:H472" si="24">ISTEXT(A413)</f>
        <v>0</v>
      </c>
      <c r="I413" s="29">
        <f t="shared" ref="I413:I472" si="25">DATE(2010,MONTH(A413), DAY(A413))</f>
        <v>40389</v>
      </c>
    </row>
    <row r="414" spans="1:9" ht="25.5" x14ac:dyDescent="0.2">
      <c r="A414" s="28">
        <v>40389</v>
      </c>
      <c r="B414" s="26" t="s">
        <v>2076</v>
      </c>
      <c r="C414" s="26" t="s">
        <v>9</v>
      </c>
      <c r="D414" s="35" t="s">
        <v>20</v>
      </c>
      <c r="E414" s="35">
        <v>302862</v>
      </c>
      <c r="F414" s="35">
        <v>15753012</v>
      </c>
      <c r="G414" t="b">
        <f t="shared" si="23"/>
        <v>0</v>
      </c>
      <c r="H414" t="b">
        <f t="shared" si="24"/>
        <v>0</v>
      </c>
      <c r="I414" s="29">
        <f t="shared" si="25"/>
        <v>40389</v>
      </c>
    </row>
    <row r="415" spans="1:9" ht="12.75" customHeight="1" x14ac:dyDescent="0.2">
      <c r="A415" s="28">
        <v>40389</v>
      </c>
      <c r="B415" s="26" t="s">
        <v>215</v>
      </c>
      <c r="C415" s="26" t="s">
        <v>9</v>
      </c>
      <c r="D415" s="35" t="s">
        <v>20</v>
      </c>
      <c r="E415" s="35">
        <v>453377</v>
      </c>
      <c r="F415" s="35" t="s">
        <v>20</v>
      </c>
      <c r="G415" t="b">
        <f t="shared" si="23"/>
        <v>0</v>
      </c>
      <c r="H415" t="b">
        <f t="shared" si="24"/>
        <v>0</v>
      </c>
      <c r="I415" s="29">
        <f t="shared" si="25"/>
        <v>40389</v>
      </c>
    </row>
    <row r="416" spans="1:9" ht="25.5" x14ac:dyDescent="0.2">
      <c r="A416" s="28">
        <v>40389</v>
      </c>
      <c r="B416" s="26" t="s">
        <v>2421</v>
      </c>
      <c r="C416" s="26" t="s">
        <v>2168</v>
      </c>
      <c r="D416" s="35" t="s">
        <v>20</v>
      </c>
      <c r="E416" s="35">
        <v>73026337</v>
      </c>
      <c r="F416" s="35">
        <v>86762798</v>
      </c>
      <c r="G416" t="b">
        <f t="shared" si="23"/>
        <v>0</v>
      </c>
      <c r="H416" t="b">
        <f t="shared" si="24"/>
        <v>0</v>
      </c>
      <c r="I416" s="29">
        <f t="shared" si="25"/>
        <v>40389</v>
      </c>
    </row>
    <row r="417" spans="1:9" ht="12.75" customHeight="1" x14ac:dyDescent="0.2">
      <c r="A417" s="28">
        <v>40389</v>
      </c>
      <c r="B417" s="26" t="s">
        <v>1484</v>
      </c>
      <c r="C417" s="26" t="s">
        <v>612</v>
      </c>
      <c r="D417" s="35" t="s">
        <v>20</v>
      </c>
      <c r="E417" s="35">
        <v>9156053</v>
      </c>
      <c r="F417" s="35" t="s">
        <v>20</v>
      </c>
      <c r="G417" t="b">
        <f t="shared" si="23"/>
        <v>0</v>
      </c>
      <c r="H417" t="b">
        <f t="shared" si="24"/>
        <v>0</v>
      </c>
      <c r="I417" s="29">
        <f t="shared" si="25"/>
        <v>40389</v>
      </c>
    </row>
    <row r="418" spans="1:9" ht="38.25" x14ac:dyDescent="0.2">
      <c r="A418" s="28">
        <v>40389</v>
      </c>
      <c r="B418" s="26" t="s">
        <v>3115</v>
      </c>
      <c r="C418" s="26" t="s">
        <v>3209</v>
      </c>
      <c r="D418" s="35" t="s">
        <v>20</v>
      </c>
      <c r="E418" s="35">
        <v>43585753</v>
      </c>
      <c r="F418" s="35">
        <v>108285753</v>
      </c>
      <c r="G418" t="b">
        <f t="shared" si="23"/>
        <v>0</v>
      </c>
      <c r="H418" t="b">
        <f t="shared" si="24"/>
        <v>0</v>
      </c>
      <c r="I418" s="29">
        <f t="shared" si="25"/>
        <v>40389</v>
      </c>
    </row>
    <row r="419" spans="1:9" ht="12.75" customHeight="1" x14ac:dyDescent="0.2">
      <c r="A419" s="28">
        <v>40389</v>
      </c>
      <c r="B419" s="26" t="s">
        <v>1429</v>
      </c>
      <c r="C419" s="26" t="s">
        <v>3096</v>
      </c>
      <c r="D419" s="35" t="s">
        <v>20</v>
      </c>
      <c r="E419" s="35">
        <v>31206263</v>
      </c>
      <c r="F419" s="35">
        <v>48024247</v>
      </c>
      <c r="G419" t="b">
        <f t="shared" si="23"/>
        <v>0</v>
      </c>
      <c r="H419" t="b">
        <f t="shared" si="24"/>
        <v>0</v>
      </c>
      <c r="I419" s="29">
        <f t="shared" si="25"/>
        <v>40389</v>
      </c>
    </row>
    <row r="420" spans="1:9" ht="38.25" x14ac:dyDescent="0.2">
      <c r="A420" s="28">
        <v>40389</v>
      </c>
      <c r="B420" s="26" t="s">
        <v>1208</v>
      </c>
      <c r="C420" s="26" t="s">
        <v>9</v>
      </c>
      <c r="D420" s="35" t="s">
        <v>20</v>
      </c>
      <c r="E420" s="35">
        <v>21878</v>
      </c>
      <c r="F420" s="35" t="s">
        <v>20</v>
      </c>
      <c r="G420" t="b">
        <f t="shared" si="23"/>
        <v>0</v>
      </c>
      <c r="H420" t="b">
        <f t="shared" si="24"/>
        <v>0</v>
      </c>
      <c r="I420" s="29">
        <f t="shared" si="25"/>
        <v>40389</v>
      </c>
    </row>
    <row r="421" spans="1:9" ht="12.75" customHeight="1" x14ac:dyDescent="0.2">
      <c r="A421" s="28">
        <v>40395</v>
      </c>
      <c r="B421" s="26" t="s">
        <v>214</v>
      </c>
      <c r="C421" s="26" t="s">
        <v>9</v>
      </c>
      <c r="D421" s="35" t="s">
        <v>20</v>
      </c>
      <c r="E421" s="35">
        <v>70905</v>
      </c>
      <c r="F421" s="35" t="s">
        <v>20</v>
      </c>
      <c r="G421" t="b">
        <f t="shared" si="23"/>
        <v>0</v>
      </c>
      <c r="H421" t="b">
        <f t="shared" si="24"/>
        <v>0</v>
      </c>
      <c r="I421" s="29">
        <f t="shared" si="25"/>
        <v>40395</v>
      </c>
    </row>
    <row r="422" spans="1:9" ht="12.75" customHeight="1" x14ac:dyDescent="0.2">
      <c r="A422" s="28">
        <v>40396</v>
      </c>
      <c r="B422" s="26" t="s">
        <v>711</v>
      </c>
      <c r="C422" s="26" t="s">
        <v>3209</v>
      </c>
      <c r="D422" s="35" t="s">
        <v>20</v>
      </c>
      <c r="E422" s="35">
        <v>1755212</v>
      </c>
      <c r="F422" s="35" t="s">
        <v>20</v>
      </c>
      <c r="G422" t="b">
        <f t="shared" si="23"/>
        <v>0</v>
      </c>
      <c r="H422" t="b">
        <f t="shared" si="24"/>
        <v>0</v>
      </c>
      <c r="I422" s="29">
        <f t="shared" si="25"/>
        <v>40396</v>
      </c>
    </row>
    <row r="423" spans="1:9" ht="12.75" customHeight="1" x14ac:dyDescent="0.2">
      <c r="A423" s="28">
        <v>40396</v>
      </c>
      <c r="B423" s="26" t="s">
        <v>2244</v>
      </c>
      <c r="C423" s="26" t="s">
        <v>3466</v>
      </c>
      <c r="D423" s="35" t="s">
        <v>20</v>
      </c>
      <c r="E423" s="35">
        <v>1602045</v>
      </c>
      <c r="F423" s="35" t="s">
        <v>20</v>
      </c>
      <c r="G423" t="b">
        <f t="shared" si="23"/>
        <v>0</v>
      </c>
      <c r="H423" t="b">
        <f t="shared" si="24"/>
        <v>0</v>
      </c>
      <c r="I423" s="29">
        <f t="shared" si="25"/>
        <v>40396</v>
      </c>
    </row>
    <row r="424" spans="1:9" ht="12.75" customHeight="1" x14ac:dyDescent="0.2">
      <c r="A424" s="28">
        <v>40396</v>
      </c>
      <c r="B424" s="26" t="s">
        <v>843</v>
      </c>
      <c r="C424" s="26" t="s">
        <v>9</v>
      </c>
      <c r="D424" s="35" t="s">
        <v>20</v>
      </c>
      <c r="E424" s="35">
        <v>7673</v>
      </c>
      <c r="F424" s="35" t="s">
        <v>20</v>
      </c>
      <c r="G424" t="b">
        <f t="shared" si="23"/>
        <v>0</v>
      </c>
      <c r="H424" t="b">
        <f t="shared" si="24"/>
        <v>0</v>
      </c>
      <c r="I424" s="29">
        <f t="shared" si="25"/>
        <v>40396</v>
      </c>
    </row>
    <row r="425" spans="1:9" ht="12.75" customHeight="1" x14ac:dyDescent="0.2">
      <c r="A425" s="28">
        <v>40396</v>
      </c>
      <c r="B425" s="26" t="s">
        <v>313</v>
      </c>
      <c r="C425" s="26" t="s">
        <v>612</v>
      </c>
      <c r="D425" s="35" t="s">
        <v>20</v>
      </c>
      <c r="E425" s="35">
        <v>367798</v>
      </c>
      <c r="F425" s="35" t="s">
        <v>20</v>
      </c>
      <c r="G425" t="b">
        <f t="shared" si="23"/>
        <v>0</v>
      </c>
      <c r="H425" t="b">
        <f t="shared" si="24"/>
        <v>0</v>
      </c>
      <c r="I425" s="29">
        <f t="shared" si="25"/>
        <v>40396</v>
      </c>
    </row>
    <row r="426" spans="1:9" ht="12.75" customHeight="1" x14ac:dyDescent="0.2">
      <c r="A426" s="28">
        <v>40396</v>
      </c>
      <c r="B426" s="26" t="s">
        <v>883</v>
      </c>
      <c r="C426" s="26" t="s">
        <v>2160</v>
      </c>
      <c r="D426" s="35" t="s">
        <v>20</v>
      </c>
      <c r="E426" s="35">
        <v>119219978</v>
      </c>
      <c r="F426" s="35">
        <v>168819978</v>
      </c>
      <c r="G426" t="b">
        <f t="shared" si="23"/>
        <v>0</v>
      </c>
      <c r="H426" t="b">
        <f t="shared" si="24"/>
        <v>0</v>
      </c>
      <c r="I426" s="29">
        <f t="shared" si="25"/>
        <v>40396</v>
      </c>
    </row>
    <row r="427" spans="1:9" ht="12.75" customHeight="1" x14ac:dyDescent="0.2">
      <c r="A427" s="28">
        <v>40396</v>
      </c>
      <c r="B427" s="26" t="s">
        <v>920</v>
      </c>
      <c r="C427" s="26" t="s">
        <v>9</v>
      </c>
      <c r="D427" s="35" t="s">
        <v>20</v>
      </c>
      <c r="E427" s="35">
        <v>754301</v>
      </c>
      <c r="F427" s="35" t="s">
        <v>20</v>
      </c>
      <c r="G427" t="b">
        <f t="shared" si="23"/>
        <v>0</v>
      </c>
      <c r="H427" t="b">
        <f t="shared" si="24"/>
        <v>0</v>
      </c>
      <c r="I427" s="29">
        <f t="shared" si="25"/>
        <v>40396</v>
      </c>
    </row>
    <row r="428" spans="1:9" ht="12.75" customHeight="1" x14ac:dyDescent="0.2">
      <c r="A428" s="28">
        <v>40396</v>
      </c>
      <c r="B428" s="26" t="s">
        <v>2512</v>
      </c>
      <c r="C428" s="26" t="s">
        <v>1137</v>
      </c>
      <c r="D428" s="35" t="s">
        <v>20</v>
      </c>
      <c r="E428" s="35">
        <v>183920</v>
      </c>
      <c r="F428" s="35" t="s">
        <v>20</v>
      </c>
      <c r="G428" t="b">
        <f t="shared" si="23"/>
        <v>0</v>
      </c>
      <c r="H428" t="b">
        <f t="shared" si="24"/>
        <v>0</v>
      </c>
      <c r="I428" s="29">
        <f t="shared" si="25"/>
        <v>40396</v>
      </c>
    </row>
    <row r="429" spans="1:9" ht="12.75" customHeight="1" x14ac:dyDescent="0.2">
      <c r="A429" s="28">
        <v>40396</v>
      </c>
      <c r="B429" s="26" t="s">
        <v>58</v>
      </c>
      <c r="C429" s="26" t="s">
        <v>3390</v>
      </c>
      <c r="D429" s="35" t="s">
        <v>20</v>
      </c>
      <c r="E429" s="35">
        <v>42332164</v>
      </c>
      <c r="F429" s="35">
        <v>147432164</v>
      </c>
      <c r="G429" t="b">
        <f t="shared" si="23"/>
        <v>0</v>
      </c>
      <c r="H429" t="b">
        <f t="shared" si="24"/>
        <v>0</v>
      </c>
      <c r="I429" s="29">
        <f t="shared" si="25"/>
        <v>40396</v>
      </c>
    </row>
    <row r="430" spans="1:9" ht="25.5" x14ac:dyDescent="0.2">
      <c r="A430" s="28">
        <v>40396</v>
      </c>
      <c r="B430" s="26" t="s">
        <v>3220</v>
      </c>
      <c r="C430" s="26" t="s">
        <v>9</v>
      </c>
      <c r="D430" s="35" t="s">
        <v>20</v>
      </c>
      <c r="E430" s="35">
        <v>5100135</v>
      </c>
      <c r="F430" s="35" t="s">
        <v>20</v>
      </c>
      <c r="G430" t="b">
        <f t="shared" si="23"/>
        <v>0</v>
      </c>
      <c r="H430" t="b">
        <f t="shared" si="24"/>
        <v>0</v>
      </c>
      <c r="I430" s="29">
        <f t="shared" si="25"/>
        <v>40396</v>
      </c>
    </row>
    <row r="431" spans="1:9" ht="12.75" customHeight="1" x14ac:dyDescent="0.2">
      <c r="A431" s="28">
        <v>40396</v>
      </c>
      <c r="B431" s="26" t="s">
        <v>2089</v>
      </c>
      <c r="C431" s="26" t="s">
        <v>9</v>
      </c>
      <c r="D431" s="35" t="s">
        <v>20</v>
      </c>
      <c r="E431" s="35">
        <v>298431</v>
      </c>
      <c r="F431" s="35">
        <v>6165645</v>
      </c>
      <c r="G431" t="b">
        <f t="shared" si="23"/>
        <v>0</v>
      </c>
      <c r="H431" t="b">
        <f t="shared" si="24"/>
        <v>0</v>
      </c>
      <c r="I431" s="29">
        <f t="shared" si="25"/>
        <v>40396</v>
      </c>
    </row>
    <row r="432" spans="1:9" ht="38.25" x14ac:dyDescent="0.2">
      <c r="A432" s="28">
        <v>40396</v>
      </c>
      <c r="B432" s="26" t="s">
        <v>1149</v>
      </c>
      <c r="C432" s="26" t="s">
        <v>2990</v>
      </c>
      <c r="D432" s="35" t="s">
        <v>20</v>
      </c>
      <c r="E432" s="35">
        <v>166980</v>
      </c>
      <c r="F432" s="35" t="s">
        <v>20</v>
      </c>
      <c r="G432" t="b">
        <f t="shared" si="23"/>
        <v>0</v>
      </c>
      <c r="H432" t="b">
        <f t="shared" si="24"/>
        <v>0</v>
      </c>
      <c r="I432" s="29">
        <f t="shared" si="25"/>
        <v>40396</v>
      </c>
    </row>
    <row r="433" spans="1:9" ht="12.75" customHeight="1" x14ac:dyDescent="0.2">
      <c r="A433" s="28">
        <v>40403</v>
      </c>
      <c r="B433" s="26" t="s">
        <v>0</v>
      </c>
      <c r="C433" s="26" t="s">
        <v>9</v>
      </c>
      <c r="D433" s="35">
        <v>60000000</v>
      </c>
      <c r="E433" s="35">
        <v>80574010</v>
      </c>
      <c r="F433" s="35">
        <v>201574010</v>
      </c>
      <c r="G433" t="b">
        <f t="shared" si="23"/>
        <v>0</v>
      </c>
      <c r="H433" t="b">
        <f t="shared" si="24"/>
        <v>0</v>
      </c>
      <c r="I433" s="29">
        <f t="shared" si="25"/>
        <v>40403</v>
      </c>
    </row>
    <row r="434" spans="1:9" ht="25.5" x14ac:dyDescent="0.2">
      <c r="A434" s="28">
        <v>40403</v>
      </c>
      <c r="B434" s="26" t="s">
        <v>2392</v>
      </c>
      <c r="C434" s="26" t="s">
        <v>9</v>
      </c>
      <c r="D434" s="35">
        <v>85000000</v>
      </c>
      <c r="E434" s="35">
        <v>31611316</v>
      </c>
      <c r="F434" s="35">
        <v>47744994</v>
      </c>
      <c r="G434" t="b">
        <f t="shared" si="23"/>
        <v>0</v>
      </c>
      <c r="H434" t="b">
        <f t="shared" si="24"/>
        <v>0</v>
      </c>
      <c r="I434" s="29">
        <f t="shared" si="25"/>
        <v>40403</v>
      </c>
    </row>
    <row r="435" spans="1:9" ht="25.5" x14ac:dyDescent="0.2">
      <c r="A435" s="28">
        <v>40403</v>
      </c>
      <c r="B435" s="26" t="s">
        <v>1283</v>
      </c>
      <c r="C435" s="26" t="s">
        <v>9</v>
      </c>
      <c r="D435" s="35" t="s">
        <v>20</v>
      </c>
      <c r="E435" s="35">
        <v>19245</v>
      </c>
      <c r="F435" s="35" t="s">
        <v>20</v>
      </c>
      <c r="G435" t="b">
        <f t="shared" si="23"/>
        <v>0</v>
      </c>
      <c r="H435" t="b">
        <f t="shared" si="24"/>
        <v>0</v>
      </c>
      <c r="I435" s="29">
        <f t="shared" si="25"/>
        <v>40403</v>
      </c>
    </row>
    <row r="436" spans="1:9" ht="12.75" customHeight="1" x14ac:dyDescent="0.2">
      <c r="A436" s="28">
        <v>40403</v>
      </c>
      <c r="B436" s="26" t="s">
        <v>2422</v>
      </c>
      <c r="C436" s="26" t="s">
        <v>9</v>
      </c>
      <c r="D436" s="35" t="s">
        <v>20</v>
      </c>
      <c r="E436" s="35">
        <v>1036519</v>
      </c>
      <c r="F436" s="35">
        <v>1640890</v>
      </c>
      <c r="G436" t="b">
        <f t="shared" si="23"/>
        <v>0</v>
      </c>
      <c r="H436" t="b">
        <f t="shared" si="24"/>
        <v>0</v>
      </c>
      <c r="I436" s="29">
        <f t="shared" si="25"/>
        <v>40403</v>
      </c>
    </row>
    <row r="437" spans="1:9" ht="25.5" x14ac:dyDescent="0.2">
      <c r="A437" s="28">
        <v>40403</v>
      </c>
      <c r="B437" s="26" t="s">
        <v>1793</v>
      </c>
      <c r="C437" s="26" t="s">
        <v>9</v>
      </c>
      <c r="D437" s="35" t="s">
        <v>20</v>
      </c>
      <c r="E437" s="35">
        <v>9493</v>
      </c>
      <c r="F437" s="35" t="s">
        <v>20</v>
      </c>
      <c r="G437" t="b">
        <f t="shared" si="23"/>
        <v>0</v>
      </c>
      <c r="H437" t="b">
        <f t="shared" si="24"/>
        <v>0</v>
      </c>
      <c r="I437" s="29">
        <f t="shared" si="25"/>
        <v>40403</v>
      </c>
    </row>
    <row r="438" spans="1:9" ht="12.75" customHeight="1" x14ac:dyDescent="0.2">
      <c r="A438" s="28">
        <v>40403</v>
      </c>
      <c r="B438" s="26" t="s">
        <v>366</v>
      </c>
      <c r="C438" s="26" t="s">
        <v>2310</v>
      </c>
      <c r="D438" s="35">
        <v>82000000</v>
      </c>
      <c r="E438" s="35">
        <v>103068524</v>
      </c>
      <c r="F438" s="35">
        <v>251068524</v>
      </c>
      <c r="G438" t="b">
        <f t="shared" si="23"/>
        <v>0</v>
      </c>
      <c r="H438" t="b">
        <f t="shared" si="24"/>
        <v>0</v>
      </c>
      <c r="I438" s="29">
        <f t="shared" si="25"/>
        <v>40403</v>
      </c>
    </row>
    <row r="439" spans="1:9" ht="12.75" customHeight="1" x14ac:dyDescent="0.2">
      <c r="A439" s="28">
        <v>40403</v>
      </c>
      <c r="B439" s="26" t="s">
        <v>2439</v>
      </c>
      <c r="C439" s="26" t="s">
        <v>9</v>
      </c>
      <c r="D439" s="35" t="s">
        <v>20</v>
      </c>
      <c r="E439" s="35">
        <v>754836</v>
      </c>
      <c r="F439" s="35">
        <v>8544969</v>
      </c>
      <c r="G439" t="b">
        <f t="shared" si="23"/>
        <v>0</v>
      </c>
      <c r="H439" t="b">
        <f t="shared" si="24"/>
        <v>0</v>
      </c>
      <c r="I439" s="29">
        <f t="shared" si="25"/>
        <v>40403</v>
      </c>
    </row>
    <row r="440" spans="1:9" ht="25.5" x14ac:dyDescent="0.2">
      <c r="A440" s="28">
        <v>40403</v>
      </c>
      <c r="B440" s="26" t="s">
        <v>1229</v>
      </c>
      <c r="C440" s="26" t="s">
        <v>9</v>
      </c>
      <c r="D440" s="35" t="s">
        <v>20</v>
      </c>
      <c r="E440" s="35">
        <v>17612</v>
      </c>
      <c r="F440" s="35" t="s">
        <v>20</v>
      </c>
      <c r="G440" t="b">
        <f t="shared" si="23"/>
        <v>0</v>
      </c>
      <c r="H440" t="b">
        <f t="shared" si="24"/>
        <v>0</v>
      </c>
      <c r="I440" s="29">
        <f t="shared" si="25"/>
        <v>40403</v>
      </c>
    </row>
    <row r="441" spans="1:9" ht="12.75" customHeight="1" x14ac:dyDescent="0.2">
      <c r="A441" s="28">
        <v>40403</v>
      </c>
      <c r="B441" s="26" t="s">
        <v>3471</v>
      </c>
      <c r="C441" s="26" t="s">
        <v>9</v>
      </c>
      <c r="D441" s="35" t="s">
        <v>20</v>
      </c>
      <c r="E441" s="35">
        <v>210625</v>
      </c>
      <c r="F441" s="35" t="s">
        <v>20</v>
      </c>
      <c r="G441" t="b">
        <f t="shared" si="23"/>
        <v>0</v>
      </c>
      <c r="H441" t="b">
        <f t="shared" si="24"/>
        <v>0</v>
      </c>
      <c r="I441" s="29">
        <f t="shared" si="25"/>
        <v>40403</v>
      </c>
    </row>
    <row r="442" spans="1:9" ht="12.75" customHeight="1" x14ac:dyDescent="0.2">
      <c r="A442" s="28">
        <v>40408</v>
      </c>
      <c r="B442" s="26" t="s">
        <v>2818</v>
      </c>
      <c r="C442" s="26" t="s">
        <v>9</v>
      </c>
      <c r="D442" s="35" t="s">
        <v>20</v>
      </c>
      <c r="E442" s="35">
        <v>311542</v>
      </c>
      <c r="F442" s="35" t="s">
        <v>20</v>
      </c>
      <c r="G442" t="b">
        <f t="shared" si="23"/>
        <v>0</v>
      </c>
      <c r="H442" t="b">
        <f t="shared" si="24"/>
        <v>0</v>
      </c>
      <c r="I442" s="29">
        <f t="shared" si="25"/>
        <v>40408</v>
      </c>
    </row>
    <row r="443" spans="1:9" ht="12.75" customHeight="1" x14ac:dyDescent="0.2">
      <c r="A443" s="28">
        <v>40408</v>
      </c>
      <c r="B443" s="26" t="s">
        <v>2398</v>
      </c>
      <c r="C443" s="26" t="s">
        <v>384</v>
      </c>
      <c r="D443" s="35" t="s">
        <v>20</v>
      </c>
      <c r="E443" s="35">
        <v>36661504</v>
      </c>
      <c r="F443" s="35">
        <v>80722833</v>
      </c>
      <c r="G443" t="b">
        <f t="shared" si="23"/>
        <v>0</v>
      </c>
      <c r="H443" t="b">
        <f t="shared" si="24"/>
        <v>0</v>
      </c>
      <c r="I443" s="29">
        <f t="shared" si="25"/>
        <v>40408</v>
      </c>
    </row>
    <row r="444" spans="1:9" ht="12.75" customHeight="1" x14ac:dyDescent="0.2">
      <c r="A444" s="28">
        <v>40410</v>
      </c>
      <c r="B444" s="26" t="s">
        <v>2782</v>
      </c>
      <c r="C444" s="26" t="s">
        <v>9</v>
      </c>
      <c r="D444" s="35" t="s">
        <v>20</v>
      </c>
      <c r="E444" s="35">
        <v>2961</v>
      </c>
      <c r="F444" s="35" t="s">
        <v>20</v>
      </c>
      <c r="G444" t="b">
        <f t="shared" si="23"/>
        <v>0</v>
      </c>
      <c r="H444" t="b">
        <f t="shared" si="24"/>
        <v>0</v>
      </c>
      <c r="I444" s="29">
        <f t="shared" si="25"/>
        <v>40410</v>
      </c>
    </row>
    <row r="445" spans="1:9" ht="12.75" customHeight="1" x14ac:dyDescent="0.2">
      <c r="A445" s="28">
        <v>40410</v>
      </c>
      <c r="B445" s="26" t="s">
        <v>2023</v>
      </c>
      <c r="C445" s="26" t="s">
        <v>9</v>
      </c>
      <c r="D445" s="35" t="s">
        <v>20</v>
      </c>
      <c r="E445" s="35">
        <v>798940</v>
      </c>
      <c r="F445" s="35" t="s">
        <v>20</v>
      </c>
      <c r="G445" t="b">
        <f t="shared" si="23"/>
        <v>0</v>
      </c>
      <c r="H445" t="b">
        <f t="shared" si="24"/>
        <v>0</v>
      </c>
      <c r="I445" s="29">
        <f t="shared" si="25"/>
        <v>40410</v>
      </c>
    </row>
    <row r="446" spans="1:9" ht="12.75" customHeight="1" x14ac:dyDescent="0.2">
      <c r="A446" s="28">
        <v>40410</v>
      </c>
      <c r="B446" s="26" t="s">
        <v>1962</v>
      </c>
      <c r="C446" s="26" t="s">
        <v>9</v>
      </c>
      <c r="D446" s="35" t="s">
        <v>20</v>
      </c>
      <c r="E446" s="35">
        <v>27758465</v>
      </c>
      <c r="F446" s="35">
        <v>47864158</v>
      </c>
      <c r="G446" t="b">
        <f t="shared" si="23"/>
        <v>0</v>
      </c>
      <c r="H446" t="b">
        <f t="shared" si="24"/>
        <v>0</v>
      </c>
      <c r="I446" s="29">
        <f t="shared" si="25"/>
        <v>40410</v>
      </c>
    </row>
    <row r="447" spans="1:9" x14ac:dyDescent="0.2">
      <c r="A447" s="28">
        <v>40410</v>
      </c>
      <c r="B447" s="26" t="s">
        <v>2082</v>
      </c>
      <c r="C447" s="26" t="s">
        <v>9</v>
      </c>
      <c r="D447" s="35" t="s">
        <v>20</v>
      </c>
      <c r="E447" s="35">
        <v>4806750</v>
      </c>
      <c r="F447" s="35">
        <v>12949849</v>
      </c>
      <c r="G447" t="b">
        <f t="shared" si="23"/>
        <v>0</v>
      </c>
      <c r="H447" t="b">
        <f t="shared" si="24"/>
        <v>0</v>
      </c>
      <c r="I447" s="29">
        <f t="shared" si="25"/>
        <v>40410</v>
      </c>
    </row>
    <row r="448" spans="1:9" ht="12.75" customHeight="1" x14ac:dyDescent="0.2">
      <c r="A448" s="28">
        <v>40410</v>
      </c>
      <c r="B448" s="26" t="s">
        <v>3314</v>
      </c>
      <c r="C448" s="26" t="s">
        <v>9</v>
      </c>
      <c r="D448" s="35" t="s">
        <v>20</v>
      </c>
      <c r="E448" s="35">
        <v>274385</v>
      </c>
      <c r="F448" s="35" t="s">
        <v>20</v>
      </c>
      <c r="G448" t="b">
        <f t="shared" si="23"/>
        <v>0</v>
      </c>
      <c r="H448" t="b">
        <f t="shared" si="24"/>
        <v>0</v>
      </c>
      <c r="I448" s="29">
        <f t="shared" si="25"/>
        <v>40410</v>
      </c>
    </row>
    <row r="449" spans="1:9" ht="12.75" customHeight="1" x14ac:dyDescent="0.2">
      <c r="A449" s="28">
        <v>40410</v>
      </c>
      <c r="B449" s="26" t="s">
        <v>1489</v>
      </c>
      <c r="C449" s="26" t="s">
        <v>3475</v>
      </c>
      <c r="D449" s="35" t="s">
        <v>20</v>
      </c>
      <c r="E449" s="35">
        <v>25003155</v>
      </c>
      <c r="F449" s="35">
        <v>63374599</v>
      </c>
      <c r="G449" t="b">
        <f t="shared" si="23"/>
        <v>0</v>
      </c>
      <c r="H449" t="b">
        <f t="shared" si="24"/>
        <v>0</v>
      </c>
      <c r="I449" s="29">
        <f t="shared" si="25"/>
        <v>40410</v>
      </c>
    </row>
    <row r="450" spans="1:9" ht="25.5" x14ac:dyDescent="0.2">
      <c r="A450" s="28">
        <v>40410</v>
      </c>
      <c r="B450" s="26" t="s">
        <v>1332</v>
      </c>
      <c r="C450" s="26" t="s">
        <v>9</v>
      </c>
      <c r="D450" s="35">
        <v>35000000</v>
      </c>
      <c r="E450" s="35">
        <v>29197642</v>
      </c>
      <c r="F450" s="35">
        <v>91833800</v>
      </c>
      <c r="G450" t="b">
        <f t="shared" si="23"/>
        <v>0</v>
      </c>
      <c r="H450" t="b">
        <f t="shared" si="24"/>
        <v>0</v>
      </c>
      <c r="I450" s="29">
        <f t="shared" si="25"/>
        <v>40410</v>
      </c>
    </row>
    <row r="451" spans="1:9" ht="12.75" customHeight="1" x14ac:dyDescent="0.2">
      <c r="A451" s="28">
        <v>40410</v>
      </c>
      <c r="B451" s="26" t="s">
        <v>2305</v>
      </c>
      <c r="C451" s="26" t="s">
        <v>9</v>
      </c>
      <c r="D451" s="35">
        <v>17000000</v>
      </c>
      <c r="E451" s="35">
        <v>24719879</v>
      </c>
      <c r="F451" s="35" t="s">
        <v>20</v>
      </c>
      <c r="G451" t="b">
        <f t="shared" si="23"/>
        <v>0</v>
      </c>
      <c r="H451" t="b">
        <f t="shared" si="24"/>
        <v>0</v>
      </c>
      <c r="I451" s="29">
        <f t="shared" si="25"/>
        <v>40410</v>
      </c>
    </row>
    <row r="452" spans="1:9" ht="12.75" customHeight="1" x14ac:dyDescent="0.2">
      <c r="A452" s="28">
        <v>40410</v>
      </c>
      <c r="B452" s="26" t="s">
        <v>1598</v>
      </c>
      <c r="C452" s="26" t="s">
        <v>9</v>
      </c>
      <c r="D452" s="35" t="s">
        <v>20</v>
      </c>
      <c r="E452" s="35">
        <v>35416</v>
      </c>
      <c r="F452" s="35" t="s">
        <v>20</v>
      </c>
      <c r="G452" t="b">
        <f t="shared" si="23"/>
        <v>0</v>
      </c>
      <c r="H452" t="b">
        <f t="shared" si="24"/>
        <v>0</v>
      </c>
      <c r="I452" s="29">
        <f t="shared" si="25"/>
        <v>40410</v>
      </c>
    </row>
    <row r="453" spans="1:9" ht="12.75" customHeight="1" x14ac:dyDescent="0.2">
      <c r="A453" s="28">
        <v>40410</v>
      </c>
      <c r="B453" s="26" t="s">
        <v>947</v>
      </c>
      <c r="C453" s="26" t="s">
        <v>9</v>
      </c>
      <c r="D453" s="35" t="s">
        <v>20</v>
      </c>
      <c r="E453" s="35">
        <v>806869</v>
      </c>
      <c r="F453" s="35" t="s">
        <v>20</v>
      </c>
      <c r="G453" t="b">
        <f t="shared" si="23"/>
        <v>0</v>
      </c>
      <c r="H453" t="b">
        <f t="shared" si="24"/>
        <v>0</v>
      </c>
      <c r="I453" s="29">
        <f t="shared" si="25"/>
        <v>40410</v>
      </c>
    </row>
    <row r="454" spans="1:9" ht="25.5" x14ac:dyDescent="0.2">
      <c r="A454" s="28">
        <v>40417</v>
      </c>
      <c r="B454" s="26" t="s">
        <v>3224</v>
      </c>
      <c r="C454" s="26" t="s">
        <v>2310</v>
      </c>
      <c r="D454" s="35">
        <v>1800000</v>
      </c>
      <c r="E454" s="35">
        <v>41034350</v>
      </c>
      <c r="F454" s="35">
        <v>61634350</v>
      </c>
      <c r="G454" t="b">
        <f t="shared" si="23"/>
        <v>0</v>
      </c>
      <c r="H454" t="b">
        <f t="shared" si="24"/>
        <v>0</v>
      </c>
      <c r="I454" s="29">
        <f t="shared" si="25"/>
        <v>40417</v>
      </c>
    </row>
    <row r="455" spans="1:9" ht="12.75" customHeight="1" x14ac:dyDescent="0.2">
      <c r="A455" s="28">
        <v>40417</v>
      </c>
      <c r="B455" s="26" t="s">
        <v>867</v>
      </c>
      <c r="C455" s="26" t="s">
        <v>9</v>
      </c>
      <c r="D455" s="35" t="s">
        <v>20</v>
      </c>
      <c r="E455" s="35">
        <v>10376</v>
      </c>
      <c r="F455" s="35" t="s">
        <v>20</v>
      </c>
      <c r="G455" t="b">
        <f t="shared" si="23"/>
        <v>0</v>
      </c>
      <c r="H455" t="b">
        <f t="shared" si="24"/>
        <v>0</v>
      </c>
      <c r="I455" s="29">
        <f t="shared" si="25"/>
        <v>40417</v>
      </c>
    </row>
    <row r="456" spans="1:9" ht="12.75" customHeight="1" x14ac:dyDescent="0.2">
      <c r="A456" s="28">
        <v>40417</v>
      </c>
      <c r="B456" s="26" t="s">
        <v>2485</v>
      </c>
      <c r="C456" s="26" t="s">
        <v>9</v>
      </c>
      <c r="D456" s="35" t="s">
        <v>20</v>
      </c>
      <c r="E456" s="35" t="s">
        <v>20</v>
      </c>
      <c r="F456" s="35" t="s">
        <v>20</v>
      </c>
      <c r="G456" t="b">
        <f t="shared" si="23"/>
        <v>0</v>
      </c>
      <c r="H456" t="b">
        <f t="shared" si="24"/>
        <v>0</v>
      </c>
      <c r="I456" s="29">
        <f t="shared" si="25"/>
        <v>40417</v>
      </c>
    </row>
    <row r="457" spans="1:9" ht="12.75" customHeight="1" x14ac:dyDescent="0.2">
      <c r="A457" s="28">
        <v>40417</v>
      </c>
      <c r="B457" s="26" t="s">
        <v>3204</v>
      </c>
      <c r="C457" s="26" t="s">
        <v>9</v>
      </c>
      <c r="D457" s="35" t="s">
        <v>20</v>
      </c>
      <c r="E457" s="35" t="s">
        <v>20</v>
      </c>
      <c r="F457" s="35" t="s">
        <v>20</v>
      </c>
      <c r="G457" t="b">
        <f t="shared" si="23"/>
        <v>0</v>
      </c>
      <c r="H457" t="b">
        <f t="shared" si="24"/>
        <v>0</v>
      </c>
      <c r="I457" s="29">
        <f t="shared" si="25"/>
        <v>40417</v>
      </c>
    </row>
    <row r="458" spans="1:9" ht="12.75" customHeight="1" x14ac:dyDescent="0.2">
      <c r="A458" s="28">
        <v>40417</v>
      </c>
      <c r="B458" s="26" t="s">
        <v>3254</v>
      </c>
      <c r="C458" s="26" t="s">
        <v>9</v>
      </c>
      <c r="D458" s="35">
        <v>15000000</v>
      </c>
      <c r="E458" s="35">
        <v>123570</v>
      </c>
      <c r="F458" s="35">
        <v>3636824</v>
      </c>
      <c r="G458" t="b">
        <f t="shared" si="23"/>
        <v>0</v>
      </c>
      <c r="H458" t="b">
        <f t="shared" si="24"/>
        <v>0</v>
      </c>
      <c r="I458" s="29">
        <f t="shared" si="25"/>
        <v>40417</v>
      </c>
    </row>
    <row r="459" spans="1:9" ht="12.75" customHeight="1" x14ac:dyDescent="0.2">
      <c r="A459" s="28">
        <v>40417</v>
      </c>
      <c r="B459" s="26" t="s">
        <v>1703</v>
      </c>
      <c r="C459" s="26" t="s">
        <v>9</v>
      </c>
      <c r="D459" s="35" t="s">
        <v>20</v>
      </c>
      <c r="E459" s="35">
        <v>549880</v>
      </c>
      <c r="F459" s="35" t="s">
        <v>20</v>
      </c>
      <c r="G459" t="b">
        <f t="shared" si="23"/>
        <v>0</v>
      </c>
      <c r="H459" t="b">
        <f t="shared" si="24"/>
        <v>0</v>
      </c>
      <c r="I459" s="29">
        <f t="shared" si="25"/>
        <v>40417</v>
      </c>
    </row>
    <row r="460" spans="1:9" ht="12.75" customHeight="1" x14ac:dyDescent="0.2">
      <c r="A460" s="28">
        <v>40417</v>
      </c>
      <c r="B460" s="26" t="s">
        <v>1343</v>
      </c>
      <c r="C460" s="26" t="s">
        <v>9</v>
      </c>
      <c r="D460" s="35" t="s">
        <v>20</v>
      </c>
      <c r="E460" s="35">
        <v>10942</v>
      </c>
      <c r="F460" s="35" t="s">
        <v>20</v>
      </c>
      <c r="G460" t="b">
        <f t="shared" si="23"/>
        <v>0</v>
      </c>
      <c r="H460" t="b">
        <f t="shared" si="24"/>
        <v>0</v>
      </c>
      <c r="I460" s="29">
        <f t="shared" si="25"/>
        <v>40417</v>
      </c>
    </row>
    <row r="461" spans="1:9" ht="12.75" customHeight="1" x14ac:dyDescent="0.2">
      <c r="A461" s="28">
        <v>40417</v>
      </c>
      <c r="B461" s="26" t="s">
        <v>518</v>
      </c>
      <c r="C461" s="26" t="s">
        <v>9</v>
      </c>
      <c r="D461" s="35" t="s">
        <v>20</v>
      </c>
      <c r="E461" s="35">
        <v>1400</v>
      </c>
      <c r="F461" s="35" t="s">
        <v>20</v>
      </c>
      <c r="G461" t="b">
        <f t="shared" si="23"/>
        <v>0</v>
      </c>
      <c r="H461" t="b">
        <f t="shared" si="24"/>
        <v>0</v>
      </c>
      <c r="I461" s="29">
        <f t="shared" si="25"/>
        <v>40417</v>
      </c>
    </row>
    <row r="462" spans="1:9" ht="12.75" customHeight="1" x14ac:dyDescent="0.2">
      <c r="A462" s="28">
        <v>40417</v>
      </c>
      <c r="B462" s="26" t="s">
        <v>2396</v>
      </c>
      <c r="C462" s="26" t="s">
        <v>9</v>
      </c>
      <c r="D462" s="35" t="s">
        <v>20</v>
      </c>
      <c r="E462" s="35">
        <v>10024</v>
      </c>
      <c r="F462" s="35" t="s">
        <v>20</v>
      </c>
      <c r="G462" t="b">
        <f t="shared" si="23"/>
        <v>0</v>
      </c>
      <c r="H462" t="b">
        <f t="shared" si="24"/>
        <v>0</v>
      </c>
      <c r="I462" s="29">
        <f t="shared" si="25"/>
        <v>40417</v>
      </c>
    </row>
    <row r="463" spans="1:9" ht="12.75" customHeight="1" x14ac:dyDescent="0.2">
      <c r="A463" s="28">
        <v>40417</v>
      </c>
      <c r="B463" s="26" t="s">
        <v>1062</v>
      </c>
      <c r="C463" s="26" t="s">
        <v>2160</v>
      </c>
      <c r="D463" s="35">
        <v>32000000</v>
      </c>
      <c r="E463" s="35">
        <v>57744720</v>
      </c>
      <c r="F463" s="35">
        <v>66744720</v>
      </c>
      <c r="G463" t="b">
        <f t="shared" si="23"/>
        <v>0</v>
      </c>
      <c r="H463" t="b">
        <f t="shared" si="24"/>
        <v>0</v>
      </c>
      <c r="I463" s="29">
        <f t="shared" si="25"/>
        <v>40417</v>
      </c>
    </row>
    <row r="464" spans="1:9" ht="51" x14ac:dyDescent="0.2">
      <c r="A464" s="28">
        <v>40421</v>
      </c>
      <c r="B464" s="26" t="s">
        <v>778</v>
      </c>
      <c r="C464" s="26" t="s">
        <v>9</v>
      </c>
      <c r="D464" s="35" t="s">
        <v>20</v>
      </c>
      <c r="E464" s="35" t="s">
        <v>20</v>
      </c>
      <c r="F464" s="35" t="s">
        <v>20</v>
      </c>
      <c r="G464" t="b">
        <f t="shared" si="23"/>
        <v>0</v>
      </c>
      <c r="H464" t="b">
        <f t="shared" si="24"/>
        <v>0</v>
      </c>
      <c r="I464" s="29">
        <f t="shared" si="25"/>
        <v>40421</v>
      </c>
    </row>
    <row r="465" spans="1:9" ht="51" x14ac:dyDescent="0.2">
      <c r="A465" s="28">
        <v>40421</v>
      </c>
      <c r="B465" s="26" t="s">
        <v>847</v>
      </c>
      <c r="C465" s="26" t="s">
        <v>9</v>
      </c>
      <c r="D465" s="35" t="s">
        <v>20</v>
      </c>
      <c r="E465" s="35" t="s">
        <v>20</v>
      </c>
      <c r="F465" s="35" t="s">
        <v>20</v>
      </c>
      <c r="G465" t="b">
        <f t="shared" si="23"/>
        <v>0</v>
      </c>
      <c r="H465" t="b">
        <f t="shared" si="24"/>
        <v>0</v>
      </c>
      <c r="I465" s="29">
        <f t="shared" si="25"/>
        <v>40421</v>
      </c>
    </row>
    <row r="466" spans="1:9" ht="12.75" customHeight="1" x14ac:dyDescent="0.2">
      <c r="A466" s="28">
        <v>40421</v>
      </c>
      <c r="B466" s="26" t="s">
        <v>1325</v>
      </c>
      <c r="C466" s="26" t="s">
        <v>9</v>
      </c>
      <c r="D466" s="35" t="s">
        <v>20</v>
      </c>
      <c r="E466" s="35" t="s">
        <v>20</v>
      </c>
      <c r="F466" s="35" t="s">
        <v>20</v>
      </c>
      <c r="G466" t="b">
        <f t="shared" si="23"/>
        <v>0</v>
      </c>
      <c r="H466" t="b">
        <f t="shared" si="24"/>
        <v>0</v>
      </c>
      <c r="I466" s="29">
        <f t="shared" si="25"/>
        <v>40421</v>
      </c>
    </row>
    <row r="467" spans="1:9" ht="12.75" customHeight="1" x14ac:dyDescent="0.2">
      <c r="A467" s="28">
        <v>40422</v>
      </c>
      <c r="B467" s="26" t="s">
        <v>327</v>
      </c>
      <c r="C467" s="26" t="s">
        <v>698</v>
      </c>
      <c r="D467" s="35" t="s">
        <v>20</v>
      </c>
      <c r="E467" s="35">
        <v>35606376</v>
      </c>
      <c r="F467" s="35">
        <v>46251698</v>
      </c>
      <c r="G467" t="b">
        <f t="shared" si="23"/>
        <v>0</v>
      </c>
      <c r="H467" t="b">
        <f t="shared" si="24"/>
        <v>0</v>
      </c>
      <c r="I467" s="29">
        <f t="shared" si="25"/>
        <v>40422</v>
      </c>
    </row>
    <row r="468" spans="1:9" ht="12.75" customHeight="1" x14ac:dyDescent="0.2">
      <c r="A468" s="28">
        <v>40422</v>
      </c>
      <c r="B468" s="26" t="s">
        <v>3129</v>
      </c>
      <c r="C468" s="26" t="s">
        <v>400</v>
      </c>
      <c r="D468" s="35" t="s">
        <v>20</v>
      </c>
      <c r="E468" s="35">
        <v>199748</v>
      </c>
      <c r="F468" s="35" t="s">
        <v>20</v>
      </c>
      <c r="G468" t="b">
        <f t="shared" si="23"/>
        <v>0</v>
      </c>
      <c r="H468" t="b">
        <f t="shared" si="24"/>
        <v>0</v>
      </c>
      <c r="I468" s="29">
        <f t="shared" si="25"/>
        <v>40422</v>
      </c>
    </row>
    <row r="469" spans="1:9" ht="12.75" customHeight="1" x14ac:dyDescent="0.2">
      <c r="A469" s="28">
        <v>40424</v>
      </c>
      <c r="B469" s="26" t="s">
        <v>3368</v>
      </c>
      <c r="C469" s="26" t="s">
        <v>9</v>
      </c>
      <c r="D469" s="35" t="s">
        <v>20</v>
      </c>
      <c r="E469" s="35">
        <v>11711</v>
      </c>
      <c r="F469" s="35" t="s">
        <v>20</v>
      </c>
      <c r="G469" t="b">
        <f t="shared" si="23"/>
        <v>0</v>
      </c>
      <c r="H469" t="b">
        <f t="shared" si="24"/>
        <v>0</v>
      </c>
      <c r="I469" s="29">
        <f t="shared" si="25"/>
        <v>40424</v>
      </c>
    </row>
    <row r="470" spans="1:9" ht="25.5" x14ac:dyDescent="0.2">
      <c r="A470" s="28">
        <v>40424</v>
      </c>
      <c r="B470" s="26" t="s">
        <v>1551</v>
      </c>
      <c r="C470" s="26" t="s">
        <v>3209</v>
      </c>
      <c r="D470" s="35" t="s">
        <v>20</v>
      </c>
      <c r="E470" s="35">
        <v>17804299</v>
      </c>
      <c r="F470" s="35" t="s">
        <v>20</v>
      </c>
      <c r="G470" t="b">
        <f t="shared" si="23"/>
        <v>0</v>
      </c>
      <c r="H470" t="b">
        <f t="shared" si="24"/>
        <v>0</v>
      </c>
      <c r="I470" s="29">
        <f t="shared" si="25"/>
        <v>40424</v>
      </c>
    </row>
    <row r="471" spans="1:9" ht="25.5" x14ac:dyDescent="0.2">
      <c r="A471" s="28">
        <v>40424</v>
      </c>
      <c r="B471" s="26" t="s">
        <v>2734</v>
      </c>
      <c r="C471" s="26" t="s">
        <v>9</v>
      </c>
      <c r="D471" s="35" t="s">
        <v>20</v>
      </c>
      <c r="E471" s="35">
        <v>274523</v>
      </c>
      <c r="F471" s="35" t="s">
        <v>20</v>
      </c>
      <c r="G471" t="b">
        <f t="shared" si="23"/>
        <v>0</v>
      </c>
      <c r="H471" t="b">
        <f t="shared" si="24"/>
        <v>0</v>
      </c>
      <c r="I471" s="29">
        <f t="shared" si="25"/>
        <v>40424</v>
      </c>
    </row>
    <row r="472" spans="1:9" ht="12.75" customHeight="1" x14ac:dyDescent="0.2">
      <c r="A472" s="28">
        <v>40424</v>
      </c>
      <c r="B472" s="26" t="s">
        <v>357</v>
      </c>
      <c r="C472" s="26" t="s">
        <v>9</v>
      </c>
      <c r="D472" s="35">
        <v>1000000</v>
      </c>
      <c r="E472" s="35">
        <v>11574</v>
      </c>
      <c r="F472" s="35" t="s">
        <v>20</v>
      </c>
      <c r="G472" t="b">
        <f t="shared" si="23"/>
        <v>0</v>
      </c>
      <c r="H472" t="b">
        <f t="shared" si="24"/>
        <v>0</v>
      </c>
      <c r="I472" s="29">
        <f t="shared" si="25"/>
        <v>40424</v>
      </c>
    </row>
    <row r="473" spans="1:9" ht="12.75" customHeight="1" x14ac:dyDescent="0.2">
      <c r="A473" s="28">
        <v>40424</v>
      </c>
      <c r="B473" s="26" t="s">
        <v>236</v>
      </c>
      <c r="C473" s="26" t="s">
        <v>9</v>
      </c>
      <c r="D473" s="35">
        <v>12500000</v>
      </c>
      <c r="E473" s="35">
        <v>26593646</v>
      </c>
      <c r="F473" s="35">
        <v>41593646</v>
      </c>
      <c r="G473" t="b">
        <f t="shared" ref="G473:G534" si="26">ISBLANK(A473)</f>
        <v>0</v>
      </c>
      <c r="H473" t="b">
        <f t="shared" ref="H473:H534" si="27">ISTEXT(A473)</f>
        <v>0</v>
      </c>
      <c r="I473" s="29">
        <f t="shared" ref="I473:I534" si="28">DATE(2010,MONTH(A473), DAY(A473))</f>
        <v>40424</v>
      </c>
    </row>
    <row r="474" spans="1:9" ht="12.75" customHeight="1" x14ac:dyDescent="0.2">
      <c r="A474" s="28">
        <v>40424</v>
      </c>
      <c r="B474" s="26" t="s">
        <v>3172</v>
      </c>
      <c r="C474" s="26" t="s">
        <v>9</v>
      </c>
      <c r="D474" s="35" t="s">
        <v>20</v>
      </c>
      <c r="E474" s="35">
        <v>285848</v>
      </c>
      <c r="F474" s="35" t="s">
        <v>20</v>
      </c>
      <c r="G474" t="b">
        <f t="shared" si="26"/>
        <v>0</v>
      </c>
      <c r="H474" t="b">
        <f t="shared" si="27"/>
        <v>0</v>
      </c>
      <c r="I474" s="29">
        <f t="shared" si="28"/>
        <v>40424</v>
      </c>
    </row>
    <row r="475" spans="1:9" ht="25.5" x14ac:dyDescent="0.2">
      <c r="A475" s="28">
        <v>40424</v>
      </c>
      <c r="B475" s="26" t="s">
        <v>309</v>
      </c>
      <c r="C475" s="26" t="s">
        <v>9</v>
      </c>
      <c r="D475" s="35" t="s">
        <v>20</v>
      </c>
      <c r="E475" s="35">
        <v>20450</v>
      </c>
      <c r="F475" s="35" t="s">
        <v>20</v>
      </c>
      <c r="G475" t="b">
        <f t="shared" si="26"/>
        <v>0</v>
      </c>
      <c r="H475" t="b">
        <f t="shared" si="27"/>
        <v>0</v>
      </c>
      <c r="I475" s="29">
        <f t="shared" si="28"/>
        <v>40424</v>
      </c>
    </row>
    <row r="476" spans="1:9" ht="25.5" x14ac:dyDescent="0.2">
      <c r="A476" s="28">
        <v>40424</v>
      </c>
      <c r="B476" s="26" t="s">
        <v>2576</v>
      </c>
      <c r="C476" s="26" t="s">
        <v>9</v>
      </c>
      <c r="D476" s="35" t="s">
        <v>20</v>
      </c>
      <c r="E476" s="35">
        <v>5000</v>
      </c>
      <c r="F476" s="35" t="s">
        <v>20</v>
      </c>
      <c r="G476" t="b">
        <f t="shared" si="26"/>
        <v>0</v>
      </c>
      <c r="H476" t="b">
        <f t="shared" si="27"/>
        <v>0</v>
      </c>
      <c r="I476" s="29">
        <f t="shared" si="28"/>
        <v>40424</v>
      </c>
    </row>
    <row r="477" spans="1:9" ht="12.75" customHeight="1" x14ac:dyDescent="0.2">
      <c r="A477" s="28">
        <v>40424</v>
      </c>
      <c r="B477" s="26" t="s">
        <v>773</v>
      </c>
      <c r="C477" s="26" t="s">
        <v>9</v>
      </c>
      <c r="D477" s="35" t="s">
        <v>20</v>
      </c>
      <c r="E477" s="35">
        <v>638144</v>
      </c>
      <c r="F477" s="35">
        <v>5318144</v>
      </c>
      <c r="G477" t="b">
        <f t="shared" si="26"/>
        <v>0</v>
      </c>
      <c r="H477" t="b">
        <f t="shared" si="27"/>
        <v>0</v>
      </c>
      <c r="I477" s="29">
        <f t="shared" si="28"/>
        <v>40424</v>
      </c>
    </row>
    <row r="478" spans="1:9" ht="25.5" x14ac:dyDescent="0.2">
      <c r="A478" s="28">
        <v>40424</v>
      </c>
      <c r="B478" s="26" t="s">
        <v>626</v>
      </c>
      <c r="C478" s="26" t="s">
        <v>612</v>
      </c>
      <c r="D478" s="35" t="s">
        <v>20</v>
      </c>
      <c r="E478" s="35">
        <v>190666</v>
      </c>
      <c r="F478" s="35" t="s">
        <v>20</v>
      </c>
      <c r="G478" t="b">
        <f t="shared" si="26"/>
        <v>0</v>
      </c>
      <c r="H478" t="b">
        <f t="shared" si="27"/>
        <v>0</v>
      </c>
      <c r="I478" s="29">
        <f t="shared" si="28"/>
        <v>40424</v>
      </c>
    </row>
    <row r="479" spans="1:9" ht="12.75" customHeight="1" x14ac:dyDescent="0.2">
      <c r="A479" s="28">
        <v>40424</v>
      </c>
      <c r="B479" s="26" t="s">
        <v>1165</v>
      </c>
      <c r="C479" s="26" t="s">
        <v>9</v>
      </c>
      <c r="D479" s="35" t="s">
        <v>20</v>
      </c>
      <c r="E479" s="35" t="s">
        <v>20</v>
      </c>
      <c r="F479" s="35" t="s">
        <v>20</v>
      </c>
      <c r="G479" t="b">
        <f t="shared" si="26"/>
        <v>0</v>
      </c>
      <c r="H479" t="b">
        <f t="shared" si="27"/>
        <v>0</v>
      </c>
      <c r="I479" s="29">
        <f t="shared" si="28"/>
        <v>40424</v>
      </c>
    </row>
    <row r="480" spans="1:9" ht="25.5" x14ac:dyDescent="0.2">
      <c r="A480" s="28">
        <v>40424</v>
      </c>
      <c r="B480" s="26" t="s">
        <v>140</v>
      </c>
      <c r="C480" s="26" t="s">
        <v>9</v>
      </c>
      <c r="D480" s="35" t="s">
        <v>20</v>
      </c>
      <c r="E480" s="35">
        <v>1780</v>
      </c>
      <c r="F480" s="35" t="s">
        <v>20</v>
      </c>
      <c r="G480" t="b">
        <f t="shared" si="26"/>
        <v>0</v>
      </c>
      <c r="H480" t="b">
        <f t="shared" si="27"/>
        <v>0</v>
      </c>
      <c r="I480" s="29">
        <f t="shared" si="28"/>
        <v>40424</v>
      </c>
    </row>
    <row r="481" spans="1:9" ht="12.75" customHeight="1" x14ac:dyDescent="0.2">
      <c r="A481" s="28">
        <v>40428</v>
      </c>
      <c r="B481" s="26" t="s">
        <v>2099</v>
      </c>
      <c r="C481" s="26" t="s">
        <v>9</v>
      </c>
      <c r="D481" s="35" t="s">
        <v>20</v>
      </c>
      <c r="E481" s="35" t="s">
        <v>20</v>
      </c>
      <c r="F481" s="35" t="s">
        <v>20</v>
      </c>
      <c r="G481" t="b">
        <f t="shared" si="26"/>
        <v>0</v>
      </c>
      <c r="H481" t="b">
        <f t="shared" si="27"/>
        <v>0</v>
      </c>
      <c r="I481" s="29">
        <f t="shared" si="28"/>
        <v>40428</v>
      </c>
    </row>
    <row r="482" spans="1:9" ht="38.25" x14ac:dyDescent="0.2">
      <c r="A482" s="28">
        <v>40431</v>
      </c>
      <c r="B482" s="26" t="s">
        <v>1905</v>
      </c>
      <c r="C482" s="26" t="s">
        <v>9</v>
      </c>
      <c r="D482" s="35" t="s">
        <v>20</v>
      </c>
      <c r="E482" s="35">
        <v>167508</v>
      </c>
      <c r="F482" s="35" t="s">
        <v>20</v>
      </c>
      <c r="G482" t="b">
        <f t="shared" si="26"/>
        <v>0</v>
      </c>
      <c r="H482" t="b">
        <f t="shared" si="27"/>
        <v>0</v>
      </c>
      <c r="I482" s="29">
        <f t="shared" si="28"/>
        <v>40431</v>
      </c>
    </row>
    <row r="483" spans="1:9" ht="12.75" customHeight="1" x14ac:dyDescent="0.2">
      <c r="A483" s="28">
        <v>40431</v>
      </c>
      <c r="B483" s="26" t="s">
        <v>249</v>
      </c>
      <c r="C483" s="26" t="s">
        <v>9</v>
      </c>
      <c r="D483" s="35" t="s">
        <v>20</v>
      </c>
      <c r="E483" s="35">
        <v>113568</v>
      </c>
      <c r="F483" s="35">
        <v>6238492</v>
      </c>
      <c r="G483" t="b">
        <f t="shared" si="26"/>
        <v>0</v>
      </c>
      <c r="H483" t="b">
        <f t="shared" si="27"/>
        <v>0</v>
      </c>
      <c r="I483" s="29">
        <f t="shared" si="28"/>
        <v>40431</v>
      </c>
    </row>
    <row r="484" spans="1:9" ht="12.75" customHeight="1" x14ac:dyDescent="0.2">
      <c r="A484" s="28">
        <v>40431</v>
      </c>
      <c r="B484" s="26" t="s">
        <v>3405</v>
      </c>
      <c r="C484" s="26" t="s">
        <v>9</v>
      </c>
      <c r="D484" s="35" t="s">
        <v>20</v>
      </c>
      <c r="E484" s="35" t="s">
        <v>20</v>
      </c>
      <c r="F484" s="35" t="s">
        <v>20</v>
      </c>
      <c r="G484" t="b">
        <f t="shared" si="26"/>
        <v>0</v>
      </c>
      <c r="H484" t="b">
        <f t="shared" si="27"/>
        <v>0</v>
      </c>
      <c r="I484" s="29">
        <f t="shared" si="28"/>
        <v>40431</v>
      </c>
    </row>
    <row r="485" spans="1:9" ht="12.75" customHeight="1" x14ac:dyDescent="0.2">
      <c r="A485" s="28">
        <v>40431</v>
      </c>
      <c r="B485" s="26" t="s">
        <v>1027</v>
      </c>
      <c r="C485" s="26" t="s">
        <v>9</v>
      </c>
      <c r="D485" s="35" t="s">
        <v>20</v>
      </c>
      <c r="E485" s="35">
        <v>796</v>
      </c>
      <c r="F485" s="35" t="s">
        <v>20</v>
      </c>
      <c r="G485" t="b">
        <f t="shared" si="26"/>
        <v>0</v>
      </c>
      <c r="H485" t="b">
        <f t="shared" si="27"/>
        <v>0</v>
      </c>
      <c r="I485" s="29">
        <f t="shared" si="28"/>
        <v>40431</v>
      </c>
    </row>
    <row r="486" spans="1:9" ht="25.5" x14ac:dyDescent="0.2">
      <c r="A486" s="28">
        <v>40431</v>
      </c>
      <c r="B486" s="26" t="s">
        <v>212</v>
      </c>
      <c r="C486" s="26" t="s">
        <v>2778</v>
      </c>
      <c r="D486" s="35" t="s">
        <v>20</v>
      </c>
      <c r="E486" s="35">
        <v>28700</v>
      </c>
      <c r="F486" s="35" t="s">
        <v>20</v>
      </c>
      <c r="G486" t="b">
        <f t="shared" si="26"/>
        <v>0</v>
      </c>
      <c r="H486" t="b">
        <f t="shared" si="27"/>
        <v>0</v>
      </c>
      <c r="I486" s="29">
        <f t="shared" si="28"/>
        <v>40431</v>
      </c>
    </row>
    <row r="487" spans="1:9" ht="38.25" x14ac:dyDescent="0.2">
      <c r="A487" s="28">
        <v>40431</v>
      </c>
      <c r="B487" s="26" t="s">
        <v>447</v>
      </c>
      <c r="C487" s="26" t="s">
        <v>1526</v>
      </c>
      <c r="D487" s="35" t="s">
        <v>20</v>
      </c>
      <c r="E487" s="35">
        <v>106524</v>
      </c>
      <c r="F487" s="35" t="s">
        <v>20</v>
      </c>
      <c r="G487" t="b">
        <f t="shared" si="26"/>
        <v>0</v>
      </c>
      <c r="H487" t="b">
        <f t="shared" si="27"/>
        <v>0</v>
      </c>
      <c r="I487" s="29">
        <f t="shared" si="28"/>
        <v>40431</v>
      </c>
    </row>
    <row r="488" spans="1:9" ht="12.75" customHeight="1" x14ac:dyDescent="0.2">
      <c r="A488" s="28">
        <v>40431</v>
      </c>
      <c r="B488" s="26" t="s">
        <v>3467</v>
      </c>
      <c r="C488" s="26" t="s">
        <v>746</v>
      </c>
      <c r="D488" s="35" t="s">
        <v>20</v>
      </c>
      <c r="E488" s="35">
        <v>408719</v>
      </c>
      <c r="F488" s="35" t="s">
        <v>20</v>
      </c>
      <c r="G488" t="b">
        <f t="shared" si="26"/>
        <v>0</v>
      </c>
      <c r="H488" t="b">
        <f t="shared" si="27"/>
        <v>0</v>
      </c>
      <c r="I488" s="29">
        <f t="shared" si="28"/>
        <v>40431</v>
      </c>
    </row>
    <row r="489" spans="1:9" ht="12.75" customHeight="1" x14ac:dyDescent="0.2">
      <c r="A489" s="28">
        <v>40431</v>
      </c>
      <c r="B489" s="26" t="s">
        <v>2469</v>
      </c>
      <c r="C489" s="26" t="s">
        <v>9</v>
      </c>
      <c r="D489" s="35" t="s">
        <v>20</v>
      </c>
      <c r="E489" s="35">
        <v>124720</v>
      </c>
      <c r="F489" s="35" t="s">
        <v>20</v>
      </c>
      <c r="G489" t="b">
        <f t="shared" si="26"/>
        <v>0</v>
      </c>
      <c r="H489" t="b">
        <f t="shared" si="27"/>
        <v>0</v>
      </c>
      <c r="I489" s="29">
        <f t="shared" si="28"/>
        <v>40431</v>
      </c>
    </row>
    <row r="490" spans="1:9" ht="12.75" customHeight="1" x14ac:dyDescent="0.2">
      <c r="A490" s="28">
        <v>40431</v>
      </c>
      <c r="B490" s="26" t="s">
        <v>3361</v>
      </c>
      <c r="C490" s="26" t="s">
        <v>9</v>
      </c>
      <c r="D490" s="35" t="s">
        <v>20</v>
      </c>
      <c r="E490" s="35">
        <v>7137</v>
      </c>
      <c r="F490" s="35" t="s">
        <v>20</v>
      </c>
      <c r="G490" t="b">
        <f t="shared" si="26"/>
        <v>0</v>
      </c>
      <c r="H490" t="b">
        <f t="shared" si="27"/>
        <v>0</v>
      </c>
      <c r="I490" s="29">
        <f t="shared" si="28"/>
        <v>40431</v>
      </c>
    </row>
    <row r="491" spans="1:9" ht="12.75" customHeight="1" x14ac:dyDescent="0.2">
      <c r="A491" s="28">
        <v>40431</v>
      </c>
      <c r="B491" s="26" t="s">
        <v>935</v>
      </c>
      <c r="C491" s="26" t="s">
        <v>9</v>
      </c>
      <c r="D491" s="35" t="s">
        <v>20</v>
      </c>
      <c r="E491" s="35">
        <v>191875</v>
      </c>
      <c r="F491" s="35" t="s">
        <v>20</v>
      </c>
      <c r="G491" t="b">
        <f t="shared" si="26"/>
        <v>0</v>
      </c>
      <c r="H491" t="b">
        <f t="shared" si="27"/>
        <v>0</v>
      </c>
      <c r="I491" s="29">
        <f t="shared" si="28"/>
        <v>40431</v>
      </c>
    </row>
    <row r="492" spans="1:9" ht="12.75" customHeight="1" x14ac:dyDescent="0.2">
      <c r="A492" s="28">
        <v>40431</v>
      </c>
      <c r="B492" s="26" t="s">
        <v>3108</v>
      </c>
      <c r="C492" s="26" t="s">
        <v>9</v>
      </c>
      <c r="D492" s="35" t="s">
        <v>20</v>
      </c>
      <c r="E492" s="35">
        <v>19246</v>
      </c>
      <c r="F492" s="35" t="s">
        <v>20</v>
      </c>
      <c r="G492" t="b">
        <f t="shared" si="26"/>
        <v>0</v>
      </c>
      <c r="H492" t="b">
        <f t="shared" si="27"/>
        <v>0</v>
      </c>
      <c r="I492" s="29">
        <f t="shared" si="28"/>
        <v>40431</v>
      </c>
    </row>
    <row r="493" spans="1:9" ht="51" x14ac:dyDescent="0.2">
      <c r="A493" s="28">
        <v>40431</v>
      </c>
      <c r="B493" s="26" t="s">
        <v>1766</v>
      </c>
      <c r="C493" s="26" t="s">
        <v>9</v>
      </c>
      <c r="D493" s="35" t="s">
        <v>20</v>
      </c>
      <c r="E493" s="35">
        <v>29804</v>
      </c>
      <c r="F493" s="35" t="s">
        <v>20</v>
      </c>
      <c r="G493" t="b">
        <f t="shared" si="26"/>
        <v>0</v>
      </c>
      <c r="H493" t="b">
        <f t="shared" si="27"/>
        <v>0</v>
      </c>
      <c r="I493" s="29">
        <f t="shared" si="28"/>
        <v>40431</v>
      </c>
    </row>
    <row r="494" spans="1:9" ht="25.5" x14ac:dyDescent="0.2">
      <c r="A494" s="28">
        <v>40431</v>
      </c>
      <c r="B494" s="26" t="s">
        <v>464</v>
      </c>
      <c r="C494" s="26" t="s">
        <v>9</v>
      </c>
      <c r="D494" s="35" t="s">
        <v>20</v>
      </c>
      <c r="E494" s="35">
        <v>5673</v>
      </c>
      <c r="F494" s="35" t="s">
        <v>20</v>
      </c>
      <c r="G494" t="b">
        <f t="shared" si="26"/>
        <v>0</v>
      </c>
      <c r="H494" t="b">
        <f t="shared" si="27"/>
        <v>0</v>
      </c>
      <c r="I494" s="29">
        <f t="shared" si="28"/>
        <v>40431</v>
      </c>
    </row>
    <row r="495" spans="1:9" ht="12.75" customHeight="1" x14ac:dyDescent="0.2">
      <c r="A495" s="28">
        <v>40431</v>
      </c>
      <c r="B495" s="26" t="s">
        <v>588</v>
      </c>
      <c r="C495" s="26" t="s">
        <v>9</v>
      </c>
      <c r="D495" s="35" t="s">
        <v>20</v>
      </c>
      <c r="E495" s="35">
        <v>34422</v>
      </c>
      <c r="F495" s="35" t="s">
        <v>20</v>
      </c>
      <c r="G495" t="b">
        <f t="shared" si="26"/>
        <v>0</v>
      </c>
      <c r="H495" t="b">
        <f t="shared" si="27"/>
        <v>0</v>
      </c>
      <c r="I495" s="29">
        <f t="shared" si="28"/>
        <v>40431</v>
      </c>
    </row>
    <row r="496" spans="1:9" ht="12.75" customHeight="1" x14ac:dyDescent="0.2">
      <c r="A496" s="28">
        <v>40431</v>
      </c>
      <c r="B496" s="26" t="s">
        <v>1685</v>
      </c>
      <c r="C496" s="26" t="s">
        <v>9</v>
      </c>
      <c r="D496" s="35" t="s">
        <v>20</v>
      </c>
      <c r="E496" s="35">
        <v>1258932</v>
      </c>
      <c r="F496" s="35">
        <v>21288932</v>
      </c>
      <c r="G496" t="b">
        <f t="shared" si="26"/>
        <v>0</v>
      </c>
      <c r="H496" t="b">
        <f t="shared" si="27"/>
        <v>0</v>
      </c>
      <c r="I496" s="29">
        <f t="shared" si="28"/>
        <v>40431</v>
      </c>
    </row>
    <row r="497" spans="1:9" ht="12.75" customHeight="1" x14ac:dyDescent="0.2">
      <c r="A497" s="28">
        <v>40431</v>
      </c>
      <c r="B497" s="26" t="s">
        <v>3203</v>
      </c>
      <c r="C497" s="26" t="s">
        <v>9</v>
      </c>
      <c r="D497" s="35" t="s">
        <v>20</v>
      </c>
      <c r="E497" s="35">
        <v>33024</v>
      </c>
      <c r="F497" s="35" t="s">
        <v>20</v>
      </c>
      <c r="G497" t="b">
        <f t="shared" si="26"/>
        <v>0</v>
      </c>
      <c r="H497" t="b">
        <f t="shared" si="27"/>
        <v>0</v>
      </c>
      <c r="I497" s="29">
        <f t="shared" si="28"/>
        <v>40431</v>
      </c>
    </row>
    <row r="498" spans="1:9" ht="12.75" customHeight="1" x14ac:dyDescent="0.2">
      <c r="A498" s="28">
        <v>40431</v>
      </c>
      <c r="B498" s="26" t="s">
        <v>1157</v>
      </c>
      <c r="C498" s="26" t="s">
        <v>9</v>
      </c>
      <c r="D498" s="35" t="s">
        <v>20</v>
      </c>
      <c r="E498" s="35">
        <v>504030</v>
      </c>
      <c r="F498" s="35">
        <v>34936771</v>
      </c>
      <c r="G498" t="b">
        <f t="shared" si="26"/>
        <v>0</v>
      </c>
      <c r="H498" t="b">
        <f t="shared" si="27"/>
        <v>0</v>
      </c>
      <c r="I498" s="29">
        <f t="shared" si="28"/>
        <v>40431</v>
      </c>
    </row>
    <row r="499" spans="1:9" ht="25.5" x14ac:dyDescent="0.2">
      <c r="A499" s="28">
        <v>40431</v>
      </c>
      <c r="B499" s="26" t="s">
        <v>3407</v>
      </c>
      <c r="C499" s="26" t="s">
        <v>2160</v>
      </c>
      <c r="D499" s="35">
        <v>57500000</v>
      </c>
      <c r="E499" s="35">
        <v>60128566</v>
      </c>
      <c r="F499" s="35">
        <v>296128566</v>
      </c>
      <c r="G499" t="b">
        <f t="shared" si="26"/>
        <v>0</v>
      </c>
      <c r="H499" t="b">
        <f t="shared" si="27"/>
        <v>0</v>
      </c>
      <c r="I499" s="29">
        <f t="shared" si="28"/>
        <v>40431</v>
      </c>
    </row>
    <row r="500" spans="1:9" ht="12.75" customHeight="1" x14ac:dyDescent="0.2">
      <c r="A500" s="28">
        <v>40431</v>
      </c>
      <c r="B500" s="26" t="s">
        <v>629</v>
      </c>
      <c r="C500" s="26" t="s">
        <v>9</v>
      </c>
      <c r="D500" s="35" t="s">
        <v>20</v>
      </c>
      <c r="E500" s="35">
        <v>165532</v>
      </c>
      <c r="F500" s="35" t="s">
        <v>20</v>
      </c>
      <c r="G500" t="b">
        <f t="shared" si="26"/>
        <v>0</v>
      </c>
      <c r="H500" t="b">
        <f t="shared" si="27"/>
        <v>0</v>
      </c>
      <c r="I500" s="29">
        <f t="shared" si="28"/>
        <v>40431</v>
      </c>
    </row>
    <row r="501" spans="1:9" ht="12.75" customHeight="1" x14ac:dyDescent="0.2">
      <c r="A501" s="28">
        <v>40435</v>
      </c>
      <c r="B501" s="26" t="s">
        <v>955</v>
      </c>
      <c r="C501" s="26" t="s">
        <v>9</v>
      </c>
      <c r="D501" s="35" t="s">
        <v>20</v>
      </c>
      <c r="E501" s="35" t="s">
        <v>20</v>
      </c>
      <c r="F501" s="35" t="s">
        <v>20</v>
      </c>
      <c r="G501" t="b">
        <f t="shared" si="26"/>
        <v>0</v>
      </c>
      <c r="H501" t="b">
        <f t="shared" si="27"/>
        <v>0</v>
      </c>
      <c r="I501" s="29">
        <f t="shared" si="28"/>
        <v>40435</v>
      </c>
    </row>
    <row r="502" spans="1:9" ht="12.75" customHeight="1" x14ac:dyDescent="0.2">
      <c r="A502" s="28">
        <v>40436</v>
      </c>
      <c r="B502" s="26" t="s">
        <v>2110</v>
      </c>
      <c r="C502" s="26" t="s">
        <v>2964</v>
      </c>
      <c r="D502" s="35" t="s">
        <v>20</v>
      </c>
      <c r="E502" s="35">
        <v>305243</v>
      </c>
      <c r="F502" s="35" t="s">
        <v>20</v>
      </c>
      <c r="G502" t="b">
        <f t="shared" si="26"/>
        <v>0</v>
      </c>
      <c r="H502" t="b">
        <f t="shared" si="27"/>
        <v>0</v>
      </c>
      <c r="I502" s="29">
        <f t="shared" si="28"/>
        <v>40436</v>
      </c>
    </row>
    <row r="503" spans="1:9" ht="12.75" customHeight="1" x14ac:dyDescent="0.2">
      <c r="A503" s="28">
        <v>40436</v>
      </c>
      <c r="B503" s="26" t="s">
        <v>2757</v>
      </c>
      <c r="C503" s="26" t="s">
        <v>155</v>
      </c>
      <c r="D503" s="35">
        <v>15000000</v>
      </c>
      <c r="E503" s="35">
        <v>2434652</v>
      </c>
      <c r="F503" s="35">
        <v>2541144</v>
      </c>
      <c r="G503" t="b">
        <f t="shared" si="26"/>
        <v>0</v>
      </c>
      <c r="H503" t="b">
        <f t="shared" si="27"/>
        <v>0</v>
      </c>
      <c r="I503" s="29">
        <f t="shared" si="28"/>
        <v>40436</v>
      </c>
    </row>
    <row r="504" spans="1:9" ht="12.75" customHeight="1" x14ac:dyDescent="0.2">
      <c r="A504" s="28">
        <v>40436</v>
      </c>
      <c r="B504" s="26" t="s">
        <v>107</v>
      </c>
      <c r="C504" s="26" t="s">
        <v>9</v>
      </c>
      <c r="D504" s="35" t="s">
        <v>20</v>
      </c>
      <c r="E504" s="35">
        <v>30846</v>
      </c>
      <c r="F504" s="35" t="s">
        <v>20</v>
      </c>
      <c r="G504" t="b">
        <f t="shared" si="26"/>
        <v>0</v>
      </c>
      <c r="H504" t="b">
        <f t="shared" si="27"/>
        <v>0</v>
      </c>
      <c r="I504" s="29">
        <f t="shared" si="28"/>
        <v>40436</v>
      </c>
    </row>
    <row r="505" spans="1:9" ht="12.75" customHeight="1" x14ac:dyDescent="0.2">
      <c r="A505" s="28">
        <v>40438</v>
      </c>
      <c r="B505" s="26" t="s">
        <v>115</v>
      </c>
      <c r="C505" s="26" t="s">
        <v>9</v>
      </c>
      <c r="D505" s="35" t="s">
        <v>20</v>
      </c>
      <c r="E505" s="35">
        <v>8300</v>
      </c>
      <c r="F505" s="35" t="s">
        <v>20</v>
      </c>
      <c r="G505" t="b">
        <f t="shared" si="26"/>
        <v>0</v>
      </c>
      <c r="H505" t="b">
        <f t="shared" si="27"/>
        <v>0</v>
      </c>
      <c r="I505" s="29">
        <f t="shared" si="28"/>
        <v>40438</v>
      </c>
    </row>
    <row r="506" spans="1:9" ht="12.75" customHeight="1" x14ac:dyDescent="0.2">
      <c r="A506" s="28">
        <v>40438</v>
      </c>
      <c r="B506" s="26" t="s">
        <v>3465</v>
      </c>
      <c r="C506" s="26" t="s">
        <v>2310</v>
      </c>
      <c r="D506" s="35" t="s">
        <v>20</v>
      </c>
      <c r="E506" s="35" t="s">
        <v>20</v>
      </c>
      <c r="F506" s="35" t="s">
        <v>20</v>
      </c>
      <c r="G506" t="b">
        <f t="shared" si="26"/>
        <v>0</v>
      </c>
      <c r="H506" t="b">
        <f t="shared" si="27"/>
        <v>0</v>
      </c>
      <c r="I506" s="29">
        <f t="shared" si="28"/>
        <v>40438</v>
      </c>
    </row>
    <row r="507" spans="1:9" ht="12.75" customHeight="1" x14ac:dyDescent="0.2">
      <c r="A507" s="28">
        <v>40438</v>
      </c>
      <c r="B507" s="26" t="s">
        <v>162</v>
      </c>
      <c r="C507" s="26" t="s">
        <v>9</v>
      </c>
      <c r="D507" s="35" t="s">
        <v>20</v>
      </c>
      <c r="E507" s="35">
        <v>74768</v>
      </c>
      <c r="F507" s="35" t="s">
        <v>20</v>
      </c>
      <c r="G507" t="b">
        <f t="shared" si="26"/>
        <v>0</v>
      </c>
      <c r="H507" t="b">
        <f t="shared" si="27"/>
        <v>0</v>
      </c>
      <c r="I507" s="29">
        <f t="shared" si="28"/>
        <v>40438</v>
      </c>
    </row>
    <row r="508" spans="1:9" ht="12.75" customHeight="1" x14ac:dyDescent="0.2">
      <c r="A508" s="28">
        <v>40438</v>
      </c>
      <c r="B508" s="26" t="s">
        <v>2543</v>
      </c>
      <c r="C508" s="26" t="s">
        <v>1137</v>
      </c>
      <c r="D508" s="35" t="s">
        <v>20</v>
      </c>
      <c r="E508" s="35" t="s">
        <v>20</v>
      </c>
      <c r="F508" s="35" t="s">
        <v>20</v>
      </c>
      <c r="G508" t="b">
        <f t="shared" si="26"/>
        <v>0</v>
      </c>
      <c r="H508" t="b">
        <f t="shared" si="27"/>
        <v>0</v>
      </c>
      <c r="I508" s="29">
        <f t="shared" si="28"/>
        <v>40438</v>
      </c>
    </row>
    <row r="509" spans="1:9" ht="12.75" customHeight="1" x14ac:dyDescent="0.2">
      <c r="A509" s="28">
        <v>40438</v>
      </c>
      <c r="B509" s="26" t="s">
        <v>912</v>
      </c>
      <c r="C509" s="26" t="s">
        <v>9</v>
      </c>
      <c r="D509" s="35" t="s">
        <v>20</v>
      </c>
      <c r="E509" s="35">
        <v>41895</v>
      </c>
      <c r="F509" s="35" t="s">
        <v>20</v>
      </c>
      <c r="G509" t="b">
        <f t="shared" si="26"/>
        <v>0</v>
      </c>
      <c r="H509" t="b">
        <f t="shared" si="27"/>
        <v>0</v>
      </c>
      <c r="I509" s="29">
        <f t="shared" si="28"/>
        <v>40438</v>
      </c>
    </row>
    <row r="510" spans="1:9" ht="25.5" x14ac:dyDescent="0.2">
      <c r="A510" s="28">
        <v>40438</v>
      </c>
      <c r="B510" s="26" t="s">
        <v>563</v>
      </c>
      <c r="C510" s="26" t="s">
        <v>2310</v>
      </c>
      <c r="D510" s="35">
        <v>20000000</v>
      </c>
      <c r="E510" s="35">
        <v>25107267</v>
      </c>
      <c r="F510" s="35">
        <v>29907267</v>
      </c>
      <c r="G510" t="b">
        <f t="shared" si="26"/>
        <v>0</v>
      </c>
      <c r="H510" t="b">
        <f t="shared" si="27"/>
        <v>0</v>
      </c>
      <c r="I510" s="29">
        <f t="shared" si="28"/>
        <v>40438</v>
      </c>
    </row>
    <row r="511" spans="1:9" ht="12.75" customHeight="1" x14ac:dyDescent="0.2">
      <c r="A511" s="28">
        <v>40438</v>
      </c>
      <c r="B511" s="26" t="s">
        <v>3025</v>
      </c>
      <c r="C511" s="26" t="s">
        <v>3209</v>
      </c>
      <c r="D511" s="35">
        <v>37000000</v>
      </c>
      <c r="E511" s="35">
        <v>92186262</v>
      </c>
      <c r="F511" s="35">
        <v>141486262</v>
      </c>
      <c r="G511" t="b">
        <f t="shared" si="26"/>
        <v>0</v>
      </c>
      <c r="H511" t="b">
        <f t="shared" si="27"/>
        <v>0</v>
      </c>
      <c r="I511" s="29">
        <f t="shared" si="28"/>
        <v>40438</v>
      </c>
    </row>
    <row r="512" spans="1:9" ht="25.5" x14ac:dyDescent="0.2">
      <c r="A512" s="28">
        <v>40438</v>
      </c>
      <c r="B512" s="26" t="s">
        <v>3014</v>
      </c>
      <c r="C512" s="26" t="s">
        <v>980</v>
      </c>
      <c r="D512" s="35" t="s">
        <v>20</v>
      </c>
      <c r="E512" s="35">
        <v>541992</v>
      </c>
      <c r="F512" s="35" t="s">
        <v>20</v>
      </c>
      <c r="G512" t="b">
        <f t="shared" si="26"/>
        <v>0</v>
      </c>
      <c r="H512" t="b">
        <f t="shared" si="27"/>
        <v>0</v>
      </c>
      <c r="I512" s="29">
        <f t="shared" si="28"/>
        <v>40438</v>
      </c>
    </row>
    <row r="513" spans="1:9" ht="12.75" customHeight="1" x14ac:dyDescent="0.2">
      <c r="A513" s="28">
        <v>40438</v>
      </c>
      <c r="B513" s="26" t="s">
        <v>1985</v>
      </c>
      <c r="C513" s="26" t="s">
        <v>2160</v>
      </c>
      <c r="D513" s="35">
        <v>8000000</v>
      </c>
      <c r="E513" s="35">
        <v>58401464</v>
      </c>
      <c r="F513" s="35">
        <v>73601464</v>
      </c>
      <c r="G513" t="b">
        <f t="shared" si="26"/>
        <v>0</v>
      </c>
      <c r="H513" t="b">
        <f t="shared" si="27"/>
        <v>0</v>
      </c>
      <c r="I513" s="29">
        <f t="shared" si="28"/>
        <v>40438</v>
      </c>
    </row>
    <row r="514" spans="1:9" ht="25.5" x14ac:dyDescent="0.2">
      <c r="A514" s="28">
        <v>40438</v>
      </c>
      <c r="B514" s="26" t="s">
        <v>1895</v>
      </c>
      <c r="C514" s="26" t="s">
        <v>9</v>
      </c>
      <c r="D514" s="35" t="s">
        <v>20</v>
      </c>
      <c r="E514" s="35">
        <v>11848</v>
      </c>
      <c r="F514" s="35" t="s">
        <v>20</v>
      </c>
      <c r="G514" t="b">
        <f t="shared" si="26"/>
        <v>0</v>
      </c>
      <c r="H514" t="b">
        <f t="shared" si="27"/>
        <v>0</v>
      </c>
      <c r="I514" s="29">
        <f t="shared" si="28"/>
        <v>40438</v>
      </c>
    </row>
    <row r="515" spans="1:9" ht="12.75" customHeight="1" x14ac:dyDescent="0.2">
      <c r="A515" s="28">
        <v>40438</v>
      </c>
      <c r="B515" s="26" t="s">
        <v>2608</v>
      </c>
      <c r="C515" s="26" t="s">
        <v>3096</v>
      </c>
      <c r="D515" s="35" t="s">
        <v>20</v>
      </c>
      <c r="E515" s="35">
        <v>33679655</v>
      </c>
      <c r="F515" s="35">
        <v>61055593</v>
      </c>
      <c r="G515" t="b">
        <f t="shared" si="26"/>
        <v>0</v>
      </c>
      <c r="H515" t="b">
        <f t="shared" si="27"/>
        <v>0</v>
      </c>
      <c r="I515" s="29">
        <f t="shared" si="28"/>
        <v>40438</v>
      </c>
    </row>
    <row r="516" spans="1:9" ht="12.75" customHeight="1" x14ac:dyDescent="0.2">
      <c r="A516" s="28">
        <v>40438</v>
      </c>
      <c r="B516" s="26" t="s">
        <v>2062</v>
      </c>
      <c r="C516" s="26" t="s">
        <v>9</v>
      </c>
      <c r="D516" s="35" t="s">
        <v>20</v>
      </c>
      <c r="E516" s="35">
        <v>3237343</v>
      </c>
      <c r="F516" s="35" t="s">
        <v>20</v>
      </c>
      <c r="G516" t="b">
        <f t="shared" si="26"/>
        <v>0</v>
      </c>
      <c r="H516" t="b">
        <f t="shared" si="27"/>
        <v>0</v>
      </c>
      <c r="I516" s="29">
        <f t="shared" si="28"/>
        <v>40438</v>
      </c>
    </row>
    <row r="517" spans="1:9" ht="12.75" customHeight="1" x14ac:dyDescent="0.2">
      <c r="A517" s="28">
        <v>40438</v>
      </c>
      <c r="B517" s="26" t="s">
        <v>2117</v>
      </c>
      <c r="C517" s="26" t="s">
        <v>9</v>
      </c>
      <c r="D517" s="35" t="s">
        <v>20</v>
      </c>
      <c r="E517" s="35">
        <v>22539</v>
      </c>
      <c r="F517" s="35" t="s">
        <v>20</v>
      </c>
      <c r="G517" t="b">
        <f t="shared" si="26"/>
        <v>0</v>
      </c>
      <c r="H517" t="b">
        <f t="shared" si="27"/>
        <v>0</v>
      </c>
      <c r="I517" s="29">
        <f t="shared" si="28"/>
        <v>40438</v>
      </c>
    </row>
    <row r="518" spans="1:9" ht="25.5" x14ac:dyDescent="0.2">
      <c r="A518" s="28">
        <v>40442</v>
      </c>
      <c r="B518" s="26" t="s">
        <v>2785</v>
      </c>
      <c r="C518" s="26" t="s">
        <v>9</v>
      </c>
      <c r="D518" s="35" t="s">
        <v>20</v>
      </c>
      <c r="E518" s="35" t="s">
        <v>20</v>
      </c>
      <c r="F518" s="35" t="s">
        <v>20</v>
      </c>
      <c r="G518" t="b">
        <f t="shared" si="26"/>
        <v>0</v>
      </c>
      <c r="H518" t="b">
        <f t="shared" si="27"/>
        <v>0</v>
      </c>
      <c r="I518" s="29">
        <f t="shared" si="28"/>
        <v>40442</v>
      </c>
    </row>
    <row r="519" spans="1:9" ht="25.5" x14ac:dyDescent="0.2">
      <c r="A519" s="28">
        <v>40443</v>
      </c>
      <c r="B519" s="26" t="s">
        <v>2145</v>
      </c>
      <c r="C519" s="26" t="s">
        <v>612</v>
      </c>
      <c r="D519" s="35" t="s">
        <v>20</v>
      </c>
      <c r="E519" s="35">
        <v>3247816</v>
      </c>
      <c r="F519" s="35" t="s">
        <v>20</v>
      </c>
      <c r="G519" t="b">
        <f t="shared" si="26"/>
        <v>0</v>
      </c>
      <c r="H519" t="b">
        <f t="shared" si="27"/>
        <v>0</v>
      </c>
      <c r="I519" s="29">
        <f t="shared" si="28"/>
        <v>40443</v>
      </c>
    </row>
    <row r="520" spans="1:9" ht="12.75" customHeight="1" x14ac:dyDescent="0.2">
      <c r="A520" s="28">
        <v>40445</v>
      </c>
      <c r="B520" s="26" t="s">
        <v>2198</v>
      </c>
      <c r="C520" s="26" t="s">
        <v>9</v>
      </c>
      <c r="D520" s="35">
        <v>2000000</v>
      </c>
      <c r="E520" s="35">
        <v>636706</v>
      </c>
      <c r="F520" s="35" t="s">
        <v>20</v>
      </c>
      <c r="G520" t="b">
        <f t="shared" si="26"/>
        <v>0</v>
      </c>
      <c r="H520" t="b">
        <f t="shared" si="27"/>
        <v>0</v>
      </c>
      <c r="I520" s="29">
        <f t="shared" si="28"/>
        <v>40445</v>
      </c>
    </row>
    <row r="521" spans="1:9" ht="12.75" customHeight="1" x14ac:dyDescent="0.2">
      <c r="A521" s="28">
        <v>40445</v>
      </c>
      <c r="B521" s="26" t="s">
        <v>2971</v>
      </c>
      <c r="C521" s="26" t="s">
        <v>322</v>
      </c>
      <c r="D521" s="35" t="s">
        <v>20</v>
      </c>
      <c r="E521" s="35">
        <v>617334</v>
      </c>
      <c r="F521" s="35" t="s">
        <v>20</v>
      </c>
      <c r="G521" t="b">
        <f t="shared" si="26"/>
        <v>0</v>
      </c>
      <c r="H521" t="b">
        <f t="shared" si="27"/>
        <v>0</v>
      </c>
      <c r="I521" s="29">
        <f t="shared" si="28"/>
        <v>40445</v>
      </c>
    </row>
    <row r="522" spans="1:9" ht="12.75" customHeight="1" x14ac:dyDescent="0.2">
      <c r="A522" s="28">
        <v>40445</v>
      </c>
      <c r="B522" s="26" t="s">
        <v>2659</v>
      </c>
      <c r="C522" s="26" t="s">
        <v>3466</v>
      </c>
      <c r="D522" s="35">
        <v>16000000</v>
      </c>
      <c r="E522" s="35">
        <v>336467</v>
      </c>
      <c r="F522" s="35" t="s">
        <v>20</v>
      </c>
      <c r="G522" t="b">
        <f t="shared" si="26"/>
        <v>0</v>
      </c>
      <c r="H522" t="b">
        <f t="shared" si="27"/>
        <v>0</v>
      </c>
      <c r="I522" s="29">
        <f t="shared" si="28"/>
        <v>40445</v>
      </c>
    </row>
    <row r="523" spans="1:9" ht="12.75" customHeight="1" x14ac:dyDescent="0.2">
      <c r="A523" s="28">
        <v>40445</v>
      </c>
      <c r="B523" s="26" t="s">
        <v>2175</v>
      </c>
      <c r="C523" s="26" t="s">
        <v>2310</v>
      </c>
      <c r="D523" s="35" t="s">
        <v>20</v>
      </c>
      <c r="E523" s="35">
        <v>1044143</v>
      </c>
      <c r="F523" s="35" t="s">
        <v>20</v>
      </c>
      <c r="G523" t="b">
        <f t="shared" si="26"/>
        <v>0</v>
      </c>
      <c r="H523" t="b">
        <f t="shared" si="27"/>
        <v>0</v>
      </c>
      <c r="I523" s="29">
        <f t="shared" si="28"/>
        <v>40445</v>
      </c>
    </row>
    <row r="524" spans="1:9" ht="38.25" x14ac:dyDescent="0.2">
      <c r="A524" s="28">
        <v>40445</v>
      </c>
      <c r="B524" s="26" t="s">
        <v>1719</v>
      </c>
      <c r="C524" s="26" t="s">
        <v>2964</v>
      </c>
      <c r="D524" s="35" t="s">
        <v>20</v>
      </c>
      <c r="E524" s="35">
        <v>1849</v>
      </c>
      <c r="F524" s="35" t="s">
        <v>20</v>
      </c>
      <c r="G524" t="b">
        <f t="shared" si="26"/>
        <v>0</v>
      </c>
      <c r="H524" t="b">
        <f t="shared" si="27"/>
        <v>0</v>
      </c>
      <c r="I524" s="29">
        <f t="shared" si="28"/>
        <v>40445</v>
      </c>
    </row>
    <row r="525" spans="1:9" ht="12.75" customHeight="1" x14ac:dyDescent="0.2">
      <c r="A525" s="28">
        <v>40445</v>
      </c>
      <c r="B525" s="26" t="s">
        <v>933</v>
      </c>
      <c r="C525" s="26" t="s">
        <v>2779</v>
      </c>
      <c r="D525" s="35" t="s">
        <v>20</v>
      </c>
      <c r="E525" s="35" t="s">
        <v>20</v>
      </c>
      <c r="F525" s="35" t="s">
        <v>20</v>
      </c>
      <c r="G525" t="b">
        <f t="shared" si="26"/>
        <v>0</v>
      </c>
      <c r="H525" t="b">
        <f t="shared" si="27"/>
        <v>0</v>
      </c>
      <c r="I525" s="29">
        <f t="shared" si="28"/>
        <v>40445</v>
      </c>
    </row>
    <row r="526" spans="1:9" ht="25.5" x14ac:dyDescent="0.2">
      <c r="A526" s="28">
        <v>40445</v>
      </c>
      <c r="B526" s="26" t="s">
        <v>1909</v>
      </c>
      <c r="C526" s="26" t="s">
        <v>9</v>
      </c>
      <c r="D526" s="35" t="s">
        <v>20</v>
      </c>
      <c r="E526" s="35">
        <v>6417135</v>
      </c>
      <c r="F526" s="35" t="s">
        <v>20</v>
      </c>
      <c r="G526" t="b">
        <f t="shared" si="26"/>
        <v>0</v>
      </c>
      <c r="H526" t="b">
        <f t="shared" si="27"/>
        <v>0</v>
      </c>
      <c r="I526" s="29">
        <f t="shared" si="28"/>
        <v>40445</v>
      </c>
    </row>
    <row r="527" spans="1:9" ht="12.75" customHeight="1" x14ac:dyDescent="0.2">
      <c r="A527" s="28">
        <v>40445</v>
      </c>
      <c r="B527" s="26" t="s">
        <v>1000</v>
      </c>
      <c r="C527" s="26" t="s">
        <v>3390</v>
      </c>
      <c r="D527" s="35">
        <v>20000000</v>
      </c>
      <c r="E527" s="35">
        <v>25677801</v>
      </c>
      <c r="F527" s="35">
        <v>31177801</v>
      </c>
      <c r="G527" t="b">
        <f t="shared" si="26"/>
        <v>0</v>
      </c>
      <c r="H527" t="b">
        <f t="shared" si="27"/>
        <v>0</v>
      </c>
      <c r="I527" s="29">
        <f t="shared" si="28"/>
        <v>40445</v>
      </c>
    </row>
    <row r="528" spans="1:9" ht="25.5" x14ac:dyDescent="0.2">
      <c r="A528" s="28">
        <v>40445</v>
      </c>
      <c r="B528" s="26" t="s">
        <v>1211</v>
      </c>
      <c r="C528" s="26" t="s">
        <v>9</v>
      </c>
      <c r="D528" s="35" t="s">
        <v>20</v>
      </c>
      <c r="E528" s="35">
        <v>352810</v>
      </c>
      <c r="F528" s="35" t="s">
        <v>20</v>
      </c>
      <c r="G528" t="b">
        <f t="shared" si="26"/>
        <v>0</v>
      </c>
      <c r="H528" t="b">
        <f t="shared" si="27"/>
        <v>0</v>
      </c>
      <c r="I528" s="29">
        <f t="shared" si="28"/>
        <v>40445</v>
      </c>
    </row>
    <row r="529" spans="1:9" ht="51" x14ac:dyDescent="0.2">
      <c r="A529" s="28">
        <v>40445</v>
      </c>
      <c r="B529" s="26" t="s">
        <v>342</v>
      </c>
      <c r="C529" s="26" t="s">
        <v>3209</v>
      </c>
      <c r="D529" s="35">
        <v>100000000</v>
      </c>
      <c r="E529" s="35">
        <v>55675313</v>
      </c>
      <c r="F529" s="35">
        <v>135875313</v>
      </c>
      <c r="G529" t="b">
        <f t="shared" si="26"/>
        <v>0</v>
      </c>
      <c r="H529" t="b">
        <f t="shared" si="27"/>
        <v>0</v>
      </c>
      <c r="I529" s="29">
        <f t="shared" si="28"/>
        <v>40445</v>
      </c>
    </row>
    <row r="530" spans="1:9" ht="38.25" x14ac:dyDescent="0.2">
      <c r="A530" s="28">
        <v>40445</v>
      </c>
      <c r="B530" s="26" t="s">
        <v>2702</v>
      </c>
      <c r="C530" s="26" t="s">
        <v>9</v>
      </c>
      <c r="D530" s="35">
        <v>70000000</v>
      </c>
      <c r="E530" s="35">
        <v>52474616</v>
      </c>
      <c r="F530" s="35">
        <v>133474616</v>
      </c>
      <c r="G530" t="b">
        <f t="shared" si="26"/>
        <v>0</v>
      </c>
      <c r="H530" t="b">
        <f t="shared" si="27"/>
        <v>0</v>
      </c>
      <c r="I530" s="29">
        <f t="shared" si="28"/>
        <v>40445</v>
      </c>
    </row>
    <row r="531" spans="1:9" ht="12.75" customHeight="1" x14ac:dyDescent="0.2">
      <c r="A531" s="28">
        <v>40449</v>
      </c>
      <c r="B531" s="26" t="s">
        <v>413</v>
      </c>
      <c r="C531" s="26" t="s">
        <v>9</v>
      </c>
      <c r="D531" s="35" t="s">
        <v>20</v>
      </c>
      <c r="E531" s="35">
        <v>1167</v>
      </c>
      <c r="F531" s="35" t="s">
        <v>20</v>
      </c>
      <c r="G531" t="b">
        <f t="shared" si="26"/>
        <v>0</v>
      </c>
      <c r="H531" t="b">
        <f t="shared" si="27"/>
        <v>0</v>
      </c>
      <c r="I531" s="29">
        <f t="shared" si="28"/>
        <v>40449</v>
      </c>
    </row>
    <row r="532" spans="1:9" ht="38.25" x14ac:dyDescent="0.2">
      <c r="A532" s="28">
        <v>40450</v>
      </c>
      <c r="B532" s="26" t="s">
        <v>620</v>
      </c>
      <c r="C532" s="26" t="s">
        <v>637</v>
      </c>
      <c r="D532" s="35" t="s">
        <v>20</v>
      </c>
      <c r="E532" s="35">
        <v>19177</v>
      </c>
      <c r="F532" s="35" t="s">
        <v>20</v>
      </c>
      <c r="G532" t="b">
        <f t="shared" si="26"/>
        <v>0</v>
      </c>
      <c r="H532" t="b">
        <f t="shared" si="27"/>
        <v>0</v>
      </c>
      <c r="I532" s="29">
        <f t="shared" si="28"/>
        <v>40450</v>
      </c>
    </row>
    <row r="533" spans="1:9" ht="12.75" customHeight="1" x14ac:dyDescent="0.2">
      <c r="A533" s="28">
        <v>40452</v>
      </c>
      <c r="B533" s="26" t="s">
        <v>1969</v>
      </c>
      <c r="C533" s="26" t="s">
        <v>9</v>
      </c>
      <c r="D533" s="35">
        <v>2900000</v>
      </c>
      <c r="E533" s="35">
        <v>100675</v>
      </c>
      <c r="F533" s="35" t="s">
        <v>20</v>
      </c>
      <c r="G533" t="b">
        <f t="shared" si="26"/>
        <v>0</v>
      </c>
      <c r="H533" t="b">
        <f t="shared" si="27"/>
        <v>0</v>
      </c>
      <c r="I533" s="29">
        <f t="shared" si="28"/>
        <v>40452</v>
      </c>
    </row>
    <row r="534" spans="1:9" ht="25.5" x14ac:dyDescent="0.2">
      <c r="A534" s="28">
        <v>40452</v>
      </c>
      <c r="B534" s="26" t="s">
        <v>2279</v>
      </c>
      <c r="C534" s="26" t="s">
        <v>2168</v>
      </c>
      <c r="D534" s="35">
        <v>27000000</v>
      </c>
      <c r="E534" s="35">
        <v>13261851</v>
      </c>
      <c r="F534" s="35">
        <v>29302804</v>
      </c>
      <c r="G534" t="b">
        <f t="shared" si="26"/>
        <v>0</v>
      </c>
      <c r="H534" t="b">
        <f t="shared" si="27"/>
        <v>0</v>
      </c>
      <c r="I534" s="29">
        <f t="shared" si="28"/>
        <v>40452</v>
      </c>
    </row>
    <row r="535" spans="1:9" ht="12.75" customHeight="1" x14ac:dyDescent="0.2">
      <c r="A535" s="28">
        <v>40452</v>
      </c>
      <c r="B535" s="26" t="s">
        <v>39</v>
      </c>
      <c r="C535" s="26" t="s">
        <v>9</v>
      </c>
      <c r="D535" s="35" t="s">
        <v>20</v>
      </c>
      <c r="E535" s="35">
        <v>62000</v>
      </c>
      <c r="F535" s="35" t="s">
        <v>20</v>
      </c>
      <c r="G535" t="b">
        <f t="shared" ref="G535:G596" si="29">ISBLANK(A535)</f>
        <v>0</v>
      </c>
      <c r="H535" t="b">
        <f t="shared" ref="H535:H596" si="30">ISTEXT(A535)</f>
        <v>0</v>
      </c>
      <c r="I535" s="29">
        <f t="shared" ref="I535:I596" si="31">DATE(2010,MONTH(A535), DAY(A535))</f>
        <v>40452</v>
      </c>
    </row>
    <row r="536" spans="1:9" ht="12.75" customHeight="1" x14ac:dyDescent="0.2">
      <c r="A536" s="28">
        <v>40452</v>
      </c>
      <c r="B536" s="26" t="s">
        <v>280</v>
      </c>
      <c r="C536" s="26" t="s">
        <v>9</v>
      </c>
      <c r="D536" s="35" t="s">
        <v>20</v>
      </c>
      <c r="E536" s="35">
        <v>174694</v>
      </c>
      <c r="F536" s="35" t="s">
        <v>20</v>
      </c>
      <c r="G536" t="b">
        <f t="shared" si="29"/>
        <v>0</v>
      </c>
      <c r="H536" t="b">
        <f t="shared" si="30"/>
        <v>0</v>
      </c>
      <c r="I536" s="29">
        <f t="shared" si="31"/>
        <v>40452</v>
      </c>
    </row>
    <row r="537" spans="1:9" ht="12.75" customHeight="1" x14ac:dyDescent="0.2">
      <c r="A537" s="28">
        <v>40452</v>
      </c>
      <c r="B537" s="26" t="s">
        <v>2278</v>
      </c>
      <c r="C537" s="26" t="s">
        <v>9</v>
      </c>
      <c r="D537" s="35">
        <v>3000000</v>
      </c>
      <c r="E537" s="35">
        <v>143318</v>
      </c>
      <c r="F537" s="35">
        <v>573318</v>
      </c>
      <c r="G537" t="b">
        <f t="shared" si="29"/>
        <v>0</v>
      </c>
      <c r="H537" t="b">
        <f t="shared" si="30"/>
        <v>0</v>
      </c>
      <c r="I537" s="29">
        <f t="shared" si="31"/>
        <v>40452</v>
      </c>
    </row>
    <row r="538" spans="1:9" ht="12.75" customHeight="1" x14ac:dyDescent="0.2">
      <c r="A538" s="28">
        <v>40452</v>
      </c>
      <c r="B538" s="26" t="s">
        <v>1944</v>
      </c>
      <c r="C538" s="26" t="s">
        <v>980</v>
      </c>
      <c r="D538" s="35">
        <v>20000000</v>
      </c>
      <c r="E538" s="35">
        <v>12134935</v>
      </c>
      <c r="F538" s="35">
        <v>13134935</v>
      </c>
      <c r="G538" t="b">
        <f t="shared" si="29"/>
        <v>0</v>
      </c>
      <c r="H538" t="b">
        <f t="shared" si="30"/>
        <v>0</v>
      </c>
      <c r="I538" s="29">
        <f t="shared" si="31"/>
        <v>40452</v>
      </c>
    </row>
    <row r="539" spans="1:9" ht="12.75" customHeight="1" x14ac:dyDescent="0.2">
      <c r="A539" s="28">
        <v>40452</v>
      </c>
      <c r="B539" s="26" t="s">
        <v>481</v>
      </c>
      <c r="C539" s="26" t="s">
        <v>9</v>
      </c>
      <c r="D539" s="35" t="s">
        <v>20</v>
      </c>
      <c r="E539" s="35">
        <v>18117</v>
      </c>
      <c r="F539" s="35" t="s">
        <v>20</v>
      </c>
      <c r="G539" t="b">
        <f t="shared" si="29"/>
        <v>0</v>
      </c>
      <c r="H539" t="b">
        <f t="shared" si="30"/>
        <v>0</v>
      </c>
      <c r="I539" s="29">
        <f t="shared" si="31"/>
        <v>40452</v>
      </c>
    </row>
    <row r="540" spans="1:9" ht="25.5" x14ac:dyDescent="0.2">
      <c r="A540" s="28">
        <v>40452</v>
      </c>
      <c r="B540" s="26" t="s">
        <v>3424</v>
      </c>
      <c r="C540" s="26" t="s">
        <v>2160</v>
      </c>
      <c r="D540" s="35">
        <v>40000000</v>
      </c>
      <c r="E540" s="35">
        <v>96442613</v>
      </c>
      <c r="F540" s="35">
        <v>209642613</v>
      </c>
      <c r="G540" t="b">
        <f t="shared" si="29"/>
        <v>0</v>
      </c>
      <c r="H540" t="b">
        <f t="shared" si="30"/>
        <v>0</v>
      </c>
      <c r="I540" s="29">
        <f t="shared" si="31"/>
        <v>40452</v>
      </c>
    </row>
    <row r="541" spans="1:9" ht="12.75" customHeight="1" x14ac:dyDescent="0.2">
      <c r="A541" s="28">
        <v>40452</v>
      </c>
      <c r="B541" s="26" t="s">
        <v>973</v>
      </c>
      <c r="C541" s="26" t="s">
        <v>9</v>
      </c>
      <c r="D541" s="35" t="s">
        <v>20</v>
      </c>
      <c r="E541" s="35" t="s">
        <v>20</v>
      </c>
      <c r="F541" s="35" t="s">
        <v>20</v>
      </c>
      <c r="G541" t="b">
        <f t="shared" si="29"/>
        <v>0</v>
      </c>
      <c r="H541" t="b">
        <f t="shared" si="30"/>
        <v>0</v>
      </c>
      <c r="I541" s="29">
        <f t="shared" si="31"/>
        <v>40452</v>
      </c>
    </row>
    <row r="542" spans="1:9" ht="12.75" customHeight="1" x14ac:dyDescent="0.2">
      <c r="A542" s="28">
        <v>40452</v>
      </c>
      <c r="B542" s="26" t="s">
        <v>1013</v>
      </c>
      <c r="C542" s="26" t="s">
        <v>9</v>
      </c>
      <c r="D542" s="35" t="s">
        <v>20</v>
      </c>
      <c r="E542" s="35">
        <v>274639</v>
      </c>
      <c r="F542" s="35" t="s">
        <v>20</v>
      </c>
      <c r="G542" t="b">
        <f t="shared" si="29"/>
        <v>0</v>
      </c>
      <c r="H542" t="b">
        <f t="shared" si="30"/>
        <v>0</v>
      </c>
      <c r="I542" s="29">
        <f t="shared" si="31"/>
        <v>40452</v>
      </c>
    </row>
    <row r="543" spans="1:9" ht="12.75" customHeight="1" x14ac:dyDescent="0.2">
      <c r="A543" s="28">
        <v>40456</v>
      </c>
      <c r="B543" s="26" t="s">
        <v>1684</v>
      </c>
      <c r="C543" s="26" t="s">
        <v>9</v>
      </c>
      <c r="D543" s="35" t="s">
        <v>20</v>
      </c>
      <c r="E543" s="35" t="s">
        <v>20</v>
      </c>
      <c r="F543" s="35" t="s">
        <v>20</v>
      </c>
      <c r="G543" t="b">
        <f t="shared" si="29"/>
        <v>0</v>
      </c>
      <c r="H543" t="b">
        <f t="shared" si="30"/>
        <v>0</v>
      </c>
      <c r="I543" s="29">
        <f t="shared" si="31"/>
        <v>40456</v>
      </c>
    </row>
    <row r="544" spans="1:9" ht="12.75" customHeight="1" x14ac:dyDescent="0.2">
      <c r="A544" s="28">
        <v>40459</v>
      </c>
      <c r="B544" s="26" t="s">
        <v>1896</v>
      </c>
      <c r="C544" s="26" t="s">
        <v>9</v>
      </c>
      <c r="D544" s="35" t="s">
        <v>20</v>
      </c>
      <c r="E544" s="35">
        <v>88170</v>
      </c>
      <c r="F544" s="35" t="s">
        <v>20</v>
      </c>
      <c r="G544" t="b">
        <f t="shared" si="29"/>
        <v>0</v>
      </c>
      <c r="H544" t="b">
        <f t="shared" si="30"/>
        <v>0</v>
      </c>
      <c r="I544" s="29">
        <f t="shared" si="31"/>
        <v>40459</v>
      </c>
    </row>
    <row r="545" spans="1:9" ht="12.75" customHeight="1" x14ac:dyDescent="0.2">
      <c r="A545" s="28">
        <v>40459</v>
      </c>
      <c r="B545" s="26" t="s">
        <v>605</v>
      </c>
      <c r="C545" s="26" t="s">
        <v>9</v>
      </c>
      <c r="D545" s="35" t="s">
        <v>20</v>
      </c>
      <c r="E545" s="35">
        <v>65533</v>
      </c>
      <c r="F545" s="35" t="s">
        <v>20</v>
      </c>
      <c r="G545" t="b">
        <f t="shared" si="29"/>
        <v>0</v>
      </c>
      <c r="H545" t="b">
        <f t="shared" si="30"/>
        <v>0</v>
      </c>
      <c r="I545" s="29">
        <f t="shared" si="31"/>
        <v>40459</v>
      </c>
    </row>
    <row r="546" spans="1:9" ht="12.75" customHeight="1" x14ac:dyDescent="0.2">
      <c r="A546" s="28">
        <v>40459</v>
      </c>
      <c r="B546" s="26" t="s">
        <v>86</v>
      </c>
      <c r="C546" s="26" t="s">
        <v>2413</v>
      </c>
      <c r="D546" s="35">
        <v>25000000</v>
      </c>
      <c r="E546" s="35">
        <v>14744435</v>
      </c>
      <c r="F546" s="35">
        <v>15044679</v>
      </c>
      <c r="G546" t="b">
        <f t="shared" si="29"/>
        <v>0</v>
      </c>
      <c r="H546" t="b">
        <f t="shared" si="30"/>
        <v>0</v>
      </c>
      <c r="I546" s="29">
        <f t="shared" si="31"/>
        <v>40459</v>
      </c>
    </row>
    <row r="547" spans="1:9" ht="12.75" customHeight="1" x14ac:dyDescent="0.2">
      <c r="A547" s="28">
        <v>40459</v>
      </c>
      <c r="B547" s="26" t="s">
        <v>1394</v>
      </c>
      <c r="C547" s="26" t="s">
        <v>9</v>
      </c>
      <c r="D547" s="35" t="s">
        <v>20</v>
      </c>
      <c r="E547" s="35">
        <v>1445366</v>
      </c>
      <c r="F547" s="35" t="s">
        <v>20</v>
      </c>
      <c r="G547" t="b">
        <f t="shared" si="29"/>
        <v>0</v>
      </c>
      <c r="H547" t="b">
        <f t="shared" si="30"/>
        <v>0</v>
      </c>
      <c r="I547" s="29">
        <f t="shared" si="31"/>
        <v>40459</v>
      </c>
    </row>
    <row r="548" spans="1:9" ht="25.5" x14ac:dyDescent="0.2">
      <c r="A548" s="28">
        <v>40459</v>
      </c>
      <c r="B548" s="26" t="s">
        <v>220</v>
      </c>
      <c r="C548" s="26" t="s">
        <v>698</v>
      </c>
      <c r="D548" s="35">
        <v>8000000</v>
      </c>
      <c r="E548" s="35">
        <v>6363628</v>
      </c>
      <c r="F548" s="35">
        <v>6627938</v>
      </c>
      <c r="G548" t="b">
        <f t="shared" si="29"/>
        <v>0</v>
      </c>
      <c r="H548" t="b">
        <f t="shared" si="30"/>
        <v>0</v>
      </c>
      <c r="I548" s="29">
        <f t="shared" si="31"/>
        <v>40459</v>
      </c>
    </row>
    <row r="549" spans="1:9" ht="12.75" customHeight="1" x14ac:dyDescent="0.2">
      <c r="A549" s="28">
        <v>40459</v>
      </c>
      <c r="B549" s="26" t="s">
        <v>1926</v>
      </c>
      <c r="C549" s="26" t="s">
        <v>9</v>
      </c>
      <c r="D549" s="35" t="s">
        <v>20</v>
      </c>
      <c r="E549" s="35">
        <v>11089</v>
      </c>
      <c r="F549" s="35" t="s">
        <v>20</v>
      </c>
      <c r="G549" t="b">
        <f t="shared" si="29"/>
        <v>0</v>
      </c>
      <c r="H549" t="b">
        <f t="shared" si="30"/>
        <v>0</v>
      </c>
      <c r="I549" s="29">
        <f t="shared" si="31"/>
        <v>40459</v>
      </c>
    </row>
    <row r="550" spans="1:9" ht="12.75" customHeight="1" x14ac:dyDescent="0.2">
      <c r="A550" s="28">
        <v>40459</v>
      </c>
      <c r="B550" s="26" t="s">
        <v>1256</v>
      </c>
      <c r="C550" s="26" t="s">
        <v>9</v>
      </c>
      <c r="D550" s="35" t="s">
        <v>20</v>
      </c>
      <c r="E550" s="35">
        <v>13015</v>
      </c>
      <c r="F550" s="35" t="s">
        <v>20</v>
      </c>
      <c r="G550" t="b">
        <f t="shared" si="29"/>
        <v>0</v>
      </c>
      <c r="H550" t="b">
        <f t="shared" si="30"/>
        <v>0</v>
      </c>
      <c r="I550" s="29">
        <f t="shared" si="31"/>
        <v>40459</v>
      </c>
    </row>
    <row r="551" spans="1:9" ht="12.75" customHeight="1" x14ac:dyDescent="0.2">
      <c r="A551" s="28">
        <v>40459</v>
      </c>
      <c r="B551" s="26" t="s">
        <v>3036</v>
      </c>
      <c r="C551" s="26" t="s">
        <v>9</v>
      </c>
      <c r="D551" s="35">
        <v>2000000</v>
      </c>
      <c r="E551" s="35">
        <v>3884831</v>
      </c>
      <c r="F551" s="35" t="s">
        <v>20</v>
      </c>
      <c r="G551" t="b">
        <f t="shared" si="29"/>
        <v>0</v>
      </c>
      <c r="H551" t="b">
        <f t="shared" si="30"/>
        <v>0</v>
      </c>
      <c r="I551" s="29">
        <f t="shared" si="31"/>
        <v>40459</v>
      </c>
    </row>
    <row r="552" spans="1:9" ht="51" x14ac:dyDescent="0.2">
      <c r="A552" s="28">
        <v>40459</v>
      </c>
      <c r="B552" s="26" t="s">
        <v>123</v>
      </c>
      <c r="C552" s="26" t="s">
        <v>9</v>
      </c>
      <c r="D552" s="35" t="s">
        <v>20</v>
      </c>
      <c r="E552" s="35">
        <v>10229</v>
      </c>
      <c r="F552" s="35" t="s">
        <v>20</v>
      </c>
      <c r="G552" t="b">
        <f t="shared" si="29"/>
        <v>0</v>
      </c>
      <c r="H552" t="b">
        <f t="shared" si="30"/>
        <v>0</v>
      </c>
      <c r="I552" s="29">
        <f t="shared" si="31"/>
        <v>40459</v>
      </c>
    </row>
    <row r="553" spans="1:9" ht="12.75" customHeight="1" x14ac:dyDescent="0.2">
      <c r="A553" s="28">
        <v>40459</v>
      </c>
      <c r="B553" s="26" t="s">
        <v>271</v>
      </c>
      <c r="C553" s="26" t="s">
        <v>9</v>
      </c>
      <c r="D553" s="35">
        <v>22000000</v>
      </c>
      <c r="E553" s="35">
        <v>1810078</v>
      </c>
      <c r="F553" s="35" t="s">
        <v>20</v>
      </c>
      <c r="G553" t="b">
        <f t="shared" si="29"/>
        <v>0</v>
      </c>
      <c r="H553" t="b">
        <f t="shared" si="30"/>
        <v>0</v>
      </c>
      <c r="I553" s="29">
        <f t="shared" si="31"/>
        <v>40459</v>
      </c>
    </row>
    <row r="554" spans="1:9" ht="12.75" customHeight="1" x14ac:dyDescent="0.2">
      <c r="A554" s="28">
        <v>40459</v>
      </c>
      <c r="B554" s="26" t="s">
        <v>242</v>
      </c>
      <c r="C554" s="26" t="s">
        <v>612</v>
      </c>
      <c r="D554" s="35" t="s">
        <v>20</v>
      </c>
      <c r="E554" s="35">
        <v>557531</v>
      </c>
      <c r="F554" s="35">
        <v>2719718</v>
      </c>
      <c r="G554" t="b">
        <f t="shared" si="29"/>
        <v>0</v>
      </c>
      <c r="H554" t="b">
        <f t="shared" si="30"/>
        <v>0</v>
      </c>
      <c r="I554" s="29">
        <f t="shared" si="31"/>
        <v>40459</v>
      </c>
    </row>
    <row r="555" spans="1:9" ht="25.5" x14ac:dyDescent="0.2">
      <c r="A555" s="28">
        <v>40459</v>
      </c>
      <c r="B555" s="26" t="s">
        <v>187</v>
      </c>
      <c r="C555" s="26" t="s">
        <v>9</v>
      </c>
      <c r="D555" s="35">
        <v>1750000</v>
      </c>
      <c r="E555" s="35">
        <v>93051</v>
      </c>
      <c r="F555" s="35" t="s">
        <v>20</v>
      </c>
      <c r="G555" t="b">
        <f t="shared" si="29"/>
        <v>0</v>
      </c>
      <c r="H555" t="b">
        <f t="shared" si="30"/>
        <v>0</v>
      </c>
      <c r="I555" s="29">
        <f t="shared" si="31"/>
        <v>40459</v>
      </c>
    </row>
    <row r="556" spans="1:9" ht="12.75" customHeight="1" x14ac:dyDescent="0.2">
      <c r="A556" s="28">
        <v>40459</v>
      </c>
      <c r="B556" s="26" t="s">
        <v>1120</v>
      </c>
      <c r="C556" s="26" t="s">
        <v>3209</v>
      </c>
      <c r="D556" s="35">
        <v>38000000</v>
      </c>
      <c r="E556" s="35">
        <v>53374681</v>
      </c>
      <c r="F556" s="35">
        <v>87374681</v>
      </c>
      <c r="G556" t="b">
        <f t="shared" si="29"/>
        <v>0</v>
      </c>
      <c r="H556" t="b">
        <f t="shared" si="30"/>
        <v>0</v>
      </c>
      <c r="I556" s="29">
        <f t="shared" si="31"/>
        <v>40459</v>
      </c>
    </row>
    <row r="557" spans="1:9" ht="12.75" customHeight="1" x14ac:dyDescent="0.2">
      <c r="A557" s="28">
        <v>40459</v>
      </c>
      <c r="B557" s="26" t="s">
        <v>1451</v>
      </c>
      <c r="C557" s="26" t="s">
        <v>3390</v>
      </c>
      <c r="D557" s="35">
        <v>35000000</v>
      </c>
      <c r="E557" s="35">
        <v>59699513</v>
      </c>
      <c r="F557" s="35" t="s">
        <v>20</v>
      </c>
      <c r="G557" t="b">
        <f t="shared" si="29"/>
        <v>0</v>
      </c>
      <c r="H557" t="b">
        <f t="shared" si="30"/>
        <v>0</v>
      </c>
      <c r="I557" s="29">
        <f t="shared" si="31"/>
        <v>40459</v>
      </c>
    </row>
    <row r="558" spans="1:9" ht="12.75" customHeight="1" x14ac:dyDescent="0.2">
      <c r="A558" s="28">
        <v>40459</v>
      </c>
      <c r="B558" s="26" t="s">
        <v>1032</v>
      </c>
      <c r="C558" s="26" t="s">
        <v>9</v>
      </c>
      <c r="D558" s="35" t="s">
        <v>20</v>
      </c>
      <c r="E558" s="35">
        <v>2093</v>
      </c>
      <c r="F558" s="35" t="s">
        <v>20</v>
      </c>
      <c r="G558" t="b">
        <f t="shared" si="29"/>
        <v>0</v>
      </c>
      <c r="H558" t="b">
        <f t="shared" si="30"/>
        <v>0</v>
      </c>
      <c r="I558" s="29">
        <f t="shared" si="31"/>
        <v>40459</v>
      </c>
    </row>
    <row r="559" spans="1:9" ht="25.5" x14ac:dyDescent="0.2">
      <c r="A559" s="28">
        <v>40463</v>
      </c>
      <c r="B559" s="26" t="s">
        <v>3440</v>
      </c>
      <c r="C559" s="26" t="s">
        <v>9</v>
      </c>
      <c r="D559" s="35" t="s">
        <v>20</v>
      </c>
      <c r="E559" s="35" t="s">
        <v>20</v>
      </c>
      <c r="F559" s="35" t="s">
        <v>20</v>
      </c>
      <c r="G559" t="b">
        <f t="shared" si="29"/>
        <v>0</v>
      </c>
      <c r="H559" t="b">
        <f t="shared" si="30"/>
        <v>0</v>
      </c>
      <c r="I559" s="29">
        <f t="shared" si="31"/>
        <v>40463</v>
      </c>
    </row>
    <row r="560" spans="1:9" ht="12.75" customHeight="1" x14ac:dyDescent="0.2">
      <c r="A560" s="28">
        <v>40463</v>
      </c>
      <c r="B560" s="26" t="s">
        <v>950</v>
      </c>
      <c r="C560" s="26" t="s">
        <v>9</v>
      </c>
      <c r="D560" s="35" t="s">
        <v>20</v>
      </c>
      <c r="E560" s="35" t="s">
        <v>20</v>
      </c>
      <c r="F560" s="35" t="s">
        <v>20</v>
      </c>
      <c r="G560" t="b">
        <f t="shared" si="29"/>
        <v>0</v>
      </c>
      <c r="H560" t="b">
        <f t="shared" si="30"/>
        <v>0</v>
      </c>
      <c r="I560" s="29">
        <f t="shared" si="31"/>
        <v>40463</v>
      </c>
    </row>
    <row r="561" spans="1:9" ht="12.75" customHeight="1" x14ac:dyDescent="0.2">
      <c r="A561" s="28">
        <v>40464</v>
      </c>
      <c r="B561" s="26" t="s">
        <v>888</v>
      </c>
      <c r="C561" s="26" t="s">
        <v>9</v>
      </c>
      <c r="D561" s="35" t="s">
        <v>20</v>
      </c>
      <c r="E561" s="35">
        <v>394346</v>
      </c>
      <c r="F561" s="35" t="s">
        <v>20</v>
      </c>
      <c r="G561" t="b">
        <f t="shared" si="29"/>
        <v>0</v>
      </c>
      <c r="H561" t="b">
        <f t="shared" si="30"/>
        <v>0</v>
      </c>
      <c r="I561" s="29">
        <f t="shared" si="31"/>
        <v>40464</v>
      </c>
    </row>
    <row r="562" spans="1:9" ht="25.5" x14ac:dyDescent="0.2">
      <c r="A562" s="28">
        <v>40466</v>
      </c>
      <c r="B562" s="26" t="s">
        <v>961</v>
      </c>
      <c r="C562" s="26" t="s">
        <v>9</v>
      </c>
      <c r="D562" s="35" t="s">
        <v>20</v>
      </c>
      <c r="E562" s="35">
        <v>433588</v>
      </c>
      <c r="F562" s="35" t="s">
        <v>20</v>
      </c>
      <c r="G562" t="b">
        <f t="shared" si="29"/>
        <v>0</v>
      </c>
      <c r="H562" t="b">
        <f t="shared" si="30"/>
        <v>0</v>
      </c>
      <c r="I562" s="29">
        <f t="shared" si="31"/>
        <v>40466</v>
      </c>
    </row>
    <row r="563" spans="1:9" ht="12.75" customHeight="1" x14ac:dyDescent="0.2">
      <c r="A563" s="28">
        <v>40466</v>
      </c>
      <c r="B563" s="26" t="s">
        <v>1031</v>
      </c>
      <c r="C563" s="26" t="s">
        <v>155</v>
      </c>
      <c r="D563" s="35">
        <v>12500000</v>
      </c>
      <c r="E563" s="35">
        <v>6797696</v>
      </c>
      <c r="F563" s="35">
        <v>7653599</v>
      </c>
      <c r="G563" t="b">
        <f t="shared" si="29"/>
        <v>0</v>
      </c>
      <c r="H563" t="b">
        <f t="shared" si="30"/>
        <v>0</v>
      </c>
      <c r="I563" s="29">
        <f t="shared" si="31"/>
        <v>40466</v>
      </c>
    </row>
    <row r="564" spans="1:9" ht="25.5" x14ac:dyDescent="0.2">
      <c r="A564" s="28">
        <v>40466</v>
      </c>
      <c r="B564" s="26" t="s">
        <v>1751</v>
      </c>
      <c r="C564" s="26" t="s">
        <v>9</v>
      </c>
      <c r="D564" s="35" t="s">
        <v>20</v>
      </c>
      <c r="E564" s="35">
        <v>556958</v>
      </c>
      <c r="F564" s="35" t="s">
        <v>20</v>
      </c>
      <c r="G564" t="b">
        <f t="shared" si="29"/>
        <v>0</v>
      </c>
      <c r="H564" t="b">
        <f t="shared" si="30"/>
        <v>0</v>
      </c>
      <c r="I564" s="29">
        <f t="shared" si="31"/>
        <v>40466</v>
      </c>
    </row>
    <row r="565" spans="1:9" ht="12.75" customHeight="1" x14ac:dyDescent="0.2">
      <c r="A565" s="28">
        <v>40466</v>
      </c>
      <c r="B565" s="26" t="s">
        <v>1569</v>
      </c>
      <c r="C565" s="26" t="s">
        <v>9</v>
      </c>
      <c r="D565" s="35" t="s">
        <v>20</v>
      </c>
      <c r="E565" s="35">
        <v>32746941</v>
      </c>
      <c r="F565" s="35">
        <v>74746941</v>
      </c>
      <c r="G565" t="b">
        <f t="shared" si="29"/>
        <v>0</v>
      </c>
      <c r="H565" t="b">
        <f t="shared" si="30"/>
        <v>0</v>
      </c>
      <c r="I565" s="29">
        <f t="shared" si="31"/>
        <v>40466</v>
      </c>
    </row>
    <row r="566" spans="1:9" ht="12.75" customHeight="1" x14ac:dyDescent="0.2">
      <c r="A566" s="28">
        <v>40466</v>
      </c>
      <c r="B566" s="26" t="s">
        <v>2658</v>
      </c>
      <c r="C566" s="26" t="s">
        <v>9</v>
      </c>
      <c r="D566" s="35" t="s">
        <v>20</v>
      </c>
      <c r="E566" s="35">
        <v>1512</v>
      </c>
      <c r="F566" s="35" t="s">
        <v>20</v>
      </c>
      <c r="G566" t="b">
        <f t="shared" si="29"/>
        <v>0</v>
      </c>
      <c r="H566" t="b">
        <f t="shared" si="30"/>
        <v>0</v>
      </c>
      <c r="I566" s="29">
        <f t="shared" si="31"/>
        <v>40466</v>
      </c>
    </row>
    <row r="567" spans="1:9" ht="12.75" customHeight="1" x14ac:dyDescent="0.2">
      <c r="A567" s="28">
        <v>40466</v>
      </c>
      <c r="B567" s="26" t="s">
        <v>3192</v>
      </c>
      <c r="C567" s="26" t="s">
        <v>3466</v>
      </c>
      <c r="D567" s="35">
        <v>18000000</v>
      </c>
      <c r="E567" s="35">
        <v>145118</v>
      </c>
      <c r="F567" s="35" t="s">
        <v>20</v>
      </c>
      <c r="G567" t="b">
        <f t="shared" si="29"/>
        <v>0</v>
      </c>
      <c r="H567" t="b">
        <f t="shared" si="30"/>
        <v>0</v>
      </c>
      <c r="I567" s="29">
        <f t="shared" si="31"/>
        <v>40466</v>
      </c>
    </row>
    <row r="568" spans="1:9" ht="25.5" x14ac:dyDescent="0.2">
      <c r="A568" s="28">
        <v>40466</v>
      </c>
      <c r="B568" s="26" t="s">
        <v>2166</v>
      </c>
      <c r="C568" s="26" t="s">
        <v>9</v>
      </c>
      <c r="D568" s="35" t="s">
        <v>20</v>
      </c>
      <c r="E568" s="35">
        <v>29635</v>
      </c>
      <c r="F568" s="35" t="s">
        <v>20</v>
      </c>
      <c r="G568" t="b">
        <f t="shared" si="29"/>
        <v>0</v>
      </c>
      <c r="H568" t="b">
        <f t="shared" si="30"/>
        <v>0</v>
      </c>
      <c r="I568" s="29">
        <f t="shared" si="31"/>
        <v>40466</v>
      </c>
    </row>
    <row r="569" spans="1:9" ht="12.75" customHeight="1" x14ac:dyDescent="0.2">
      <c r="A569" s="28">
        <v>40466</v>
      </c>
      <c r="B569" s="26" t="s">
        <v>826</v>
      </c>
      <c r="C569" s="26" t="s">
        <v>9</v>
      </c>
      <c r="D569" s="35">
        <v>1600000</v>
      </c>
      <c r="E569" s="35">
        <v>2595644</v>
      </c>
      <c r="F569" s="35" t="s">
        <v>20</v>
      </c>
      <c r="G569" t="b">
        <f t="shared" si="29"/>
        <v>0</v>
      </c>
      <c r="H569" t="b">
        <f t="shared" si="30"/>
        <v>0</v>
      </c>
      <c r="I569" s="29">
        <f t="shared" si="31"/>
        <v>40466</v>
      </c>
    </row>
    <row r="570" spans="1:9" x14ac:dyDescent="0.2">
      <c r="A570" s="28">
        <v>40466</v>
      </c>
      <c r="B570" s="26" t="s">
        <v>2979</v>
      </c>
      <c r="C570" s="26" t="s">
        <v>9</v>
      </c>
      <c r="D570" s="35" t="s">
        <v>20</v>
      </c>
      <c r="E570" s="35" t="s">
        <v>20</v>
      </c>
      <c r="F570" s="35" t="s">
        <v>20</v>
      </c>
      <c r="G570" t="b">
        <f t="shared" si="29"/>
        <v>0</v>
      </c>
      <c r="H570" t="b">
        <f t="shared" si="30"/>
        <v>0</v>
      </c>
      <c r="I570" s="29">
        <f t="shared" si="31"/>
        <v>40466</v>
      </c>
    </row>
    <row r="571" spans="1:9" ht="12.75" customHeight="1" x14ac:dyDescent="0.2">
      <c r="A571" s="28">
        <v>40466</v>
      </c>
      <c r="B571" s="26" t="s">
        <v>1758</v>
      </c>
      <c r="C571" s="26" t="s">
        <v>9</v>
      </c>
      <c r="D571" s="35">
        <v>60000000</v>
      </c>
      <c r="E571" s="35">
        <v>90380162</v>
      </c>
      <c r="F571" s="35">
        <v>174280162</v>
      </c>
      <c r="G571" t="b">
        <f t="shared" si="29"/>
        <v>0</v>
      </c>
      <c r="H571" t="b">
        <f t="shared" si="30"/>
        <v>0</v>
      </c>
      <c r="I571" s="29">
        <f t="shared" si="31"/>
        <v>40466</v>
      </c>
    </row>
    <row r="572" spans="1:9" ht="12.75" customHeight="1" x14ac:dyDescent="0.2">
      <c r="A572" s="28">
        <v>40466</v>
      </c>
      <c r="B572" s="26" t="s">
        <v>1530</v>
      </c>
      <c r="C572" s="26" t="s">
        <v>9</v>
      </c>
      <c r="D572" s="35">
        <v>30000</v>
      </c>
      <c r="E572" s="35">
        <v>9609</v>
      </c>
      <c r="F572" s="35" t="s">
        <v>20</v>
      </c>
      <c r="G572" t="b">
        <f t="shared" si="29"/>
        <v>0</v>
      </c>
      <c r="H572" t="b">
        <f t="shared" si="30"/>
        <v>0</v>
      </c>
      <c r="I572" s="29">
        <f t="shared" si="31"/>
        <v>40466</v>
      </c>
    </row>
    <row r="573" spans="1:9" ht="12.75" customHeight="1" x14ac:dyDescent="0.2">
      <c r="A573" s="28">
        <v>40466</v>
      </c>
      <c r="B573" s="26" t="s">
        <v>2219</v>
      </c>
      <c r="C573" s="26" t="s">
        <v>9</v>
      </c>
      <c r="D573" s="35">
        <v>20000000</v>
      </c>
      <c r="E573" s="35">
        <v>117229692</v>
      </c>
      <c r="F573" s="35">
        <v>170845046</v>
      </c>
      <c r="G573" t="b">
        <f t="shared" si="29"/>
        <v>0</v>
      </c>
      <c r="H573" t="b">
        <f t="shared" si="30"/>
        <v>0</v>
      </c>
      <c r="I573" s="29">
        <f t="shared" si="31"/>
        <v>40466</v>
      </c>
    </row>
    <row r="574" spans="1:9" ht="12.75" customHeight="1" x14ac:dyDescent="0.2">
      <c r="A574" s="28">
        <v>40473</v>
      </c>
      <c r="B574" s="26" t="s">
        <v>3428</v>
      </c>
      <c r="C574" s="26" t="s">
        <v>9</v>
      </c>
      <c r="D574" s="35" t="s">
        <v>20</v>
      </c>
      <c r="E574" s="35">
        <v>5980</v>
      </c>
      <c r="F574" s="35" t="s">
        <v>20</v>
      </c>
      <c r="G574" t="b">
        <f t="shared" si="29"/>
        <v>0</v>
      </c>
      <c r="H574" t="b">
        <f t="shared" si="30"/>
        <v>0</v>
      </c>
      <c r="I574" s="29">
        <f t="shared" si="31"/>
        <v>40473</v>
      </c>
    </row>
    <row r="575" spans="1:9" ht="12.75" customHeight="1" x14ac:dyDescent="0.2">
      <c r="A575" s="28">
        <v>40473</v>
      </c>
      <c r="B575" s="26" t="s">
        <v>3077</v>
      </c>
      <c r="C575" s="26" t="s">
        <v>3209</v>
      </c>
      <c r="D575" s="35" t="s">
        <v>20</v>
      </c>
      <c r="E575" s="35" t="s">
        <v>20</v>
      </c>
      <c r="F575" s="35" t="s">
        <v>20</v>
      </c>
      <c r="G575" t="b">
        <f t="shared" si="29"/>
        <v>0</v>
      </c>
      <c r="H575" t="b">
        <f t="shared" si="30"/>
        <v>0</v>
      </c>
      <c r="I575" s="29">
        <f t="shared" si="31"/>
        <v>40473</v>
      </c>
    </row>
    <row r="576" spans="1:9" ht="12.75" customHeight="1" x14ac:dyDescent="0.2">
      <c r="A576" s="28">
        <v>40473</v>
      </c>
      <c r="B576" s="26" t="s">
        <v>139</v>
      </c>
      <c r="C576" s="26" t="s">
        <v>9</v>
      </c>
      <c r="D576" s="35" t="s">
        <v>20</v>
      </c>
      <c r="E576" s="35">
        <v>8756</v>
      </c>
      <c r="F576" s="35" t="s">
        <v>20</v>
      </c>
      <c r="G576" t="b">
        <f t="shared" si="29"/>
        <v>0</v>
      </c>
      <c r="H576" t="b">
        <f t="shared" si="30"/>
        <v>0</v>
      </c>
      <c r="I576" s="29">
        <f t="shared" si="31"/>
        <v>40473</v>
      </c>
    </row>
    <row r="577" spans="1:9" ht="12.75" customHeight="1" x14ac:dyDescent="0.2">
      <c r="A577" s="28">
        <v>40473</v>
      </c>
      <c r="B577" s="26" t="s">
        <v>2170</v>
      </c>
      <c r="C577" s="26" t="s">
        <v>9</v>
      </c>
      <c r="D577" s="35" t="s">
        <v>20</v>
      </c>
      <c r="E577" s="35">
        <v>4115</v>
      </c>
      <c r="F577" s="35" t="s">
        <v>20</v>
      </c>
      <c r="G577" t="b">
        <f t="shared" si="29"/>
        <v>0</v>
      </c>
      <c r="H577" t="b">
        <f t="shared" si="30"/>
        <v>0</v>
      </c>
      <c r="I577" s="29">
        <f t="shared" si="31"/>
        <v>40473</v>
      </c>
    </row>
    <row r="578" spans="1:9" ht="25.5" x14ac:dyDescent="0.2">
      <c r="A578" s="28">
        <v>40473</v>
      </c>
      <c r="B578" s="26" t="s">
        <v>1082</v>
      </c>
      <c r="C578" s="26" t="s">
        <v>2168</v>
      </c>
      <c r="D578" s="35">
        <v>3000000</v>
      </c>
      <c r="E578" s="35">
        <v>84752907</v>
      </c>
      <c r="F578" s="35">
        <v>171768448</v>
      </c>
      <c r="G578" t="b">
        <f t="shared" si="29"/>
        <v>0</v>
      </c>
      <c r="H578" t="b">
        <f t="shared" si="30"/>
        <v>0</v>
      </c>
      <c r="I578" s="29">
        <f t="shared" si="31"/>
        <v>40473</v>
      </c>
    </row>
    <row r="579" spans="1:9" ht="12.75" customHeight="1" x14ac:dyDescent="0.2">
      <c r="A579" s="28">
        <v>40473</v>
      </c>
      <c r="B579" s="26" t="s">
        <v>1690</v>
      </c>
      <c r="C579" s="26" t="s">
        <v>9</v>
      </c>
      <c r="D579" s="35" t="s">
        <v>20</v>
      </c>
      <c r="E579" s="35">
        <v>43710</v>
      </c>
      <c r="F579" s="35" t="s">
        <v>20</v>
      </c>
      <c r="G579" t="b">
        <f t="shared" si="29"/>
        <v>0</v>
      </c>
      <c r="H579" t="b">
        <f t="shared" si="30"/>
        <v>0</v>
      </c>
      <c r="I579" s="29">
        <f t="shared" si="31"/>
        <v>40473</v>
      </c>
    </row>
    <row r="580" spans="1:9" ht="12.75" customHeight="1" x14ac:dyDescent="0.2">
      <c r="A580" s="28">
        <v>40473</v>
      </c>
      <c r="B580" s="26" t="s">
        <v>564</v>
      </c>
      <c r="C580" s="26" t="s">
        <v>9</v>
      </c>
      <c r="D580" s="35" t="s">
        <v>20</v>
      </c>
      <c r="E580" s="35" t="s">
        <v>20</v>
      </c>
      <c r="F580" s="35" t="s">
        <v>20</v>
      </c>
      <c r="G580" t="b">
        <f t="shared" si="29"/>
        <v>0</v>
      </c>
      <c r="H580" t="b">
        <f t="shared" si="30"/>
        <v>0</v>
      </c>
      <c r="I580" s="29">
        <f t="shared" si="31"/>
        <v>40473</v>
      </c>
    </row>
    <row r="581" spans="1:9" ht="12.75" customHeight="1" x14ac:dyDescent="0.2">
      <c r="A581" s="28">
        <v>40473</v>
      </c>
      <c r="B581" s="26" t="s">
        <v>1661</v>
      </c>
      <c r="C581" s="26" t="s">
        <v>9</v>
      </c>
      <c r="D581" s="35" t="s">
        <v>20</v>
      </c>
      <c r="E581" s="35" t="s">
        <v>20</v>
      </c>
      <c r="F581" s="35" t="s">
        <v>20</v>
      </c>
      <c r="G581" t="b">
        <f t="shared" si="29"/>
        <v>0</v>
      </c>
      <c r="H581" t="b">
        <f t="shared" si="30"/>
        <v>0</v>
      </c>
      <c r="I581" s="29">
        <f t="shared" si="31"/>
        <v>40473</v>
      </c>
    </row>
    <row r="582" spans="1:9" ht="12.75" customHeight="1" x14ac:dyDescent="0.2">
      <c r="A582" s="28">
        <v>40480</v>
      </c>
      <c r="B582" s="26" t="s">
        <v>1500</v>
      </c>
      <c r="C582" s="26" t="s">
        <v>2310</v>
      </c>
      <c r="D582" s="35" t="s">
        <v>20</v>
      </c>
      <c r="E582" s="35">
        <v>45710178</v>
      </c>
      <c r="F582" s="35">
        <v>122510178</v>
      </c>
      <c r="G582" t="b">
        <f t="shared" si="29"/>
        <v>0</v>
      </c>
      <c r="H582" t="b">
        <f t="shared" si="30"/>
        <v>0</v>
      </c>
      <c r="I582" s="29">
        <f t="shared" si="31"/>
        <v>40480</v>
      </c>
    </row>
    <row r="583" spans="1:9" ht="12.75" customHeight="1" x14ac:dyDescent="0.2">
      <c r="A583" s="28">
        <v>40480</v>
      </c>
      <c r="B583" s="26" t="s">
        <v>2525</v>
      </c>
      <c r="C583" s="26" t="s">
        <v>9</v>
      </c>
      <c r="D583" s="35" t="s">
        <v>20</v>
      </c>
      <c r="E583" s="35">
        <v>2706</v>
      </c>
      <c r="F583" s="35" t="s">
        <v>20</v>
      </c>
      <c r="G583" t="b">
        <f t="shared" si="29"/>
        <v>0</v>
      </c>
      <c r="H583" t="b">
        <f t="shared" si="30"/>
        <v>0</v>
      </c>
      <c r="I583" s="29">
        <f t="shared" si="31"/>
        <v>40480</v>
      </c>
    </row>
    <row r="584" spans="1:9" ht="12.75" customHeight="1" x14ac:dyDescent="0.2">
      <c r="A584" s="28">
        <v>40480</v>
      </c>
      <c r="B584" s="26" t="s">
        <v>1271</v>
      </c>
      <c r="C584" s="26" t="s">
        <v>9</v>
      </c>
      <c r="D584" s="35" t="s">
        <v>20</v>
      </c>
      <c r="E584" s="35">
        <v>406</v>
      </c>
      <c r="F584" s="35" t="s">
        <v>20</v>
      </c>
      <c r="G584" t="b">
        <f t="shared" si="29"/>
        <v>0</v>
      </c>
      <c r="H584" t="b">
        <f t="shared" si="30"/>
        <v>0</v>
      </c>
      <c r="I584" s="29">
        <f t="shared" si="31"/>
        <v>40480</v>
      </c>
    </row>
    <row r="585" spans="1:9" ht="12.75" customHeight="1" x14ac:dyDescent="0.2">
      <c r="A585" s="28">
        <v>40480</v>
      </c>
      <c r="B585" s="26" t="s">
        <v>167</v>
      </c>
      <c r="C585" s="26" t="s">
        <v>9</v>
      </c>
      <c r="D585" s="35" t="s">
        <v>20</v>
      </c>
      <c r="E585" s="35">
        <v>10240</v>
      </c>
      <c r="F585" s="35" t="s">
        <v>20</v>
      </c>
      <c r="G585" t="b">
        <f t="shared" si="29"/>
        <v>0</v>
      </c>
      <c r="H585" t="b">
        <f t="shared" si="30"/>
        <v>0</v>
      </c>
      <c r="I585" s="29">
        <f t="shared" si="31"/>
        <v>40480</v>
      </c>
    </row>
    <row r="586" spans="1:9" ht="12.75" customHeight="1" x14ac:dyDescent="0.2">
      <c r="A586" s="28">
        <v>40480</v>
      </c>
      <c r="B586" s="26" t="s">
        <v>1546</v>
      </c>
      <c r="C586" s="26" t="s">
        <v>9</v>
      </c>
      <c r="D586" s="35" t="s">
        <v>20</v>
      </c>
      <c r="E586" s="35">
        <v>131721</v>
      </c>
      <c r="F586" s="35" t="s">
        <v>20</v>
      </c>
      <c r="G586" t="b">
        <f t="shared" si="29"/>
        <v>0</v>
      </c>
      <c r="H586" t="b">
        <f t="shared" si="30"/>
        <v>0</v>
      </c>
      <c r="I586" s="29">
        <f t="shared" si="31"/>
        <v>40480</v>
      </c>
    </row>
    <row r="587" spans="1:9" ht="25.5" x14ac:dyDescent="0.2">
      <c r="A587" s="28">
        <v>40480</v>
      </c>
      <c r="B587" s="26" t="s">
        <v>558</v>
      </c>
      <c r="C587" s="26" t="s">
        <v>9</v>
      </c>
      <c r="D587" s="35" t="s">
        <v>20</v>
      </c>
      <c r="E587" s="35">
        <v>152857</v>
      </c>
      <c r="F587" s="35" t="s">
        <v>20</v>
      </c>
      <c r="G587" t="b">
        <f t="shared" si="29"/>
        <v>0</v>
      </c>
      <c r="H587" t="b">
        <f t="shared" si="30"/>
        <v>0</v>
      </c>
      <c r="I587" s="29">
        <f t="shared" si="31"/>
        <v>40480</v>
      </c>
    </row>
    <row r="588" spans="1:9" ht="12.75" customHeight="1" x14ac:dyDescent="0.2">
      <c r="A588" s="28">
        <v>40480</v>
      </c>
      <c r="B588" s="26" t="s">
        <v>2286</v>
      </c>
      <c r="C588" s="26" t="s">
        <v>9</v>
      </c>
      <c r="D588" s="35" t="s">
        <v>20</v>
      </c>
      <c r="E588" s="35">
        <v>237301</v>
      </c>
      <c r="F588" s="35" t="s">
        <v>20</v>
      </c>
      <c r="G588" t="b">
        <f t="shared" si="29"/>
        <v>0</v>
      </c>
      <c r="H588" t="b">
        <f t="shared" si="30"/>
        <v>0</v>
      </c>
      <c r="I588" s="29">
        <f t="shared" si="31"/>
        <v>40480</v>
      </c>
    </row>
    <row r="589" spans="1:9" ht="12.75" customHeight="1" x14ac:dyDescent="0.2">
      <c r="A589" s="28">
        <v>40480</v>
      </c>
      <c r="B589" s="26" t="s">
        <v>457</v>
      </c>
      <c r="C589" s="26" t="s">
        <v>9</v>
      </c>
      <c r="D589" s="35" t="s">
        <v>20</v>
      </c>
      <c r="E589" s="35">
        <v>105893</v>
      </c>
      <c r="F589" s="35" t="s">
        <v>20</v>
      </c>
      <c r="G589" t="b">
        <f t="shared" si="29"/>
        <v>0</v>
      </c>
      <c r="H589" t="b">
        <f t="shared" si="30"/>
        <v>0</v>
      </c>
      <c r="I589" s="29">
        <f t="shared" si="31"/>
        <v>40480</v>
      </c>
    </row>
    <row r="590" spans="1:9" ht="12.75" customHeight="1" x14ac:dyDescent="0.2">
      <c r="A590" s="28">
        <v>40480</v>
      </c>
      <c r="B590" s="26" t="s">
        <v>607</v>
      </c>
      <c r="C590" s="26" t="s">
        <v>9</v>
      </c>
      <c r="D590" s="35" t="s">
        <v>20</v>
      </c>
      <c r="E590" s="35">
        <v>109338</v>
      </c>
      <c r="F590" s="35" t="s">
        <v>20</v>
      </c>
      <c r="G590" t="b">
        <f t="shared" si="29"/>
        <v>0</v>
      </c>
      <c r="H590" t="b">
        <f t="shared" si="30"/>
        <v>0</v>
      </c>
      <c r="I590" s="29">
        <f t="shared" si="31"/>
        <v>40480</v>
      </c>
    </row>
    <row r="591" spans="1:9" ht="51" x14ac:dyDescent="0.2">
      <c r="A591" s="28">
        <v>40480</v>
      </c>
      <c r="B591" s="26" t="s">
        <v>3271</v>
      </c>
      <c r="C591" s="26" t="s">
        <v>9</v>
      </c>
      <c r="D591" s="35" t="s">
        <v>20</v>
      </c>
      <c r="E591" s="35">
        <v>63558</v>
      </c>
      <c r="F591" s="35" t="s">
        <v>20</v>
      </c>
      <c r="G591" t="b">
        <f t="shared" si="29"/>
        <v>0</v>
      </c>
      <c r="H591" t="b">
        <f t="shared" si="30"/>
        <v>0</v>
      </c>
      <c r="I591" s="29">
        <f t="shared" si="31"/>
        <v>40480</v>
      </c>
    </row>
    <row r="592" spans="1:9" ht="12.75" customHeight="1" x14ac:dyDescent="0.2">
      <c r="A592" s="28">
        <v>40487</v>
      </c>
      <c r="B592" s="26" t="s">
        <v>224</v>
      </c>
      <c r="C592" s="26" t="s">
        <v>1066</v>
      </c>
      <c r="D592" s="35" t="s">
        <v>20</v>
      </c>
      <c r="E592" s="35">
        <v>9488716</v>
      </c>
      <c r="F592" s="35">
        <v>18088716</v>
      </c>
      <c r="G592" t="b">
        <f t="shared" si="29"/>
        <v>0</v>
      </c>
      <c r="H592" t="b">
        <f t="shared" si="30"/>
        <v>0</v>
      </c>
      <c r="I592" s="29">
        <f t="shared" si="31"/>
        <v>40487</v>
      </c>
    </row>
    <row r="593" spans="1:9" ht="12.75" customHeight="1" x14ac:dyDescent="0.2">
      <c r="A593" s="28">
        <v>40487</v>
      </c>
      <c r="B593" s="26" t="s">
        <v>1508</v>
      </c>
      <c r="C593" s="26" t="s">
        <v>9</v>
      </c>
      <c r="D593" s="35">
        <v>130000000</v>
      </c>
      <c r="E593" s="35">
        <v>147508912</v>
      </c>
      <c r="F593" s="35">
        <v>317508912</v>
      </c>
      <c r="G593" t="b">
        <f t="shared" si="29"/>
        <v>0</v>
      </c>
      <c r="H593" t="b">
        <f t="shared" si="30"/>
        <v>0</v>
      </c>
      <c r="I593" s="29">
        <f t="shared" si="31"/>
        <v>40487</v>
      </c>
    </row>
    <row r="594" spans="1:9" ht="63.75" x14ac:dyDescent="0.2">
      <c r="A594" s="28">
        <v>40487</v>
      </c>
      <c r="B594" s="26" t="s">
        <v>3065</v>
      </c>
      <c r="C594" s="26" t="s">
        <v>9</v>
      </c>
      <c r="D594" s="35" t="s">
        <v>20</v>
      </c>
      <c r="E594" s="35">
        <v>37729698</v>
      </c>
      <c r="F594" s="35" t="s">
        <v>20</v>
      </c>
      <c r="G594" t="b">
        <f t="shared" si="29"/>
        <v>0</v>
      </c>
      <c r="H594" t="b">
        <f t="shared" si="30"/>
        <v>0</v>
      </c>
      <c r="I594" s="29">
        <f t="shared" si="31"/>
        <v>40487</v>
      </c>
    </row>
    <row r="595" spans="1:9" ht="12.75" customHeight="1" x14ac:dyDescent="0.2">
      <c r="A595" s="28">
        <v>40487</v>
      </c>
      <c r="B595" s="26" t="s">
        <v>2844</v>
      </c>
      <c r="C595" s="26" t="s">
        <v>9</v>
      </c>
      <c r="D595" s="35" t="s">
        <v>20</v>
      </c>
      <c r="E595" s="35">
        <v>11565</v>
      </c>
      <c r="F595" s="35" t="s">
        <v>20</v>
      </c>
      <c r="G595" t="b">
        <f t="shared" si="29"/>
        <v>0</v>
      </c>
      <c r="H595" t="b">
        <f t="shared" si="30"/>
        <v>0</v>
      </c>
      <c r="I595" s="29">
        <f t="shared" si="31"/>
        <v>40487</v>
      </c>
    </row>
    <row r="596" spans="1:9" ht="12.75" customHeight="1" x14ac:dyDescent="0.2">
      <c r="A596" s="28">
        <v>40487</v>
      </c>
      <c r="B596" s="26" t="s">
        <v>345</v>
      </c>
      <c r="C596" s="26" t="s">
        <v>9</v>
      </c>
      <c r="D596" s="35" t="s">
        <v>20</v>
      </c>
      <c r="E596" s="35">
        <v>15991737</v>
      </c>
      <c r="F596" s="35">
        <v>25365207</v>
      </c>
      <c r="G596" t="b">
        <f t="shared" si="29"/>
        <v>0</v>
      </c>
      <c r="H596" t="b">
        <f t="shared" si="30"/>
        <v>0</v>
      </c>
      <c r="I596" s="29">
        <f t="shared" si="31"/>
        <v>40487</v>
      </c>
    </row>
    <row r="597" spans="1:9" ht="12.75" customHeight="1" x14ac:dyDescent="0.2">
      <c r="A597" s="28">
        <v>40487</v>
      </c>
      <c r="B597" s="26" t="s">
        <v>174</v>
      </c>
      <c r="C597" s="26" t="s">
        <v>3209</v>
      </c>
      <c r="D597" s="35" t="s">
        <v>20</v>
      </c>
      <c r="E597" s="35">
        <v>100539043</v>
      </c>
      <c r="F597" s="35">
        <v>201439043</v>
      </c>
      <c r="G597" t="b">
        <f t="shared" ref="G597:G658" si="32">ISBLANK(A597)</f>
        <v>0</v>
      </c>
      <c r="H597" t="b">
        <f t="shared" ref="H597:H658" si="33">ISTEXT(A597)</f>
        <v>0</v>
      </c>
      <c r="I597" s="29">
        <f t="shared" ref="I597:I658" si="34">DATE(2010,MONTH(A597), DAY(A597))</f>
        <v>40487</v>
      </c>
    </row>
    <row r="598" spans="1:9" ht="12.75" customHeight="1" x14ac:dyDescent="0.2">
      <c r="A598" s="28">
        <v>40487</v>
      </c>
      <c r="B598" s="26" t="s">
        <v>2648</v>
      </c>
      <c r="C598" s="26" t="s">
        <v>9</v>
      </c>
      <c r="D598" s="35" t="s">
        <v>20</v>
      </c>
      <c r="E598" s="35">
        <v>20960</v>
      </c>
      <c r="F598" s="35" t="s">
        <v>20</v>
      </c>
      <c r="G598" t="b">
        <f t="shared" si="32"/>
        <v>0</v>
      </c>
      <c r="H598" t="b">
        <f t="shared" si="33"/>
        <v>0</v>
      </c>
      <c r="I598" s="29">
        <f t="shared" si="34"/>
        <v>40487</v>
      </c>
    </row>
    <row r="599" spans="1:9" ht="38.25" x14ac:dyDescent="0.2">
      <c r="A599" s="28">
        <v>40487</v>
      </c>
      <c r="B599" s="26" t="s">
        <v>2544</v>
      </c>
      <c r="C599" s="26" t="s">
        <v>9</v>
      </c>
      <c r="D599" s="35" t="s">
        <v>20</v>
      </c>
      <c r="E599" s="35">
        <v>187540</v>
      </c>
      <c r="F599" s="35" t="s">
        <v>20</v>
      </c>
      <c r="G599" t="b">
        <f t="shared" si="32"/>
        <v>0</v>
      </c>
      <c r="H599" t="b">
        <f t="shared" si="33"/>
        <v>0</v>
      </c>
      <c r="I599" s="29">
        <f t="shared" si="34"/>
        <v>40487</v>
      </c>
    </row>
    <row r="600" spans="1:9" ht="12.75" customHeight="1" x14ac:dyDescent="0.2">
      <c r="A600" s="28">
        <v>40487</v>
      </c>
      <c r="B600" s="26" t="s">
        <v>2402</v>
      </c>
      <c r="C600" s="26" t="s">
        <v>9</v>
      </c>
      <c r="D600" s="35" t="s">
        <v>20</v>
      </c>
      <c r="E600" s="35">
        <v>298701</v>
      </c>
      <c r="F600" s="35">
        <v>2424805</v>
      </c>
      <c r="G600" t="b">
        <f t="shared" si="32"/>
        <v>0</v>
      </c>
      <c r="H600" t="b">
        <f t="shared" si="33"/>
        <v>0</v>
      </c>
      <c r="I600" s="29">
        <f t="shared" si="34"/>
        <v>40487</v>
      </c>
    </row>
    <row r="601" spans="1:9" ht="25.5" x14ac:dyDescent="0.2">
      <c r="A601" s="28">
        <v>40487</v>
      </c>
      <c r="B601" s="26" t="s">
        <v>2763</v>
      </c>
      <c r="C601" s="26" t="s">
        <v>9</v>
      </c>
      <c r="D601" s="35" t="s">
        <v>20</v>
      </c>
      <c r="E601" s="35">
        <v>24964</v>
      </c>
      <c r="F601" s="35" t="s">
        <v>20</v>
      </c>
      <c r="G601" t="b">
        <f t="shared" si="32"/>
        <v>0</v>
      </c>
      <c r="H601" t="b">
        <f t="shared" si="33"/>
        <v>0</v>
      </c>
      <c r="I601" s="29">
        <f t="shared" si="34"/>
        <v>40487</v>
      </c>
    </row>
    <row r="602" spans="1:9" ht="25.5" x14ac:dyDescent="0.2">
      <c r="A602" s="28">
        <v>40492</v>
      </c>
      <c r="B602" s="26" t="s">
        <v>2470</v>
      </c>
      <c r="C602" s="26" t="s">
        <v>2168</v>
      </c>
      <c r="D602" s="35">
        <v>40000000</v>
      </c>
      <c r="E602" s="35">
        <v>31011732</v>
      </c>
      <c r="F602" s="35">
        <v>47011732</v>
      </c>
      <c r="G602" t="b">
        <f t="shared" si="32"/>
        <v>0</v>
      </c>
      <c r="H602" t="b">
        <f t="shared" si="33"/>
        <v>0</v>
      </c>
      <c r="I602" s="29">
        <f t="shared" si="34"/>
        <v>40492</v>
      </c>
    </row>
    <row r="603" spans="1:9" ht="12.75" customHeight="1" x14ac:dyDescent="0.2">
      <c r="A603" s="28">
        <v>40494</v>
      </c>
      <c r="B603" s="26" t="s">
        <v>665</v>
      </c>
      <c r="C603" s="26" t="s">
        <v>9</v>
      </c>
      <c r="D603" s="35" t="s">
        <v>20</v>
      </c>
      <c r="E603" s="35">
        <v>62713</v>
      </c>
      <c r="F603" s="35" t="s">
        <v>20</v>
      </c>
      <c r="G603" t="b">
        <f t="shared" si="32"/>
        <v>0</v>
      </c>
      <c r="H603" t="b">
        <f t="shared" si="33"/>
        <v>0</v>
      </c>
      <c r="I603" s="29">
        <f t="shared" si="34"/>
        <v>40494</v>
      </c>
    </row>
    <row r="604" spans="1:9" ht="12.75" customHeight="1" x14ac:dyDescent="0.2">
      <c r="A604" s="28">
        <v>40494</v>
      </c>
      <c r="B604" s="26" t="s">
        <v>402</v>
      </c>
      <c r="C604" s="26" t="s">
        <v>384</v>
      </c>
      <c r="D604" s="35">
        <v>95000000</v>
      </c>
      <c r="E604" s="35">
        <v>81223525</v>
      </c>
      <c r="F604" s="35">
        <v>166375888</v>
      </c>
      <c r="G604" t="b">
        <f t="shared" si="32"/>
        <v>0</v>
      </c>
      <c r="H604" t="b">
        <f t="shared" si="33"/>
        <v>0</v>
      </c>
      <c r="I604" s="29">
        <f t="shared" si="34"/>
        <v>40494</v>
      </c>
    </row>
    <row r="605" spans="1:9" ht="12.75" customHeight="1" x14ac:dyDescent="0.2">
      <c r="A605" s="28">
        <v>40494</v>
      </c>
      <c r="B605" s="26" t="s">
        <v>907</v>
      </c>
      <c r="C605" s="26" t="s">
        <v>9</v>
      </c>
      <c r="D605" s="35">
        <v>50000</v>
      </c>
      <c r="E605" s="35">
        <v>373743</v>
      </c>
      <c r="F605" s="35" t="s">
        <v>20</v>
      </c>
      <c r="G605" t="b">
        <f t="shared" si="32"/>
        <v>0</v>
      </c>
      <c r="H605" t="b">
        <f t="shared" si="33"/>
        <v>0</v>
      </c>
      <c r="I605" s="29">
        <f t="shared" si="34"/>
        <v>40494</v>
      </c>
    </row>
    <row r="606" spans="1:9" ht="25.5" x14ac:dyDescent="0.2">
      <c r="A606" s="28">
        <v>40494</v>
      </c>
      <c r="B606" s="26" t="s">
        <v>116</v>
      </c>
      <c r="C606" s="26" t="s">
        <v>9</v>
      </c>
      <c r="D606" s="35" t="s">
        <v>20</v>
      </c>
      <c r="E606" s="35" t="s">
        <v>20</v>
      </c>
      <c r="F606" s="35" t="s">
        <v>20</v>
      </c>
      <c r="G606" t="b">
        <f t="shared" si="32"/>
        <v>0</v>
      </c>
      <c r="H606" t="b">
        <f t="shared" si="33"/>
        <v>0</v>
      </c>
      <c r="I606" s="29">
        <f t="shared" si="34"/>
        <v>40494</v>
      </c>
    </row>
    <row r="607" spans="1:9" ht="12.75" customHeight="1" x14ac:dyDescent="0.2">
      <c r="A607" s="28">
        <v>40494</v>
      </c>
      <c r="B607" s="26" t="s">
        <v>1946</v>
      </c>
      <c r="C607" s="26" t="s">
        <v>2700</v>
      </c>
      <c r="D607" s="35">
        <v>10000000</v>
      </c>
      <c r="E607" s="35">
        <v>21416355</v>
      </c>
      <c r="F607" s="35" t="s">
        <v>20</v>
      </c>
      <c r="G607" t="b">
        <f t="shared" si="32"/>
        <v>0</v>
      </c>
      <c r="H607" t="b">
        <f t="shared" si="33"/>
        <v>0</v>
      </c>
      <c r="I607" s="29">
        <f t="shared" si="34"/>
        <v>40494</v>
      </c>
    </row>
    <row r="608" spans="1:9" ht="12.75" customHeight="1" x14ac:dyDescent="0.2">
      <c r="A608" s="28">
        <v>40501</v>
      </c>
      <c r="B608" s="26" t="s">
        <v>1993</v>
      </c>
      <c r="C608" s="26" t="s">
        <v>9</v>
      </c>
      <c r="D608" s="35" t="s">
        <v>20</v>
      </c>
      <c r="E608" s="35">
        <v>73527</v>
      </c>
      <c r="F608" s="35" t="s">
        <v>20</v>
      </c>
      <c r="G608" t="b">
        <f t="shared" si="32"/>
        <v>0</v>
      </c>
      <c r="H608" t="b">
        <f t="shared" si="33"/>
        <v>0</v>
      </c>
      <c r="I608" s="29">
        <f t="shared" si="34"/>
        <v>40501</v>
      </c>
    </row>
    <row r="609" spans="1:9" ht="38.25" x14ac:dyDescent="0.2">
      <c r="A609" s="28">
        <v>40501</v>
      </c>
      <c r="B609" s="26" t="s">
        <v>3027</v>
      </c>
      <c r="C609" s="26" t="s">
        <v>9</v>
      </c>
      <c r="D609" s="35" t="s">
        <v>20</v>
      </c>
      <c r="E609" s="35">
        <v>46380</v>
      </c>
      <c r="F609" s="35" t="s">
        <v>20</v>
      </c>
      <c r="G609" t="b">
        <f t="shared" si="32"/>
        <v>0</v>
      </c>
      <c r="H609" t="b">
        <f t="shared" si="33"/>
        <v>0</v>
      </c>
      <c r="I609" s="29">
        <f t="shared" si="34"/>
        <v>40501</v>
      </c>
    </row>
    <row r="610" spans="1:9" ht="12.75" customHeight="1" x14ac:dyDescent="0.2">
      <c r="A610" s="28">
        <v>40501</v>
      </c>
      <c r="B610" s="26" t="s">
        <v>622</v>
      </c>
      <c r="C610" s="26" t="s">
        <v>9</v>
      </c>
      <c r="D610" s="35" t="s">
        <v>20</v>
      </c>
      <c r="E610" s="35">
        <v>317831</v>
      </c>
      <c r="F610" s="35" t="s">
        <v>20</v>
      </c>
      <c r="G610" t="b">
        <f t="shared" si="32"/>
        <v>0</v>
      </c>
      <c r="H610" t="b">
        <f t="shared" si="33"/>
        <v>0</v>
      </c>
      <c r="I610" s="29">
        <f t="shared" si="34"/>
        <v>40501</v>
      </c>
    </row>
    <row r="611" spans="1:9" ht="12.75" customHeight="1" x14ac:dyDescent="0.2">
      <c r="A611" s="28">
        <v>40501</v>
      </c>
      <c r="B611" s="26" t="s">
        <v>1864</v>
      </c>
      <c r="C611" s="26" t="s">
        <v>9</v>
      </c>
      <c r="D611" s="35" t="s">
        <v>20</v>
      </c>
      <c r="E611" s="35">
        <v>304020</v>
      </c>
      <c r="F611" s="35" t="s">
        <v>20</v>
      </c>
      <c r="G611" t="b">
        <f t="shared" si="32"/>
        <v>0</v>
      </c>
      <c r="H611" t="b">
        <f t="shared" si="33"/>
        <v>0</v>
      </c>
      <c r="I611" s="29">
        <f t="shared" si="34"/>
        <v>40501</v>
      </c>
    </row>
    <row r="612" spans="1:9" ht="25.5" x14ac:dyDescent="0.2">
      <c r="A612" s="28">
        <v>40501</v>
      </c>
      <c r="B612" s="26" t="s">
        <v>1006</v>
      </c>
      <c r="C612" s="26" t="s">
        <v>2310</v>
      </c>
      <c r="D612" s="35">
        <v>30000000</v>
      </c>
      <c r="E612" s="35">
        <v>21148651</v>
      </c>
      <c r="F612" s="35" t="s">
        <v>20</v>
      </c>
      <c r="G612" t="b">
        <f t="shared" si="32"/>
        <v>0</v>
      </c>
      <c r="H612" t="b">
        <f t="shared" si="33"/>
        <v>0</v>
      </c>
      <c r="I612" s="29">
        <f t="shared" si="34"/>
        <v>40501</v>
      </c>
    </row>
    <row r="613" spans="1:9" ht="12.75" customHeight="1" x14ac:dyDescent="0.2">
      <c r="A613" s="28">
        <v>40501</v>
      </c>
      <c r="B613" s="26" t="s">
        <v>2524</v>
      </c>
      <c r="C613" s="26" t="s">
        <v>9</v>
      </c>
      <c r="D613" s="35" t="s">
        <v>20</v>
      </c>
      <c r="E613" s="35">
        <v>1017335</v>
      </c>
      <c r="F613" s="35" t="s">
        <v>20</v>
      </c>
      <c r="G613" t="b">
        <f t="shared" si="32"/>
        <v>0</v>
      </c>
      <c r="H613" t="b">
        <f t="shared" si="33"/>
        <v>0</v>
      </c>
      <c r="I613" s="29">
        <f t="shared" si="34"/>
        <v>40501</v>
      </c>
    </row>
    <row r="614" spans="1:9" ht="12.75" customHeight="1" x14ac:dyDescent="0.2">
      <c r="A614" s="28">
        <v>40501</v>
      </c>
      <c r="B614" s="26" t="s">
        <v>3284</v>
      </c>
      <c r="C614" s="26" t="s">
        <v>9</v>
      </c>
      <c r="D614" s="35" t="s">
        <v>20</v>
      </c>
      <c r="E614" s="35">
        <v>2033</v>
      </c>
      <c r="F614" s="35" t="s">
        <v>20</v>
      </c>
      <c r="G614" t="b">
        <f t="shared" si="32"/>
        <v>0</v>
      </c>
      <c r="H614" t="b">
        <f t="shared" si="33"/>
        <v>0</v>
      </c>
      <c r="I614" s="29">
        <f t="shared" si="34"/>
        <v>40501</v>
      </c>
    </row>
    <row r="615" spans="1:9" ht="38.25" x14ac:dyDescent="0.2">
      <c r="A615" s="28">
        <v>40501</v>
      </c>
      <c r="B615" s="26" t="s">
        <v>3281</v>
      </c>
      <c r="C615" s="26" t="s">
        <v>3209</v>
      </c>
      <c r="D615" s="35">
        <v>125000000</v>
      </c>
      <c r="E615" s="35">
        <v>292822346</v>
      </c>
      <c r="F615" s="35">
        <v>943322346</v>
      </c>
      <c r="G615" t="b">
        <f t="shared" si="32"/>
        <v>0</v>
      </c>
      <c r="H615" t="b">
        <f t="shared" si="33"/>
        <v>0</v>
      </c>
      <c r="I615" s="29">
        <f t="shared" si="34"/>
        <v>40501</v>
      </c>
    </row>
    <row r="616" spans="1:9" ht="25.5" x14ac:dyDescent="0.2">
      <c r="A616" s="28">
        <v>40501</v>
      </c>
      <c r="B616" s="26" t="s">
        <v>1683</v>
      </c>
      <c r="C616" s="26" t="s">
        <v>612</v>
      </c>
      <c r="D616" s="35" t="s">
        <v>20</v>
      </c>
      <c r="E616" s="35">
        <v>968584</v>
      </c>
      <c r="F616" s="35">
        <v>5768584</v>
      </c>
      <c r="G616" t="b">
        <f t="shared" si="32"/>
        <v>0</v>
      </c>
      <c r="H616" t="b">
        <f t="shared" si="33"/>
        <v>0</v>
      </c>
      <c r="I616" s="29">
        <f t="shared" si="34"/>
        <v>40501</v>
      </c>
    </row>
    <row r="617" spans="1:9" ht="25.5" x14ac:dyDescent="0.2">
      <c r="A617" s="28">
        <v>40505</v>
      </c>
      <c r="B617" s="26" t="s">
        <v>539</v>
      </c>
      <c r="C617" s="26" t="s">
        <v>9</v>
      </c>
      <c r="D617" s="35" t="s">
        <v>20</v>
      </c>
      <c r="E617" s="35" t="s">
        <v>20</v>
      </c>
      <c r="F617" s="35" t="s">
        <v>20</v>
      </c>
      <c r="G617" t="b">
        <f t="shared" si="32"/>
        <v>0</v>
      </c>
      <c r="H617" t="b">
        <f t="shared" si="33"/>
        <v>0</v>
      </c>
      <c r="I617" s="29">
        <f t="shared" si="34"/>
        <v>40505</v>
      </c>
    </row>
    <row r="618" spans="1:9" ht="25.5" x14ac:dyDescent="0.2">
      <c r="A618" s="28">
        <v>40506</v>
      </c>
      <c r="B618" s="26" t="s">
        <v>3370</v>
      </c>
      <c r="C618" s="26" t="s">
        <v>384</v>
      </c>
      <c r="D618" s="35">
        <v>30000000</v>
      </c>
      <c r="E618" s="35">
        <v>32337033</v>
      </c>
      <c r="F618" s="35">
        <v>91037033</v>
      </c>
      <c r="G618" t="b">
        <f t="shared" si="32"/>
        <v>0</v>
      </c>
      <c r="H618" t="b">
        <f t="shared" si="33"/>
        <v>0</v>
      </c>
      <c r="I618" s="29">
        <f t="shared" si="34"/>
        <v>40506</v>
      </c>
    </row>
    <row r="619" spans="1:9" ht="12.75" customHeight="1" x14ac:dyDescent="0.2">
      <c r="A619" s="28">
        <v>40506</v>
      </c>
      <c r="B619" s="26" t="s">
        <v>2921</v>
      </c>
      <c r="C619" s="26" t="s">
        <v>2160</v>
      </c>
      <c r="D619" s="35">
        <v>55000000</v>
      </c>
      <c r="E619" s="35">
        <v>39440655</v>
      </c>
      <c r="F619" s="35">
        <v>81540655</v>
      </c>
      <c r="G619" t="b">
        <f t="shared" si="32"/>
        <v>0</v>
      </c>
      <c r="H619" t="b">
        <f t="shared" si="33"/>
        <v>0</v>
      </c>
      <c r="I619" s="29">
        <f t="shared" si="34"/>
        <v>40506</v>
      </c>
    </row>
    <row r="620" spans="1:9" ht="12.75" customHeight="1" x14ac:dyDescent="0.2">
      <c r="A620" s="28">
        <v>40506</v>
      </c>
      <c r="B620" s="26" t="s">
        <v>1215</v>
      </c>
      <c r="C620" s="26" t="s">
        <v>3390</v>
      </c>
      <c r="D620" s="35">
        <v>260000000</v>
      </c>
      <c r="E620" s="35">
        <v>192130000</v>
      </c>
      <c r="F620" s="35">
        <v>477230000</v>
      </c>
      <c r="G620" t="b">
        <f t="shared" si="32"/>
        <v>0</v>
      </c>
      <c r="H620" t="b">
        <f t="shared" si="33"/>
        <v>0</v>
      </c>
      <c r="I620" s="29">
        <f t="shared" si="34"/>
        <v>40506</v>
      </c>
    </row>
    <row r="621" spans="1:9" ht="12.75" customHeight="1" x14ac:dyDescent="0.2">
      <c r="A621" s="28">
        <v>40506</v>
      </c>
      <c r="B621" s="26" t="s">
        <v>1635</v>
      </c>
      <c r="C621" s="26" t="s">
        <v>9</v>
      </c>
      <c r="D621" s="35" t="s">
        <v>20</v>
      </c>
      <c r="E621" s="35">
        <v>427628</v>
      </c>
      <c r="F621" s="35" t="s">
        <v>20</v>
      </c>
      <c r="G621" t="b">
        <f t="shared" si="32"/>
        <v>0</v>
      </c>
      <c r="H621" t="b">
        <f t="shared" si="33"/>
        <v>0</v>
      </c>
      <c r="I621" s="29">
        <f t="shared" si="34"/>
        <v>40506</v>
      </c>
    </row>
    <row r="622" spans="1:9" ht="25.5" x14ac:dyDescent="0.2">
      <c r="A622" s="28">
        <v>40506</v>
      </c>
      <c r="B622" s="26" t="s">
        <v>7</v>
      </c>
      <c r="C622" s="26" t="s">
        <v>9</v>
      </c>
      <c r="D622" s="35">
        <v>90000000</v>
      </c>
      <c r="E622" s="35">
        <v>195459</v>
      </c>
      <c r="F622" s="35" t="s">
        <v>20</v>
      </c>
      <c r="G622" t="b">
        <f t="shared" si="32"/>
        <v>0</v>
      </c>
      <c r="H622" t="b">
        <f t="shared" si="33"/>
        <v>0</v>
      </c>
      <c r="I622" s="29">
        <f t="shared" si="34"/>
        <v>40506</v>
      </c>
    </row>
    <row r="623" spans="1:9" ht="12.75" customHeight="1" x14ac:dyDescent="0.2">
      <c r="A623" s="28">
        <v>40506</v>
      </c>
      <c r="B623" s="26" t="s">
        <v>354</v>
      </c>
      <c r="C623" s="26" t="s">
        <v>880</v>
      </c>
      <c r="D623" s="35">
        <v>12000000</v>
      </c>
      <c r="E623" s="35">
        <v>23233283</v>
      </c>
      <c r="F623" s="35" t="s">
        <v>20</v>
      </c>
      <c r="G623" t="b">
        <f t="shared" si="32"/>
        <v>0</v>
      </c>
      <c r="H623" t="b">
        <f t="shared" si="33"/>
        <v>0</v>
      </c>
      <c r="I623" s="29">
        <f t="shared" si="34"/>
        <v>40506</v>
      </c>
    </row>
    <row r="624" spans="1:9" x14ac:dyDescent="0.2">
      <c r="A624" s="28">
        <v>40508</v>
      </c>
      <c r="B624" s="26" t="s">
        <v>2808</v>
      </c>
      <c r="C624" s="26" t="s">
        <v>9</v>
      </c>
      <c r="D624" s="35">
        <v>15000000</v>
      </c>
      <c r="E624" s="35">
        <v>84959094</v>
      </c>
      <c r="F624" s="35">
        <v>151959094</v>
      </c>
      <c r="G624" t="b">
        <f t="shared" si="32"/>
        <v>0</v>
      </c>
      <c r="H624" t="b">
        <f t="shared" si="33"/>
        <v>0</v>
      </c>
      <c r="I624" s="29">
        <f t="shared" si="34"/>
        <v>40508</v>
      </c>
    </row>
    <row r="625" spans="1:9" ht="25.5" x14ac:dyDescent="0.2">
      <c r="A625" s="28">
        <v>40508</v>
      </c>
      <c r="B625" s="26" t="s">
        <v>705</v>
      </c>
      <c r="C625" s="26" t="s">
        <v>9</v>
      </c>
      <c r="D625" s="35" t="s">
        <v>20</v>
      </c>
      <c r="E625" s="35">
        <v>30573</v>
      </c>
      <c r="F625" s="35" t="s">
        <v>20</v>
      </c>
      <c r="G625" t="b">
        <f t="shared" si="32"/>
        <v>0</v>
      </c>
      <c r="H625" t="b">
        <f t="shared" si="33"/>
        <v>0</v>
      </c>
      <c r="I625" s="29">
        <f t="shared" si="34"/>
        <v>40508</v>
      </c>
    </row>
    <row r="626" spans="1:9" ht="12.75" customHeight="1" x14ac:dyDescent="0.2">
      <c r="A626" s="28">
        <v>40515</v>
      </c>
      <c r="B626" s="26" t="s">
        <v>1789</v>
      </c>
      <c r="C626" s="26" t="s">
        <v>9</v>
      </c>
      <c r="D626" s="35">
        <v>13000000</v>
      </c>
      <c r="E626" s="35">
        <v>96571175</v>
      </c>
      <c r="F626" s="35">
        <v>144571175</v>
      </c>
      <c r="G626" t="b">
        <f t="shared" si="32"/>
        <v>0</v>
      </c>
      <c r="H626" t="b">
        <f t="shared" si="33"/>
        <v>0</v>
      </c>
      <c r="I626" s="29">
        <f t="shared" si="34"/>
        <v>40515</v>
      </c>
    </row>
    <row r="627" spans="1:9" ht="12.75" customHeight="1" x14ac:dyDescent="0.2">
      <c r="A627" s="28">
        <v>40515</v>
      </c>
      <c r="B627" s="26" t="s">
        <v>2536</v>
      </c>
      <c r="C627" s="26" t="s">
        <v>9</v>
      </c>
      <c r="D627" s="35">
        <v>42000000</v>
      </c>
      <c r="E627" s="35">
        <v>5666340</v>
      </c>
      <c r="F627" s="35" t="s">
        <v>20</v>
      </c>
      <c r="G627" t="b">
        <f t="shared" si="32"/>
        <v>0</v>
      </c>
      <c r="H627" t="b">
        <f t="shared" si="33"/>
        <v>0</v>
      </c>
      <c r="I627" s="29">
        <f t="shared" si="34"/>
        <v>40515</v>
      </c>
    </row>
    <row r="628" spans="1:9" ht="25.5" x14ac:dyDescent="0.2">
      <c r="A628" s="28">
        <v>40515</v>
      </c>
      <c r="B628" s="26" t="s">
        <v>1194</v>
      </c>
      <c r="C628" s="26" t="s">
        <v>3096</v>
      </c>
      <c r="D628" s="35" t="s">
        <v>20</v>
      </c>
      <c r="E628" s="35" t="s">
        <v>20</v>
      </c>
      <c r="F628" s="35" t="s">
        <v>20</v>
      </c>
      <c r="G628" t="b">
        <f t="shared" si="32"/>
        <v>0</v>
      </c>
      <c r="H628" t="b">
        <f t="shared" si="33"/>
        <v>0</v>
      </c>
      <c r="I628" s="29">
        <f t="shared" si="34"/>
        <v>40515</v>
      </c>
    </row>
    <row r="629" spans="1:9" ht="12.75" customHeight="1" x14ac:dyDescent="0.2">
      <c r="A629" s="28">
        <v>40515</v>
      </c>
      <c r="B629" s="26" t="s">
        <v>1653</v>
      </c>
      <c r="C629" s="26" t="s">
        <v>9</v>
      </c>
      <c r="D629" s="35" t="s">
        <v>20</v>
      </c>
      <c r="E629" s="35">
        <v>79207</v>
      </c>
      <c r="F629" s="35" t="s">
        <v>20</v>
      </c>
      <c r="G629" t="b">
        <f t="shared" si="32"/>
        <v>0</v>
      </c>
      <c r="H629" t="b">
        <f t="shared" si="33"/>
        <v>0</v>
      </c>
      <c r="I629" s="29">
        <f t="shared" si="34"/>
        <v>40515</v>
      </c>
    </row>
    <row r="630" spans="1:9" ht="25.5" x14ac:dyDescent="0.2">
      <c r="A630" s="28">
        <v>40515</v>
      </c>
      <c r="B630" s="26" t="s">
        <v>3452</v>
      </c>
      <c r="C630" s="26" t="s">
        <v>9</v>
      </c>
      <c r="D630" s="35" t="s">
        <v>20</v>
      </c>
      <c r="E630" s="35">
        <v>236210</v>
      </c>
      <c r="F630" s="35" t="s">
        <v>20</v>
      </c>
      <c r="G630" t="b">
        <f t="shared" si="32"/>
        <v>0</v>
      </c>
      <c r="H630" t="b">
        <f t="shared" si="33"/>
        <v>0</v>
      </c>
      <c r="I630" s="29">
        <f t="shared" si="34"/>
        <v>40515</v>
      </c>
    </row>
    <row r="631" spans="1:9" ht="38.25" x14ac:dyDescent="0.2">
      <c r="A631" s="28">
        <v>40515</v>
      </c>
      <c r="B631" s="26" t="s">
        <v>2781</v>
      </c>
      <c r="C631" s="26" t="s">
        <v>9</v>
      </c>
      <c r="D631" s="35" t="s">
        <v>20</v>
      </c>
      <c r="E631" s="35">
        <v>23886</v>
      </c>
      <c r="F631" s="35" t="s">
        <v>20</v>
      </c>
      <c r="G631" t="b">
        <f t="shared" si="32"/>
        <v>0</v>
      </c>
      <c r="H631" t="b">
        <f t="shared" si="33"/>
        <v>0</v>
      </c>
      <c r="I631" s="29">
        <f t="shared" si="34"/>
        <v>40515</v>
      </c>
    </row>
    <row r="632" spans="1:9" ht="12.75" customHeight="1" x14ac:dyDescent="0.2">
      <c r="A632" s="28">
        <v>40515</v>
      </c>
      <c r="B632" s="26" t="s">
        <v>2666</v>
      </c>
      <c r="C632" s="26" t="s">
        <v>746</v>
      </c>
      <c r="D632" s="35" t="s">
        <v>20</v>
      </c>
      <c r="E632" s="35">
        <v>523212</v>
      </c>
      <c r="F632" s="35" t="s">
        <v>20</v>
      </c>
      <c r="G632" t="b">
        <f t="shared" si="32"/>
        <v>0</v>
      </c>
      <c r="H632" t="b">
        <f t="shared" si="33"/>
        <v>0</v>
      </c>
      <c r="I632" s="29">
        <f t="shared" si="34"/>
        <v>40515</v>
      </c>
    </row>
    <row r="633" spans="1:9" ht="12.75" customHeight="1" x14ac:dyDescent="0.2">
      <c r="A633" s="28">
        <v>40515</v>
      </c>
      <c r="B633" s="26" t="s">
        <v>2037</v>
      </c>
      <c r="C633" s="26" t="s">
        <v>9</v>
      </c>
      <c r="D633" s="35" t="s">
        <v>20</v>
      </c>
      <c r="E633" s="35">
        <v>30600</v>
      </c>
      <c r="F633" s="35" t="s">
        <v>20</v>
      </c>
      <c r="G633" t="b">
        <f t="shared" si="32"/>
        <v>0</v>
      </c>
      <c r="H633" t="b">
        <f t="shared" si="33"/>
        <v>0</v>
      </c>
      <c r="I633" s="29">
        <f t="shared" si="34"/>
        <v>40515</v>
      </c>
    </row>
    <row r="634" spans="1:9" ht="12.75" customHeight="1" x14ac:dyDescent="0.2">
      <c r="A634" s="28">
        <v>40515</v>
      </c>
      <c r="B634" s="26" t="s">
        <v>640</v>
      </c>
      <c r="C634" s="26" t="s">
        <v>9</v>
      </c>
      <c r="D634" s="35" t="s">
        <v>20</v>
      </c>
      <c r="E634" s="35">
        <v>72792</v>
      </c>
      <c r="F634" s="35" t="s">
        <v>20</v>
      </c>
      <c r="G634" t="b">
        <f t="shared" si="32"/>
        <v>0</v>
      </c>
      <c r="H634" t="b">
        <f t="shared" si="33"/>
        <v>0</v>
      </c>
      <c r="I634" s="29">
        <f t="shared" si="34"/>
        <v>40515</v>
      </c>
    </row>
    <row r="635" spans="1:9" ht="25.5" x14ac:dyDescent="0.2">
      <c r="A635" s="28">
        <v>40515</v>
      </c>
      <c r="B635" s="26" t="s">
        <v>1482</v>
      </c>
      <c r="C635" s="26" t="s">
        <v>1565</v>
      </c>
      <c r="D635" s="35">
        <v>13000000</v>
      </c>
      <c r="E635" s="35">
        <v>1916647</v>
      </c>
      <c r="F635" s="35">
        <v>15023873</v>
      </c>
      <c r="G635" t="b">
        <f t="shared" si="32"/>
        <v>0</v>
      </c>
      <c r="H635" t="b">
        <f t="shared" si="33"/>
        <v>0</v>
      </c>
      <c r="I635" s="29">
        <f t="shared" si="34"/>
        <v>40515</v>
      </c>
    </row>
    <row r="636" spans="1:9" ht="25.5" x14ac:dyDescent="0.2">
      <c r="A636" s="28">
        <v>40522</v>
      </c>
      <c r="B636" s="26" t="s">
        <v>407</v>
      </c>
      <c r="C636" s="26" t="s">
        <v>9</v>
      </c>
      <c r="D636" s="35" t="s">
        <v>20</v>
      </c>
      <c r="E636" s="35">
        <v>21073</v>
      </c>
      <c r="F636" s="35" t="s">
        <v>20</v>
      </c>
      <c r="G636" t="b">
        <f t="shared" si="32"/>
        <v>0</v>
      </c>
      <c r="H636" t="b">
        <f t="shared" si="33"/>
        <v>0</v>
      </c>
      <c r="I636" s="29">
        <f t="shared" si="34"/>
        <v>40522</v>
      </c>
    </row>
    <row r="637" spans="1:9" ht="25.5" x14ac:dyDescent="0.2">
      <c r="A637" s="28">
        <v>40522</v>
      </c>
      <c r="B637" s="26" t="s">
        <v>3473</v>
      </c>
      <c r="C637" s="26" t="s">
        <v>9</v>
      </c>
      <c r="D637" s="35" t="s">
        <v>20</v>
      </c>
      <c r="E637" s="35">
        <v>2240</v>
      </c>
      <c r="F637" s="35" t="s">
        <v>20</v>
      </c>
      <c r="G637" t="b">
        <f t="shared" si="32"/>
        <v>0</v>
      </c>
      <c r="H637" t="b">
        <f t="shared" si="33"/>
        <v>0</v>
      </c>
      <c r="I637" s="29">
        <f t="shared" si="34"/>
        <v>40522</v>
      </c>
    </row>
    <row r="638" spans="1:9" ht="25.5" x14ac:dyDescent="0.2">
      <c r="A638" s="28">
        <v>40522</v>
      </c>
      <c r="B638" s="26" t="s">
        <v>142</v>
      </c>
      <c r="C638" s="26" t="s">
        <v>2168</v>
      </c>
      <c r="D638" s="35" t="s">
        <v>20</v>
      </c>
      <c r="E638" s="35">
        <v>82938946</v>
      </c>
      <c r="F638" s="35">
        <v>86238946</v>
      </c>
      <c r="G638" t="b">
        <f t="shared" si="32"/>
        <v>0</v>
      </c>
      <c r="H638" t="b">
        <f t="shared" si="33"/>
        <v>0</v>
      </c>
      <c r="I638" s="29">
        <f t="shared" si="34"/>
        <v>40522</v>
      </c>
    </row>
    <row r="639" spans="1:9" ht="25.5" x14ac:dyDescent="0.2">
      <c r="A639" s="28">
        <v>40522</v>
      </c>
      <c r="B639" s="26" t="s">
        <v>560</v>
      </c>
      <c r="C639" s="26" t="s">
        <v>9</v>
      </c>
      <c r="D639" s="35" t="s">
        <v>20</v>
      </c>
      <c r="E639" s="35">
        <v>22083</v>
      </c>
      <c r="F639" s="35" t="s">
        <v>20</v>
      </c>
      <c r="G639" t="b">
        <f t="shared" si="32"/>
        <v>0</v>
      </c>
      <c r="H639" t="b">
        <f t="shared" si="33"/>
        <v>0</v>
      </c>
      <c r="I639" s="29">
        <f t="shared" si="34"/>
        <v>40522</v>
      </c>
    </row>
    <row r="640" spans="1:9" ht="12.75" customHeight="1" x14ac:dyDescent="0.2">
      <c r="A640" s="28">
        <v>40522</v>
      </c>
      <c r="B640" s="26" t="s">
        <v>425</v>
      </c>
      <c r="C640" s="26" t="s">
        <v>9</v>
      </c>
      <c r="D640" s="35" t="s">
        <v>20</v>
      </c>
      <c r="E640" s="35">
        <v>273712</v>
      </c>
      <c r="F640" s="35" t="s">
        <v>20</v>
      </c>
      <c r="G640" t="b">
        <f t="shared" si="32"/>
        <v>0</v>
      </c>
      <c r="H640" t="b">
        <f t="shared" si="33"/>
        <v>0</v>
      </c>
      <c r="I640" s="29">
        <f t="shared" si="34"/>
        <v>40522</v>
      </c>
    </row>
    <row r="641" spans="1:9" ht="51" x14ac:dyDescent="0.2">
      <c r="A641" s="28">
        <v>40522</v>
      </c>
      <c r="B641" s="26" t="s">
        <v>722</v>
      </c>
      <c r="C641" s="26" t="s">
        <v>384</v>
      </c>
      <c r="D641" s="35" t="s">
        <v>20</v>
      </c>
      <c r="E641" s="35">
        <v>102628146</v>
      </c>
      <c r="F641" s="35">
        <v>376628146</v>
      </c>
      <c r="G641" t="b">
        <f t="shared" si="32"/>
        <v>0</v>
      </c>
      <c r="H641" t="b">
        <f t="shared" si="33"/>
        <v>0</v>
      </c>
      <c r="I641" s="29">
        <f t="shared" si="34"/>
        <v>40522</v>
      </c>
    </row>
    <row r="642" spans="1:9" ht="12.75" customHeight="1" x14ac:dyDescent="0.2">
      <c r="A642" s="28">
        <v>40522</v>
      </c>
      <c r="B642" s="26" t="s">
        <v>3460</v>
      </c>
      <c r="C642" s="26" t="s">
        <v>9</v>
      </c>
      <c r="D642" s="35" t="s">
        <v>20</v>
      </c>
      <c r="E642" s="35">
        <v>10671</v>
      </c>
      <c r="F642" s="35" t="s">
        <v>20</v>
      </c>
      <c r="G642" t="b">
        <f t="shared" si="32"/>
        <v>0</v>
      </c>
      <c r="H642" t="b">
        <f t="shared" si="33"/>
        <v>0</v>
      </c>
      <c r="I642" s="29">
        <f t="shared" si="34"/>
        <v>40522</v>
      </c>
    </row>
    <row r="643" spans="1:9" ht="12.75" customHeight="1" x14ac:dyDescent="0.2">
      <c r="A643" s="28">
        <v>40522</v>
      </c>
      <c r="B643" s="26" t="s">
        <v>1455</v>
      </c>
      <c r="C643" s="26" t="s">
        <v>9</v>
      </c>
      <c r="D643" s="35" t="s">
        <v>20</v>
      </c>
      <c r="E643" s="35">
        <v>15642</v>
      </c>
      <c r="F643" s="35" t="s">
        <v>20</v>
      </c>
      <c r="G643" t="b">
        <f t="shared" si="32"/>
        <v>0</v>
      </c>
      <c r="H643" t="b">
        <f t="shared" si="33"/>
        <v>0</v>
      </c>
      <c r="I643" s="29">
        <f t="shared" si="34"/>
        <v>40522</v>
      </c>
    </row>
    <row r="644" spans="1:9" ht="12.75" customHeight="1" x14ac:dyDescent="0.2">
      <c r="A644" s="28">
        <v>40522</v>
      </c>
      <c r="B644" s="26" t="s">
        <v>2060</v>
      </c>
      <c r="C644" s="26" t="s">
        <v>9</v>
      </c>
      <c r="D644" s="35" t="s">
        <v>20</v>
      </c>
      <c r="E644" s="35">
        <v>66848673</v>
      </c>
      <c r="F644" s="35">
        <v>224348673</v>
      </c>
      <c r="G644" t="b">
        <f t="shared" si="32"/>
        <v>0</v>
      </c>
      <c r="H644" t="b">
        <f t="shared" si="33"/>
        <v>0</v>
      </c>
      <c r="I644" s="29">
        <f t="shared" si="34"/>
        <v>40522</v>
      </c>
    </row>
    <row r="645" spans="1:9" ht="25.5" x14ac:dyDescent="0.2">
      <c r="A645" s="28">
        <v>40529</v>
      </c>
      <c r="B645" s="26" t="s">
        <v>1469</v>
      </c>
      <c r="C645" s="26" t="s">
        <v>9</v>
      </c>
      <c r="D645" s="35">
        <v>120000000</v>
      </c>
      <c r="E645" s="35">
        <v>30212620</v>
      </c>
      <c r="F645" s="35">
        <v>37112620</v>
      </c>
      <c r="G645" t="b">
        <f t="shared" si="32"/>
        <v>0</v>
      </c>
      <c r="H645" t="b">
        <f t="shared" si="33"/>
        <v>0</v>
      </c>
      <c r="I645" s="29">
        <f t="shared" si="34"/>
        <v>40529</v>
      </c>
    </row>
    <row r="646" spans="1:9" ht="12.75" customHeight="1" x14ac:dyDescent="0.2">
      <c r="A646" s="28">
        <v>40529</v>
      </c>
      <c r="B646" s="26" t="s">
        <v>2593</v>
      </c>
      <c r="C646" s="26" t="s">
        <v>9</v>
      </c>
      <c r="D646" s="35" t="s">
        <v>20</v>
      </c>
      <c r="E646" s="35">
        <v>1754311</v>
      </c>
      <c r="F646" s="35" t="s">
        <v>20</v>
      </c>
      <c r="G646" t="b">
        <f t="shared" si="32"/>
        <v>0</v>
      </c>
      <c r="H646" t="b">
        <f t="shared" si="33"/>
        <v>0</v>
      </c>
      <c r="I646" s="29">
        <f t="shared" si="34"/>
        <v>40529</v>
      </c>
    </row>
    <row r="647" spans="1:9" ht="12.75" customHeight="1" x14ac:dyDescent="0.2">
      <c r="A647" s="28">
        <v>40529</v>
      </c>
      <c r="B647" s="26" t="s">
        <v>164</v>
      </c>
      <c r="C647" s="26" t="s">
        <v>3209</v>
      </c>
      <c r="D647" s="35" t="s">
        <v>20</v>
      </c>
      <c r="E647" s="35">
        <v>95607032</v>
      </c>
      <c r="F647" s="35">
        <v>129207032</v>
      </c>
      <c r="G647" t="b">
        <f t="shared" si="32"/>
        <v>0</v>
      </c>
      <c r="H647" t="b">
        <f t="shared" si="33"/>
        <v>0</v>
      </c>
      <c r="I647" s="29">
        <f t="shared" si="34"/>
        <v>40529</v>
      </c>
    </row>
    <row r="648" spans="1:9" ht="12.75" customHeight="1" x14ac:dyDescent="0.2">
      <c r="A648" s="28">
        <v>40529</v>
      </c>
      <c r="B648" s="26" t="s">
        <v>3062</v>
      </c>
      <c r="C648" s="26" t="s">
        <v>9</v>
      </c>
      <c r="D648" s="35" t="s">
        <v>20</v>
      </c>
      <c r="E648" s="35">
        <v>894540</v>
      </c>
      <c r="F648" s="35" t="s">
        <v>20</v>
      </c>
      <c r="G648" t="b">
        <f t="shared" si="32"/>
        <v>0</v>
      </c>
      <c r="H648" t="b">
        <f t="shared" si="33"/>
        <v>0</v>
      </c>
      <c r="I648" s="29">
        <f t="shared" si="34"/>
        <v>40529</v>
      </c>
    </row>
    <row r="649" spans="1:9" ht="12.75" customHeight="1" x14ac:dyDescent="0.2">
      <c r="A649" s="28">
        <v>40529</v>
      </c>
      <c r="B649" s="26" t="s">
        <v>2287</v>
      </c>
      <c r="C649" s="26" t="s">
        <v>3390</v>
      </c>
      <c r="D649" s="35">
        <v>200000000</v>
      </c>
      <c r="E649" s="35">
        <v>168758238</v>
      </c>
      <c r="F649" s="35">
        <v>372458238</v>
      </c>
      <c r="G649" t="b">
        <f t="shared" si="32"/>
        <v>0</v>
      </c>
      <c r="H649" t="b">
        <f t="shared" si="33"/>
        <v>0</v>
      </c>
      <c r="I649" s="29">
        <f t="shared" si="34"/>
        <v>40529</v>
      </c>
    </row>
    <row r="650" spans="1:9" ht="12.75" customHeight="1" x14ac:dyDescent="0.2">
      <c r="A650" s="28">
        <v>40533</v>
      </c>
      <c r="B650" s="26" t="s">
        <v>1775</v>
      </c>
      <c r="C650" s="26" t="s">
        <v>9</v>
      </c>
      <c r="D650" s="35" t="s">
        <v>20</v>
      </c>
      <c r="E650" s="35" t="s">
        <v>20</v>
      </c>
      <c r="F650" s="35" t="s">
        <v>20</v>
      </c>
      <c r="G650" t="b">
        <f t="shared" si="32"/>
        <v>0</v>
      </c>
      <c r="H650" t="b">
        <f t="shared" si="33"/>
        <v>0</v>
      </c>
      <c r="I650" s="29">
        <f t="shared" si="34"/>
        <v>40533</v>
      </c>
    </row>
    <row r="651" spans="1:9" ht="25.5" x14ac:dyDescent="0.2">
      <c r="A651" s="28">
        <v>40533</v>
      </c>
      <c r="B651" s="26" t="s">
        <v>1979</v>
      </c>
      <c r="C651" s="26" t="s">
        <v>9</v>
      </c>
      <c r="D651" s="35" t="s">
        <v>20</v>
      </c>
      <c r="E651" s="35" t="s">
        <v>20</v>
      </c>
      <c r="F651" s="35" t="s">
        <v>20</v>
      </c>
      <c r="G651" t="b">
        <f t="shared" si="32"/>
        <v>0</v>
      </c>
      <c r="H651" t="b">
        <f t="shared" si="33"/>
        <v>0</v>
      </c>
      <c r="I651" s="29">
        <f t="shared" si="34"/>
        <v>40533</v>
      </c>
    </row>
    <row r="652" spans="1:9" ht="12.75" customHeight="1" x14ac:dyDescent="0.2">
      <c r="A652" s="28">
        <v>40533</v>
      </c>
      <c r="B652" s="26" t="s">
        <v>2454</v>
      </c>
      <c r="C652" s="26" t="s">
        <v>9</v>
      </c>
      <c r="D652" s="35" t="s">
        <v>20</v>
      </c>
      <c r="E652" s="35" t="s">
        <v>20</v>
      </c>
      <c r="F652" s="35" t="s">
        <v>20</v>
      </c>
      <c r="G652" t="b">
        <f t="shared" si="32"/>
        <v>0</v>
      </c>
      <c r="H652" t="b">
        <f t="shared" si="33"/>
        <v>0</v>
      </c>
      <c r="I652" s="29">
        <f t="shared" si="34"/>
        <v>40533</v>
      </c>
    </row>
    <row r="653" spans="1:9" ht="12.75" customHeight="1" x14ac:dyDescent="0.2">
      <c r="A653" s="28">
        <v>40534</v>
      </c>
      <c r="B653" s="26" t="s">
        <v>1884</v>
      </c>
      <c r="C653" s="26" t="s">
        <v>9</v>
      </c>
      <c r="D653" s="35">
        <v>15000000</v>
      </c>
      <c r="E653" s="35">
        <v>19927053</v>
      </c>
      <c r="F653" s="35" t="s">
        <v>20</v>
      </c>
      <c r="G653" t="b">
        <f t="shared" si="32"/>
        <v>0</v>
      </c>
      <c r="H653" t="b">
        <f t="shared" si="33"/>
        <v>0</v>
      </c>
      <c r="I653" s="29">
        <f t="shared" si="34"/>
        <v>40534</v>
      </c>
    </row>
    <row r="654" spans="1:9" ht="12.75" customHeight="1" x14ac:dyDescent="0.2">
      <c r="A654" s="28">
        <v>40534</v>
      </c>
      <c r="B654" s="26" t="s">
        <v>2585</v>
      </c>
      <c r="C654" s="26" t="s">
        <v>9</v>
      </c>
      <c r="D654" s="35" t="s">
        <v>20</v>
      </c>
      <c r="E654" s="35">
        <v>13050</v>
      </c>
      <c r="F654" s="35" t="s">
        <v>20</v>
      </c>
      <c r="G654" t="b">
        <f t="shared" si="32"/>
        <v>0</v>
      </c>
      <c r="H654" t="b">
        <f t="shared" si="33"/>
        <v>0</v>
      </c>
      <c r="I654" s="29">
        <f t="shared" si="34"/>
        <v>40534</v>
      </c>
    </row>
    <row r="655" spans="1:9" ht="12.75" customHeight="1" x14ac:dyDescent="0.2">
      <c r="A655" s="28">
        <v>40534</v>
      </c>
      <c r="B655" s="26" t="s">
        <v>1444</v>
      </c>
      <c r="C655" s="26" t="s">
        <v>3096</v>
      </c>
      <c r="D655" s="35">
        <v>100000000</v>
      </c>
      <c r="E655" s="35">
        <v>146718345</v>
      </c>
      <c r="F655" s="35">
        <v>303718345</v>
      </c>
      <c r="G655" t="b">
        <f t="shared" si="32"/>
        <v>0</v>
      </c>
      <c r="H655" t="b">
        <f t="shared" si="33"/>
        <v>0</v>
      </c>
      <c r="I655" s="29">
        <f t="shared" si="34"/>
        <v>40534</v>
      </c>
    </row>
    <row r="656" spans="1:9" ht="12.75" customHeight="1" x14ac:dyDescent="0.2">
      <c r="A656" s="28">
        <v>40534</v>
      </c>
      <c r="B656" s="26" t="s">
        <v>2024</v>
      </c>
      <c r="C656" s="26" t="s">
        <v>9</v>
      </c>
      <c r="D656" s="35">
        <v>7000000</v>
      </c>
      <c r="E656" s="35">
        <v>1617932</v>
      </c>
      <c r="F656" s="35">
        <v>3485819</v>
      </c>
      <c r="G656" t="b">
        <f t="shared" si="32"/>
        <v>0</v>
      </c>
      <c r="H656" t="b">
        <f t="shared" si="33"/>
        <v>0</v>
      </c>
      <c r="I656" s="29">
        <f t="shared" si="34"/>
        <v>40534</v>
      </c>
    </row>
    <row r="657" spans="1:9" ht="12.75" customHeight="1" x14ac:dyDescent="0.2">
      <c r="A657" s="28">
        <v>40534</v>
      </c>
      <c r="B657" s="26" t="s">
        <v>247</v>
      </c>
      <c r="C657" s="26" t="s">
        <v>9</v>
      </c>
      <c r="D657" s="35" t="s">
        <v>20</v>
      </c>
      <c r="E657" s="35">
        <v>1076266</v>
      </c>
      <c r="F657" s="35">
        <v>24785571</v>
      </c>
      <c r="G657" t="b">
        <f t="shared" si="32"/>
        <v>0</v>
      </c>
      <c r="H657" t="b">
        <f t="shared" si="33"/>
        <v>0</v>
      </c>
      <c r="I657" s="29">
        <f t="shared" si="34"/>
        <v>40534</v>
      </c>
    </row>
    <row r="658" spans="1:9" ht="12.75" customHeight="1" x14ac:dyDescent="0.2">
      <c r="A658" s="28">
        <v>40534</v>
      </c>
      <c r="B658" s="26" t="s">
        <v>180</v>
      </c>
      <c r="C658" s="26" t="s">
        <v>384</v>
      </c>
      <c r="D658" s="35">
        <v>112000000</v>
      </c>
      <c r="E658" s="35">
        <v>41653834</v>
      </c>
      <c r="F658" s="35">
        <v>181653834</v>
      </c>
      <c r="G658" t="b">
        <f t="shared" si="32"/>
        <v>0</v>
      </c>
      <c r="H658" t="b">
        <f t="shared" si="33"/>
        <v>0</v>
      </c>
      <c r="I658" s="29">
        <f t="shared" si="34"/>
        <v>40534</v>
      </c>
    </row>
    <row r="659" spans="1:9" ht="12.75" customHeight="1" x14ac:dyDescent="0.2">
      <c r="A659" s="28">
        <v>40534</v>
      </c>
      <c r="B659" s="26" t="s">
        <v>1844</v>
      </c>
      <c r="C659" s="26" t="s">
        <v>9</v>
      </c>
      <c r="D659" s="35">
        <v>35000000</v>
      </c>
      <c r="E659" s="35">
        <v>155740501</v>
      </c>
      <c r="F659" s="35">
        <v>160940501</v>
      </c>
      <c r="G659" t="b">
        <f t="shared" ref="G659:G722" si="35">ISBLANK(A659)</f>
        <v>0</v>
      </c>
      <c r="H659" t="b">
        <f t="shared" ref="H659:H722" si="36">ISTEXT(A659)</f>
        <v>0</v>
      </c>
      <c r="I659" s="29">
        <f t="shared" ref="I659:I722" si="37">DATE(2010,MONTH(A659), DAY(A659))</f>
        <v>40534</v>
      </c>
    </row>
    <row r="660" spans="1:9" ht="12.75" customHeight="1" x14ac:dyDescent="0.2">
      <c r="A660" s="28">
        <v>40536</v>
      </c>
      <c r="B660" s="26" t="s">
        <v>1340</v>
      </c>
      <c r="C660" s="26" t="s">
        <v>9</v>
      </c>
      <c r="D660" s="35" t="s">
        <v>20</v>
      </c>
      <c r="E660" s="35">
        <v>4603</v>
      </c>
      <c r="F660" s="35" t="s">
        <v>20</v>
      </c>
      <c r="G660" t="b">
        <f t="shared" si="35"/>
        <v>0</v>
      </c>
      <c r="H660" t="b">
        <f t="shared" si="36"/>
        <v>0</v>
      </c>
      <c r="I660" s="29">
        <f t="shared" si="37"/>
        <v>40536</v>
      </c>
    </row>
    <row r="661" spans="1:9" ht="12.75" customHeight="1" x14ac:dyDescent="0.2">
      <c r="A661" s="28">
        <v>40536</v>
      </c>
      <c r="B661" s="26" t="s">
        <v>787</v>
      </c>
      <c r="C661" s="26" t="s">
        <v>9</v>
      </c>
      <c r="D661" s="35" t="s">
        <v>20</v>
      </c>
      <c r="E661" s="35">
        <v>78182</v>
      </c>
      <c r="F661" s="35" t="s">
        <v>20</v>
      </c>
      <c r="G661" t="b">
        <f t="shared" si="35"/>
        <v>0</v>
      </c>
      <c r="H661" t="b">
        <f t="shared" si="36"/>
        <v>0</v>
      </c>
      <c r="I661" s="29">
        <f t="shared" si="37"/>
        <v>40536</v>
      </c>
    </row>
    <row r="662" spans="1:9" ht="12.75" customHeight="1" x14ac:dyDescent="0.2">
      <c r="A662" s="28">
        <v>40537</v>
      </c>
      <c r="B662" s="26" t="s">
        <v>38</v>
      </c>
      <c r="C662" s="26" t="s">
        <v>612</v>
      </c>
      <c r="D662" s="35">
        <v>17000000</v>
      </c>
      <c r="E662" s="35">
        <v>766312</v>
      </c>
      <c r="F662" s="35">
        <v>1481834</v>
      </c>
      <c r="G662" t="b">
        <f t="shared" si="35"/>
        <v>0</v>
      </c>
      <c r="H662" t="b">
        <f t="shared" si="36"/>
        <v>0</v>
      </c>
      <c r="I662" s="29">
        <f t="shared" si="37"/>
        <v>40537</v>
      </c>
    </row>
    <row r="663" spans="1:9" ht="12.75" customHeight="1" x14ac:dyDescent="0.2">
      <c r="A663" s="28">
        <v>40540</v>
      </c>
      <c r="B663" s="26" t="s">
        <v>1339</v>
      </c>
      <c r="C663" s="26" t="s">
        <v>9</v>
      </c>
      <c r="D663" s="35" t="s">
        <v>20</v>
      </c>
      <c r="E663" s="35" t="s">
        <v>20</v>
      </c>
      <c r="F663" s="35" t="s">
        <v>20</v>
      </c>
      <c r="G663" t="b">
        <f t="shared" si="35"/>
        <v>0</v>
      </c>
      <c r="H663" t="b">
        <f t="shared" si="36"/>
        <v>0</v>
      </c>
      <c r="I663" s="29">
        <f t="shared" si="37"/>
        <v>40540</v>
      </c>
    </row>
    <row r="664" spans="1:9" ht="12.75" customHeight="1" x14ac:dyDescent="0.2">
      <c r="A664" s="28">
        <v>40540</v>
      </c>
      <c r="B664" s="26" t="s">
        <v>2214</v>
      </c>
      <c r="C664" s="26" t="s">
        <v>9</v>
      </c>
      <c r="D664" s="35" t="s">
        <v>20</v>
      </c>
      <c r="E664" s="35" t="s">
        <v>20</v>
      </c>
      <c r="F664" s="35" t="s">
        <v>20</v>
      </c>
      <c r="G664" t="b">
        <f t="shared" si="35"/>
        <v>0</v>
      </c>
      <c r="H664" t="b">
        <f t="shared" si="36"/>
        <v>0</v>
      </c>
      <c r="I664" s="29">
        <f t="shared" si="37"/>
        <v>40540</v>
      </c>
    </row>
    <row r="665" spans="1:9" ht="12.75" customHeight="1" x14ac:dyDescent="0.2">
      <c r="A665" s="28">
        <v>40541</v>
      </c>
      <c r="B665" s="26" t="s">
        <v>3009</v>
      </c>
      <c r="C665" s="26" t="s">
        <v>612</v>
      </c>
      <c r="D665" s="35" t="s">
        <v>20</v>
      </c>
      <c r="E665" s="35">
        <v>1645606</v>
      </c>
      <c r="F665" s="35" t="s">
        <v>20</v>
      </c>
      <c r="G665" t="b">
        <f t="shared" si="35"/>
        <v>0</v>
      </c>
      <c r="H665" t="b">
        <f t="shared" si="36"/>
        <v>0</v>
      </c>
      <c r="I665" s="29">
        <f t="shared" si="37"/>
        <v>40541</v>
      </c>
    </row>
    <row r="666" spans="1:9" ht="12.75" customHeight="1" x14ac:dyDescent="0.2">
      <c r="A666" s="28">
        <v>40541</v>
      </c>
      <c r="B666" s="26" t="s">
        <v>2478</v>
      </c>
      <c r="C666" s="26" t="s">
        <v>9</v>
      </c>
      <c r="D666" s="35" t="s">
        <v>20</v>
      </c>
      <c r="E666" s="35">
        <v>5050</v>
      </c>
      <c r="F666" s="35" t="s">
        <v>20</v>
      </c>
      <c r="G666" t="b">
        <f t="shared" si="35"/>
        <v>0</v>
      </c>
      <c r="H666" t="b">
        <f t="shared" si="36"/>
        <v>0</v>
      </c>
      <c r="I666" s="29">
        <f t="shared" si="37"/>
        <v>40541</v>
      </c>
    </row>
    <row r="667" spans="1:9" ht="12.75" customHeight="1" x14ac:dyDescent="0.2">
      <c r="A667" s="28">
        <v>40541</v>
      </c>
      <c r="B667" s="26" t="s">
        <v>3433</v>
      </c>
      <c r="C667" s="26" t="s">
        <v>9</v>
      </c>
      <c r="D667" s="35">
        <v>35000000</v>
      </c>
      <c r="E667" s="35">
        <v>1426142</v>
      </c>
      <c r="F667" s="35">
        <v>5775894</v>
      </c>
      <c r="G667" t="b">
        <f t="shared" si="35"/>
        <v>0</v>
      </c>
      <c r="H667" t="b">
        <f t="shared" si="36"/>
        <v>0</v>
      </c>
      <c r="I667" s="29">
        <f t="shared" si="37"/>
        <v>40541</v>
      </c>
    </row>
    <row r="668" spans="1:9" ht="12.75" customHeight="1" x14ac:dyDescent="0.2">
      <c r="A668" s="28">
        <v>40541</v>
      </c>
      <c r="B668" s="26" t="s">
        <v>2032</v>
      </c>
      <c r="C668" s="26" t="s">
        <v>9</v>
      </c>
      <c r="D668" s="35" t="s">
        <v>20</v>
      </c>
      <c r="E668" s="35">
        <v>7297000</v>
      </c>
      <c r="F668" s="35" t="s">
        <v>20</v>
      </c>
      <c r="G668" t="b">
        <f t="shared" si="35"/>
        <v>0</v>
      </c>
      <c r="H668" t="b">
        <f t="shared" si="36"/>
        <v>0</v>
      </c>
      <c r="I668" s="29">
        <f t="shared" si="37"/>
        <v>40541</v>
      </c>
    </row>
    <row r="669" spans="1:9" ht="12.75" customHeight="1" x14ac:dyDescent="0.2">
      <c r="A669" s="28">
        <v>40543</v>
      </c>
      <c r="B669" s="26" t="s">
        <v>671</v>
      </c>
      <c r="C669" s="26" t="s">
        <v>9</v>
      </c>
      <c r="D669" s="35" t="s">
        <v>20</v>
      </c>
      <c r="E669" s="35" t="s">
        <v>20</v>
      </c>
      <c r="F669" s="35" t="s">
        <v>20</v>
      </c>
      <c r="G669" t="b">
        <f t="shared" si="35"/>
        <v>0</v>
      </c>
      <c r="H669" t="b">
        <f t="shared" si="36"/>
        <v>0</v>
      </c>
      <c r="I669" s="29">
        <f t="shared" si="37"/>
        <v>40543</v>
      </c>
    </row>
    <row r="670" spans="1:9" ht="25.5" x14ac:dyDescent="0.2">
      <c r="A670" s="28">
        <v>40543</v>
      </c>
      <c r="B670" s="26" t="s">
        <v>2262</v>
      </c>
      <c r="C670" s="26" t="s">
        <v>9</v>
      </c>
      <c r="D670" s="35" t="s">
        <v>20</v>
      </c>
      <c r="E670" s="35" t="s">
        <v>20</v>
      </c>
      <c r="F670" s="35" t="s">
        <v>20</v>
      </c>
      <c r="G670" t="b">
        <f t="shared" si="35"/>
        <v>0</v>
      </c>
      <c r="H670" t="b">
        <f t="shared" si="36"/>
        <v>0</v>
      </c>
      <c r="I670" s="29">
        <f t="shared" si="37"/>
        <v>40543</v>
      </c>
    </row>
    <row r="671" spans="1:9" ht="38.25" x14ac:dyDescent="0.2">
      <c r="A671" s="28">
        <v>40543</v>
      </c>
      <c r="B671" s="26" t="s">
        <v>3283</v>
      </c>
      <c r="C671" s="26" t="s">
        <v>9</v>
      </c>
      <c r="D671" s="35" t="s">
        <v>20</v>
      </c>
      <c r="E671" s="35" t="s">
        <v>20</v>
      </c>
      <c r="F671" s="35" t="s">
        <v>20</v>
      </c>
      <c r="G671" t="b">
        <f t="shared" si="35"/>
        <v>0</v>
      </c>
      <c r="H671" t="b">
        <f t="shared" si="36"/>
        <v>0</v>
      </c>
      <c r="I671" s="29">
        <f t="shared" si="37"/>
        <v>40543</v>
      </c>
    </row>
    <row r="672" spans="1:9" ht="12.75" customHeight="1" x14ac:dyDescent="0.2">
      <c r="A672" s="28">
        <v>40543</v>
      </c>
      <c r="B672" s="26" t="s">
        <v>1422</v>
      </c>
      <c r="C672" s="26" t="s">
        <v>3390</v>
      </c>
      <c r="D672" s="35" t="s">
        <v>20</v>
      </c>
      <c r="E672" s="35" t="s">
        <v>20</v>
      </c>
      <c r="F672" s="35" t="s">
        <v>20</v>
      </c>
      <c r="G672" t="b">
        <f t="shared" si="35"/>
        <v>0</v>
      </c>
      <c r="H672" t="b">
        <f t="shared" si="36"/>
        <v>0</v>
      </c>
      <c r="I672" s="29">
        <f t="shared" si="37"/>
        <v>40543</v>
      </c>
    </row>
    <row r="673" spans="1:9" ht="12.75" customHeight="1" x14ac:dyDescent="0.2">
      <c r="A673" s="28">
        <v>40543</v>
      </c>
      <c r="B673" s="26" t="s">
        <v>2738</v>
      </c>
      <c r="C673" s="26" t="s">
        <v>9</v>
      </c>
      <c r="D673" s="35" t="s">
        <v>20</v>
      </c>
      <c r="E673" s="35" t="s">
        <v>20</v>
      </c>
      <c r="F673" s="35" t="s">
        <v>20</v>
      </c>
      <c r="G673" t="b">
        <f t="shared" si="35"/>
        <v>0</v>
      </c>
      <c r="H673" t="b">
        <f t="shared" si="36"/>
        <v>0</v>
      </c>
      <c r="I673" s="29">
        <f t="shared" si="37"/>
        <v>40543</v>
      </c>
    </row>
    <row r="674" spans="1:9" ht="25.5" x14ac:dyDescent="0.2">
      <c r="A674" s="28">
        <v>40543</v>
      </c>
      <c r="B674" s="26" t="s">
        <v>1670</v>
      </c>
      <c r="C674" s="26" t="s">
        <v>9</v>
      </c>
      <c r="D674" s="35" t="s">
        <v>20</v>
      </c>
      <c r="E674" s="35" t="s">
        <v>20</v>
      </c>
      <c r="F674" s="35" t="s">
        <v>20</v>
      </c>
      <c r="G674" t="b">
        <f t="shared" si="35"/>
        <v>0</v>
      </c>
      <c r="H674" t="b">
        <f t="shared" si="36"/>
        <v>0</v>
      </c>
      <c r="I674" s="29">
        <f t="shared" si="37"/>
        <v>40543</v>
      </c>
    </row>
    <row r="675" spans="1:9" x14ac:dyDescent="0.2">
      <c r="A675" s="28">
        <v>40543</v>
      </c>
      <c r="B675" s="26" t="s">
        <v>810</v>
      </c>
      <c r="C675" s="26" t="s">
        <v>9</v>
      </c>
      <c r="D675" s="35" t="s">
        <v>20</v>
      </c>
      <c r="E675" s="35" t="s">
        <v>20</v>
      </c>
      <c r="F675" s="35" t="s">
        <v>20</v>
      </c>
      <c r="G675" t="b">
        <f t="shared" si="35"/>
        <v>0</v>
      </c>
      <c r="H675" t="b">
        <f t="shared" si="36"/>
        <v>0</v>
      </c>
      <c r="I675" s="29">
        <f t="shared" si="37"/>
        <v>40543</v>
      </c>
    </row>
    <row r="676" spans="1:9" ht="12.75" customHeight="1" x14ac:dyDescent="0.2">
      <c r="A676" s="28">
        <v>40543</v>
      </c>
      <c r="B676" s="26" t="s">
        <v>3219</v>
      </c>
      <c r="C676" s="26" t="s">
        <v>2160</v>
      </c>
      <c r="D676" s="35" t="s">
        <v>20</v>
      </c>
      <c r="E676" s="35" t="s">
        <v>20</v>
      </c>
      <c r="F676" s="35" t="s">
        <v>20</v>
      </c>
      <c r="G676" t="b">
        <f t="shared" si="35"/>
        <v>0</v>
      </c>
      <c r="H676" t="b">
        <f t="shared" si="36"/>
        <v>0</v>
      </c>
      <c r="I676" s="29">
        <f t="shared" si="37"/>
        <v>40543</v>
      </c>
    </row>
    <row r="677" spans="1:9" ht="12.75" customHeight="1" x14ac:dyDescent="0.2">
      <c r="A677" s="28">
        <v>40543</v>
      </c>
      <c r="B677" s="26" t="s">
        <v>2569</v>
      </c>
      <c r="C677" s="26" t="s">
        <v>3390</v>
      </c>
      <c r="D677" s="35" t="s">
        <v>20</v>
      </c>
      <c r="E677" s="35" t="s">
        <v>20</v>
      </c>
      <c r="F677" s="35" t="s">
        <v>20</v>
      </c>
      <c r="G677" t="b">
        <f t="shared" si="35"/>
        <v>0</v>
      </c>
      <c r="H677" t="b">
        <f t="shared" si="36"/>
        <v>0</v>
      </c>
      <c r="I677" s="29">
        <f t="shared" si="37"/>
        <v>40543</v>
      </c>
    </row>
    <row r="678" spans="1:9" ht="12.75" customHeight="1" x14ac:dyDescent="0.2">
      <c r="A678" s="28">
        <v>40543</v>
      </c>
      <c r="B678" s="26" t="s">
        <v>1163</v>
      </c>
      <c r="C678" s="26" t="s">
        <v>9</v>
      </c>
      <c r="D678" s="35" t="s">
        <v>20</v>
      </c>
      <c r="E678" s="35" t="s">
        <v>20</v>
      </c>
      <c r="F678" s="35" t="s">
        <v>20</v>
      </c>
      <c r="G678" t="b">
        <f t="shared" si="35"/>
        <v>0</v>
      </c>
      <c r="H678" t="b">
        <f t="shared" si="36"/>
        <v>0</v>
      </c>
      <c r="I678" s="29">
        <f t="shared" si="37"/>
        <v>40543</v>
      </c>
    </row>
    <row r="679" spans="1:9" ht="12.75" customHeight="1" x14ac:dyDescent="0.2">
      <c r="A679" s="28">
        <v>40543</v>
      </c>
      <c r="B679" s="26" t="s">
        <v>3145</v>
      </c>
      <c r="C679" s="26" t="s">
        <v>2779</v>
      </c>
      <c r="D679" s="35" t="s">
        <v>20</v>
      </c>
      <c r="E679" s="35" t="s">
        <v>20</v>
      </c>
      <c r="F679" s="35" t="s">
        <v>20</v>
      </c>
      <c r="G679" t="b">
        <f t="shared" si="35"/>
        <v>0</v>
      </c>
      <c r="H679" t="b">
        <f t="shared" si="36"/>
        <v>0</v>
      </c>
      <c r="I679" s="29">
        <f t="shared" si="37"/>
        <v>40543</v>
      </c>
    </row>
    <row r="680" spans="1:9" ht="12.75" customHeight="1" x14ac:dyDescent="0.2">
      <c r="A680" s="28">
        <v>40543</v>
      </c>
      <c r="B680" s="26" t="s">
        <v>3299</v>
      </c>
      <c r="C680" s="26" t="s">
        <v>9</v>
      </c>
      <c r="D680" s="35" t="s">
        <v>20</v>
      </c>
      <c r="E680" s="35" t="s">
        <v>20</v>
      </c>
      <c r="F680" s="35" t="s">
        <v>20</v>
      </c>
      <c r="G680" t="b">
        <f t="shared" si="35"/>
        <v>0</v>
      </c>
      <c r="H680" t="b">
        <f t="shared" si="36"/>
        <v>0</v>
      </c>
      <c r="I680" s="29">
        <f t="shared" si="37"/>
        <v>40543</v>
      </c>
    </row>
    <row r="681" spans="1:9" ht="12.75" customHeight="1" x14ac:dyDescent="0.2">
      <c r="A681" s="28">
        <v>40543</v>
      </c>
      <c r="B681" s="26" t="s">
        <v>836</v>
      </c>
      <c r="C681" s="26" t="s">
        <v>9</v>
      </c>
      <c r="D681" s="35" t="s">
        <v>20</v>
      </c>
      <c r="E681" s="35" t="s">
        <v>20</v>
      </c>
      <c r="F681" s="35" t="s">
        <v>20</v>
      </c>
      <c r="G681" t="b">
        <f t="shared" si="35"/>
        <v>0</v>
      </c>
      <c r="H681" t="b">
        <f t="shared" si="36"/>
        <v>0</v>
      </c>
      <c r="I681" s="29">
        <f t="shared" si="37"/>
        <v>40543</v>
      </c>
    </row>
    <row r="682" spans="1:9" ht="12.75" customHeight="1" x14ac:dyDescent="0.2">
      <c r="A682" s="28">
        <v>40543</v>
      </c>
      <c r="B682" s="26" t="s">
        <v>3344</v>
      </c>
      <c r="C682" s="26" t="s">
        <v>9</v>
      </c>
      <c r="D682" s="35" t="s">
        <v>20</v>
      </c>
      <c r="E682" s="35" t="s">
        <v>20</v>
      </c>
      <c r="F682" s="35" t="s">
        <v>20</v>
      </c>
      <c r="G682" t="b">
        <f t="shared" si="35"/>
        <v>0</v>
      </c>
      <c r="H682" t="b">
        <f t="shared" si="36"/>
        <v>0</v>
      </c>
      <c r="I682" s="29">
        <f t="shared" si="37"/>
        <v>40543</v>
      </c>
    </row>
    <row r="683" spans="1:9" ht="25.5" x14ac:dyDescent="0.2">
      <c r="A683" s="28">
        <v>40543</v>
      </c>
      <c r="B683" s="26" t="s">
        <v>642</v>
      </c>
      <c r="C683" s="26" t="s">
        <v>9</v>
      </c>
      <c r="D683" s="35" t="s">
        <v>20</v>
      </c>
      <c r="E683" s="35" t="s">
        <v>20</v>
      </c>
      <c r="F683" s="35" t="s">
        <v>20</v>
      </c>
      <c r="G683" t="b">
        <f t="shared" si="35"/>
        <v>0</v>
      </c>
      <c r="H683" t="b">
        <f t="shared" si="36"/>
        <v>0</v>
      </c>
      <c r="I683" s="29">
        <f t="shared" si="37"/>
        <v>40543</v>
      </c>
    </row>
    <row r="684" spans="1:9" ht="12.75" customHeight="1" x14ac:dyDescent="0.2">
      <c r="A684" s="28">
        <v>40543</v>
      </c>
      <c r="B684" s="26" t="s">
        <v>3002</v>
      </c>
      <c r="C684" s="26" t="s">
        <v>9</v>
      </c>
      <c r="D684" s="35" t="s">
        <v>20</v>
      </c>
      <c r="E684" s="35" t="s">
        <v>20</v>
      </c>
      <c r="F684" s="35" t="s">
        <v>20</v>
      </c>
      <c r="G684" t="b">
        <f t="shared" si="35"/>
        <v>0</v>
      </c>
      <c r="H684" t="b">
        <f t="shared" si="36"/>
        <v>0</v>
      </c>
      <c r="I684" s="29">
        <f t="shared" si="37"/>
        <v>40543</v>
      </c>
    </row>
    <row r="685" spans="1:9" ht="12.75" customHeight="1" x14ac:dyDescent="0.2">
      <c r="A685" s="28">
        <v>40543</v>
      </c>
      <c r="B685" s="26" t="s">
        <v>3378</v>
      </c>
      <c r="C685" s="26" t="s">
        <v>746</v>
      </c>
      <c r="D685" s="35" t="s">
        <v>20</v>
      </c>
      <c r="E685" s="35" t="s">
        <v>20</v>
      </c>
      <c r="F685" s="35" t="s">
        <v>20</v>
      </c>
      <c r="G685" t="b">
        <f t="shared" si="35"/>
        <v>0</v>
      </c>
      <c r="H685" t="b">
        <f t="shared" si="36"/>
        <v>0</v>
      </c>
      <c r="I685" s="29">
        <f t="shared" si="37"/>
        <v>40543</v>
      </c>
    </row>
    <row r="686" spans="1:9" ht="25.5" x14ac:dyDescent="0.2">
      <c r="A686" s="28">
        <v>40543</v>
      </c>
      <c r="B686" s="26" t="s">
        <v>1294</v>
      </c>
      <c r="C686" s="26" t="s">
        <v>9</v>
      </c>
      <c r="D686" s="35" t="s">
        <v>20</v>
      </c>
      <c r="E686" s="35" t="s">
        <v>20</v>
      </c>
      <c r="F686" s="35" t="s">
        <v>20</v>
      </c>
      <c r="G686" t="b">
        <f t="shared" si="35"/>
        <v>0</v>
      </c>
      <c r="H686" t="b">
        <f t="shared" si="36"/>
        <v>0</v>
      </c>
      <c r="I686" s="29">
        <f t="shared" si="37"/>
        <v>40543</v>
      </c>
    </row>
    <row r="687" spans="1:9" ht="12.75" customHeight="1" x14ac:dyDescent="0.2">
      <c r="A687" s="28">
        <v>40543</v>
      </c>
      <c r="B687" s="26" t="s">
        <v>1698</v>
      </c>
      <c r="C687" s="26" t="s">
        <v>9</v>
      </c>
      <c r="D687" s="35" t="s">
        <v>20</v>
      </c>
      <c r="E687" s="35" t="s">
        <v>20</v>
      </c>
      <c r="F687" s="35" t="s">
        <v>20</v>
      </c>
      <c r="G687" t="b">
        <f t="shared" si="35"/>
        <v>0</v>
      </c>
      <c r="H687" t="b">
        <f t="shared" si="36"/>
        <v>0</v>
      </c>
      <c r="I687" s="29">
        <f t="shared" si="37"/>
        <v>40543</v>
      </c>
    </row>
    <row r="688" spans="1:9" ht="12.75" customHeight="1" x14ac:dyDescent="0.2">
      <c r="A688" s="28">
        <v>40543</v>
      </c>
      <c r="B688" s="26" t="s">
        <v>1648</v>
      </c>
      <c r="C688" s="26" t="s">
        <v>3096</v>
      </c>
      <c r="D688" s="35" t="s">
        <v>20</v>
      </c>
      <c r="E688" s="35" t="s">
        <v>20</v>
      </c>
      <c r="F688" s="35" t="s">
        <v>20</v>
      </c>
      <c r="G688" t="b">
        <f t="shared" si="35"/>
        <v>0</v>
      </c>
      <c r="H688" t="b">
        <f t="shared" si="36"/>
        <v>0</v>
      </c>
      <c r="I688" s="29">
        <f t="shared" si="37"/>
        <v>40543</v>
      </c>
    </row>
    <row r="689" spans="1:9" ht="12.75" customHeight="1" x14ac:dyDescent="0.2">
      <c r="A689" s="28">
        <v>40543</v>
      </c>
      <c r="B689" s="26" t="s">
        <v>159</v>
      </c>
      <c r="C689" s="26" t="s">
        <v>9</v>
      </c>
      <c r="D689" s="35" t="s">
        <v>20</v>
      </c>
      <c r="E689" s="35" t="s">
        <v>20</v>
      </c>
      <c r="F689" s="35" t="s">
        <v>20</v>
      </c>
      <c r="G689" t="b">
        <f t="shared" si="35"/>
        <v>0</v>
      </c>
      <c r="H689" t="b">
        <f t="shared" si="36"/>
        <v>0</v>
      </c>
      <c r="I689" s="29">
        <f t="shared" si="37"/>
        <v>40543</v>
      </c>
    </row>
    <row r="690" spans="1:9" ht="12.75" customHeight="1" x14ac:dyDescent="0.2">
      <c r="A690" s="28">
        <v>40543</v>
      </c>
      <c r="B690" s="26" t="s">
        <v>1318</v>
      </c>
      <c r="C690" s="26" t="s">
        <v>3218</v>
      </c>
      <c r="D690" s="35" t="s">
        <v>20</v>
      </c>
      <c r="E690" s="35" t="s">
        <v>20</v>
      </c>
      <c r="F690" s="35" t="s">
        <v>20</v>
      </c>
      <c r="G690" t="b">
        <f t="shared" si="35"/>
        <v>0</v>
      </c>
      <c r="H690" t="b">
        <f t="shared" si="36"/>
        <v>0</v>
      </c>
      <c r="I690" s="29">
        <f t="shared" si="37"/>
        <v>40543</v>
      </c>
    </row>
    <row r="691" spans="1:9" ht="25.5" x14ac:dyDescent="0.2">
      <c r="A691" s="28">
        <v>40543</v>
      </c>
      <c r="B691" s="26" t="s">
        <v>981</v>
      </c>
      <c r="C691" s="26" t="s">
        <v>9</v>
      </c>
      <c r="D691" s="35" t="s">
        <v>20</v>
      </c>
      <c r="E691" s="35" t="s">
        <v>20</v>
      </c>
      <c r="F691" s="35" t="s">
        <v>20</v>
      </c>
      <c r="G691" t="b">
        <f t="shared" si="35"/>
        <v>0</v>
      </c>
      <c r="H691" t="b">
        <f t="shared" si="36"/>
        <v>0</v>
      </c>
      <c r="I691" s="29">
        <f t="shared" si="37"/>
        <v>40543</v>
      </c>
    </row>
    <row r="692" spans="1:9" ht="12.75" customHeight="1" x14ac:dyDescent="0.2">
      <c r="A692" s="28">
        <v>40543</v>
      </c>
      <c r="B692" s="26" t="s">
        <v>3301</v>
      </c>
      <c r="C692" s="26" t="s">
        <v>2160</v>
      </c>
      <c r="D692" s="35" t="s">
        <v>20</v>
      </c>
      <c r="E692" s="35" t="s">
        <v>20</v>
      </c>
      <c r="F692" s="35" t="s">
        <v>20</v>
      </c>
      <c r="G692" t="b">
        <f t="shared" si="35"/>
        <v>0</v>
      </c>
      <c r="H692" t="b">
        <f t="shared" si="36"/>
        <v>0</v>
      </c>
      <c r="I692" s="29">
        <f t="shared" si="37"/>
        <v>40543</v>
      </c>
    </row>
    <row r="693" spans="1:9" ht="12.75" customHeight="1" x14ac:dyDescent="0.2">
      <c r="A693" s="28">
        <v>40543</v>
      </c>
      <c r="B693" s="26" t="s">
        <v>2405</v>
      </c>
      <c r="C693" s="26" t="s">
        <v>9</v>
      </c>
      <c r="D693" s="35" t="s">
        <v>20</v>
      </c>
      <c r="E693" s="35" t="s">
        <v>20</v>
      </c>
      <c r="F693" s="35" t="s">
        <v>20</v>
      </c>
      <c r="G693" t="b">
        <f t="shared" si="35"/>
        <v>0</v>
      </c>
      <c r="H693" t="b">
        <f t="shared" si="36"/>
        <v>0</v>
      </c>
      <c r="I693" s="29">
        <f t="shared" si="37"/>
        <v>40543</v>
      </c>
    </row>
    <row r="694" spans="1:9" ht="38.25" x14ac:dyDescent="0.2">
      <c r="A694" s="28">
        <v>40543</v>
      </c>
      <c r="B694" s="26" t="s">
        <v>1397</v>
      </c>
      <c r="C694" s="26" t="s">
        <v>49</v>
      </c>
      <c r="D694" s="35" t="s">
        <v>20</v>
      </c>
      <c r="E694" s="35" t="s">
        <v>20</v>
      </c>
      <c r="F694" s="35">
        <v>48648356</v>
      </c>
      <c r="G694" t="b">
        <f t="shared" si="35"/>
        <v>0</v>
      </c>
      <c r="H694" t="b">
        <f t="shared" si="36"/>
        <v>0</v>
      </c>
      <c r="I694" s="29">
        <f t="shared" si="37"/>
        <v>40543</v>
      </c>
    </row>
    <row r="695" spans="1:9" ht="25.5" x14ac:dyDescent="0.2">
      <c r="A695" s="28">
        <v>40543</v>
      </c>
      <c r="B695" s="26" t="s">
        <v>1524</v>
      </c>
      <c r="C695" s="26" t="s">
        <v>2168</v>
      </c>
      <c r="D695" s="35" t="s">
        <v>20</v>
      </c>
      <c r="E695" s="35" t="s">
        <v>20</v>
      </c>
      <c r="F695" s="35" t="s">
        <v>20</v>
      </c>
      <c r="G695" t="b">
        <f t="shared" si="35"/>
        <v>0</v>
      </c>
      <c r="H695" t="b">
        <f t="shared" si="36"/>
        <v>0</v>
      </c>
      <c r="I695" s="29">
        <f t="shared" si="37"/>
        <v>40543</v>
      </c>
    </row>
    <row r="696" spans="1:9" ht="25.5" x14ac:dyDescent="0.2">
      <c r="A696" s="28">
        <v>40543</v>
      </c>
      <c r="B696" s="26" t="s">
        <v>2043</v>
      </c>
      <c r="C696" s="26" t="s">
        <v>9</v>
      </c>
      <c r="D696" s="35" t="s">
        <v>20</v>
      </c>
      <c r="E696" s="35" t="s">
        <v>20</v>
      </c>
      <c r="F696" s="35" t="s">
        <v>20</v>
      </c>
      <c r="G696" t="b">
        <f t="shared" si="35"/>
        <v>0</v>
      </c>
      <c r="H696" t="b">
        <f t="shared" si="36"/>
        <v>0</v>
      </c>
      <c r="I696" s="29">
        <f t="shared" si="37"/>
        <v>40543</v>
      </c>
    </row>
    <row r="697" spans="1:9" ht="25.5" x14ac:dyDescent="0.2">
      <c r="A697" s="28">
        <v>40543</v>
      </c>
      <c r="B697" s="26" t="s">
        <v>2172</v>
      </c>
      <c r="C697" s="26" t="s">
        <v>2168</v>
      </c>
      <c r="D697" s="35" t="s">
        <v>20</v>
      </c>
      <c r="E697" s="35" t="s">
        <v>20</v>
      </c>
      <c r="F697" s="35" t="s">
        <v>20</v>
      </c>
      <c r="G697" t="b">
        <f t="shared" si="35"/>
        <v>0</v>
      </c>
      <c r="H697" t="b">
        <f t="shared" si="36"/>
        <v>0</v>
      </c>
      <c r="I697" s="29">
        <f t="shared" si="37"/>
        <v>40543</v>
      </c>
    </row>
    <row r="698" spans="1:9" ht="12.75" customHeight="1" x14ac:dyDescent="0.2">
      <c r="A698" s="28">
        <v>40543</v>
      </c>
      <c r="B698" s="26" t="s">
        <v>2672</v>
      </c>
      <c r="C698" s="26" t="s">
        <v>9</v>
      </c>
      <c r="D698" s="35" t="s">
        <v>20</v>
      </c>
      <c r="E698" s="35" t="s">
        <v>20</v>
      </c>
      <c r="F698" s="35" t="s">
        <v>20</v>
      </c>
      <c r="G698" t="b">
        <f t="shared" si="35"/>
        <v>0</v>
      </c>
      <c r="H698" t="b">
        <f t="shared" si="36"/>
        <v>0</v>
      </c>
      <c r="I698" s="29">
        <f t="shared" si="37"/>
        <v>40543</v>
      </c>
    </row>
    <row r="699" spans="1:9" ht="12.75" customHeight="1" x14ac:dyDescent="0.2">
      <c r="A699" s="28">
        <v>40543</v>
      </c>
      <c r="B699" s="26" t="s">
        <v>1037</v>
      </c>
      <c r="C699" s="26" t="s">
        <v>9</v>
      </c>
      <c r="D699" s="35" t="s">
        <v>20</v>
      </c>
      <c r="E699" s="35" t="s">
        <v>20</v>
      </c>
      <c r="F699" s="35" t="s">
        <v>20</v>
      </c>
      <c r="G699" t="b">
        <f t="shared" si="35"/>
        <v>0</v>
      </c>
      <c r="H699" t="b">
        <f t="shared" si="36"/>
        <v>0</v>
      </c>
      <c r="I699" s="29">
        <f t="shared" si="37"/>
        <v>40543</v>
      </c>
    </row>
    <row r="700" spans="1:9" ht="12.75" customHeight="1" x14ac:dyDescent="0.2">
      <c r="A700" s="28">
        <v>40543</v>
      </c>
      <c r="B700" s="26" t="s">
        <v>2265</v>
      </c>
      <c r="C700" s="26" t="s">
        <v>9</v>
      </c>
      <c r="D700" s="35" t="s">
        <v>20</v>
      </c>
      <c r="E700" s="35" t="s">
        <v>20</v>
      </c>
      <c r="F700" s="35" t="s">
        <v>20</v>
      </c>
      <c r="G700" t="b">
        <f t="shared" si="35"/>
        <v>0</v>
      </c>
      <c r="H700" t="b">
        <f t="shared" si="36"/>
        <v>0</v>
      </c>
      <c r="I700" s="29">
        <f t="shared" si="37"/>
        <v>40543</v>
      </c>
    </row>
    <row r="701" spans="1:9" ht="25.5" x14ac:dyDescent="0.2">
      <c r="A701" s="28">
        <v>40543</v>
      </c>
      <c r="B701" s="26">
        <v>36</v>
      </c>
      <c r="C701" s="26" t="s">
        <v>2168</v>
      </c>
      <c r="D701" s="35" t="s">
        <v>20</v>
      </c>
      <c r="E701" s="35" t="s">
        <v>20</v>
      </c>
      <c r="F701" s="35" t="s">
        <v>20</v>
      </c>
      <c r="G701" t="b">
        <f t="shared" si="35"/>
        <v>0</v>
      </c>
      <c r="H701" t="b">
        <f t="shared" si="36"/>
        <v>0</v>
      </c>
      <c r="I701" s="29">
        <f t="shared" si="37"/>
        <v>40543</v>
      </c>
    </row>
    <row r="702" spans="1:9" ht="12.75" customHeight="1" x14ac:dyDescent="0.2">
      <c r="A702" s="28">
        <v>40543</v>
      </c>
      <c r="B702" s="26" t="s">
        <v>209</v>
      </c>
      <c r="C702" s="26" t="s">
        <v>9</v>
      </c>
      <c r="D702" s="35" t="s">
        <v>20</v>
      </c>
      <c r="E702" s="35" t="s">
        <v>20</v>
      </c>
      <c r="F702" s="35" t="s">
        <v>20</v>
      </c>
      <c r="G702" t="b">
        <f t="shared" si="35"/>
        <v>0</v>
      </c>
      <c r="H702" t="b">
        <f t="shared" si="36"/>
        <v>0</v>
      </c>
      <c r="I702" s="29">
        <f t="shared" si="37"/>
        <v>40543</v>
      </c>
    </row>
    <row r="703" spans="1:9" ht="25.5" x14ac:dyDescent="0.2">
      <c r="A703" s="28">
        <v>40543</v>
      </c>
      <c r="B703" s="26" t="s">
        <v>1802</v>
      </c>
      <c r="C703" s="26" t="s">
        <v>49</v>
      </c>
      <c r="D703" s="35" t="s">
        <v>20</v>
      </c>
      <c r="E703" s="35" t="s">
        <v>20</v>
      </c>
      <c r="F703" s="35" t="s">
        <v>20</v>
      </c>
      <c r="G703" t="b">
        <f t="shared" si="35"/>
        <v>0</v>
      </c>
      <c r="H703" t="b">
        <f t="shared" si="36"/>
        <v>0</v>
      </c>
      <c r="I703" s="29">
        <f t="shared" si="37"/>
        <v>40543</v>
      </c>
    </row>
    <row r="704" spans="1:9" ht="25.5" x14ac:dyDescent="0.2">
      <c r="A704" s="28">
        <v>40543</v>
      </c>
      <c r="B704" s="26" t="s">
        <v>2835</v>
      </c>
      <c r="C704" s="26" t="s">
        <v>2168</v>
      </c>
      <c r="D704" s="35" t="s">
        <v>20</v>
      </c>
      <c r="E704" s="35" t="s">
        <v>20</v>
      </c>
      <c r="F704" s="35" t="s">
        <v>20</v>
      </c>
      <c r="G704" t="b">
        <f t="shared" si="35"/>
        <v>0</v>
      </c>
      <c r="H704" t="b">
        <f t="shared" si="36"/>
        <v>0</v>
      </c>
      <c r="I704" s="29">
        <f t="shared" si="37"/>
        <v>40543</v>
      </c>
    </row>
    <row r="705" spans="1:9" ht="12.75" customHeight="1" x14ac:dyDescent="0.2">
      <c r="A705" s="28">
        <v>40543</v>
      </c>
      <c r="B705" s="26" t="s">
        <v>2529</v>
      </c>
      <c r="C705" s="26" t="s">
        <v>3096</v>
      </c>
      <c r="D705" s="35" t="s">
        <v>20</v>
      </c>
      <c r="E705" s="35" t="s">
        <v>20</v>
      </c>
      <c r="F705" s="35" t="s">
        <v>20</v>
      </c>
      <c r="G705" t="b">
        <f t="shared" si="35"/>
        <v>0</v>
      </c>
      <c r="H705" t="b">
        <f t="shared" si="36"/>
        <v>0</v>
      </c>
      <c r="I705" s="29">
        <f t="shared" si="37"/>
        <v>40543</v>
      </c>
    </row>
    <row r="706" spans="1:9" ht="25.5" x14ac:dyDescent="0.2">
      <c r="A706" s="28">
        <v>40543</v>
      </c>
      <c r="B706" s="26" t="s">
        <v>3103</v>
      </c>
      <c r="C706" s="26" t="s">
        <v>9</v>
      </c>
      <c r="D706" s="35" t="s">
        <v>20</v>
      </c>
      <c r="E706" s="35" t="s">
        <v>20</v>
      </c>
      <c r="F706" s="35" t="s">
        <v>20</v>
      </c>
      <c r="G706" t="b">
        <f t="shared" si="35"/>
        <v>0</v>
      </c>
      <c r="H706" t="b">
        <f t="shared" si="36"/>
        <v>0</v>
      </c>
      <c r="I706" s="29">
        <f t="shared" si="37"/>
        <v>40543</v>
      </c>
    </row>
    <row r="707" spans="1:9" ht="25.5" x14ac:dyDescent="0.2">
      <c r="A707" s="28">
        <v>40543</v>
      </c>
      <c r="B707" s="26" t="s">
        <v>1399</v>
      </c>
      <c r="C707" s="26" t="s">
        <v>2752</v>
      </c>
      <c r="D707" s="35" t="s">
        <v>20</v>
      </c>
      <c r="E707" s="35" t="s">
        <v>20</v>
      </c>
      <c r="F707" s="35" t="s">
        <v>20</v>
      </c>
      <c r="G707" t="b">
        <f t="shared" si="35"/>
        <v>0</v>
      </c>
      <c r="H707" t="b">
        <f t="shared" si="36"/>
        <v>0</v>
      </c>
      <c r="I707" s="29">
        <f t="shared" si="37"/>
        <v>40543</v>
      </c>
    </row>
    <row r="708" spans="1:9" ht="12.75" customHeight="1" x14ac:dyDescent="0.2">
      <c r="A708" s="28">
        <v>40543</v>
      </c>
      <c r="B708" s="26" t="s">
        <v>5</v>
      </c>
      <c r="C708" s="26" t="s">
        <v>9</v>
      </c>
      <c r="D708" s="35" t="s">
        <v>20</v>
      </c>
      <c r="E708" s="35" t="s">
        <v>20</v>
      </c>
      <c r="F708" s="35" t="s">
        <v>20</v>
      </c>
      <c r="G708" t="b">
        <f t="shared" si="35"/>
        <v>0</v>
      </c>
      <c r="H708" t="b">
        <f t="shared" si="36"/>
        <v>0</v>
      </c>
      <c r="I708" s="29">
        <f t="shared" si="37"/>
        <v>40543</v>
      </c>
    </row>
    <row r="709" spans="1:9" ht="12.75" customHeight="1" x14ac:dyDescent="0.2">
      <c r="A709" s="28">
        <v>40543</v>
      </c>
      <c r="B709" s="26" t="s">
        <v>1203</v>
      </c>
      <c r="C709" s="26" t="s">
        <v>2160</v>
      </c>
      <c r="D709" s="35" t="s">
        <v>20</v>
      </c>
      <c r="E709" s="35" t="s">
        <v>20</v>
      </c>
      <c r="F709" s="35" t="s">
        <v>20</v>
      </c>
      <c r="G709" t="b">
        <f t="shared" si="35"/>
        <v>0</v>
      </c>
      <c r="H709" t="b">
        <f t="shared" si="36"/>
        <v>0</v>
      </c>
      <c r="I709" s="29">
        <f t="shared" si="37"/>
        <v>40543</v>
      </c>
    </row>
    <row r="710" spans="1:9" ht="25.5" x14ac:dyDescent="0.2">
      <c r="A710" s="28">
        <v>40543</v>
      </c>
      <c r="B710" s="26" t="s">
        <v>474</v>
      </c>
      <c r="C710" s="26" t="s">
        <v>2990</v>
      </c>
      <c r="D710" s="35" t="s">
        <v>20</v>
      </c>
      <c r="E710" s="35" t="s">
        <v>20</v>
      </c>
      <c r="F710" s="35" t="s">
        <v>20</v>
      </c>
      <c r="G710" t="b">
        <f t="shared" si="35"/>
        <v>0</v>
      </c>
      <c r="H710" t="b">
        <f t="shared" si="36"/>
        <v>0</v>
      </c>
      <c r="I710" s="29">
        <f t="shared" si="37"/>
        <v>40543</v>
      </c>
    </row>
    <row r="711" spans="1:9" ht="12.75" customHeight="1" x14ac:dyDescent="0.2">
      <c r="A711" s="28">
        <v>40543</v>
      </c>
      <c r="B711" s="26" t="s">
        <v>1912</v>
      </c>
      <c r="C711" s="26" t="s">
        <v>3209</v>
      </c>
      <c r="D711" s="35" t="s">
        <v>20</v>
      </c>
      <c r="E711" s="35" t="s">
        <v>20</v>
      </c>
      <c r="F711" s="35" t="s">
        <v>20</v>
      </c>
      <c r="G711" t="b">
        <f t="shared" si="35"/>
        <v>0</v>
      </c>
      <c r="H711" t="b">
        <f t="shared" si="36"/>
        <v>0</v>
      </c>
      <c r="I711" s="29">
        <f t="shared" si="37"/>
        <v>40543</v>
      </c>
    </row>
    <row r="712" spans="1:9" ht="25.5" x14ac:dyDescent="0.2">
      <c r="A712" s="28">
        <v>40543</v>
      </c>
      <c r="B712" s="26" t="s">
        <v>1694</v>
      </c>
      <c r="C712" s="26" t="s">
        <v>2160</v>
      </c>
      <c r="D712" s="35" t="s">
        <v>20</v>
      </c>
      <c r="E712" s="35" t="s">
        <v>20</v>
      </c>
      <c r="F712" s="35" t="s">
        <v>20</v>
      </c>
      <c r="G712" t="b">
        <f t="shared" si="35"/>
        <v>0</v>
      </c>
      <c r="H712" t="b">
        <f t="shared" si="36"/>
        <v>0</v>
      </c>
      <c r="I712" s="29">
        <f t="shared" si="37"/>
        <v>40543</v>
      </c>
    </row>
    <row r="713" spans="1:9" ht="25.5" x14ac:dyDescent="0.2">
      <c r="A713" s="28">
        <v>40543</v>
      </c>
      <c r="B713" s="26" t="s">
        <v>2026</v>
      </c>
      <c r="C713" s="26" t="s">
        <v>2168</v>
      </c>
      <c r="D713" s="35" t="s">
        <v>20</v>
      </c>
      <c r="E713" s="35" t="s">
        <v>20</v>
      </c>
      <c r="F713" s="35" t="s">
        <v>20</v>
      </c>
      <c r="G713" t="b">
        <f t="shared" si="35"/>
        <v>0</v>
      </c>
      <c r="H713" t="b">
        <f t="shared" si="36"/>
        <v>0</v>
      </c>
      <c r="I713" s="29">
        <f t="shared" si="37"/>
        <v>40543</v>
      </c>
    </row>
    <row r="714" spans="1:9" ht="25.5" x14ac:dyDescent="0.2">
      <c r="A714" s="28">
        <v>40543</v>
      </c>
      <c r="B714" s="26" t="s">
        <v>688</v>
      </c>
      <c r="C714" s="26" t="s">
        <v>9</v>
      </c>
      <c r="D714" s="35" t="s">
        <v>20</v>
      </c>
      <c r="E714" s="35" t="s">
        <v>20</v>
      </c>
      <c r="F714" s="35" t="s">
        <v>20</v>
      </c>
      <c r="G714" t="b">
        <f t="shared" si="35"/>
        <v>0</v>
      </c>
      <c r="H714" t="b">
        <f t="shared" si="36"/>
        <v>0</v>
      </c>
      <c r="I714" s="29">
        <f t="shared" si="37"/>
        <v>40543</v>
      </c>
    </row>
    <row r="715" spans="1:9" ht="25.5" x14ac:dyDescent="0.2">
      <c r="A715" s="28">
        <v>40543</v>
      </c>
      <c r="B715" s="26" t="s">
        <v>1447</v>
      </c>
      <c r="C715" s="26" t="s">
        <v>2168</v>
      </c>
      <c r="D715" s="35" t="s">
        <v>20</v>
      </c>
      <c r="E715" s="35" t="s">
        <v>20</v>
      </c>
      <c r="F715" s="35" t="s">
        <v>20</v>
      </c>
      <c r="G715" t="b">
        <f t="shared" si="35"/>
        <v>0</v>
      </c>
      <c r="H715" t="b">
        <f t="shared" si="36"/>
        <v>0</v>
      </c>
      <c r="I715" s="29">
        <f t="shared" si="37"/>
        <v>40543</v>
      </c>
    </row>
    <row r="716" spans="1:9" ht="12.75" customHeight="1" x14ac:dyDescent="0.2">
      <c r="A716" s="28">
        <v>40543</v>
      </c>
      <c r="B716" s="26" t="s">
        <v>376</v>
      </c>
      <c r="C716" s="26" t="s">
        <v>9</v>
      </c>
      <c r="D716" s="35" t="s">
        <v>20</v>
      </c>
      <c r="E716" s="35" t="s">
        <v>20</v>
      </c>
      <c r="F716" s="35" t="s">
        <v>20</v>
      </c>
      <c r="G716" t="b">
        <f t="shared" si="35"/>
        <v>0</v>
      </c>
      <c r="H716" t="b">
        <f t="shared" si="36"/>
        <v>0</v>
      </c>
      <c r="I716" s="29">
        <f t="shared" si="37"/>
        <v>40543</v>
      </c>
    </row>
    <row r="717" spans="1:9" ht="12.75" customHeight="1" x14ac:dyDescent="0.2">
      <c r="A717" s="28">
        <v>40543</v>
      </c>
      <c r="B717" s="26" t="s">
        <v>1545</v>
      </c>
      <c r="C717" s="26" t="s">
        <v>3209</v>
      </c>
      <c r="D717" s="35" t="s">
        <v>20</v>
      </c>
      <c r="E717" s="35" t="s">
        <v>20</v>
      </c>
      <c r="F717" s="35" t="s">
        <v>20</v>
      </c>
      <c r="G717" t="b">
        <f t="shared" si="35"/>
        <v>0</v>
      </c>
      <c r="H717" t="b">
        <f t="shared" si="36"/>
        <v>0</v>
      </c>
      <c r="I717" s="29">
        <f t="shared" si="37"/>
        <v>40543</v>
      </c>
    </row>
    <row r="718" spans="1:9" ht="12.75" customHeight="1" x14ac:dyDescent="0.2">
      <c r="A718" s="28">
        <v>40543</v>
      </c>
      <c r="B718" s="26" t="s">
        <v>3068</v>
      </c>
      <c r="C718" s="26" t="s">
        <v>9</v>
      </c>
      <c r="D718" s="35" t="s">
        <v>20</v>
      </c>
      <c r="E718" s="35" t="s">
        <v>20</v>
      </c>
      <c r="F718" s="35" t="s">
        <v>20</v>
      </c>
      <c r="G718" t="b">
        <f t="shared" si="35"/>
        <v>0</v>
      </c>
      <c r="H718" t="b">
        <f t="shared" si="36"/>
        <v>0</v>
      </c>
      <c r="I718" s="29">
        <f t="shared" si="37"/>
        <v>40543</v>
      </c>
    </row>
    <row r="719" spans="1:9" ht="25.5" x14ac:dyDescent="0.2">
      <c r="A719" s="28">
        <v>40543</v>
      </c>
      <c r="B719" s="26" t="s">
        <v>2154</v>
      </c>
      <c r="C719" s="26" t="s">
        <v>3096</v>
      </c>
      <c r="D719" s="35" t="s">
        <v>20</v>
      </c>
      <c r="E719" s="35" t="s">
        <v>20</v>
      </c>
      <c r="F719" s="35" t="s">
        <v>20</v>
      </c>
      <c r="G719" t="b">
        <f t="shared" si="35"/>
        <v>0</v>
      </c>
      <c r="H719" t="b">
        <f t="shared" si="36"/>
        <v>0</v>
      </c>
      <c r="I719" s="29">
        <f t="shared" si="37"/>
        <v>40543</v>
      </c>
    </row>
    <row r="720" spans="1:9" ht="25.5" x14ac:dyDescent="0.2">
      <c r="A720" s="28">
        <v>40543</v>
      </c>
      <c r="B720" s="26" t="s">
        <v>3222</v>
      </c>
      <c r="C720" s="26" t="s">
        <v>9</v>
      </c>
      <c r="D720" s="35" t="s">
        <v>20</v>
      </c>
      <c r="E720" s="35" t="s">
        <v>20</v>
      </c>
      <c r="F720" s="35" t="s">
        <v>20</v>
      </c>
      <c r="G720" t="b">
        <f t="shared" si="35"/>
        <v>0</v>
      </c>
      <c r="H720" t="b">
        <f t="shared" si="36"/>
        <v>0</v>
      </c>
      <c r="I720" s="29">
        <f t="shared" si="37"/>
        <v>40543</v>
      </c>
    </row>
    <row r="721" spans="1:9" ht="12.75" customHeight="1" x14ac:dyDescent="0.2">
      <c r="A721" s="28">
        <v>40543</v>
      </c>
      <c r="B721" s="26" t="s">
        <v>2028</v>
      </c>
      <c r="C721" s="26" t="s">
        <v>2160</v>
      </c>
      <c r="D721" s="35" t="s">
        <v>20</v>
      </c>
      <c r="E721" s="35" t="s">
        <v>20</v>
      </c>
      <c r="F721" s="35" t="s">
        <v>20</v>
      </c>
      <c r="G721" t="b">
        <f t="shared" si="35"/>
        <v>0</v>
      </c>
      <c r="H721" t="b">
        <f t="shared" si="36"/>
        <v>0</v>
      </c>
      <c r="I721" s="29">
        <f t="shared" si="37"/>
        <v>40543</v>
      </c>
    </row>
    <row r="722" spans="1:9" ht="25.5" x14ac:dyDescent="0.2">
      <c r="A722" s="28">
        <v>40543</v>
      </c>
      <c r="B722" s="26" t="s">
        <v>489</v>
      </c>
      <c r="C722" s="26" t="s">
        <v>49</v>
      </c>
      <c r="D722" s="35" t="s">
        <v>20</v>
      </c>
      <c r="E722" s="35" t="s">
        <v>20</v>
      </c>
      <c r="F722" s="35" t="s">
        <v>20</v>
      </c>
      <c r="G722" t="b">
        <f t="shared" si="35"/>
        <v>0</v>
      </c>
      <c r="H722" t="b">
        <f t="shared" si="36"/>
        <v>0</v>
      </c>
      <c r="I722" s="29">
        <f t="shared" si="37"/>
        <v>40543</v>
      </c>
    </row>
    <row r="723" spans="1:9" ht="25.5" x14ac:dyDescent="0.2">
      <c r="A723" s="28">
        <v>40543</v>
      </c>
      <c r="B723" s="26" t="s">
        <v>2518</v>
      </c>
      <c r="C723" s="26" t="s">
        <v>3209</v>
      </c>
      <c r="D723" s="35" t="s">
        <v>20</v>
      </c>
      <c r="E723" s="35" t="s">
        <v>20</v>
      </c>
      <c r="F723" s="35" t="s">
        <v>20</v>
      </c>
      <c r="G723" t="b">
        <f t="shared" ref="G723:G786" si="38">ISBLANK(A723)</f>
        <v>0</v>
      </c>
      <c r="H723" t="b">
        <f t="shared" ref="H723:H786" si="39">ISTEXT(A723)</f>
        <v>0</v>
      </c>
      <c r="I723" s="29">
        <f t="shared" ref="I723:I786" si="40">DATE(2010,MONTH(A723), DAY(A723))</f>
        <v>40543</v>
      </c>
    </row>
    <row r="724" spans="1:9" ht="25.5" x14ac:dyDescent="0.2">
      <c r="A724" s="28">
        <v>40543</v>
      </c>
      <c r="B724" s="26" t="s">
        <v>1443</v>
      </c>
      <c r="C724" s="26" t="s">
        <v>384</v>
      </c>
      <c r="D724" s="35" t="s">
        <v>20</v>
      </c>
      <c r="E724" s="35" t="s">
        <v>20</v>
      </c>
      <c r="F724" s="35" t="s">
        <v>20</v>
      </c>
      <c r="G724" t="b">
        <f t="shared" si="38"/>
        <v>0</v>
      </c>
      <c r="H724" t="b">
        <f t="shared" si="39"/>
        <v>0</v>
      </c>
      <c r="I724" s="29">
        <f t="shared" si="40"/>
        <v>40543</v>
      </c>
    </row>
    <row r="725" spans="1:9" ht="25.5" x14ac:dyDescent="0.2">
      <c r="A725" s="28">
        <v>40543</v>
      </c>
      <c r="B725" s="26" t="s">
        <v>1111</v>
      </c>
      <c r="C725" s="26" t="s">
        <v>2168</v>
      </c>
      <c r="D725" s="35" t="s">
        <v>20</v>
      </c>
      <c r="E725" s="35" t="s">
        <v>20</v>
      </c>
      <c r="F725" s="35" t="s">
        <v>20</v>
      </c>
      <c r="G725" t="b">
        <f t="shared" si="38"/>
        <v>0</v>
      </c>
      <c r="H725" t="b">
        <f t="shared" si="39"/>
        <v>0</v>
      </c>
      <c r="I725" s="29">
        <f t="shared" si="40"/>
        <v>40543</v>
      </c>
    </row>
    <row r="726" spans="1:9" ht="12.75" customHeight="1" x14ac:dyDescent="0.2">
      <c r="A726" s="28">
        <v>40543</v>
      </c>
      <c r="B726" s="26" t="s">
        <v>1491</v>
      </c>
      <c r="C726" s="26" t="s">
        <v>9</v>
      </c>
      <c r="D726" s="35" t="s">
        <v>20</v>
      </c>
      <c r="E726" s="35" t="s">
        <v>20</v>
      </c>
      <c r="F726" s="35" t="s">
        <v>20</v>
      </c>
      <c r="G726" t="b">
        <f t="shared" si="38"/>
        <v>0</v>
      </c>
      <c r="H726" t="b">
        <f t="shared" si="39"/>
        <v>0</v>
      </c>
      <c r="I726" s="29">
        <f t="shared" si="40"/>
        <v>40543</v>
      </c>
    </row>
    <row r="727" spans="1:9" ht="25.5" x14ac:dyDescent="0.2">
      <c r="A727" s="28">
        <v>40543</v>
      </c>
      <c r="B727" s="26" t="s">
        <v>467</v>
      </c>
      <c r="C727" s="26" t="s">
        <v>9</v>
      </c>
      <c r="D727" s="35" t="s">
        <v>20</v>
      </c>
      <c r="E727" s="35">
        <v>74136</v>
      </c>
      <c r="F727" s="35" t="s">
        <v>20</v>
      </c>
      <c r="G727" t="b">
        <f t="shared" si="38"/>
        <v>0</v>
      </c>
      <c r="H727" t="b">
        <f t="shared" si="39"/>
        <v>0</v>
      </c>
      <c r="I727" s="29">
        <f t="shared" si="40"/>
        <v>40543</v>
      </c>
    </row>
    <row r="728" spans="1:9" ht="12.75" customHeight="1" x14ac:dyDescent="0.2">
      <c r="A728" s="28">
        <v>40543</v>
      </c>
      <c r="B728" s="26" t="s">
        <v>15</v>
      </c>
      <c r="C728" s="26" t="s">
        <v>2460</v>
      </c>
      <c r="D728" s="35" t="s">
        <v>20</v>
      </c>
      <c r="E728" s="35" t="s">
        <v>20</v>
      </c>
      <c r="F728" s="35" t="s">
        <v>20</v>
      </c>
      <c r="G728" t="b">
        <f t="shared" si="38"/>
        <v>0</v>
      </c>
      <c r="H728" t="b">
        <f t="shared" si="39"/>
        <v>0</v>
      </c>
      <c r="I728" s="29">
        <f t="shared" si="40"/>
        <v>40543</v>
      </c>
    </row>
    <row r="729" spans="1:9" ht="12.75" customHeight="1" x14ac:dyDescent="0.2">
      <c r="A729" s="28">
        <v>40543</v>
      </c>
      <c r="B729" s="26" t="s">
        <v>2720</v>
      </c>
      <c r="C729" s="26" t="s">
        <v>9</v>
      </c>
      <c r="D729" s="35" t="s">
        <v>20</v>
      </c>
      <c r="E729" s="35" t="s">
        <v>20</v>
      </c>
      <c r="F729" s="35" t="s">
        <v>20</v>
      </c>
      <c r="G729" t="b">
        <f t="shared" si="38"/>
        <v>0</v>
      </c>
      <c r="H729" t="b">
        <f t="shared" si="39"/>
        <v>0</v>
      </c>
      <c r="I729" s="29">
        <f t="shared" si="40"/>
        <v>40543</v>
      </c>
    </row>
    <row r="730" spans="1:9" ht="12.75" customHeight="1" x14ac:dyDescent="0.2">
      <c r="A730" s="28">
        <v>40543</v>
      </c>
      <c r="B730" s="26" t="s">
        <v>1585</v>
      </c>
      <c r="C730" s="26" t="s">
        <v>2160</v>
      </c>
      <c r="D730" s="35" t="s">
        <v>20</v>
      </c>
      <c r="E730" s="35" t="s">
        <v>20</v>
      </c>
      <c r="F730" s="35" t="s">
        <v>20</v>
      </c>
      <c r="G730" t="b">
        <f t="shared" si="38"/>
        <v>0</v>
      </c>
      <c r="H730" t="b">
        <f t="shared" si="39"/>
        <v>0</v>
      </c>
      <c r="I730" s="29">
        <f t="shared" si="40"/>
        <v>40543</v>
      </c>
    </row>
    <row r="731" spans="1:9" ht="12.75" customHeight="1" x14ac:dyDescent="0.2">
      <c r="A731" s="28">
        <v>40543</v>
      </c>
      <c r="B731" s="26" t="s">
        <v>1594</v>
      </c>
      <c r="C731" s="26" t="s">
        <v>9</v>
      </c>
      <c r="D731" s="35" t="s">
        <v>20</v>
      </c>
      <c r="E731" s="35" t="s">
        <v>20</v>
      </c>
      <c r="F731" s="35" t="s">
        <v>20</v>
      </c>
      <c r="G731" t="b">
        <f t="shared" si="38"/>
        <v>0</v>
      </c>
      <c r="H731" t="b">
        <f t="shared" si="39"/>
        <v>0</v>
      </c>
      <c r="I731" s="29">
        <f t="shared" si="40"/>
        <v>40543</v>
      </c>
    </row>
    <row r="732" spans="1:9" ht="12.75" customHeight="1" x14ac:dyDescent="0.2">
      <c r="A732" s="28">
        <v>40543</v>
      </c>
      <c r="B732" s="26" t="s">
        <v>1959</v>
      </c>
      <c r="C732" s="26" t="s">
        <v>384</v>
      </c>
      <c r="D732" s="35" t="s">
        <v>20</v>
      </c>
      <c r="E732" s="35" t="s">
        <v>20</v>
      </c>
      <c r="F732" s="35" t="s">
        <v>20</v>
      </c>
      <c r="G732" t="b">
        <f t="shared" si="38"/>
        <v>0</v>
      </c>
      <c r="H732" t="b">
        <f t="shared" si="39"/>
        <v>0</v>
      </c>
      <c r="I732" s="29">
        <f t="shared" si="40"/>
        <v>40543</v>
      </c>
    </row>
    <row r="733" spans="1:9" ht="12.75" customHeight="1" x14ac:dyDescent="0.2">
      <c r="A733" s="28">
        <v>40543</v>
      </c>
      <c r="B733" s="26" t="s">
        <v>1810</v>
      </c>
      <c r="C733" s="26" t="s">
        <v>9</v>
      </c>
      <c r="D733" s="35" t="s">
        <v>20</v>
      </c>
      <c r="E733" s="35" t="s">
        <v>20</v>
      </c>
      <c r="F733" s="35" t="s">
        <v>20</v>
      </c>
      <c r="G733" t="b">
        <f t="shared" si="38"/>
        <v>0</v>
      </c>
      <c r="H733" t="b">
        <f t="shared" si="39"/>
        <v>0</v>
      </c>
      <c r="I733" s="29">
        <f t="shared" si="40"/>
        <v>40543</v>
      </c>
    </row>
    <row r="734" spans="1:9" ht="12.75" customHeight="1" x14ac:dyDescent="0.2">
      <c r="A734" s="28">
        <v>40543</v>
      </c>
      <c r="B734" s="26" t="s">
        <v>399</v>
      </c>
      <c r="C734" s="26" t="s">
        <v>2779</v>
      </c>
      <c r="D734" s="35" t="s">
        <v>20</v>
      </c>
      <c r="E734" s="35" t="s">
        <v>20</v>
      </c>
      <c r="F734" s="35" t="s">
        <v>20</v>
      </c>
      <c r="G734" t="b">
        <f t="shared" si="38"/>
        <v>0</v>
      </c>
      <c r="H734" t="b">
        <f t="shared" si="39"/>
        <v>0</v>
      </c>
      <c r="I734" s="29">
        <f t="shared" si="40"/>
        <v>40543</v>
      </c>
    </row>
    <row r="735" spans="1:9" ht="12.75" customHeight="1" x14ac:dyDescent="0.2">
      <c r="A735" s="28">
        <v>40543</v>
      </c>
      <c r="B735" s="26" t="s">
        <v>2927</v>
      </c>
      <c r="C735" s="26" t="s">
        <v>9</v>
      </c>
      <c r="D735" s="35" t="s">
        <v>20</v>
      </c>
      <c r="E735" s="35" t="s">
        <v>20</v>
      </c>
      <c r="F735" s="35" t="s">
        <v>20</v>
      </c>
      <c r="G735" t="b">
        <f t="shared" si="38"/>
        <v>0</v>
      </c>
      <c r="H735" t="b">
        <f t="shared" si="39"/>
        <v>0</v>
      </c>
      <c r="I735" s="29">
        <f t="shared" si="40"/>
        <v>40543</v>
      </c>
    </row>
    <row r="736" spans="1:9" ht="12.75" customHeight="1" x14ac:dyDescent="0.2">
      <c r="A736" s="28">
        <v>40543</v>
      </c>
      <c r="B736" s="26" t="s">
        <v>2459</v>
      </c>
      <c r="C736" s="26" t="s">
        <v>9</v>
      </c>
      <c r="D736" s="35" t="s">
        <v>20</v>
      </c>
      <c r="E736" s="35" t="s">
        <v>20</v>
      </c>
      <c r="F736" s="35" t="s">
        <v>20</v>
      </c>
      <c r="G736" t="b">
        <f t="shared" si="38"/>
        <v>0</v>
      </c>
      <c r="H736" t="b">
        <f t="shared" si="39"/>
        <v>0</v>
      </c>
      <c r="I736" s="29">
        <f t="shared" si="40"/>
        <v>40543</v>
      </c>
    </row>
    <row r="737" spans="1:9" ht="12.75" customHeight="1" x14ac:dyDescent="0.2">
      <c r="A737" s="28">
        <v>40543</v>
      </c>
      <c r="B737" s="26" t="s">
        <v>2895</v>
      </c>
      <c r="C737" s="26" t="s">
        <v>9</v>
      </c>
      <c r="D737" s="35" t="s">
        <v>20</v>
      </c>
      <c r="E737" s="35" t="s">
        <v>20</v>
      </c>
      <c r="F737" s="35" t="s">
        <v>20</v>
      </c>
      <c r="G737" t="b">
        <f t="shared" si="38"/>
        <v>0</v>
      </c>
      <c r="H737" t="b">
        <f t="shared" si="39"/>
        <v>0</v>
      </c>
      <c r="I737" s="29">
        <f t="shared" si="40"/>
        <v>40543</v>
      </c>
    </row>
    <row r="738" spans="1:9" ht="12.75" customHeight="1" x14ac:dyDescent="0.2">
      <c r="A738" s="28">
        <v>40543</v>
      </c>
      <c r="B738" s="26" t="s">
        <v>1401</v>
      </c>
      <c r="C738" s="26" t="s">
        <v>3475</v>
      </c>
      <c r="D738" s="35" t="s">
        <v>20</v>
      </c>
      <c r="E738" s="35" t="s">
        <v>20</v>
      </c>
      <c r="F738" s="35" t="s">
        <v>20</v>
      </c>
      <c r="G738" t="b">
        <f t="shared" si="38"/>
        <v>0</v>
      </c>
      <c r="H738" t="b">
        <f t="shared" si="39"/>
        <v>0</v>
      </c>
      <c r="I738" s="29">
        <f t="shared" si="40"/>
        <v>40543</v>
      </c>
    </row>
    <row r="739" spans="1:9" ht="25.5" x14ac:dyDescent="0.2">
      <c r="A739" s="28">
        <v>40543</v>
      </c>
      <c r="B739" s="26" t="s">
        <v>1827</v>
      </c>
      <c r="C739" s="26" t="s">
        <v>9</v>
      </c>
      <c r="D739" s="35" t="s">
        <v>20</v>
      </c>
      <c r="E739" s="35" t="s">
        <v>20</v>
      </c>
      <c r="F739" s="35" t="s">
        <v>20</v>
      </c>
      <c r="G739" t="b">
        <f t="shared" si="38"/>
        <v>0</v>
      </c>
      <c r="H739" t="b">
        <f t="shared" si="39"/>
        <v>0</v>
      </c>
      <c r="I739" s="29">
        <f t="shared" si="40"/>
        <v>40543</v>
      </c>
    </row>
    <row r="740" spans="1:9" ht="12.75" customHeight="1" x14ac:dyDescent="0.2">
      <c r="A740" s="28">
        <v>40543</v>
      </c>
      <c r="B740" s="26" t="s">
        <v>3364</v>
      </c>
      <c r="C740" s="26" t="s">
        <v>9</v>
      </c>
      <c r="D740" s="35" t="s">
        <v>20</v>
      </c>
      <c r="E740" s="35" t="s">
        <v>20</v>
      </c>
      <c r="F740" s="35" t="s">
        <v>20</v>
      </c>
      <c r="G740" t="b">
        <f t="shared" si="38"/>
        <v>0</v>
      </c>
      <c r="H740" t="b">
        <f t="shared" si="39"/>
        <v>0</v>
      </c>
      <c r="I740" s="29">
        <f t="shared" si="40"/>
        <v>40543</v>
      </c>
    </row>
    <row r="741" spans="1:9" ht="12.75" customHeight="1" x14ac:dyDescent="0.2">
      <c r="A741" s="28">
        <v>40543</v>
      </c>
      <c r="B741" s="26" t="s">
        <v>455</v>
      </c>
      <c r="C741" s="26" t="s">
        <v>49</v>
      </c>
      <c r="D741" s="35" t="s">
        <v>20</v>
      </c>
      <c r="E741" s="35" t="s">
        <v>20</v>
      </c>
      <c r="F741" s="35">
        <v>4623807</v>
      </c>
      <c r="G741" t="b">
        <f t="shared" si="38"/>
        <v>0</v>
      </c>
      <c r="H741" t="b">
        <f t="shared" si="39"/>
        <v>0</v>
      </c>
      <c r="I741" s="29">
        <f t="shared" si="40"/>
        <v>40543</v>
      </c>
    </row>
    <row r="742" spans="1:9" ht="12.75" customHeight="1" x14ac:dyDescent="0.2">
      <c r="A742" s="28">
        <v>40543</v>
      </c>
      <c r="B742" s="26" t="s">
        <v>111</v>
      </c>
      <c r="C742" s="26" t="s">
        <v>384</v>
      </c>
      <c r="D742" s="35" t="s">
        <v>20</v>
      </c>
      <c r="E742" s="35" t="s">
        <v>20</v>
      </c>
      <c r="F742" s="35" t="s">
        <v>20</v>
      </c>
      <c r="G742" t="b">
        <f t="shared" si="38"/>
        <v>0</v>
      </c>
      <c r="H742" t="b">
        <f t="shared" si="39"/>
        <v>0</v>
      </c>
      <c r="I742" s="29">
        <f t="shared" si="40"/>
        <v>40543</v>
      </c>
    </row>
    <row r="743" spans="1:9" ht="12.75" customHeight="1" x14ac:dyDescent="0.2">
      <c r="A743" s="28">
        <v>40543</v>
      </c>
      <c r="B743" s="26" t="s">
        <v>1696</v>
      </c>
      <c r="C743" s="26" t="s">
        <v>9</v>
      </c>
      <c r="D743" s="35" t="s">
        <v>20</v>
      </c>
      <c r="E743" s="35" t="s">
        <v>20</v>
      </c>
      <c r="F743" s="35" t="s">
        <v>20</v>
      </c>
      <c r="G743" t="b">
        <f t="shared" si="38"/>
        <v>0</v>
      </c>
      <c r="H743" t="b">
        <f t="shared" si="39"/>
        <v>0</v>
      </c>
      <c r="I743" s="29">
        <f t="shared" si="40"/>
        <v>40543</v>
      </c>
    </row>
    <row r="744" spans="1:9" ht="12.75" customHeight="1" x14ac:dyDescent="0.2">
      <c r="A744" s="28">
        <v>40543</v>
      </c>
      <c r="B744" s="26" t="s">
        <v>986</v>
      </c>
      <c r="C744" s="26" t="s">
        <v>9</v>
      </c>
      <c r="D744" s="35" t="s">
        <v>20</v>
      </c>
      <c r="E744" s="35" t="s">
        <v>20</v>
      </c>
      <c r="F744" s="35" t="s">
        <v>20</v>
      </c>
      <c r="G744" t="b">
        <f t="shared" si="38"/>
        <v>0</v>
      </c>
      <c r="H744" t="b">
        <f t="shared" si="39"/>
        <v>0</v>
      </c>
      <c r="I744" s="29">
        <f t="shared" si="40"/>
        <v>40543</v>
      </c>
    </row>
    <row r="745" spans="1:9" ht="12.75" customHeight="1" x14ac:dyDescent="0.2">
      <c r="A745" s="28">
        <v>40543</v>
      </c>
      <c r="B745" s="26" t="s">
        <v>2030</v>
      </c>
      <c r="C745" s="26" t="s">
        <v>9</v>
      </c>
      <c r="D745" s="35" t="s">
        <v>20</v>
      </c>
      <c r="E745" s="35" t="s">
        <v>20</v>
      </c>
      <c r="F745" s="35" t="s">
        <v>20</v>
      </c>
      <c r="G745" t="b">
        <f t="shared" si="38"/>
        <v>0</v>
      </c>
      <c r="H745" t="b">
        <f t="shared" si="39"/>
        <v>0</v>
      </c>
      <c r="I745" s="29">
        <f t="shared" si="40"/>
        <v>40543</v>
      </c>
    </row>
    <row r="746" spans="1:9" ht="25.5" x14ac:dyDescent="0.2">
      <c r="A746" s="28">
        <v>40543</v>
      </c>
      <c r="B746" s="26" t="s">
        <v>590</v>
      </c>
      <c r="C746" s="26" t="s">
        <v>9</v>
      </c>
      <c r="D746" s="35" t="s">
        <v>20</v>
      </c>
      <c r="E746" s="35" t="s">
        <v>20</v>
      </c>
      <c r="F746" s="35" t="s">
        <v>20</v>
      </c>
      <c r="G746" t="b">
        <f t="shared" si="38"/>
        <v>0</v>
      </c>
      <c r="H746" t="b">
        <f t="shared" si="39"/>
        <v>0</v>
      </c>
      <c r="I746" s="29">
        <f t="shared" si="40"/>
        <v>40543</v>
      </c>
    </row>
    <row r="747" spans="1:9" ht="12.75" customHeight="1" x14ac:dyDescent="0.2">
      <c r="A747" s="28">
        <v>40543</v>
      </c>
      <c r="B747" s="26" t="s">
        <v>2849</v>
      </c>
      <c r="C747" s="26" t="s">
        <v>9</v>
      </c>
      <c r="D747" s="35" t="s">
        <v>20</v>
      </c>
      <c r="E747" s="35" t="s">
        <v>20</v>
      </c>
      <c r="F747" s="35" t="s">
        <v>20</v>
      </c>
      <c r="G747" t="b">
        <f t="shared" si="38"/>
        <v>0</v>
      </c>
      <c r="H747" t="b">
        <f t="shared" si="39"/>
        <v>0</v>
      </c>
      <c r="I747" s="29">
        <f t="shared" si="40"/>
        <v>40543</v>
      </c>
    </row>
    <row r="748" spans="1:9" ht="25.5" x14ac:dyDescent="0.2">
      <c r="A748" s="28">
        <v>40543</v>
      </c>
      <c r="B748" s="26" t="s">
        <v>2509</v>
      </c>
      <c r="C748" s="26" t="s">
        <v>9</v>
      </c>
      <c r="D748" s="35" t="s">
        <v>20</v>
      </c>
      <c r="E748" s="35" t="s">
        <v>20</v>
      </c>
      <c r="F748" s="35" t="s">
        <v>20</v>
      </c>
      <c r="G748" t="b">
        <f t="shared" si="38"/>
        <v>0</v>
      </c>
      <c r="H748" t="b">
        <f t="shared" si="39"/>
        <v>0</v>
      </c>
      <c r="I748" s="29">
        <f t="shared" si="40"/>
        <v>40543</v>
      </c>
    </row>
    <row r="749" spans="1:9" ht="12.75" customHeight="1" x14ac:dyDescent="0.2">
      <c r="A749" s="28">
        <v>40543</v>
      </c>
      <c r="B749" s="26" t="s">
        <v>1534</v>
      </c>
      <c r="C749" s="26" t="s">
        <v>2160</v>
      </c>
      <c r="D749" s="35" t="s">
        <v>20</v>
      </c>
      <c r="E749" s="35" t="s">
        <v>20</v>
      </c>
      <c r="F749" s="35" t="s">
        <v>20</v>
      </c>
      <c r="G749" t="b">
        <f t="shared" si="38"/>
        <v>0</v>
      </c>
      <c r="H749" t="b">
        <f t="shared" si="39"/>
        <v>0</v>
      </c>
      <c r="I749" s="29">
        <f t="shared" si="40"/>
        <v>40543</v>
      </c>
    </row>
    <row r="750" spans="1:9" ht="25.5" x14ac:dyDescent="0.2">
      <c r="A750" s="28">
        <v>40543</v>
      </c>
      <c r="B750" s="26" t="s">
        <v>196</v>
      </c>
      <c r="C750" s="26" t="s">
        <v>3390</v>
      </c>
      <c r="D750" s="35" t="s">
        <v>20</v>
      </c>
      <c r="E750" s="35" t="s">
        <v>20</v>
      </c>
      <c r="F750" s="35" t="s">
        <v>20</v>
      </c>
      <c r="G750" t="b">
        <f t="shared" si="38"/>
        <v>0</v>
      </c>
      <c r="H750" t="b">
        <f t="shared" si="39"/>
        <v>0</v>
      </c>
      <c r="I750" s="29">
        <f t="shared" si="40"/>
        <v>40543</v>
      </c>
    </row>
    <row r="751" spans="1:9" ht="12.75" customHeight="1" x14ac:dyDescent="0.2">
      <c r="A751" s="28">
        <v>40543</v>
      </c>
      <c r="B751" s="26" t="s">
        <v>1026</v>
      </c>
      <c r="C751" s="26" t="s">
        <v>2779</v>
      </c>
      <c r="D751" s="35" t="s">
        <v>20</v>
      </c>
      <c r="E751" s="35" t="s">
        <v>20</v>
      </c>
      <c r="F751" s="35" t="s">
        <v>20</v>
      </c>
      <c r="G751" t="b">
        <f t="shared" si="38"/>
        <v>0</v>
      </c>
      <c r="H751" t="b">
        <f t="shared" si="39"/>
        <v>0</v>
      </c>
      <c r="I751" s="29">
        <f t="shared" si="40"/>
        <v>40543</v>
      </c>
    </row>
    <row r="752" spans="1:9" ht="12.75" customHeight="1" x14ac:dyDescent="0.2">
      <c r="A752" s="28">
        <v>40543</v>
      </c>
      <c r="B752" s="26" t="s">
        <v>3046</v>
      </c>
      <c r="C752" s="26" t="s">
        <v>384</v>
      </c>
      <c r="D752" s="35" t="s">
        <v>20</v>
      </c>
      <c r="E752" s="35" t="s">
        <v>20</v>
      </c>
      <c r="F752" s="35" t="s">
        <v>20</v>
      </c>
      <c r="G752" t="b">
        <f t="shared" si="38"/>
        <v>0</v>
      </c>
      <c r="H752" t="b">
        <f t="shared" si="39"/>
        <v>0</v>
      </c>
      <c r="I752" s="29">
        <f t="shared" si="40"/>
        <v>40543</v>
      </c>
    </row>
    <row r="753" spans="1:9" ht="25.5" x14ac:dyDescent="0.2">
      <c r="A753" s="28">
        <v>40543</v>
      </c>
      <c r="B753" s="26" t="s">
        <v>2241</v>
      </c>
      <c r="C753" s="26" t="s">
        <v>2168</v>
      </c>
      <c r="D753" s="35" t="s">
        <v>20</v>
      </c>
      <c r="E753" s="35" t="s">
        <v>20</v>
      </c>
      <c r="F753" s="35" t="s">
        <v>20</v>
      </c>
      <c r="G753" t="b">
        <f t="shared" si="38"/>
        <v>0</v>
      </c>
      <c r="H753" t="b">
        <f t="shared" si="39"/>
        <v>0</v>
      </c>
      <c r="I753" s="29">
        <f t="shared" si="40"/>
        <v>40543</v>
      </c>
    </row>
    <row r="754" spans="1:9" ht="12.75" customHeight="1" x14ac:dyDescent="0.2">
      <c r="A754" s="28">
        <v>40543</v>
      </c>
      <c r="B754" s="26" t="s">
        <v>157</v>
      </c>
      <c r="C754" s="26" t="s">
        <v>3209</v>
      </c>
      <c r="D754" s="35" t="s">
        <v>20</v>
      </c>
      <c r="E754" s="35" t="s">
        <v>20</v>
      </c>
      <c r="F754" s="35" t="s">
        <v>20</v>
      </c>
      <c r="G754" t="b">
        <f t="shared" si="38"/>
        <v>0</v>
      </c>
      <c r="H754" t="b">
        <f t="shared" si="39"/>
        <v>0</v>
      </c>
      <c r="I754" s="29">
        <f t="shared" si="40"/>
        <v>40543</v>
      </c>
    </row>
    <row r="755" spans="1:9" ht="38.25" x14ac:dyDescent="0.2">
      <c r="A755" s="28">
        <v>40543</v>
      </c>
      <c r="B755" s="26" t="s">
        <v>2144</v>
      </c>
      <c r="C755" s="26" t="s">
        <v>9</v>
      </c>
      <c r="D755" s="35" t="s">
        <v>20</v>
      </c>
      <c r="E755" s="35" t="s">
        <v>20</v>
      </c>
      <c r="F755" s="35">
        <v>687832</v>
      </c>
      <c r="G755" t="b">
        <f t="shared" si="38"/>
        <v>0</v>
      </c>
      <c r="H755" t="b">
        <f t="shared" si="39"/>
        <v>0</v>
      </c>
      <c r="I755" s="29">
        <f t="shared" si="40"/>
        <v>40543</v>
      </c>
    </row>
    <row r="756" spans="1:9" ht="25.5" x14ac:dyDescent="0.2">
      <c r="A756" s="28">
        <v>40543</v>
      </c>
      <c r="B756" s="26" t="s">
        <v>1877</v>
      </c>
      <c r="C756" s="26" t="s">
        <v>9</v>
      </c>
      <c r="D756" s="35" t="s">
        <v>20</v>
      </c>
      <c r="E756" s="35" t="s">
        <v>20</v>
      </c>
      <c r="F756" s="35" t="s">
        <v>20</v>
      </c>
      <c r="G756" t="b">
        <f t="shared" si="38"/>
        <v>0</v>
      </c>
      <c r="H756" t="b">
        <f t="shared" si="39"/>
        <v>0</v>
      </c>
      <c r="I756" s="29">
        <f t="shared" si="40"/>
        <v>40543</v>
      </c>
    </row>
    <row r="757" spans="1:9" ht="12.75" customHeight="1" x14ac:dyDescent="0.2">
      <c r="A757" s="28">
        <v>40543</v>
      </c>
      <c r="B757" s="26" t="s">
        <v>1092</v>
      </c>
      <c r="C757" s="26" t="s">
        <v>9</v>
      </c>
      <c r="D757" s="35" t="s">
        <v>20</v>
      </c>
      <c r="E757" s="35" t="s">
        <v>20</v>
      </c>
      <c r="F757" s="35" t="s">
        <v>20</v>
      </c>
      <c r="G757" t="b">
        <f t="shared" si="38"/>
        <v>0</v>
      </c>
      <c r="H757" t="b">
        <f t="shared" si="39"/>
        <v>0</v>
      </c>
      <c r="I757" s="29">
        <f t="shared" si="40"/>
        <v>40543</v>
      </c>
    </row>
    <row r="758" spans="1:9" ht="12.75" customHeight="1" x14ac:dyDescent="0.2">
      <c r="A758" s="28">
        <v>40543</v>
      </c>
      <c r="B758" s="26" t="s">
        <v>3165</v>
      </c>
      <c r="C758" s="26" t="s">
        <v>9</v>
      </c>
      <c r="D758" s="35" t="s">
        <v>20</v>
      </c>
      <c r="E758" s="35" t="s">
        <v>20</v>
      </c>
      <c r="F758" s="35" t="s">
        <v>20</v>
      </c>
      <c r="G758" t="b">
        <f t="shared" si="38"/>
        <v>0</v>
      </c>
      <c r="H758" t="b">
        <f t="shared" si="39"/>
        <v>0</v>
      </c>
      <c r="I758" s="29">
        <f t="shared" si="40"/>
        <v>40543</v>
      </c>
    </row>
    <row r="759" spans="1:9" ht="12.75" customHeight="1" x14ac:dyDescent="0.2">
      <c r="A759" s="28">
        <v>40543</v>
      </c>
      <c r="B759" s="26" t="s">
        <v>319</v>
      </c>
      <c r="C759" s="26" t="s">
        <v>9</v>
      </c>
      <c r="D759" s="35" t="s">
        <v>20</v>
      </c>
      <c r="E759" s="35" t="s">
        <v>20</v>
      </c>
      <c r="F759" s="35" t="s">
        <v>20</v>
      </c>
      <c r="G759" t="b">
        <f t="shared" si="38"/>
        <v>0</v>
      </c>
      <c r="H759" t="b">
        <f t="shared" si="39"/>
        <v>0</v>
      </c>
      <c r="I759" s="29">
        <f t="shared" si="40"/>
        <v>40543</v>
      </c>
    </row>
    <row r="760" spans="1:9" x14ac:dyDescent="0.2">
      <c r="A760" s="28">
        <v>40543</v>
      </c>
      <c r="B760" s="26" t="s">
        <v>1007</v>
      </c>
      <c r="C760" s="26" t="s">
        <v>9</v>
      </c>
      <c r="D760" s="35" t="s">
        <v>20</v>
      </c>
      <c r="E760" s="35" t="s">
        <v>20</v>
      </c>
      <c r="F760" s="35" t="s">
        <v>20</v>
      </c>
      <c r="G760" t="b">
        <f t="shared" si="38"/>
        <v>0</v>
      </c>
      <c r="H760" t="b">
        <f t="shared" si="39"/>
        <v>0</v>
      </c>
      <c r="I760" s="29">
        <f t="shared" si="40"/>
        <v>40543</v>
      </c>
    </row>
    <row r="761" spans="1:9" ht="12.75" customHeight="1" x14ac:dyDescent="0.2">
      <c r="A761" s="28">
        <v>40543</v>
      </c>
      <c r="B761" s="26" t="s">
        <v>17</v>
      </c>
      <c r="C761" s="26" t="s">
        <v>9</v>
      </c>
      <c r="D761" s="35" t="s">
        <v>20</v>
      </c>
      <c r="E761" s="35" t="s">
        <v>20</v>
      </c>
      <c r="F761" s="35" t="s">
        <v>20</v>
      </c>
      <c r="G761" t="b">
        <f t="shared" si="38"/>
        <v>0</v>
      </c>
      <c r="H761" t="b">
        <f t="shared" si="39"/>
        <v>0</v>
      </c>
      <c r="I761" s="29">
        <f t="shared" si="40"/>
        <v>40543</v>
      </c>
    </row>
    <row r="762" spans="1:9" ht="12.75" customHeight="1" x14ac:dyDescent="0.2">
      <c r="A762" s="28">
        <v>40543</v>
      </c>
      <c r="B762" s="26" t="s">
        <v>1147</v>
      </c>
      <c r="C762" s="26" t="s">
        <v>9</v>
      </c>
      <c r="D762" s="35" t="s">
        <v>20</v>
      </c>
      <c r="E762" s="35" t="s">
        <v>20</v>
      </c>
      <c r="F762" s="35" t="s">
        <v>20</v>
      </c>
      <c r="G762" t="b">
        <f t="shared" si="38"/>
        <v>0</v>
      </c>
      <c r="H762" t="b">
        <f t="shared" si="39"/>
        <v>0</v>
      </c>
      <c r="I762" s="29">
        <f t="shared" si="40"/>
        <v>40543</v>
      </c>
    </row>
    <row r="763" spans="1:9" ht="12.75" customHeight="1" x14ac:dyDescent="0.2">
      <c r="A763" s="28">
        <v>40543</v>
      </c>
      <c r="B763" s="26" t="s">
        <v>1507</v>
      </c>
      <c r="C763" s="26" t="s">
        <v>9</v>
      </c>
      <c r="D763" s="35" t="s">
        <v>20</v>
      </c>
      <c r="E763" s="35" t="s">
        <v>20</v>
      </c>
      <c r="F763" s="35" t="s">
        <v>20</v>
      </c>
      <c r="G763" t="b">
        <f t="shared" si="38"/>
        <v>0</v>
      </c>
      <c r="H763" t="b">
        <f t="shared" si="39"/>
        <v>0</v>
      </c>
      <c r="I763" s="29">
        <f t="shared" si="40"/>
        <v>40543</v>
      </c>
    </row>
    <row r="764" spans="1:9" ht="12.75" customHeight="1" x14ac:dyDescent="0.2">
      <c r="A764" s="28">
        <v>40543</v>
      </c>
      <c r="B764" s="26" t="s">
        <v>1867</v>
      </c>
      <c r="C764" s="26" t="s">
        <v>9</v>
      </c>
      <c r="D764" s="35" t="s">
        <v>20</v>
      </c>
      <c r="E764" s="35" t="s">
        <v>20</v>
      </c>
      <c r="F764" s="35" t="s">
        <v>20</v>
      </c>
      <c r="G764" t="b">
        <f t="shared" si="38"/>
        <v>0</v>
      </c>
      <c r="H764" t="b">
        <f t="shared" si="39"/>
        <v>0</v>
      </c>
      <c r="I764" s="29">
        <f t="shared" si="40"/>
        <v>40543</v>
      </c>
    </row>
    <row r="765" spans="1:9" ht="12.75" customHeight="1" x14ac:dyDescent="0.2">
      <c r="A765" s="28">
        <v>40543</v>
      </c>
      <c r="B765" s="26" t="s">
        <v>1911</v>
      </c>
      <c r="C765" s="26" t="s">
        <v>9</v>
      </c>
      <c r="D765" s="35" t="s">
        <v>20</v>
      </c>
      <c r="E765" s="35" t="s">
        <v>20</v>
      </c>
      <c r="F765" s="35" t="s">
        <v>20</v>
      </c>
      <c r="G765" t="b">
        <f t="shared" si="38"/>
        <v>0</v>
      </c>
      <c r="H765" t="b">
        <f t="shared" si="39"/>
        <v>0</v>
      </c>
      <c r="I765" s="29">
        <f t="shared" si="40"/>
        <v>40543</v>
      </c>
    </row>
    <row r="766" spans="1:9" ht="12.75" customHeight="1" x14ac:dyDescent="0.2">
      <c r="A766" s="28">
        <v>40543</v>
      </c>
      <c r="B766" s="26" t="s">
        <v>2622</v>
      </c>
      <c r="C766" s="26" t="s">
        <v>9</v>
      </c>
      <c r="D766" s="35" t="s">
        <v>20</v>
      </c>
      <c r="E766" s="35" t="s">
        <v>20</v>
      </c>
      <c r="F766" s="35" t="s">
        <v>20</v>
      </c>
      <c r="G766" t="b">
        <f t="shared" si="38"/>
        <v>0</v>
      </c>
      <c r="H766" t="b">
        <f t="shared" si="39"/>
        <v>0</v>
      </c>
      <c r="I766" s="29">
        <f t="shared" si="40"/>
        <v>40543</v>
      </c>
    </row>
    <row r="767" spans="1:9" ht="12.75" customHeight="1" x14ac:dyDescent="0.2">
      <c r="A767" s="28">
        <v>40543</v>
      </c>
      <c r="B767" s="26" t="s">
        <v>2218</v>
      </c>
      <c r="C767" s="26" t="s">
        <v>9</v>
      </c>
      <c r="D767" s="35" t="s">
        <v>20</v>
      </c>
      <c r="E767" s="35" t="s">
        <v>20</v>
      </c>
      <c r="F767" s="35" t="s">
        <v>20</v>
      </c>
      <c r="G767" t="b">
        <f t="shared" si="38"/>
        <v>0</v>
      </c>
      <c r="H767" t="b">
        <f t="shared" si="39"/>
        <v>0</v>
      </c>
      <c r="I767" s="29">
        <f t="shared" si="40"/>
        <v>40543</v>
      </c>
    </row>
    <row r="768" spans="1:9" ht="12.75" customHeight="1" x14ac:dyDescent="0.2">
      <c r="A768" s="28">
        <v>40543</v>
      </c>
      <c r="B768" s="26" t="s">
        <v>2744</v>
      </c>
      <c r="C768" s="26" t="s">
        <v>9</v>
      </c>
      <c r="D768" s="35" t="s">
        <v>20</v>
      </c>
      <c r="E768" s="35" t="s">
        <v>20</v>
      </c>
      <c r="F768" s="35" t="s">
        <v>20</v>
      </c>
      <c r="G768" t="b">
        <f t="shared" si="38"/>
        <v>0</v>
      </c>
      <c r="H768" t="b">
        <f t="shared" si="39"/>
        <v>0</v>
      </c>
      <c r="I768" s="29">
        <f t="shared" si="40"/>
        <v>40543</v>
      </c>
    </row>
    <row r="769" spans="1:9" ht="12.75" customHeight="1" x14ac:dyDescent="0.2">
      <c r="A769" s="28">
        <v>40543</v>
      </c>
      <c r="B769" s="26" t="s">
        <v>3060</v>
      </c>
      <c r="C769" s="26" t="s">
        <v>9</v>
      </c>
      <c r="D769" s="35" t="s">
        <v>20</v>
      </c>
      <c r="E769" s="35" t="s">
        <v>20</v>
      </c>
      <c r="F769" s="35" t="s">
        <v>20</v>
      </c>
      <c r="G769" t="b">
        <f t="shared" si="38"/>
        <v>0</v>
      </c>
      <c r="H769" t="b">
        <f t="shared" si="39"/>
        <v>0</v>
      </c>
      <c r="I769" s="29">
        <f t="shared" si="40"/>
        <v>40543</v>
      </c>
    </row>
    <row r="770" spans="1:9" ht="12.75" customHeight="1" x14ac:dyDescent="0.2">
      <c r="A770" s="28">
        <v>40543</v>
      </c>
      <c r="B770" s="26" t="s">
        <v>3445</v>
      </c>
      <c r="C770" s="26" t="s">
        <v>9</v>
      </c>
      <c r="D770" s="35" t="s">
        <v>20</v>
      </c>
      <c r="E770" s="35" t="s">
        <v>20</v>
      </c>
      <c r="F770" s="35" t="s">
        <v>20</v>
      </c>
      <c r="G770" t="b">
        <f t="shared" si="38"/>
        <v>0</v>
      </c>
      <c r="H770" t="b">
        <f t="shared" si="39"/>
        <v>0</v>
      </c>
      <c r="I770" s="29">
        <f t="shared" si="40"/>
        <v>40543</v>
      </c>
    </row>
    <row r="771" spans="1:9" ht="12.75" customHeight="1" x14ac:dyDescent="0.2">
      <c r="A771" s="28">
        <v>40543</v>
      </c>
      <c r="B771" s="26" t="s">
        <v>857</v>
      </c>
      <c r="C771" s="26" t="s">
        <v>2779</v>
      </c>
      <c r="D771" s="35" t="s">
        <v>20</v>
      </c>
      <c r="E771" s="35" t="s">
        <v>20</v>
      </c>
      <c r="F771" s="35" t="s">
        <v>20</v>
      </c>
      <c r="G771" t="b">
        <f t="shared" si="38"/>
        <v>0</v>
      </c>
      <c r="H771" t="b">
        <f t="shared" si="39"/>
        <v>0</v>
      </c>
      <c r="I771" s="29">
        <f t="shared" si="40"/>
        <v>40543</v>
      </c>
    </row>
    <row r="772" spans="1:9" ht="12.75" customHeight="1" x14ac:dyDescent="0.2">
      <c r="A772" s="28">
        <v>40543</v>
      </c>
      <c r="B772" s="26" t="s">
        <v>2610</v>
      </c>
      <c r="C772" s="26" t="s">
        <v>9</v>
      </c>
      <c r="D772" s="35" t="s">
        <v>20</v>
      </c>
      <c r="E772" s="35" t="s">
        <v>20</v>
      </c>
      <c r="F772" s="35" t="s">
        <v>20</v>
      </c>
      <c r="G772" t="b">
        <f t="shared" si="38"/>
        <v>0</v>
      </c>
      <c r="H772" t="b">
        <f t="shared" si="39"/>
        <v>0</v>
      </c>
      <c r="I772" s="29">
        <f t="shared" si="40"/>
        <v>40543</v>
      </c>
    </row>
    <row r="773" spans="1:9" ht="12.75" customHeight="1" x14ac:dyDescent="0.2">
      <c r="A773" s="28">
        <v>40543</v>
      </c>
      <c r="B773" s="26" t="s">
        <v>315</v>
      </c>
      <c r="C773" s="26" t="s">
        <v>9</v>
      </c>
      <c r="D773" s="35" t="s">
        <v>20</v>
      </c>
      <c r="E773" s="35" t="s">
        <v>20</v>
      </c>
      <c r="F773" s="35" t="s">
        <v>20</v>
      </c>
      <c r="G773" t="b">
        <f t="shared" si="38"/>
        <v>0</v>
      </c>
      <c r="H773" t="b">
        <f t="shared" si="39"/>
        <v>0</v>
      </c>
      <c r="I773" s="29">
        <f t="shared" si="40"/>
        <v>40543</v>
      </c>
    </row>
    <row r="774" spans="1:9" ht="12.75" customHeight="1" x14ac:dyDescent="0.2">
      <c r="A774" s="28">
        <v>40543</v>
      </c>
      <c r="B774" s="26" t="s">
        <v>1272</v>
      </c>
      <c r="C774" s="26" t="s">
        <v>9</v>
      </c>
      <c r="D774" s="35" t="s">
        <v>20</v>
      </c>
      <c r="E774" s="35" t="s">
        <v>20</v>
      </c>
      <c r="F774" s="35">
        <v>3181152</v>
      </c>
      <c r="G774" t="b">
        <f t="shared" si="38"/>
        <v>0</v>
      </c>
      <c r="H774" t="b">
        <f t="shared" si="39"/>
        <v>0</v>
      </c>
      <c r="I774" s="29">
        <f t="shared" si="40"/>
        <v>40543</v>
      </c>
    </row>
    <row r="775" spans="1:9" ht="12.75" customHeight="1" x14ac:dyDescent="0.2">
      <c r="A775" s="28">
        <v>40543</v>
      </c>
      <c r="B775" s="26" t="s">
        <v>1024</v>
      </c>
      <c r="C775" s="26" t="s">
        <v>9</v>
      </c>
      <c r="D775" s="35" t="s">
        <v>20</v>
      </c>
      <c r="E775" s="35" t="s">
        <v>20</v>
      </c>
      <c r="F775" s="35" t="s">
        <v>20</v>
      </c>
      <c r="G775" t="b">
        <f t="shared" si="38"/>
        <v>0</v>
      </c>
      <c r="H775" t="b">
        <f t="shared" si="39"/>
        <v>0</v>
      </c>
      <c r="I775" s="29">
        <f t="shared" si="40"/>
        <v>40543</v>
      </c>
    </row>
    <row r="776" spans="1:9" ht="12.75" customHeight="1" x14ac:dyDescent="0.2">
      <c r="A776" s="28">
        <v>40543</v>
      </c>
      <c r="B776" s="26" t="s">
        <v>1265</v>
      </c>
      <c r="C776" s="26" t="s">
        <v>9</v>
      </c>
      <c r="D776" s="35" t="s">
        <v>20</v>
      </c>
      <c r="E776" s="35" t="s">
        <v>20</v>
      </c>
      <c r="F776" s="35" t="s">
        <v>20</v>
      </c>
      <c r="G776" t="b">
        <f t="shared" si="38"/>
        <v>0</v>
      </c>
      <c r="H776" t="b">
        <f t="shared" si="39"/>
        <v>0</v>
      </c>
      <c r="I776" s="29">
        <f t="shared" si="40"/>
        <v>40543</v>
      </c>
    </row>
    <row r="777" spans="1:9" ht="25.5" x14ac:dyDescent="0.2">
      <c r="A777" s="28">
        <v>40543</v>
      </c>
      <c r="B777" s="26" t="s">
        <v>615</v>
      </c>
      <c r="C777" s="26" t="s">
        <v>9</v>
      </c>
      <c r="D777" s="35" t="s">
        <v>20</v>
      </c>
      <c r="E777" s="35" t="s">
        <v>20</v>
      </c>
      <c r="F777" s="35" t="s">
        <v>20</v>
      </c>
      <c r="G777" t="b">
        <f t="shared" si="38"/>
        <v>0</v>
      </c>
      <c r="H777" t="b">
        <f t="shared" si="39"/>
        <v>0</v>
      </c>
      <c r="I777" s="29">
        <f t="shared" si="40"/>
        <v>40543</v>
      </c>
    </row>
    <row r="778" spans="1:9" ht="25.5" x14ac:dyDescent="0.2">
      <c r="A778" s="28">
        <v>40543</v>
      </c>
      <c r="B778" s="26" t="s">
        <v>426</v>
      </c>
      <c r="C778" s="26" t="s">
        <v>9</v>
      </c>
      <c r="D778" s="35" t="s">
        <v>20</v>
      </c>
      <c r="E778" s="35" t="s">
        <v>20</v>
      </c>
      <c r="F778" s="35" t="s">
        <v>20</v>
      </c>
      <c r="G778" t="b">
        <f t="shared" si="38"/>
        <v>0</v>
      </c>
      <c r="H778" t="b">
        <f t="shared" si="39"/>
        <v>0</v>
      </c>
      <c r="I778" s="29">
        <f t="shared" si="40"/>
        <v>40543</v>
      </c>
    </row>
    <row r="779" spans="1:9" ht="25.5" x14ac:dyDescent="0.2">
      <c r="A779" s="28">
        <v>40543</v>
      </c>
      <c r="B779" s="26" t="s">
        <v>237</v>
      </c>
      <c r="C779" s="26" t="s">
        <v>9</v>
      </c>
      <c r="D779" s="35" t="s">
        <v>20</v>
      </c>
      <c r="E779" s="35" t="s">
        <v>20</v>
      </c>
      <c r="F779" s="35" t="s">
        <v>20</v>
      </c>
      <c r="G779" t="b">
        <f t="shared" si="38"/>
        <v>0</v>
      </c>
      <c r="H779" t="b">
        <f t="shared" si="39"/>
        <v>0</v>
      </c>
      <c r="I779" s="29">
        <f t="shared" si="40"/>
        <v>40543</v>
      </c>
    </row>
    <row r="780" spans="1:9" ht="12.75" customHeight="1" x14ac:dyDescent="0.2">
      <c r="A780" s="28">
        <v>40543</v>
      </c>
      <c r="B780" s="26" t="s">
        <v>485</v>
      </c>
      <c r="C780" s="26" t="s">
        <v>9</v>
      </c>
      <c r="D780" s="35" t="s">
        <v>20</v>
      </c>
      <c r="E780" s="35" t="s">
        <v>20</v>
      </c>
      <c r="F780" s="35" t="s">
        <v>20</v>
      </c>
      <c r="G780" t="b">
        <f t="shared" si="38"/>
        <v>0</v>
      </c>
      <c r="H780" t="b">
        <f t="shared" si="39"/>
        <v>0</v>
      </c>
      <c r="I780" s="29">
        <f t="shared" si="40"/>
        <v>40543</v>
      </c>
    </row>
    <row r="781" spans="1:9" ht="25.5" x14ac:dyDescent="0.2">
      <c r="A781" s="28">
        <v>40543</v>
      </c>
      <c r="B781" s="26" t="s">
        <v>3183</v>
      </c>
      <c r="C781" s="26" t="s">
        <v>9</v>
      </c>
      <c r="D781" s="35" t="s">
        <v>20</v>
      </c>
      <c r="E781" s="35" t="s">
        <v>20</v>
      </c>
      <c r="F781" s="35" t="s">
        <v>20</v>
      </c>
      <c r="G781" t="b">
        <f t="shared" si="38"/>
        <v>0</v>
      </c>
      <c r="H781" t="b">
        <f t="shared" si="39"/>
        <v>0</v>
      </c>
      <c r="I781" s="29">
        <f t="shared" si="40"/>
        <v>40543</v>
      </c>
    </row>
    <row r="782" spans="1:9" ht="25.5" x14ac:dyDescent="0.2">
      <c r="A782" s="28">
        <v>40543</v>
      </c>
      <c r="B782" s="26" t="s">
        <v>2966</v>
      </c>
      <c r="C782" s="26" t="s">
        <v>9</v>
      </c>
      <c r="D782" s="35" t="s">
        <v>20</v>
      </c>
      <c r="E782" s="35" t="s">
        <v>20</v>
      </c>
      <c r="F782" s="35" t="s">
        <v>20</v>
      </c>
      <c r="G782" t="b">
        <f t="shared" si="38"/>
        <v>0</v>
      </c>
      <c r="H782" t="b">
        <f t="shared" si="39"/>
        <v>0</v>
      </c>
      <c r="I782" s="29">
        <f t="shared" si="40"/>
        <v>40543</v>
      </c>
    </row>
    <row r="783" spans="1:9" ht="12.75" customHeight="1" x14ac:dyDescent="0.2">
      <c r="A783" s="28">
        <v>40543</v>
      </c>
      <c r="B783" s="26" t="s">
        <v>3076</v>
      </c>
      <c r="C783" s="26" t="s">
        <v>9</v>
      </c>
      <c r="D783" s="35" t="s">
        <v>20</v>
      </c>
      <c r="E783" s="35" t="s">
        <v>20</v>
      </c>
      <c r="F783" s="35" t="s">
        <v>20</v>
      </c>
      <c r="G783" t="b">
        <f t="shared" si="38"/>
        <v>0</v>
      </c>
      <c r="H783" t="b">
        <f t="shared" si="39"/>
        <v>0</v>
      </c>
      <c r="I783" s="29">
        <f t="shared" si="40"/>
        <v>40543</v>
      </c>
    </row>
    <row r="784" spans="1:9" x14ac:dyDescent="0.2">
      <c r="A784" s="28">
        <v>40543</v>
      </c>
      <c r="B784" s="26" t="s">
        <v>2142</v>
      </c>
      <c r="C784" s="26" t="s">
        <v>9</v>
      </c>
      <c r="D784" s="35" t="s">
        <v>20</v>
      </c>
      <c r="E784" s="35" t="s">
        <v>20</v>
      </c>
      <c r="F784" s="35" t="s">
        <v>20</v>
      </c>
      <c r="G784" t="b">
        <f t="shared" si="38"/>
        <v>0</v>
      </c>
      <c r="H784" t="b">
        <f t="shared" si="39"/>
        <v>0</v>
      </c>
      <c r="I784" s="29">
        <f t="shared" si="40"/>
        <v>40543</v>
      </c>
    </row>
    <row r="785" spans="1:9" ht="12.75" customHeight="1" x14ac:dyDescent="0.2">
      <c r="A785" s="28">
        <v>40543</v>
      </c>
      <c r="B785" s="26" t="s">
        <v>2864</v>
      </c>
      <c r="C785" s="26" t="s">
        <v>9</v>
      </c>
      <c r="D785" s="35" t="s">
        <v>20</v>
      </c>
      <c r="E785" s="35" t="s">
        <v>20</v>
      </c>
      <c r="F785" s="35" t="s">
        <v>20</v>
      </c>
      <c r="G785" t="b">
        <f t="shared" si="38"/>
        <v>0</v>
      </c>
      <c r="H785" t="b">
        <f t="shared" si="39"/>
        <v>0</v>
      </c>
      <c r="I785" s="29">
        <f t="shared" si="40"/>
        <v>40543</v>
      </c>
    </row>
    <row r="786" spans="1:9" ht="12.75" customHeight="1" x14ac:dyDescent="0.2">
      <c r="A786" s="28">
        <v>40543</v>
      </c>
      <c r="B786" s="26" t="s">
        <v>2034</v>
      </c>
      <c r="C786" s="26" t="s">
        <v>9</v>
      </c>
      <c r="D786" s="35" t="s">
        <v>20</v>
      </c>
      <c r="E786" s="35" t="s">
        <v>20</v>
      </c>
      <c r="F786" s="35" t="s">
        <v>20</v>
      </c>
      <c r="G786" t="b">
        <f t="shared" si="38"/>
        <v>0</v>
      </c>
      <c r="H786" t="b">
        <f t="shared" si="39"/>
        <v>0</v>
      </c>
      <c r="I786" s="29">
        <f t="shared" si="40"/>
        <v>40543</v>
      </c>
    </row>
    <row r="787" spans="1:9" ht="12.75" customHeight="1" x14ac:dyDescent="0.2">
      <c r="A787" s="28">
        <v>40543</v>
      </c>
      <c r="B787" s="26" t="s">
        <v>1586</v>
      </c>
      <c r="C787" s="26" t="s">
        <v>9</v>
      </c>
      <c r="D787" s="35" t="s">
        <v>20</v>
      </c>
      <c r="E787" s="35" t="s">
        <v>20</v>
      </c>
      <c r="F787" s="35" t="s">
        <v>20</v>
      </c>
      <c r="G787" t="b">
        <f t="shared" ref="G787:G850" si="41">ISBLANK(A787)</f>
        <v>0</v>
      </c>
      <c r="H787" t="b">
        <f t="shared" ref="H787:H850" si="42">ISTEXT(A787)</f>
        <v>0</v>
      </c>
      <c r="I787" s="29">
        <f t="shared" ref="I787:I850" si="43">DATE(2010,MONTH(A787), DAY(A787))</f>
        <v>40543</v>
      </c>
    </row>
    <row r="788" spans="1:9" ht="25.5" x14ac:dyDescent="0.2">
      <c r="A788" s="28">
        <v>40543</v>
      </c>
      <c r="B788" s="26" t="s">
        <v>2687</v>
      </c>
      <c r="C788" s="26" t="s">
        <v>9</v>
      </c>
      <c r="D788" s="35" t="s">
        <v>20</v>
      </c>
      <c r="E788" s="35" t="s">
        <v>20</v>
      </c>
      <c r="F788" s="35" t="s">
        <v>20</v>
      </c>
      <c r="G788" t="b">
        <f t="shared" si="41"/>
        <v>0</v>
      </c>
      <c r="H788" t="b">
        <f t="shared" si="42"/>
        <v>0</v>
      </c>
      <c r="I788" s="29">
        <f t="shared" si="43"/>
        <v>40543</v>
      </c>
    </row>
    <row r="789" spans="1:9" ht="12.75" customHeight="1" x14ac:dyDescent="0.2">
      <c r="A789" s="28">
        <v>40543</v>
      </c>
      <c r="B789" s="26" t="s">
        <v>3249</v>
      </c>
      <c r="C789" s="26" t="s">
        <v>9</v>
      </c>
      <c r="D789" s="35" t="s">
        <v>20</v>
      </c>
      <c r="E789" s="35" t="s">
        <v>20</v>
      </c>
      <c r="F789" s="35" t="s">
        <v>20</v>
      </c>
      <c r="G789" t="b">
        <f t="shared" si="41"/>
        <v>0</v>
      </c>
      <c r="H789" t="b">
        <f t="shared" si="42"/>
        <v>0</v>
      </c>
      <c r="I789" s="29">
        <f t="shared" si="43"/>
        <v>40543</v>
      </c>
    </row>
    <row r="790" spans="1:9" ht="12.75" customHeight="1" x14ac:dyDescent="0.2">
      <c r="A790" s="28">
        <v>40543</v>
      </c>
      <c r="B790" s="26" t="s">
        <v>1764</v>
      </c>
      <c r="C790" s="26" t="s">
        <v>9</v>
      </c>
      <c r="D790" s="35" t="s">
        <v>20</v>
      </c>
      <c r="E790" s="35" t="s">
        <v>20</v>
      </c>
      <c r="F790" s="35" t="s">
        <v>20</v>
      </c>
      <c r="G790" t="b">
        <f t="shared" si="41"/>
        <v>0</v>
      </c>
      <c r="H790" t="b">
        <f t="shared" si="42"/>
        <v>0</v>
      </c>
      <c r="I790" s="29">
        <f t="shared" si="43"/>
        <v>40543</v>
      </c>
    </row>
    <row r="791" spans="1:9" ht="25.5" x14ac:dyDescent="0.2">
      <c r="A791" s="28">
        <v>40543</v>
      </c>
      <c r="B791" s="26" t="s">
        <v>777</v>
      </c>
      <c r="C791" s="26" t="s">
        <v>9</v>
      </c>
      <c r="D791" s="35" t="s">
        <v>20</v>
      </c>
      <c r="E791" s="35" t="s">
        <v>20</v>
      </c>
      <c r="F791" s="35" t="s">
        <v>20</v>
      </c>
      <c r="G791" t="b">
        <f t="shared" si="41"/>
        <v>0</v>
      </c>
      <c r="H791" t="b">
        <f t="shared" si="42"/>
        <v>0</v>
      </c>
      <c r="I791" s="29">
        <f t="shared" si="43"/>
        <v>40543</v>
      </c>
    </row>
    <row r="792" spans="1:9" ht="25.5" x14ac:dyDescent="0.2">
      <c r="A792" s="28">
        <v>40543</v>
      </c>
      <c r="B792" s="26" t="s">
        <v>382</v>
      </c>
      <c r="C792" s="26" t="s">
        <v>9</v>
      </c>
      <c r="D792" s="35" t="s">
        <v>20</v>
      </c>
      <c r="E792" s="35" t="s">
        <v>20</v>
      </c>
      <c r="F792" s="35" t="s">
        <v>20</v>
      </c>
      <c r="G792" t="b">
        <f t="shared" si="41"/>
        <v>0</v>
      </c>
      <c r="H792" t="b">
        <f t="shared" si="42"/>
        <v>0</v>
      </c>
      <c r="I792" s="29">
        <f t="shared" si="43"/>
        <v>40543</v>
      </c>
    </row>
    <row r="793" spans="1:9" ht="12.75" customHeight="1" x14ac:dyDescent="0.2">
      <c r="A793" s="28">
        <v>40543</v>
      </c>
      <c r="B793" s="26" t="s">
        <v>527</v>
      </c>
      <c r="C793" s="26" t="s">
        <v>155</v>
      </c>
      <c r="D793" s="35" t="s">
        <v>20</v>
      </c>
      <c r="E793" s="35" t="s">
        <v>20</v>
      </c>
      <c r="F793" s="35" t="s">
        <v>20</v>
      </c>
      <c r="G793" t="b">
        <f t="shared" si="41"/>
        <v>0</v>
      </c>
      <c r="H793" t="b">
        <f t="shared" si="42"/>
        <v>0</v>
      </c>
      <c r="I793" s="29">
        <f t="shared" si="43"/>
        <v>40543</v>
      </c>
    </row>
    <row r="794" spans="1:9" ht="12.75" customHeight="1" x14ac:dyDescent="0.2">
      <c r="A794" s="28">
        <v>40543</v>
      </c>
      <c r="B794" s="26" t="s">
        <v>684</v>
      </c>
      <c r="C794" s="26" t="s">
        <v>9</v>
      </c>
      <c r="D794" s="35" t="s">
        <v>20</v>
      </c>
      <c r="E794" s="35" t="s">
        <v>20</v>
      </c>
      <c r="F794" s="35" t="s">
        <v>20</v>
      </c>
      <c r="G794" t="b">
        <f t="shared" si="41"/>
        <v>0</v>
      </c>
      <c r="H794" t="b">
        <f t="shared" si="42"/>
        <v>0</v>
      </c>
      <c r="I794" s="29">
        <f t="shared" si="43"/>
        <v>40543</v>
      </c>
    </row>
    <row r="795" spans="1:9" ht="12.75" customHeight="1" x14ac:dyDescent="0.2">
      <c r="A795" s="28">
        <v>40543</v>
      </c>
      <c r="B795" s="26" t="s">
        <v>2486</v>
      </c>
      <c r="C795" s="26" t="s">
        <v>9</v>
      </c>
      <c r="D795" s="35" t="s">
        <v>20</v>
      </c>
      <c r="E795" s="35" t="s">
        <v>20</v>
      </c>
      <c r="F795" s="35" t="s">
        <v>20</v>
      </c>
      <c r="G795" t="b">
        <f t="shared" si="41"/>
        <v>0</v>
      </c>
      <c r="H795" t="b">
        <f t="shared" si="42"/>
        <v>0</v>
      </c>
      <c r="I795" s="29">
        <f t="shared" si="43"/>
        <v>40543</v>
      </c>
    </row>
    <row r="796" spans="1:9" ht="12.75" customHeight="1" x14ac:dyDescent="0.2">
      <c r="A796" s="28">
        <v>40543</v>
      </c>
      <c r="B796" s="26" t="s">
        <v>934</v>
      </c>
      <c r="C796" s="26" t="s">
        <v>9</v>
      </c>
      <c r="D796" s="35" t="s">
        <v>20</v>
      </c>
      <c r="E796" s="35" t="s">
        <v>20</v>
      </c>
      <c r="F796" s="35" t="s">
        <v>20</v>
      </c>
      <c r="G796" t="b">
        <f t="shared" si="41"/>
        <v>0</v>
      </c>
      <c r="H796" t="b">
        <f t="shared" si="42"/>
        <v>0</v>
      </c>
      <c r="I796" s="29">
        <f t="shared" si="43"/>
        <v>40543</v>
      </c>
    </row>
    <row r="797" spans="1:9" ht="12.75" customHeight="1" x14ac:dyDescent="0.2">
      <c r="A797" s="28">
        <v>40543</v>
      </c>
      <c r="B797" s="26" t="s">
        <v>1799</v>
      </c>
      <c r="C797" s="26" t="s">
        <v>9</v>
      </c>
      <c r="D797" s="35" t="s">
        <v>20</v>
      </c>
      <c r="E797" s="35" t="s">
        <v>20</v>
      </c>
      <c r="F797" s="35" t="s">
        <v>20</v>
      </c>
      <c r="G797" t="b">
        <f t="shared" si="41"/>
        <v>0</v>
      </c>
      <c r="H797" t="b">
        <f t="shared" si="42"/>
        <v>0</v>
      </c>
      <c r="I797" s="29">
        <f t="shared" si="43"/>
        <v>40543</v>
      </c>
    </row>
    <row r="798" spans="1:9" ht="12.75" customHeight="1" x14ac:dyDescent="0.2">
      <c r="A798" s="28">
        <v>40543</v>
      </c>
      <c r="B798" s="26" t="s">
        <v>1434</v>
      </c>
      <c r="C798" s="26" t="s">
        <v>9</v>
      </c>
      <c r="D798" s="35" t="s">
        <v>20</v>
      </c>
      <c r="E798" s="35" t="s">
        <v>20</v>
      </c>
      <c r="F798" s="35" t="s">
        <v>20</v>
      </c>
      <c r="G798" t="b">
        <f t="shared" si="41"/>
        <v>0</v>
      </c>
      <c r="H798" t="b">
        <f t="shared" si="42"/>
        <v>0</v>
      </c>
      <c r="I798" s="29">
        <f t="shared" si="43"/>
        <v>40543</v>
      </c>
    </row>
    <row r="799" spans="1:9" ht="12.75" customHeight="1" x14ac:dyDescent="0.2">
      <c r="A799" s="28">
        <v>40543</v>
      </c>
      <c r="B799" s="26" t="s">
        <v>3479</v>
      </c>
      <c r="C799" s="26" t="s">
        <v>9</v>
      </c>
      <c r="D799" s="35" t="s">
        <v>20</v>
      </c>
      <c r="E799" s="35" t="s">
        <v>20</v>
      </c>
      <c r="F799" s="35" t="s">
        <v>20</v>
      </c>
      <c r="G799" t="b">
        <f t="shared" si="41"/>
        <v>0</v>
      </c>
      <c r="H799" t="b">
        <f t="shared" si="42"/>
        <v>0</v>
      </c>
      <c r="I799" s="29">
        <f t="shared" si="43"/>
        <v>40543</v>
      </c>
    </row>
    <row r="800" spans="1:9" ht="38.25" x14ac:dyDescent="0.2">
      <c r="A800" s="28">
        <v>40543</v>
      </c>
      <c r="B800" s="26" t="s">
        <v>3230</v>
      </c>
      <c r="C800" s="26" t="s">
        <v>9</v>
      </c>
      <c r="D800" s="35" t="s">
        <v>20</v>
      </c>
      <c r="E800" s="35" t="s">
        <v>20</v>
      </c>
      <c r="F800" s="35" t="s">
        <v>20</v>
      </c>
      <c r="G800" t="b">
        <f t="shared" si="41"/>
        <v>0</v>
      </c>
      <c r="H800" t="b">
        <f t="shared" si="42"/>
        <v>0</v>
      </c>
      <c r="I800" s="29">
        <f t="shared" si="43"/>
        <v>40543</v>
      </c>
    </row>
    <row r="801" spans="1:9" ht="12.75" customHeight="1" x14ac:dyDescent="0.2">
      <c r="A801" s="28">
        <v>40543</v>
      </c>
      <c r="B801" s="26" t="s">
        <v>1309</v>
      </c>
      <c r="C801" s="26" t="s">
        <v>9</v>
      </c>
      <c r="D801" s="35" t="s">
        <v>20</v>
      </c>
      <c r="E801" s="35" t="s">
        <v>20</v>
      </c>
      <c r="F801" s="35" t="s">
        <v>20</v>
      </c>
      <c r="G801" t="b">
        <f t="shared" si="41"/>
        <v>0</v>
      </c>
      <c r="H801" t="b">
        <f t="shared" si="42"/>
        <v>0</v>
      </c>
      <c r="I801" s="29">
        <f t="shared" si="43"/>
        <v>40543</v>
      </c>
    </row>
    <row r="802" spans="1:9" ht="25.5" x14ac:dyDescent="0.2">
      <c r="A802" s="28">
        <v>40543</v>
      </c>
      <c r="B802" s="26" t="s">
        <v>347</v>
      </c>
      <c r="C802" s="26" t="s">
        <v>9</v>
      </c>
      <c r="D802" s="35" t="s">
        <v>20</v>
      </c>
      <c r="E802" s="35" t="s">
        <v>20</v>
      </c>
      <c r="F802" s="35" t="s">
        <v>20</v>
      </c>
      <c r="G802" t="b">
        <f t="shared" si="41"/>
        <v>0</v>
      </c>
      <c r="H802" t="b">
        <f t="shared" si="42"/>
        <v>0</v>
      </c>
      <c r="I802" s="29">
        <f t="shared" si="43"/>
        <v>40543</v>
      </c>
    </row>
    <row r="803" spans="1:9" ht="12.75" customHeight="1" x14ac:dyDescent="0.2">
      <c r="A803" s="28">
        <v>40543</v>
      </c>
      <c r="B803" s="26" t="s">
        <v>230</v>
      </c>
      <c r="C803" s="26" t="s">
        <v>9</v>
      </c>
      <c r="D803" s="35" t="s">
        <v>20</v>
      </c>
      <c r="E803" s="35" t="s">
        <v>20</v>
      </c>
      <c r="F803" s="35" t="s">
        <v>20</v>
      </c>
      <c r="G803" t="b">
        <f t="shared" si="41"/>
        <v>0</v>
      </c>
      <c r="H803" t="b">
        <f t="shared" si="42"/>
        <v>0</v>
      </c>
      <c r="I803" s="29">
        <f t="shared" si="43"/>
        <v>40543</v>
      </c>
    </row>
    <row r="804" spans="1:9" ht="25.5" x14ac:dyDescent="0.2">
      <c r="A804" s="28">
        <v>40543</v>
      </c>
      <c r="B804" s="26" t="s">
        <v>2750</v>
      </c>
      <c r="C804" s="26" t="s">
        <v>9</v>
      </c>
      <c r="D804" s="35" t="s">
        <v>20</v>
      </c>
      <c r="E804" s="35" t="s">
        <v>20</v>
      </c>
      <c r="F804" s="35" t="s">
        <v>20</v>
      </c>
      <c r="G804" t="b">
        <f t="shared" si="41"/>
        <v>0</v>
      </c>
      <c r="H804" t="b">
        <f t="shared" si="42"/>
        <v>0</v>
      </c>
      <c r="I804" s="29">
        <f t="shared" si="43"/>
        <v>40543</v>
      </c>
    </row>
    <row r="805" spans="1:9" ht="38.25" x14ac:dyDescent="0.2">
      <c r="A805" s="28">
        <v>40543</v>
      </c>
      <c r="B805" s="26" t="s">
        <v>2357</v>
      </c>
      <c r="C805" s="26" t="s">
        <v>9</v>
      </c>
      <c r="D805" s="35" t="s">
        <v>20</v>
      </c>
      <c r="E805" s="35" t="s">
        <v>20</v>
      </c>
      <c r="F805" s="35" t="s">
        <v>20</v>
      </c>
      <c r="G805" t="b">
        <f t="shared" si="41"/>
        <v>0</v>
      </c>
      <c r="H805" t="b">
        <f t="shared" si="42"/>
        <v>0</v>
      </c>
      <c r="I805" s="29">
        <f t="shared" si="43"/>
        <v>40543</v>
      </c>
    </row>
    <row r="806" spans="1:9" x14ac:dyDescent="0.2">
      <c r="A806" s="28">
        <v>40543</v>
      </c>
      <c r="B806" s="26" t="s">
        <v>339</v>
      </c>
      <c r="C806" s="26" t="s">
        <v>9</v>
      </c>
      <c r="D806" s="35" t="s">
        <v>20</v>
      </c>
      <c r="E806" s="35" t="s">
        <v>20</v>
      </c>
      <c r="F806" s="35" t="s">
        <v>20</v>
      </c>
      <c r="G806" t="b">
        <f t="shared" si="41"/>
        <v>0</v>
      </c>
      <c r="H806" t="b">
        <f t="shared" si="42"/>
        <v>0</v>
      </c>
      <c r="I806" s="29">
        <f t="shared" si="43"/>
        <v>40543</v>
      </c>
    </row>
    <row r="807" spans="1:9" ht="12.75" customHeight="1" x14ac:dyDescent="0.2">
      <c r="A807" s="28">
        <v>40543</v>
      </c>
      <c r="B807" s="26" t="s">
        <v>2790</v>
      </c>
      <c r="C807" s="26" t="s">
        <v>9</v>
      </c>
      <c r="D807" s="35" t="s">
        <v>20</v>
      </c>
      <c r="E807" s="35" t="s">
        <v>20</v>
      </c>
      <c r="F807" s="35" t="s">
        <v>20</v>
      </c>
      <c r="G807" t="b">
        <f t="shared" si="41"/>
        <v>0</v>
      </c>
      <c r="H807" t="b">
        <f t="shared" si="42"/>
        <v>0</v>
      </c>
      <c r="I807" s="29">
        <f t="shared" si="43"/>
        <v>40543</v>
      </c>
    </row>
    <row r="808" spans="1:9" ht="25.5" x14ac:dyDescent="0.2">
      <c r="A808" s="28">
        <v>40543</v>
      </c>
      <c r="B808" s="26" t="s">
        <v>2795</v>
      </c>
      <c r="C808" s="26" t="s">
        <v>9</v>
      </c>
      <c r="D808" s="35" t="s">
        <v>20</v>
      </c>
      <c r="E808" s="35" t="s">
        <v>20</v>
      </c>
      <c r="F808" s="35" t="s">
        <v>20</v>
      </c>
      <c r="G808" t="b">
        <f t="shared" si="41"/>
        <v>0</v>
      </c>
      <c r="H808" t="b">
        <f t="shared" si="42"/>
        <v>0</v>
      </c>
      <c r="I808" s="29">
        <f t="shared" si="43"/>
        <v>40543</v>
      </c>
    </row>
    <row r="809" spans="1:9" ht="25.5" x14ac:dyDescent="0.2">
      <c r="A809" s="28">
        <v>40543</v>
      </c>
      <c r="B809" s="26" t="s">
        <v>179</v>
      </c>
      <c r="C809" s="26" t="s">
        <v>9</v>
      </c>
      <c r="D809" s="35" t="s">
        <v>20</v>
      </c>
      <c r="E809" s="35" t="s">
        <v>20</v>
      </c>
      <c r="F809" s="35" t="s">
        <v>20</v>
      </c>
      <c r="G809" t="b">
        <f t="shared" si="41"/>
        <v>0</v>
      </c>
      <c r="H809" t="b">
        <f t="shared" si="42"/>
        <v>0</v>
      </c>
      <c r="I809" s="29">
        <f t="shared" si="43"/>
        <v>40543</v>
      </c>
    </row>
    <row r="810" spans="1:9" ht="25.5" x14ac:dyDescent="0.2">
      <c r="A810" s="28">
        <v>40543</v>
      </c>
      <c r="B810" s="26" t="s">
        <v>2546</v>
      </c>
      <c r="C810" s="26" t="s">
        <v>9</v>
      </c>
      <c r="D810" s="35" t="s">
        <v>20</v>
      </c>
      <c r="E810" s="35" t="s">
        <v>20</v>
      </c>
      <c r="F810" s="35" t="s">
        <v>20</v>
      </c>
      <c r="G810" t="b">
        <f t="shared" si="41"/>
        <v>0</v>
      </c>
      <c r="H810" t="b">
        <f t="shared" si="42"/>
        <v>0</v>
      </c>
      <c r="I810" s="29">
        <f t="shared" si="43"/>
        <v>40543</v>
      </c>
    </row>
    <row r="811" spans="1:9" ht="12.75" customHeight="1" x14ac:dyDescent="0.2">
      <c r="A811" s="28">
        <v>40543</v>
      </c>
      <c r="B811" s="26" t="s">
        <v>1601</v>
      </c>
      <c r="C811" s="26" t="s">
        <v>9</v>
      </c>
      <c r="D811" s="35" t="s">
        <v>20</v>
      </c>
      <c r="E811" s="35" t="s">
        <v>20</v>
      </c>
      <c r="F811" s="35" t="s">
        <v>20</v>
      </c>
      <c r="G811" t="b">
        <f t="shared" si="41"/>
        <v>0</v>
      </c>
      <c r="H811" t="b">
        <f t="shared" si="42"/>
        <v>0</v>
      </c>
      <c r="I811" s="29">
        <f t="shared" si="43"/>
        <v>40543</v>
      </c>
    </row>
    <row r="812" spans="1:9" ht="12.75" customHeight="1" x14ac:dyDescent="0.2">
      <c r="A812" s="28">
        <v>40543</v>
      </c>
      <c r="B812" s="26" t="s">
        <v>3333</v>
      </c>
      <c r="C812" s="26" t="s">
        <v>9</v>
      </c>
      <c r="D812" s="35" t="s">
        <v>20</v>
      </c>
      <c r="E812" s="35" t="s">
        <v>20</v>
      </c>
      <c r="F812" s="35" t="s">
        <v>20</v>
      </c>
      <c r="G812" t="b">
        <f t="shared" si="41"/>
        <v>0</v>
      </c>
      <c r="H812" t="b">
        <f t="shared" si="42"/>
        <v>0</v>
      </c>
      <c r="I812" s="29">
        <f t="shared" si="43"/>
        <v>40543</v>
      </c>
    </row>
    <row r="813" spans="1:9" ht="25.5" x14ac:dyDescent="0.2">
      <c r="A813" s="28">
        <v>40543</v>
      </c>
      <c r="B813" s="26" t="s">
        <v>771</v>
      </c>
      <c r="C813" s="26" t="s">
        <v>9</v>
      </c>
      <c r="D813" s="35" t="s">
        <v>20</v>
      </c>
      <c r="E813" s="35" t="s">
        <v>20</v>
      </c>
      <c r="F813" s="35" t="s">
        <v>20</v>
      </c>
      <c r="G813" t="b">
        <f t="shared" si="41"/>
        <v>0</v>
      </c>
      <c r="H813" t="b">
        <f t="shared" si="42"/>
        <v>0</v>
      </c>
      <c r="I813" s="29">
        <f t="shared" si="43"/>
        <v>40543</v>
      </c>
    </row>
    <row r="814" spans="1:9" ht="25.5" x14ac:dyDescent="0.2">
      <c r="A814" s="28">
        <v>40543</v>
      </c>
      <c r="B814" s="26" t="s">
        <v>2947</v>
      </c>
      <c r="C814" s="26" t="s">
        <v>9</v>
      </c>
      <c r="D814" s="35" t="s">
        <v>20</v>
      </c>
      <c r="E814" s="35" t="s">
        <v>20</v>
      </c>
      <c r="F814" s="35" t="s">
        <v>20</v>
      </c>
      <c r="G814" t="b">
        <f t="shared" si="41"/>
        <v>0</v>
      </c>
      <c r="H814" t="b">
        <f t="shared" si="42"/>
        <v>0</v>
      </c>
      <c r="I814" s="29">
        <f t="shared" si="43"/>
        <v>40543</v>
      </c>
    </row>
    <row r="815" spans="1:9" ht="25.5" x14ac:dyDescent="0.2">
      <c r="A815" s="28">
        <v>40543</v>
      </c>
      <c r="B815" s="26" t="s">
        <v>1070</v>
      </c>
      <c r="C815" s="26" t="s">
        <v>9</v>
      </c>
      <c r="D815" s="35" t="s">
        <v>20</v>
      </c>
      <c r="E815" s="35" t="s">
        <v>20</v>
      </c>
      <c r="F815" s="35" t="s">
        <v>20</v>
      </c>
      <c r="G815" t="b">
        <f t="shared" si="41"/>
        <v>0</v>
      </c>
      <c r="H815" t="b">
        <f t="shared" si="42"/>
        <v>0</v>
      </c>
      <c r="I815" s="29">
        <f t="shared" si="43"/>
        <v>40543</v>
      </c>
    </row>
    <row r="816" spans="1:9" ht="25.5" x14ac:dyDescent="0.2">
      <c r="A816" s="28">
        <v>40543</v>
      </c>
      <c r="B816" s="26" t="s">
        <v>2005</v>
      </c>
      <c r="C816" s="26" t="s">
        <v>1992</v>
      </c>
      <c r="D816" s="35" t="s">
        <v>20</v>
      </c>
      <c r="E816" s="35" t="s">
        <v>20</v>
      </c>
      <c r="F816" s="35" t="s">
        <v>20</v>
      </c>
      <c r="G816" t="b">
        <f t="shared" si="41"/>
        <v>0</v>
      </c>
      <c r="H816" t="b">
        <f t="shared" si="42"/>
        <v>0</v>
      </c>
      <c r="I816" s="29">
        <f t="shared" si="43"/>
        <v>40543</v>
      </c>
    </row>
    <row r="817" spans="1:9" ht="12.75" customHeight="1" x14ac:dyDescent="0.2">
      <c r="A817" s="28">
        <v>40543</v>
      </c>
      <c r="B817" s="26">
        <v>13</v>
      </c>
      <c r="C817" s="26" t="s">
        <v>9</v>
      </c>
      <c r="D817" s="35" t="s">
        <v>20</v>
      </c>
      <c r="E817" s="35" t="s">
        <v>20</v>
      </c>
      <c r="F817" s="35">
        <v>3317662</v>
      </c>
      <c r="G817" t="b">
        <f t="shared" si="41"/>
        <v>0</v>
      </c>
      <c r="H817" t="b">
        <f t="shared" si="42"/>
        <v>0</v>
      </c>
      <c r="I817" s="29">
        <f t="shared" si="43"/>
        <v>40543</v>
      </c>
    </row>
    <row r="818" spans="1:9" ht="12.75" customHeight="1" x14ac:dyDescent="0.2">
      <c r="A818" s="28">
        <v>40543</v>
      </c>
      <c r="B818" s="26" t="s">
        <v>1792</v>
      </c>
      <c r="C818" s="26" t="s">
        <v>9</v>
      </c>
      <c r="D818" s="35">
        <v>7200000</v>
      </c>
      <c r="E818" s="35" t="s">
        <v>20</v>
      </c>
      <c r="F818" s="35" t="s">
        <v>20</v>
      </c>
      <c r="G818" t="b">
        <f t="shared" si="41"/>
        <v>0</v>
      </c>
      <c r="H818" t="b">
        <f t="shared" si="42"/>
        <v>0</v>
      </c>
      <c r="I818" s="29">
        <f t="shared" si="43"/>
        <v>40543</v>
      </c>
    </row>
    <row r="819" spans="1:9" ht="12.75" customHeight="1" x14ac:dyDescent="0.2">
      <c r="A819" s="28">
        <v>40543</v>
      </c>
      <c r="B819" s="26" t="s">
        <v>1578</v>
      </c>
      <c r="C819" s="26" t="s">
        <v>616</v>
      </c>
      <c r="D819" s="35" t="s">
        <v>20</v>
      </c>
      <c r="E819" s="35" t="s">
        <v>20</v>
      </c>
      <c r="F819" s="35" t="s">
        <v>20</v>
      </c>
      <c r="G819" t="b">
        <f t="shared" si="41"/>
        <v>0</v>
      </c>
      <c r="H819" t="b">
        <f t="shared" si="42"/>
        <v>0</v>
      </c>
      <c r="I819" s="29">
        <f t="shared" si="43"/>
        <v>40543</v>
      </c>
    </row>
    <row r="820" spans="1:9" ht="12.75" customHeight="1" x14ac:dyDescent="0.2">
      <c r="A820" s="28">
        <v>40543</v>
      </c>
      <c r="B820" s="26" t="s">
        <v>1891</v>
      </c>
      <c r="C820" s="26" t="s">
        <v>9</v>
      </c>
      <c r="D820" s="35" t="s">
        <v>20</v>
      </c>
      <c r="E820" s="35" t="s">
        <v>20</v>
      </c>
      <c r="F820" s="35" t="s">
        <v>20</v>
      </c>
      <c r="G820" t="b">
        <f t="shared" si="41"/>
        <v>0</v>
      </c>
      <c r="H820" t="b">
        <f t="shared" si="42"/>
        <v>0</v>
      </c>
      <c r="I820" s="29">
        <f t="shared" si="43"/>
        <v>40543</v>
      </c>
    </row>
    <row r="821" spans="1:9" ht="12.75" customHeight="1" x14ac:dyDescent="0.2">
      <c r="A821" s="28">
        <v>40543</v>
      </c>
      <c r="B821" s="26" t="s">
        <v>1152</v>
      </c>
      <c r="C821" s="26" t="s">
        <v>9</v>
      </c>
      <c r="D821" s="35" t="s">
        <v>20</v>
      </c>
      <c r="E821" s="35" t="s">
        <v>20</v>
      </c>
      <c r="F821" s="35" t="s">
        <v>20</v>
      </c>
      <c r="G821" t="b">
        <f t="shared" si="41"/>
        <v>0</v>
      </c>
      <c r="H821" t="b">
        <f t="shared" si="42"/>
        <v>0</v>
      </c>
      <c r="I821" s="29">
        <f t="shared" si="43"/>
        <v>40543</v>
      </c>
    </row>
    <row r="822" spans="1:9" ht="25.5" x14ac:dyDescent="0.2">
      <c r="A822" s="28">
        <v>40543</v>
      </c>
      <c r="B822" s="26" t="s">
        <v>2250</v>
      </c>
      <c r="C822" s="26" t="s">
        <v>9</v>
      </c>
      <c r="D822" s="35" t="s">
        <v>20</v>
      </c>
      <c r="E822" s="35" t="s">
        <v>20</v>
      </c>
      <c r="F822" s="35" t="s">
        <v>20</v>
      </c>
      <c r="G822" t="b">
        <f t="shared" si="41"/>
        <v>0</v>
      </c>
      <c r="H822" t="b">
        <f t="shared" si="42"/>
        <v>0</v>
      </c>
      <c r="I822" s="29">
        <f t="shared" si="43"/>
        <v>40543</v>
      </c>
    </row>
    <row r="823" spans="1:9" ht="12.75" customHeight="1" x14ac:dyDescent="0.2">
      <c r="A823" s="28">
        <v>40543</v>
      </c>
      <c r="B823" s="26" t="s">
        <v>2275</v>
      </c>
      <c r="C823" s="26" t="s">
        <v>9</v>
      </c>
      <c r="D823" s="35" t="s">
        <v>20</v>
      </c>
      <c r="E823" s="35" t="s">
        <v>20</v>
      </c>
      <c r="F823" s="35" t="s">
        <v>20</v>
      </c>
      <c r="G823" t="b">
        <f t="shared" si="41"/>
        <v>0</v>
      </c>
      <c r="H823" t="b">
        <f t="shared" si="42"/>
        <v>0</v>
      </c>
      <c r="I823" s="29">
        <f t="shared" si="43"/>
        <v>40543</v>
      </c>
    </row>
    <row r="824" spans="1:9" ht="25.5" x14ac:dyDescent="0.2">
      <c r="A824" s="28">
        <v>40543</v>
      </c>
      <c r="B824" s="26" t="s">
        <v>899</v>
      </c>
      <c r="C824" s="26" t="s">
        <v>9</v>
      </c>
      <c r="D824" s="35" t="s">
        <v>20</v>
      </c>
      <c r="E824" s="35" t="s">
        <v>20</v>
      </c>
      <c r="F824" s="35" t="s">
        <v>20</v>
      </c>
      <c r="G824" t="b">
        <f t="shared" si="41"/>
        <v>0</v>
      </c>
      <c r="H824" t="b">
        <f t="shared" si="42"/>
        <v>0</v>
      </c>
      <c r="I824" s="29">
        <f t="shared" si="43"/>
        <v>40543</v>
      </c>
    </row>
    <row r="825" spans="1:9" ht="38.25" x14ac:dyDescent="0.2">
      <c r="A825" s="28">
        <v>40543</v>
      </c>
      <c r="B825" s="26" t="s">
        <v>3054</v>
      </c>
      <c r="C825" s="26" t="s">
        <v>9</v>
      </c>
      <c r="D825" s="35" t="s">
        <v>20</v>
      </c>
      <c r="E825" s="35" t="s">
        <v>20</v>
      </c>
      <c r="F825" s="35" t="s">
        <v>20</v>
      </c>
      <c r="G825" t="b">
        <f t="shared" si="41"/>
        <v>0</v>
      </c>
      <c r="H825" t="b">
        <f t="shared" si="42"/>
        <v>0</v>
      </c>
      <c r="I825" s="29">
        <f t="shared" si="43"/>
        <v>40543</v>
      </c>
    </row>
    <row r="826" spans="1:9" ht="12.75" customHeight="1" x14ac:dyDescent="0.2">
      <c r="A826" s="28">
        <v>40543</v>
      </c>
      <c r="B826" s="26" t="s">
        <v>74</v>
      </c>
      <c r="C826" s="26" t="s">
        <v>9</v>
      </c>
      <c r="D826" s="35" t="s">
        <v>20</v>
      </c>
      <c r="E826" s="35" t="s">
        <v>20</v>
      </c>
      <c r="F826" s="35" t="s">
        <v>20</v>
      </c>
      <c r="G826" t="b">
        <f t="shared" si="41"/>
        <v>0</v>
      </c>
      <c r="H826" t="b">
        <f t="shared" si="42"/>
        <v>0</v>
      </c>
      <c r="I826" s="29">
        <f t="shared" si="43"/>
        <v>40543</v>
      </c>
    </row>
    <row r="827" spans="1:9" ht="25.5" x14ac:dyDescent="0.2">
      <c r="A827" s="28">
        <v>40543</v>
      </c>
      <c r="B827" s="26" t="s">
        <v>3067</v>
      </c>
      <c r="C827" s="26" t="s">
        <v>9</v>
      </c>
      <c r="D827" s="35" t="s">
        <v>20</v>
      </c>
      <c r="E827" s="35" t="s">
        <v>20</v>
      </c>
      <c r="F827" s="35" t="s">
        <v>20</v>
      </c>
      <c r="G827" t="b">
        <f t="shared" si="41"/>
        <v>0</v>
      </c>
      <c r="H827" t="b">
        <f t="shared" si="42"/>
        <v>0</v>
      </c>
      <c r="I827" s="29">
        <f t="shared" si="43"/>
        <v>40543</v>
      </c>
    </row>
    <row r="828" spans="1:9" ht="25.5" x14ac:dyDescent="0.2">
      <c r="A828" s="28">
        <v>40543</v>
      </c>
      <c r="B828" s="26" t="s">
        <v>1839</v>
      </c>
      <c r="C828" s="26" t="s">
        <v>9</v>
      </c>
      <c r="D828" s="35" t="s">
        <v>20</v>
      </c>
      <c r="E828" s="35" t="s">
        <v>20</v>
      </c>
      <c r="F828" s="35" t="s">
        <v>20</v>
      </c>
      <c r="G828" t="b">
        <f t="shared" si="41"/>
        <v>0</v>
      </c>
      <c r="H828" t="b">
        <f t="shared" si="42"/>
        <v>0</v>
      </c>
      <c r="I828" s="29">
        <f t="shared" si="43"/>
        <v>40543</v>
      </c>
    </row>
    <row r="829" spans="1:9" ht="12.75" customHeight="1" x14ac:dyDescent="0.2">
      <c r="A829" s="28">
        <v>40543</v>
      </c>
      <c r="B829" s="26" t="s">
        <v>2856</v>
      </c>
      <c r="C829" s="26" t="s">
        <v>9</v>
      </c>
      <c r="D829" s="35" t="s">
        <v>20</v>
      </c>
      <c r="E829" s="35" t="s">
        <v>20</v>
      </c>
      <c r="F829" s="35" t="s">
        <v>20</v>
      </c>
      <c r="G829" t="b">
        <f t="shared" si="41"/>
        <v>0</v>
      </c>
      <c r="H829" t="b">
        <f t="shared" si="42"/>
        <v>0</v>
      </c>
      <c r="I829" s="29">
        <f t="shared" si="43"/>
        <v>40543</v>
      </c>
    </row>
    <row r="830" spans="1:9" ht="25.5" x14ac:dyDescent="0.2">
      <c r="A830" s="28">
        <v>40543</v>
      </c>
      <c r="B830" s="26" t="s">
        <v>3330</v>
      </c>
      <c r="C830" s="26" t="s">
        <v>9</v>
      </c>
      <c r="D830" s="35">
        <v>20000000</v>
      </c>
      <c r="E830" s="35" t="s">
        <v>20</v>
      </c>
      <c r="F830" s="35" t="s">
        <v>20</v>
      </c>
      <c r="G830" t="b">
        <f t="shared" si="41"/>
        <v>0</v>
      </c>
      <c r="H830" t="b">
        <f t="shared" si="42"/>
        <v>0</v>
      </c>
      <c r="I830" s="29">
        <f t="shared" si="43"/>
        <v>40543</v>
      </c>
    </row>
    <row r="831" spans="1:9" ht="12.75" customHeight="1" x14ac:dyDescent="0.2">
      <c r="A831" s="28">
        <v>40543</v>
      </c>
      <c r="B831" s="26" t="s">
        <v>1415</v>
      </c>
      <c r="C831" s="26" t="s">
        <v>9</v>
      </c>
      <c r="D831" s="35" t="s">
        <v>20</v>
      </c>
      <c r="E831" s="35" t="s">
        <v>20</v>
      </c>
      <c r="F831" s="35" t="s">
        <v>20</v>
      </c>
      <c r="G831" t="b">
        <f t="shared" si="41"/>
        <v>0</v>
      </c>
      <c r="H831" t="b">
        <f t="shared" si="42"/>
        <v>0</v>
      </c>
      <c r="I831" s="29">
        <f t="shared" si="43"/>
        <v>40543</v>
      </c>
    </row>
    <row r="832" spans="1:9" ht="12.75" customHeight="1" x14ac:dyDescent="0.2">
      <c r="A832" s="28">
        <v>40543</v>
      </c>
      <c r="B832" s="26" t="s">
        <v>2427</v>
      </c>
      <c r="C832" s="26" t="s">
        <v>9</v>
      </c>
      <c r="D832" s="35" t="s">
        <v>20</v>
      </c>
      <c r="E832" s="35" t="s">
        <v>20</v>
      </c>
      <c r="F832" s="35" t="s">
        <v>20</v>
      </c>
      <c r="G832" t="b">
        <f t="shared" si="41"/>
        <v>0</v>
      </c>
      <c r="H832" t="b">
        <f t="shared" si="42"/>
        <v>0</v>
      </c>
      <c r="I832" s="29">
        <f t="shared" si="43"/>
        <v>40543</v>
      </c>
    </row>
    <row r="833" spans="1:9" ht="25.5" x14ac:dyDescent="0.2">
      <c r="A833" s="28">
        <v>40543</v>
      </c>
      <c r="B833" s="26" t="s">
        <v>1099</v>
      </c>
      <c r="C833" s="26" t="s">
        <v>9</v>
      </c>
      <c r="D833" s="35" t="s">
        <v>20</v>
      </c>
      <c r="E833" s="35" t="s">
        <v>20</v>
      </c>
      <c r="F833" s="35" t="s">
        <v>20</v>
      </c>
      <c r="G833" t="b">
        <f t="shared" si="41"/>
        <v>0</v>
      </c>
      <c r="H833" t="b">
        <f t="shared" si="42"/>
        <v>0</v>
      </c>
      <c r="I833" s="29">
        <f t="shared" si="43"/>
        <v>40543</v>
      </c>
    </row>
    <row r="834" spans="1:9" ht="38.25" x14ac:dyDescent="0.2">
      <c r="A834" s="28">
        <v>40543</v>
      </c>
      <c r="B834" s="26" t="s">
        <v>3072</v>
      </c>
      <c r="C834" s="26" t="s">
        <v>9</v>
      </c>
      <c r="D834" s="35" t="s">
        <v>20</v>
      </c>
      <c r="E834" s="35" t="s">
        <v>20</v>
      </c>
      <c r="F834" s="35" t="s">
        <v>20</v>
      </c>
      <c r="G834" t="b">
        <f t="shared" si="41"/>
        <v>0</v>
      </c>
      <c r="H834" t="b">
        <f t="shared" si="42"/>
        <v>0</v>
      </c>
      <c r="I834" s="29">
        <f t="shared" si="43"/>
        <v>40543</v>
      </c>
    </row>
    <row r="835" spans="1:9" ht="12.75" customHeight="1" x14ac:dyDescent="0.2">
      <c r="A835" s="28">
        <v>40543</v>
      </c>
      <c r="B835" s="26" t="s">
        <v>1197</v>
      </c>
      <c r="C835" s="26" t="s">
        <v>9</v>
      </c>
      <c r="D835" s="35" t="s">
        <v>20</v>
      </c>
      <c r="E835" s="35" t="s">
        <v>20</v>
      </c>
      <c r="F835" s="35" t="s">
        <v>20</v>
      </c>
      <c r="G835" t="b">
        <f t="shared" si="41"/>
        <v>0</v>
      </c>
      <c r="H835" t="b">
        <f t="shared" si="42"/>
        <v>0</v>
      </c>
      <c r="I835" s="29">
        <f t="shared" si="43"/>
        <v>40543</v>
      </c>
    </row>
    <row r="836" spans="1:9" ht="12.75" customHeight="1" x14ac:dyDescent="0.2">
      <c r="A836" s="28">
        <v>40543</v>
      </c>
      <c r="B836" s="26" t="s">
        <v>279</v>
      </c>
      <c r="C836" s="26" t="s">
        <v>2159</v>
      </c>
      <c r="D836" s="35" t="s">
        <v>20</v>
      </c>
      <c r="E836" s="35" t="s">
        <v>20</v>
      </c>
      <c r="F836" s="35" t="s">
        <v>20</v>
      </c>
      <c r="G836" t="b">
        <f t="shared" si="41"/>
        <v>0</v>
      </c>
      <c r="H836" t="b">
        <f t="shared" si="42"/>
        <v>0</v>
      </c>
      <c r="I836" s="29">
        <f t="shared" si="43"/>
        <v>40543</v>
      </c>
    </row>
    <row r="837" spans="1:9" ht="12.75" customHeight="1" x14ac:dyDescent="0.2">
      <c r="A837" s="28">
        <v>40543</v>
      </c>
      <c r="B837" s="26" t="s">
        <v>639</v>
      </c>
      <c r="C837" s="26" t="s">
        <v>9</v>
      </c>
      <c r="D837" s="35" t="s">
        <v>20</v>
      </c>
      <c r="E837" s="35" t="s">
        <v>20</v>
      </c>
      <c r="F837" s="35" t="s">
        <v>20</v>
      </c>
      <c r="G837" t="b">
        <f t="shared" si="41"/>
        <v>0</v>
      </c>
      <c r="H837" t="b">
        <f t="shared" si="42"/>
        <v>0</v>
      </c>
      <c r="I837" s="29">
        <f t="shared" si="43"/>
        <v>40543</v>
      </c>
    </row>
    <row r="838" spans="1:9" ht="12.75" customHeight="1" x14ac:dyDescent="0.2">
      <c r="A838" s="28">
        <v>40543</v>
      </c>
      <c r="B838" s="26" t="s">
        <v>1953</v>
      </c>
      <c r="C838" s="26" t="s">
        <v>9</v>
      </c>
      <c r="D838" s="35" t="s">
        <v>20</v>
      </c>
      <c r="E838" s="35" t="s">
        <v>20</v>
      </c>
      <c r="F838" s="35" t="s">
        <v>20</v>
      </c>
      <c r="G838" t="b">
        <f t="shared" si="41"/>
        <v>0</v>
      </c>
      <c r="H838" t="b">
        <f t="shared" si="42"/>
        <v>0</v>
      </c>
      <c r="I838" s="29">
        <f t="shared" si="43"/>
        <v>40543</v>
      </c>
    </row>
    <row r="839" spans="1:9" ht="25.5" x14ac:dyDescent="0.2">
      <c r="A839" s="28">
        <v>40543</v>
      </c>
      <c r="B839" s="26" t="s">
        <v>3294</v>
      </c>
      <c r="C839" s="26" t="s">
        <v>9</v>
      </c>
      <c r="D839" s="35" t="s">
        <v>20</v>
      </c>
      <c r="E839" s="35" t="s">
        <v>20</v>
      </c>
      <c r="F839" s="35" t="s">
        <v>20</v>
      </c>
      <c r="G839" t="b">
        <f t="shared" si="41"/>
        <v>0</v>
      </c>
      <c r="H839" t="b">
        <f t="shared" si="42"/>
        <v>0</v>
      </c>
      <c r="I839" s="29">
        <f t="shared" si="43"/>
        <v>40543</v>
      </c>
    </row>
    <row r="840" spans="1:9" ht="12.75" customHeight="1" x14ac:dyDescent="0.2">
      <c r="A840" s="28">
        <v>40543</v>
      </c>
      <c r="B840" s="26" t="s">
        <v>1604</v>
      </c>
      <c r="C840" s="26" t="s">
        <v>9</v>
      </c>
      <c r="D840" s="35" t="s">
        <v>20</v>
      </c>
      <c r="E840" s="35" t="s">
        <v>20</v>
      </c>
      <c r="F840" s="35" t="s">
        <v>20</v>
      </c>
      <c r="G840" t="b">
        <f t="shared" si="41"/>
        <v>0</v>
      </c>
      <c r="H840" t="b">
        <f t="shared" si="42"/>
        <v>0</v>
      </c>
      <c r="I840" s="29">
        <f t="shared" si="43"/>
        <v>40543</v>
      </c>
    </row>
    <row r="841" spans="1:9" ht="12.75" customHeight="1" x14ac:dyDescent="0.2">
      <c r="A841" s="28">
        <v>40543</v>
      </c>
      <c r="B841" s="26" t="s">
        <v>1852</v>
      </c>
      <c r="C841" s="26" t="s">
        <v>9</v>
      </c>
      <c r="D841" s="35" t="s">
        <v>20</v>
      </c>
      <c r="E841" s="35" t="s">
        <v>20</v>
      </c>
      <c r="F841" s="35" t="s">
        <v>20</v>
      </c>
      <c r="G841" t="b">
        <f t="shared" si="41"/>
        <v>0</v>
      </c>
      <c r="H841" t="b">
        <f t="shared" si="42"/>
        <v>0</v>
      </c>
      <c r="I841" s="29">
        <f t="shared" si="43"/>
        <v>40543</v>
      </c>
    </row>
    <row r="842" spans="1:9" ht="12.75" customHeight="1" x14ac:dyDescent="0.2">
      <c r="A842" s="28">
        <v>40543</v>
      </c>
      <c r="B842" s="26" t="s">
        <v>1305</v>
      </c>
      <c r="C842" s="26" t="s">
        <v>9</v>
      </c>
      <c r="D842" s="35" t="s">
        <v>20</v>
      </c>
      <c r="E842" s="35" t="s">
        <v>20</v>
      </c>
      <c r="F842" s="35" t="s">
        <v>20</v>
      </c>
      <c r="G842" t="b">
        <f t="shared" si="41"/>
        <v>0</v>
      </c>
      <c r="H842" t="b">
        <f t="shared" si="42"/>
        <v>0</v>
      </c>
      <c r="I842" s="29">
        <f t="shared" si="43"/>
        <v>40543</v>
      </c>
    </row>
    <row r="843" spans="1:9" ht="12.75" customHeight="1" x14ac:dyDescent="0.2">
      <c r="A843" s="28">
        <v>40543</v>
      </c>
      <c r="B843" s="26" t="s">
        <v>2366</v>
      </c>
      <c r="C843" s="26" t="s">
        <v>9</v>
      </c>
      <c r="D843" s="35" t="s">
        <v>20</v>
      </c>
      <c r="E843" s="35" t="s">
        <v>20</v>
      </c>
      <c r="F843" s="35" t="s">
        <v>20</v>
      </c>
      <c r="G843" t="b">
        <f t="shared" si="41"/>
        <v>0</v>
      </c>
      <c r="H843" t="b">
        <f t="shared" si="42"/>
        <v>0</v>
      </c>
      <c r="I843" s="29">
        <f t="shared" si="43"/>
        <v>40543</v>
      </c>
    </row>
    <row r="844" spans="1:9" ht="12.75" customHeight="1" x14ac:dyDescent="0.2">
      <c r="A844" s="28">
        <v>40543</v>
      </c>
      <c r="B844" s="26" t="s">
        <v>2442</v>
      </c>
      <c r="C844" s="26" t="s">
        <v>2830</v>
      </c>
      <c r="D844" s="35" t="s">
        <v>20</v>
      </c>
      <c r="E844" s="35" t="s">
        <v>20</v>
      </c>
      <c r="F844" s="35" t="s">
        <v>20</v>
      </c>
      <c r="G844" t="b">
        <f t="shared" si="41"/>
        <v>0</v>
      </c>
      <c r="H844" t="b">
        <f t="shared" si="42"/>
        <v>0</v>
      </c>
      <c r="I844" s="29">
        <f t="shared" si="43"/>
        <v>40543</v>
      </c>
    </row>
    <row r="845" spans="1:9" ht="12.75" customHeight="1" x14ac:dyDescent="0.2">
      <c r="A845" s="28">
        <v>40543</v>
      </c>
      <c r="B845" s="26" t="s">
        <v>153</v>
      </c>
      <c r="C845" s="26" t="s">
        <v>9</v>
      </c>
      <c r="D845" s="35" t="s">
        <v>20</v>
      </c>
      <c r="E845" s="35" t="s">
        <v>20</v>
      </c>
      <c r="F845" s="35" t="s">
        <v>20</v>
      </c>
      <c r="G845" t="b">
        <f t="shared" si="41"/>
        <v>0</v>
      </c>
      <c r="H845" t="b">
        <f t="shared" si="42"/>
        <v>0</v>
      </c>
      <c r="I845" s="29">
        <f t="shared" si="43"/>
        <v>40543</v>
      </c>
    </row>
    <row r="846" spans="1:9" ht="12.75" customHeight="1" x14ac:dyDescent="0.2">
      <c r="A846" s="28">
        <v>40543</v>
      </c>
      <c r="B846" s="26" t="s">
        <v>816</v>
      </c>
      <c r="C846" s="26" t="s">
        <v>9</v>
      </c>
      <c r="D846" s="35" t="s">
        <v>20</v>
      </c>
      <c r="E846" s="35" t="s">
        <v>20</v>
      </c>
      <c r="F846" s="35" t="s">
        <v>20</v>
      </c>
      <c r="G846" t="b">
        <f t="shared" si="41"/>
        <v>0</v>
      </c>
      <c r="H846" t="b">
        <f t="shared" si="42"/>
        <v>0</v>
      </c>
      <c r="I846" s="29">
        <f t="shared" si="43"/>
        <v>40543</v>
      </c>
    </row>
    <row r="847" spans="1:9" ht="12.75" customHeight="1" x14ac:dyDescent="0.2">
      <c r="A847" s="28">
        <v>40543</v>
      </c>
      <c r="B847" s="26" t="s">
        <v>1581</v>
      </c>
      <c r="C847" s="26" t="s">
        <v>9</v>
      </c>
      <c r="D847" s="35" t="s">
        <v>20</v>
      </c>
      <c r="E847" s="35" t="s">
        <v>20</v>
      </c>
      <c r="F847" s="35" t="s">
        <v>20</v>
      </c>
      <c r="G847" t="b">
        <f t="shared" si="41"/>
        <v>0</v>
      </c>
      <c r="H847" t="b">
        <f t="shared" si="42"/>
        <v>0</v>
      </c>
      <c r="I847" s="29">
        <f t="shared" si="43"/>
        <v>40543</v>
      </c>
    </row>
    <row r="848" spans="1:9" ht="25.5" x14ac:dyDescent="0.2">
      <c r="A848" s="28">
        <v>40543</v>
      </c>
      <c r="B848" s="26" t="s">
        <v>321</v>
      </c>
      <c r="C848" s="26" t="s">
        <v>9</v>
      </c>
      <c r="D848" s="35">
        <v>18000000</v>
      </c>
      <c r="E848" s="35" t="s">
        <v>20</v>
      </c>
      <c r="F848" s="35">
        <v>627422</v>
      </c>
      <c r="G848" t="b">
        <f t="shared" si="41"/>
        <v>0</v>
      </c>
      <c r="H848" t="b">
        <f t="shared" si="42"/>
        <v>0</v>
      </c>
      <c r="I848" s="29">
        <f t="shared" si="43"/>
        <v>40543</v>
      </c>
    </row>
    <row r="849" spans="1:9" ht="12.75" customHeight="1" x14ac:dyDescent="0.2">
      <c r="A849" s="28">
        <v>40543</v>
      </c>
      <c r="B849" s="26" t="s">
        <v>136</v>
      </c>
      <c r="C849" s="26" t="s">
        <v>9</v>
      </c>
      <c r="D849" s="35" t="s">
        <v>20</v>
      </c>
      <c r="E849" s="35" t="s">
        <v>20</v>
      </c>
      <c r="F849" s="35" t="s">
        <v>20</v>
      </c>
      <c r="G849" t="b">
        <f t="shared" si="41"/>
        <v>0</v>
      </c>
      <c r="H849" t="b">
        <f t="shared" si="42"/>
        <v>0</v>
      </c>
      <c r="I849" s="29">
        <f t="shared" si="43"/>
        <v>40543</v>
      </c>
    </row>
    <row r="850" spans="1:9" ht="12.75" customHeight="1" x14ac:dyDescent="0.2">
      <c r="A850" s="28">
        <v>40543</v>
      </c>
      <c r="B850" s="26" t="s">
        <v>904</v>
      </c>
      <c r="C850" s="26" t="s">
        <v>9</v>
      </c>
      <c r="D850" s="35" t="s">
        <v>20</v>
      </c>
      <c r="E850" s="35" t="s">
        <v>20</v>
      </c>
      <c r="F850" s="35" t="s">
        <v>20</v>
      </c>
      <c r="G850" t="b">
        <f t="shared" si="41"/>
        <v>0</v>
      </c>
      <c r="H850" t="b">
        <f t="shared" si="42"/>
        <v>0</v>
      </c>
      <c r="I850" s="29">
        <f t="shared" si="43"/>
        <v>40543</v>
      </c>
    </row>
    <row r="851" spans="1:9" ht="25.5" x14ac:dyDescent="0.2">
      <c r="A851" s="28">
        <v>40543</v>
      </c>
      <c r="B851" s="26" t="s">
        <v>562</v>
      </c>
      <c r="C851" s="26" t="s">
        <v>9</v>
      </c>
      <c r="D851" s="35" t="s">
        <v>20</v>
      </c>
      <c r="E851" s="35" t="s">
        <v>20</v>
      </c>
      <c r="F851" s="35" t="s">
        <v>20</v>
      </c>
      <c r="G851" t="b">
        <f t="shared" ref="G851:G882" si="44">ISBLANK(A851)</f>
        <v>0</v>
      </c>
      <c r="H851" t="b">
        <f t="shared" ref="H851:H882" si="45">ISTEXT(A851)</f>
        <v>0</v>
      </c>
      <c r="I851" s="29">
        <f t="shared" ref="I851:I882" si="46">DATE(2010,MONTH(A851), DAY(A851))</f>
        <v>40543</v>
      </c>
    </row>
    <row r="852" spans="1:9" ht="12.75" customHeight="1" x14ac:dyDescent="0.2">
      <c r="A852" s="28">
        <v>40543</v>
      </c>
      <c r="B852" s="26" t="s">
        <v>1275</v>
      </c>
      <c r="C852" s="26" t="s">
        <v>9</v>
      </c>
      <c r="D852" s="35">
        <v>30000000</v>
      </c>
      <c r="E852" s="35">
        <v>2905065</v>
      </c>
      <c r="F852" s="35">
        <v>3220078</v>
      </c>
      <c r="G852" t="b">
        <f t="shared" si="44"/>
        <v>0</v>
      </c>
      <c r="H852" t="b">
        <f t="shared" si="45"/>
        <v>0</v>
      </c>
      <c r="I852" s="29">
        <f t="shared" si="46"/>
        <v>40543</v>
      </c>
    </row>
    <row r="853" spans="1:9" ht="25.5" x14ac:dyDescent="0.2">
      <c r="A853" s="28">
        <v>40543</v>
      </c>
      <c r="B853" s="26" t="s">
        <v>1284</v>
      </c>
      <c r="C853" s="26" t="s">
        <v>9</v>
      </c>
      <c r="D853" s="35" t="s">
        <v>20</v>
      </c>
      <c r="E853" s="35" t="s">
        <v>20</v>
      </c>
      <c r="F853" s="35" t="s">
        <v>20</v>
      </c>
      <c r="G853" t="b">
        <f t="shared" si="44"/>
        <v>0</v>
      </c>
      <c r="H853" t="b">
        <f t="shared" si="45"/>
        <v>0</v>
      </c>
      <c r="I853" s="29">
        <f t="shared" si="46"/>
        <v>40543</v>
      </c>
    </row>
    <row r="854" spans="1:9" ht="12.75" customHeight="1" x14ac:dyDescent="0.2">
      <c r="A854" s="28">
        <v>40543</v>
      </c>
      <c r="B854" s="26" t="s">
        <v>1104</v>
      </c>
      <c r="C854" s="26" t="s">
        <v>9</v>
      </c>
      <c r="D854" s="35" t="s">
        <v>20</v>
      </c>
      <c r="E854" s="35" t="s">
        <v>20</v>
      </c>
      <c r="F854" s="35" t="s">
        <v>20</v>
      </c>
      <c r="G854" t="b">
        <f t="shared" si="44"/>
        <v>0</v>
      </c>
      <c r="H854" t="b">
        <f t="shared" si="45"/>
        <v>0</v>
      </c>
      <c r="I854" s="29">
        <f t="shared" si="46"/>
        <v>40543</v>
      </c>
    </row>
    <row r="855" spans="1:9" ht="12.75" customHeight="1" x14ac:dyDescent="0.2">
      <c r="A855" s="28">
        <v>40543</v>
      </c>
      <c r="B855" s="26" t="s">
        <v>1046</v>
      </c>
      <c r="C855" s="26" t="s">
        <v>9</v>
      </c>
      <c r="D855" s="35" t="s">
        <v>20</v>
      </c>
      <c r="E855" s="35" t="s">
        <v>20</v>
      </c>
      <c r="F855" s="35" t="s">
        <v>20</v>
      </c>
      <c r="G855" t="b">
        <f t="shared" si="44"/>
        <v>0</v>
      </c>
      <c r="H855" t="b">
        <f t="shared" si="45"/>
        <v>0</v>
      </c>
      <c r="I855" s="29">
        <f t="shared" si="46"/>
        <v>40543</v>
      </c>
    </row>
    <row r="856" spans="1:9" ht="12.75" customHeight="1" x14ac:dyDescent="0.2">
      <c r="A856" s="28">
        <v>40543</v>
      </c>
      <c r="B856" s="26" t="s">
        <v>1502</v>
      </c>
      <c r="C856" s="26" t="s">
        <v>3218</v>
      </c>
      <c r="D856" s="35" t="s">
        <v>20</v>
      </c>
      <c r="E856" s="35" t="s">
        <v>20</v>
      </c>
      <c r="F856" s="35">
        <v>1888346</v>
      </c>
      <c r="G856" t="b">
        <f t="shared" si="44"/>
        <v>0</v>
      </c>
      <c r="H856" t="b">
        <f t="shared" si="45"/>
        <v>0</v>
      </c>
      <c r="I856" s="29">
        <f t="shared" si="46"/>
        <v>40543</v>
      </c>
    </row>
    <row r="857" spans="1:9" ht="12.75" customHeight="1" x14ac:dyDescent="0.2">
      <c r="A857" s="28">
        <v>40543</v>
      </c>
      <c r="B857" s="26" t="s">
        <v>1902</v>
      </c>
      <c r="C857" s="26" t="s">
        <v>9</v>
      </c>
      <c r="D857" s="35" t="s">
        <v>20</v>
      </c>
      <c r="E857" s="35" t="s">
        <v>20</v>
      </c>
      <c r="F857" s="35">
        <v>7223509</v>
      </c>
      <c r="G857" t="b">
        <f t="shared" si="44"/>
        <v>0</v>
      </c>
      <c r="H857" t="b">
        <f t="shared" si="45"/>
        <v>0</v>
      </c>
      <c r="I857" s="29">
        <f t="shared" si="46"/>
        <v>40543</v>
      </c>
    </row>
    <row r="858" spans="1:9" ht="12.75" customHeight="1" x14ac:dyDescent="0.2">
      <c r="A858" s="28">
        <v>40543</v>
      </c>
      <c r="B858" s="26" t="s">
        <v>3447</v>
      </c>
      <c r="C858" s="26" t="s">
        <v>9</v>
      </c>
      <c r="D858" s="35" t="s">
        <v>20</v>
      </c>
      <c r="E858" s="35" t="s">
        <v>20</v>
      </c>
      <c r="F858" s="35">
        <v>8929413</v>
      </c>
      <c r="G858" t="b">
        <f t="shared" si="44"/>
        <v>0</v>
      </c>
      <c r="H858" t="b">
        <f t="shared" si="45"/>
        <v>0</v>
      </c>
      <c r="I858" s="29">
        <f t="shared" si="46"/>
        <v>40543</v>
      </c>
    </row>
    <row r="859" spans="1:9" ht="12.75" customHeight="1" x14ac:dyDescent="0.2">
      <c r="A859" s="28">
        <v>40543</v>
      </c>
      <c r="B859" s="26" t="s">
        <v>3064</v>
      </c>
      <c r="C859" s="26" t="s">
        <v>9</v>
      </c>
      <c r="D859" s="35" t="s">
        <v>20</v>
      </c>
      <c r="E859" s="35" t="s">
        <v>20</v>
      </c>
      <c r="F859" s="35" t="s">
        <v>20</v>
      </c>
      <c r="G859" t="b">
        <f t="shared" si="44"/>
        <v>0</v>
      </c>
      <c r="H859" t="b">
        <f t="shared" si="45"/>
        <v>0</v>
      </c>
      <c r="I859" s="29">
        <f t="shared" si="46"/>
        <v>40543</v>
      </c>
    </row>
    <row r="860" spans="1:9" x14ac:dyDescent="0.2">
      <c r="A860" s="28">
        <v>40543</v>
      </c>
      <c r="B860" s="26" t="s">
        <v>178</v>
      </c>
      <c r="C860" s="26" t="s">
        <v>9</v>
      </c>
      <c r="D860" s="35" t="s">
        <v>20</v>
      </c>
      <c r="E860" s="35" t="s">
        <v>20</v>
      </c>
      <c r="F860" s="35" t="s">
        <v>20</v>
      </c>
      <c r="G860" t="b">
        <f t="shared" si="44"/>
        <v>0</v>
      </c>
      <c r="H860" t="b">
        <f t="shared" si="45"/>
        <v>0</v>
      </c>
      <c r="I860" s="29">
        <f t="shared" si="46"/>
        <v>40543</v>
      </c>
    </row>
    <row r="861" spans="1:9" ht="12.75" customHeight="1" x14ac:dyDescent="0.2">
      <c r="A861" s="28">
        <v>40543</v>
      </c>
      <c r="B861" s="26" t="s">
        <v>3039</v>
      </c>
      <c r="C861" s="26" t="s">
        <v>9</v>
      </c>
      <c r="D861" s="35" t="s">
        <v>20</v>
      </c>
      <c r="E861" s="35" t="s">
        <v>20</v>
      </c>
      <c r="F861" s="35" t="s">
        <v>20</v>
      </c>
      <c r="G861" t="b">
        <f t="shared" si="44"/>
        <v>0</v>
      </c>
      <c r="H861" t="b">
        <f t="shared" si="45"/>
        <v>0</v>
      </c>
      <c r="I861" s="29">
        <f t="shared" si="46"/>
        <v>40543</v>
      </c>
    </row>
    <row r="862" spans="1:9" ht="12.75" customHeight="1" x14ac:dyDescent="0.2">
      <c r="A862" s="28">
        <v>40543</v>
      </c>
      <c r="B862" s="26" t="s">
        <v>398</v>
      </c>
      <c r="C862" s="26" t="s">
        <v>9</v>
      </c>
      <c r="D862" s="35" t="s">
        <v>20</v>
      </c>
      <c r="E862" s="35" t="s">
        <v>20</v>
      </c>
      <c r="F862" s="35" t="s">
        <v>20</v>
      </c>
      <c r="G862" t="b">
        <f t="shared" si="44"/>
        <v>0</v>
      </c>
      <c r="H862" t="b">
        <f t="shared" si="45"/>
        <v>0</v>
      </c>
      <c r="I862" s="29">
        <f t="shared" si="46"/>
        <v>40543</v>
      </c>
    </row>
    <row r="863" spans="1:9" ht="25.5" x14ac:dyDescent="0.2">
      <c r="A863" s="28">
        <v>40543</v>
      </c>
      <c r="B863" s="26" t="s">
        <v>1928</v>
      </c>
      <c r="C863" s="26" t="s">
        <v>9</v>
      </c>
      <c r="D863" s="35" t="s">
        <v>20</v>
      </c>
      <c r="E863" s="35" t="s">
        <v>20</v>
      </c>
      <c r="F863" s="35">
        <v>69988</v>
      </c>
      <c r="G863" t="b">
        <f t="shared" si="44"/>
        <v>0</v>
      </c>
      <c r="H863" t="b">
        <f t="shared" si="45"/>
        <v>0</v>
      </c>
      <c r="I863" s="29">
        <f t="shared" si="46"/>
        <v>40543</v>
      </c>
    </row>
    <row r="864" spans="1:9" ht="12.75" customHeight="1" x14ac:dyDescent="0.2">
      <c r="A864" s="28">
        <v>40543</v>
      </c>
      <c r="B864" s="26" t="s">
        <v>2764</v>
      </c>
      <c r="C864" s="26" t="s">
        <v>9</v>
      </c>
      <c r="D864" s="35" t="s">
        <v>20</v>
      </c>
      <c r="E864" s="35" t="s">
        <v>20</v>
      </c>
      <c r="F864" s="35" t="s">
        <v>20</v>
      </c>
      <c r="G864" t="b">
        <f t="shared" si="44"/>
        <v>0</v>
      </c>
      <c r="H864" t="b">
        <f t="shared" si="45"/>
        <v>0</v>
      </c>
      <c r="I864" s="29">
        <f t="shared" si="46"/>
        <v>40543</v>
      </c>
    </row>
    <row r="865" spans="1:9" ht="12.75" customHeight="1" x14ac:dyDescent="0.2">
      <c r="A865" s="28">
        <v>40543</v>
      </c>
      <c r="B865" s="26" t="s">
        <v>1652</v>
      </c>
      <c r="C865" s="26" t="s">
        <v>9</v>
      </c>
      <c r="D865" s="35" t="s">
        <v>20</v>
      </c>
      <c r="E865" s="35" t="s">
        <v>20</v>
      </c>
      <c r="F865" s="35" t="s">
        <v>20</v>
      </c>
      <c r="G865" t="b">
        <f t="shared" si="44"/>
        <v>0</v>
      </c>
      <c r="H865" t="b">
        <f t="shared" si="45"/>
        <v>0</v>
      </c>
      <c r="I865" s="29">
        <f t="shared" si="46"/>
        <v>40543</v>
      </c>
    </row>
    <row r="866" spans="1:9" ht="25.5" x14ac:dyDescent="0.2">
      <c r="A866" s="28">
        <v>40543</v>
      </c>
      <c r="B866" s="26" t="s">
        <v>1672</v>
      </c>
      <c r="C866" s="26" t="s">
        <v>9</v>
      </c>
      <c r="D866" s="35" t="s">
        <v>20</v>
      </c>
      <c r="E866" s="35" t="s">
        <v>20</v>
      </c>
      <c r="F866" s="35" t="s">
        <v>20</v>
      </c>
      <c r="G866" t="b">
        <f t="shared" si="44"/>
        <v>0</v>
      </c>
      <c r="H866" t="b">
        <f t="shared" si="45"/>
        <v>0</v>
      </c>
      <c r="I866" s="29">
        <f t="shared" si="46"/>
        <v>40543</v>
      </c>
    </row>
    <row r="867" spans="1:9" ht="25.5" x14ac:dyDescent="0.2">
      <c r="A867" s="28">
        <v>40543</v>
      </c>
      <c r="B867" s="26" t="s">
        <v>2974</v>
      </c>
      <c r="C867" s="26" t="s">
        <v>9</v>
      </c>
      <c r="D867" s="35" t="s">
        <v>20</v>
      </c>
      <c r="E867" s="35" t="s">
        <v>20</v>
      </c>
      <c r="F867" s="35" t="s">
        <v>20</v>
      </c>
      <c r="G867" t="b">
        <f t="shared" si="44"/>
        <v>0</v>
      </c>
      <c r="H867" t="b">
        <f t="shared" si="45"/>
        <v>0</v>
      </c>
      <c r="I867" s="29">
        <f t="shared" si="46"/>
        <v>40543</v>
      </c>
    </row>
    <row r="868" spans="1:9" ht="12.75" customHeight="1" x14ac:dyDescent="0.2">
      <c r="A868" s="28">
        <v>40543</v>
      </c>
      <c r="B868" s="26" t="s">
        <v>2635</v>
      </c>
      <c r="C868" s="26" t="s">
        <v>9</v>
      </c>
      <c r="D868" s="35" t="s">
        <v>20</v>
      </c>
      <c r="E868" s="35" t="s">
        <v>20</v>
      </c>
      <c r="F868" s="35" t="s">
        <v>20</v>
      </c>
      <c r="G868" t="b">
        <f t="shared" si="44"/>
        <v>0</v>
      </c>
      <c r="H868" t="b">
        <f t="shared" si="45"/>
        <v>0</v>
      </c>
      <c r="I868" s="29">
        <f t="shared" si="46"/>
        <v>40543</v>
      </c>
    </row>
    <row r="869" spans="1:9" ht="25.5" x14ac:dyDescent="0.2">
      <c r="A869" s="28">
        <v>40543</v>
      </c>
      <c r="B869" s="26" t="s">
        <v>2912</v>
      </c>
      <c r="C869" s="26" t="s">
        <v>9</v>
      </c>
      <c r="D869" s="35" t="s">
        <v>20</v>
      </c>
      <c r="E869" s="35" t="s">
        <v>20</v>
      </c>
      <c r="F869" s="35" t="s">
        <v>20</v>
      </c>
      <c r="G869" t="b">
        <f t="shared" si="44"/>
        <v>0</v>
      </c>
      <c r="H869" t="b">
        <f t="shared" si="45"/>
        <v>0</v>
      </c>
      <c r="I869" s="29">
        <f t="shared" si="46"/>
        <v>40543</v>
      </c>
    </row>
    <row r="870" spans="1:9" ht="25.5" x14ac:dyDescent="0.2">
      <c r="A870" s="28">
        <v>40543</v>
      </c>
      <c r="B870" s="26" t="s">
        <v>1846</v>
      </c>
      <c r="C870" s="26" t="s">
        <v>9</v>
      </c>
      <c r="D870" s="35" t="s">
        <v>20</v>
      </c>
      <c r="E870" s="35" t="s">
        <v>20</v>
      </c>
      <c r="F870" s="35" t="s">
        <v>20</v>
      </c>
      <c r="G870" t="b">
        <f t="shared" si="44"/>
        <v>0</v>
      </c>
      <c r="H870" t="b">
        <f t="shared" si="45"/>
        <v>0</v>
      </c>
      <c r="I870" s="29">
        <f t="shared" si="46"/>
        <v>40543</v>
      </c>
    </row>
    <row r="871" spans="1:9" ht="25.5" x14ac:dyDescent="0.2">
      <c r="A871" s="28">
        <v>40543</v>
      </c>
      <c r="B871" s="26" t="s">
        <v>2088</v>
      </c>
      <c r="C871" s="26" t="s">
        <v>9</v>
      </c>
      <c r="D871" s="35" t="s">
        <v>20</v>
      </c>
      <c r="E871" s="35" t="s">
        <v>20</v>
      </c>
      <c r="F871" s="35" t="s">
        <v>20</v>
      </c>
      <c r="G871" t="b">
        <f t="shared" si="44"/>
        <v>0</v>
      </c>
      <c r="H871" t="b">
        <f t="shared" si="45"/>
        <v>0</v>
      </c>
      <c r="I871" s="29">
        <f t="shared" si="46"/>
        <v>40543</v>
      </c>
    </row>
    <row r="872" spans="1:9" ht="12.75" customHeight="1" x14ac:dyDescent="0.2">
      <c r="A872" s="28">
        <v>40543</v>
      </c>
      <c r="B872" s="26" t="s">
        <v>122</v>
      </c>
      <c r="C872" s="26" t="s">
        <v>9</v>
      </c>
      <c r="D872" s="35" t="s">
        <v>20</v>
      </c>
      <c r="E872" s="35" t="s">
        <v>20</v>
      </c>
      <c r="F872" s="35" t="s">
        <v>20</v>
      </c>
      <c r="G872" t="b">
        <f t="shared" si="44"/>
        <v>0</v>
      </c>
      <c r="H872" t="b">
        <f t="shared" si="45"/>
        <v>0</v>
      </c>
      <c r="I872" s="29">
        <f t="shared" si="46"/>
        <v>40543</v>
      </c>
    </row>
    <row r="873" spans="1:9" ht="12.75" customHeight="1" x14ac:dyDescent="0.2">
      <c r="A873" s="28">
        <v>40543</v>
      </c>
      <c r="B873" s="26" t="s">
        <v>1629</v>
      </c>
      <c r="C873" s="26" t="s">
        <v>9</v>
      </c>
      <c r="D873" s="35" t="s">
        <v>20</v>
      </c>
      <c r="E873" s="35" t="s">
        <v>20</v>
      </c>
      <c r="F873" s="35" t="s">
        <v>20</v>
      </c>
      <c r="G873" t="b">
        <f t="shared" si="44"/>
        <v>0</v>
      </c>
      <c r="H873" t="b">
        <f t="shared" si="45"/>
        <v>0</v>
      </c>
      <c r="I873" s="29">
        <f t="shared" si="46"/>
        <v>40543</v>
      </c>
    </row>
    <row r="874" spans="1:9" ht="25.5" x14ac:dyDescent="0.2">
      <c r="A874" s="28">
        <v>40543</v>
      </c>
      <c r="B874" s="26" t="s">
        <v>1664</v>
      </c>
      <c r="C874" s="26" t="s">
        <v>9</v>
      </c>
      <c r="D874" s="35" t="s">
        <v>20</v>
      </c>
      <c r="E874" s="35" t="s">
        <v>20</v>
      </c>
      <c r="F874" s="35" t="s">
        <v>20</v>
      </c>
      <c r="G874" t="b">
        <f t="shared" si="44"/>
        <v>0</v>
      </c>
      <c r="H874" t="b">
        <f t="shared" si="45"/>
        <v>0</v>
      </c>
      <c r="I874" s="29">
        <f t="shared" si="46"/>
        <v>40543</v>
      </c>
    </row>
    <row r="875" spans="1:9" ht="38.25" x14ac:dyDescent="0.2">
      <c r="A875" s="28">
        <v>40543</v>
      </c>
      <c r="B875" s="26" t="s">
        <v>1373</v>
      </c>
      <c r="C875" s="26" t="s">
        <v>9</v>
      </c>
      <c r="D875" s="35">
        <v>5000000</v>
      </c>
      <c r="E875" s="35" t="s">
        <v>20</v>
      </c>
      <c r="F875" s="35" t="s">
        <v>20</v>
      </c>
      <c r="G875" t="b">
        <f t="shared" si="44"/>
        <v>0</v>
      </c>
      <c r="H875" t="b">
        <f t="shared" si="45"/>
        <v>0</v>
      </c>
      <c r="I875" s="29">
        <f t="shared" si="46"/>
        <v>40543</v>
      </c>
    </row>
    <row r="876" spans="1:9" ht="12.75" customHeight="1" x14ac:dyDescent="0.2">
      <c r="A876" s="28">
        <v>40543</v>
      </c>
      <c r="B876" s="26" t="s">
        <v>1613</v>
      </c>
      <c r="C876" s="26" t="s">
        <v>9</v>
      </c>
      <c r="D876" s="35" t="s">
        <v>20</v>
      </c>
      <c r="E876" s="35" t="s">
        <v>20</v>
      </c>
      <c r="F876" s="35" t="s">
        <v>20</v>
      </c>
      <c r="G876" t="b">
        <f t="shared" si="44"/>
        <v>0</v>
      </c>
      <c r="H876" t="b">
        <f t="shared" si="45"/>
        <v>0</v>
      </c>
      <c r="I876" s="29">
        <f t="shared" si="46"/>
        <v>40543</v>
      </c>
    </row>
    <row r="877" spans="1:9" ht="25.5" x14ac:dyDescent="0.2">
      <c r="A877" s="28">
        <v>40543</v>
      </c>
      <c r="B877" s="26" t="s">
        <v>1293</v>
      </c>
      <c r="C877" s="26" t="s">
        <v>9</v>
      </c>
      <c r="D877" s="35" t="s">
        <v>20</v>
      </c>
      <c r="E877" s="35" t="s">
        <v>20</v>
      </c>
      <c r="F877" s="35" t="s">
        <v>20</v>
      </c>
      <c r="G877" t="b">
        <f t="shared" si="44"/>
        <v>0</v>
      </c>
      <c r="H877" t="b">
        <f t="shared" si="45"/>
        <v>0</v>
      </c>
      <c r="I877" s="29">
        <f t="shared" si="46"/>
        <v>40543</v>
      </c>
    </row>
    <row r="878" spans="1:9" ht="12.75" customHeight="1" x14ac:dyDescent="0.2">
      <c r="A878" s="28">
        <v>40543</v>
      </c>
      <c r="B878" s="26" t="s">
        <v>2859</v>
      </c>
      <c r="C878" s="26" t="s">
        <v>9</v>
      </c>
      <c r="D878" s="35" t="s">
        <v>20</v>
      </c>
      <c r="E878" s="35" t="s">
        <v>20</v>
      </c>
      <c r="F878" s="35" t="s">
        <v>20</v>
      </c>
      <c r="G878" t="b">
        <f t="shared" si="44"/>
        <v>0</v>
      </c>
      <c r="H878" t="b">
        <f t="shared" si="45"/>
        <v>0</v>
      </c>
      <c r="I878" s="29">
        <f t="shared" si="46"/>
        <v>40543</v>
      </c>
    </row>
    <row r="879" spans="1:9" x14ac:dyDescent="0.2">
      <c r="A879" s="28">
        <v>40543</v>
      </c>
      <c r="B879" s="26" t="s">
        <v>1547</v>
      </c>
      <c r="C879" s="26" t="s">
        <v>9</v>
      </c>
      <c r="D879" s="35" t="s">
        <v>20</v>
      </c>
      <c r="E879" s="35" t="s">
        <v>20</v>
      </c>
      <c r="F879" s="35" t="s">
        <v>20</v>
      </c>
      <c r="G879" t="b">
        <f t="shared" si="44"/>
        <v>0</v>
      </c>
      <c r="H879" t="b">
        <f t="shared" si="45"/>
        <v>0</v>
      </c>
      <c r="I879" s="29">
        <f t="shared" si="46"/>
        <v>40543</v>
      </c>
    </row>
    <row r="880" spans="1:9" ht="12.75" customHeight="1" x14ac:dyDescent="0.2">
      <c r="A880" s="28">
        <v>40543</v>
      </c>
      <c r="B880" s="26" t="s">
        <v>2889</v>
      </c>
      <c r="C880" s="26" t="s">
        <v>9</v>
      </c>
      <c r="D880" s="35" t="s">
        <v>20</v>
      </c>
      <c r="E880" s="35" t="s">
        <v>20</v>
      </c>
      <c r="F880" s="35" t="s">
        <v>20</v>
      </c>
      <c r="G880" t="b">
        <f t="shared" si="44"/>
        <v>0</v>
      </c>
      <c r="H880" t="b">
        <f t="shared" si="45"/>
        <v>0</v>
      </c>
      <c r="I880" s="29">
        <f t="shared" si="46"/>
        <v>40543</v>
      </c>
    </row>
    <row r="881" spans="1:9" ht="25.5" x14ac:dyDescent="0.2">
      <c r="A881" s="28">
        <v>40543</v>
      </c>
      <c r="B881" s="26" t="s">
        <v>416</v>
      </c>
      <c r="C881" s="26" t="s">
        <v>9</v>
      </c>
      <c r="D881" s="35" t="s">
        <v>20</v>
      </c>
      <c r="E881" s="35" t="s">
        <v>20</v>
      </c>
      <c r="F881" s="35" t="s">
        <v>20</v>
      </c>
      <c r="G881" t="b">
        <f t="shared" si="44"/>
        <v>0</v>
      </c>
      <c r="H881" t="b">
        <f t="shared" si="45"/>
        <v>0</v>
      </c>
      <c r="I881" s="29">
        <f t="shared" si="46"/>
        <v>40543</v>
      </c>
    </row>
    <row r="882" spans="1:9" ht="12.75" customHeight="1" x14ac:dyDescent="0.2">
      <c r="A882" s="28">
        <v>40543</v>
      </c>
      <c r="B882" s="26" t="s">
        <v>2194</v>
      </c>
      <c r="C882" s="26" t="s">
        <v>9</v>
      </c>
      <c r="D882" s="35" t="s">
        <v>20</v>
      </c>
      <c r="E882" s="35" t="s">
        <v>20</v>
      </c>
      <c r="F882" s="35" t="s">
        <v>20</v>
      </c>
      <c r="G882" t="b">
        <f t="shared" si="44"/>
        <v>0</v>
      </c>
      <c r="H882" t="b">
        <f t="shared" si="45"/>
        <v>0</v>
      </c>
      <c r="I882" s="29">
        <f t="shared" si="46"/>
        <v>40543</v>
      </c>
    </row>
    <row r="883" spans="1:9" ht="12.75" customHeight="1" x14ac:dyDescent="0.2">
      <c r="A883" s="37"/>
      <c r="B883" s="37"/>
      <c r="C883" s="37"/>
      <c r="D883" s="38"/>
      <c r="E883" s="38"/>
      <c r="F883" s="38"/>
      <c r="G883" s="37"/>
      <c r="H883" s="37"/>
      <c r="I883" s="37"/>
    </row>
  </sheetData>
  <autoFilter ref="A1:I882">
    <sortState ref="A893:I893">
      <sortCondition ref="H1:H893"/>
    </sortState>
  </autoFilter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zoomScale="130" zoomScaleNormal="130" workbookViewId="0">
      <pane xSplit="1" ySplit="1" topLeftCell="B2" activePane="bottomRight" state="frozenSplit"/>
      <selection pane="topRight" activeCell="B1" sqref="B1"/>
      <selection pane="bottomLeft" activeCell="A4" sqref="A4"/>
      <selection pane="bottomRight" activeCell="A8" sqref="A8"/>
    </sheetView>
  </sheetViews>
  <sheetFormatPr defaultColWidth="17.140625" defaultRowHeight="12.75" customHeight="1" x14ac:dyDescent="0.2"/>
  <cols>
    <col min="1" max="3" width="17.140625" customWidth="1"/>
    <col min="4" max="6" width="17.140625" style="36" customWidth="1"/>
    <col min="7" max="19" width="17.140625" customWidth="1"/>
  </cols>
  <sheetData>
    <row r="1" spans="1:9" ht="12.75" customHeight="1" x14ac:dyDescent="0.25">
      <c r="A1" s="30" t="s">
        <v>3490</v>
      </c>
      <c r="B1" s="30" t="s">
        <v>2968</v>
      </c>
      <c r="C1" s="30" t="s">
        <v>2266</v>
      </c>
      <c r="D1" s="34" t="s">
        <v>1858</v>
      </c>
      <c r="E1" s="34" t="s">
        <v>606</v>
      </c>
      <c r="F1" s="34" t="s">
        <v>1728</v>
      </c>
      <c r="G1" s="31" t="s">
        <v>3488</v>
      </c>
      <c r="H1" s="31" t="s">
        <v>3489</v>
      </c>
      <c r="I1" s="31" t="s">
        <v>3490</v>
      </c>
    </row>
    <row r="2" spans="1:9" ht="12.75" customHeight="1" x14ac:dyDescent="0.2">
      <c r="A2" s="28">
        <v>39814</v>
      </c>
      <c r="B2" s="26" t="s">
        <v>1384</v>
      </c>
      <c r="C2" s="26" t="s">
        <v>9</v>
      </c>
      <c r="D2" s="35">
        <v>36500000</v>
      </c>
      <c r="E2" s="35" t="s">
        <v>20</v>
      </c>
      <c r="F2" s="35">
        <v>15000000</v>
      </c>
      <c r="G2" t="b">
        <f t="shared" ref="G2:G9" si="0">ISBLANK(A2)</f>
        <v>0</v>
      </c>
      <c r="H2" t="b">
        <f t="shared" ref="H2:H9" si="1">ISTEXT(A2)</f>
        <v>0</v>
      </c>
      <c r="I2" s="29">
        <f>DATE(2009,MONTH(A2), DAY(A2))</f>
        <v>39814</v>
      </c>
    </row>
    <row r="3" spans="1:9" ht="25.5" x14ac:dyDescent="0.2">
      <c r="A3" s="28">
        <v>39815</v>
      </c>
      <c r="B3" s="26" t="s">
        <v>2377</v>
      </c>
      <c r="C3" s="26" t="s">
        <v>9</v>
      </c>
      <c r="D3" s="35" t="s">
        <v>20</v>
      </c>
      <c r="E3" s="35" t="s">
        <v>20</v>
      </c>
      <c r="F3" s="35">
        <v>21734431</v>
      </c>
      <c r="G3" t="b">
        <f t="shared" si="0"/>
        <v>0</v>
      </c>
      <c r="H3" t="b">
        <f t="shared" si="1"/>
        <v>0</v>
      </c>
      <c r="I3" s="29">
        <f t="shared" ref="I3:I64" si="2">DATE(2009,MONTH(A3), DAY(A3))</f>
        <v>39815</v>
      </c>
    </row>
    <row r="4" spans="1:9" ht="38.25" x14ac:dyDescent="0.2">
      <c r="A4" s="28">
        <v>39815</v>
      </c>
      <c r="B4" s="26" t="s">
        <v>1691</v>
      </c>
      <c r="C4" s="26" t="s">
        <v>2479</v>
      </c>
      <c r="D4" s="35" t="s">
        <v>20</v>
      </c>
      <c r="E4" s="35">
        <v>2125</v>
      </c>
      <c r="F4" s="35" t="s">
        <v>20</v>
      </c>
      <c r="G4" t="b">
        <f t="shared" si="0"/>
        <v>0</v>
      </c>
      <c r="H4" t="b">
        <f t="shared" si="1"/>
        <v>0</v>
      </c>
      <c r="I4" s="29">
        <f t="shared" si="2"/>
        <v>39815</v>
      </c>
    </row>
    <row r="5" spans="1:9" ht="38.25" x14ac:dyDescent="0.2">
      <c r="A5" s="28">
        <v>39819</v>
      </c>
      <c r="B5" s="26" t="s">
        <v>2336</v>
      </c>
      <c r="C5" s="26" t="s">
        <v>9</v>
      </c>
      <c r="D5" s="35" t="s">
        <v>20</v>
      </c>
      <c r="E5" s="35" t="s">
        <v>20</v>
      </c>
      <c r="F5" s="35" t="s">
        <v>20</v>
      </c>
      <c r="G5" t="b">
        <f t="shared" si="0"/>
        <v>0</v>
      </c>
      <c r="H5" t="b">
        <f t="shared" si="1"/>
        <v>0</v>
      </c>
      <c r="I5" s="29">
        <f t="shared" si="2"/>
        <v>39819</v>
      </c>
    </row>
    <row r="6" spans="1:9" ht="25.5" x14ac:dyDescent="0.2">
      <c r="A6" s="28">
        <v>39819</v>
      </c>
      <c r="B6" s="26" t="s">
        <v>2068</v>
      </c>
      <c r="C6" s="26" t="s">
        <v>2153</v>
      </c>
      <c r="D6" s="35" t="s">
        <v>20</v>
      </c>
      <c r="E6" s="35" t="s">
        <v>20</v>
      </c>
      <c r="F6" s="35" t="s">
        <v>20</v>
      </c>
      <c r="G6" t="b">
        <f t="shared" si="0"/>
        <v>0</v>
      </c>
      <c r="H6" t="b">
        <f t="shared" si="1"/>
        <v>0</v>
      </c>
      <c r="I6" s="29">
        <f t="shared" si="2"/>
        <v>39819</v>
      </c>
    </row>
    <row r="7" spans="1:9" ht="25.5" x14ac:dyDescent="0.2">
      <c r="A7" s="28">
        <v>39821</v>
      </c>
      <c r="B7" s="26" t="s">
        <v>1280</v>
      </c>
      <c r="C7" s="26" t="s">
        <v>1095</v>
      </c>
      <c r="D7" s="35" t="s">
        <v>20</v>
      </c>
      <c r="E7" s="35" t="s">
        <v>20</v>
      </c>
      <c r="F7" s="35" t="s">
        <v>20</v>
      </c>
      <c r="G7" t="b">
        <f t="shared" si="0"/>
        <v>0</v>
      </c>
      <c r="H7" t="b">
        <f t="shared" si="1"/>
        <v>0</v>
      </c>
      <c r="I7" s="29">
        <f t="shared" si="2"/>
        <v>39821</v>
      </c>
    </row>
    <row r="8" spans="1:9" ht="12.75" customHeight="1" x14ac:dyDescent="0.2">
      <c r="A8" s="28">
        <v>39822</v>
      </c>
      <c r="B8" s="26" t="s">
        <v>2277</v>
      </c>
      <c r="C8" s="26" t="s">
        <v>3096</v>
      </c>
      <c r="D8" s="35">
        <v>16000000</v>
      </c>
      <c r="E8" s="35">
        <v>42670410</v>
      </c>
      <c r="F8" s="35">
        <v>77208315</v>
      </c>
      <c r="G8" t="b">
        <f t="shared" si="0"/>
        <v>0</v>
      </c>
      <c r="H8" t="b">
        <f t="shared" si="1"/>
        <v>0</v>
      </c>
      <c r="I8" s="29">
        <f t="shared" si="2"/>
        <v>39822</v>
      </c>
    </row>
    <row r="9" spans="1:9" ht="25.5" x14ac:dyDescent="0.2">
      <c r="A9" s="28">
        <v>39822</v>
      </c>
      <c r="B9" s="26" t="s">
        <v>490</v>
      </c>
      <c r="C9" s="26" t="s">
        <v>3466</v>
      </c>
      <c r="D9" s="35" t="s">
        <v>20</v>
      </c>
      <c r="E9" s="35">
        <v>1731665</v>
      </c>
      <c r="F9" s="35" t="s">
        <v>20</v>
      </c>
      <c r="G9" t="b">
        <f t="shared" si="0"/>
        <v>0</v>
      </c>
      <c r="H9" t="b">
        <f t="shared" si="1"/>
        <v>0</v>
      </c>
      <c r="I9" s="29">
        <f t="shared" si="2"/>
        <v>39822</v>
      </c>
    </row>
    <row r="10" spans="1:9" ht="25.5" x14ac:dyDescent="0.2">
      <c r="A10" s="28">
        <v>39822</v>
      </c>
      <c r="B10" s="26" t="s">
        <v>957</v>
      </c>
      <c r="C10" s="26" t="s">
        <v>3466</v>
      </c>
      <c r="D10" s="35" t="s">
        <v>20</v>
      </c>
      <c r="E10" s="35" t="s">
        <v>20</v>
      </c>
      <c r="F10" s="35" t="s">
        <v>20</v>
      </c>
      <c r="G10" t="b">
        <f t="shared" ref="G10:G71" si="3">ISBLANK(A10)</f>
        <v>0</v>
      </c>
      <c r="H10" t="b">
        <f t="shared" ref="H10:H71" si="4">ISTEXT(A10)</f>
        <v>0</v>
      </c>
      <c r="I10" s="29">
        <f t="shared" si="2"/>
        <v>39822</v>
      </c>
    </row>
    <row r="11" spans="1:9" ht="12.75" customHeight="1" x14ac:dyDescent="0.2">
      <c r="A11" s="28">
        <v>39822</v>
      </c>
      <c r="B11" s="26" t="s">
        <v>1232</v>
      </c>
      <c r="C11" s="26" t="s">
        <v>384</v>
      </c>
      <c r="D11" s="35">
        <v>30000000</v>
      </c>
      <c r="E11" s="35">
        <v>58715510</v>
      </c>
      <c r="F11" s="35">
        <v>115150424</v>
      </c>
      <c r="G11" t="b">
        <f t="shared" si="3"/>
        <v>0</v>
      </c>
      <c r="H11" t="b">
        <f t="shared" si="4"/>
        <v>0</v>
      </c>
      <c r="I11" s="29">
        <f t="shared" si="2"/>
        <v>39822</v>
      </c>
    </row>
    <row r="12" spans="1:9" ht="12.75" customHeight="1" x14ac:dyDescent="0.2">
      <c r="A12" s="28">
        <v>39822</v>
      </c>
      <c r="B12" s="26" t="s">
        <v>2668</v>
      </c>
      <c r="C12" s="26" t="s">
        <v>746</v>
      </c>
      <c r="D12" s="35" t="s">
        <v>20</v>
      </c>
      <c r="E12" s="35">
        <v>8286</v>
      </c>
      <c r="F12" s="35" t="s">
        <v>20</v>
      </c>
      <c r="G12" t="b">
        <f t="shared" si="3"/>
        <v>0</v>
      </c>
      <c r="H12" t="b">
        <f t="shared" si="4"/>
        <v>0</v>
      </c>
      <c r="I12" s="29">
        <f t="shared" si="2"/>
        <v>39822</v>
      </c>
    </row>
    <row r="13" spans="1:9" ht="12.75" customHeight="1" x14ac:dyDescent="0.2">
      <c r="A13" s="28">
        <v>39822</v>
      </c>
      <c r="B13" s="26" t="s">
        <v>2020</v>
      </c>
      <c r="C13" s="26" t="s">
        <v>2160</v>
      </c>
      <c r="D13" s="35">
        <v>5000000</v>
      </c>
      <c r="E13" s="35">
        <v>10572742</v>
      </c>
      <c r="F13" s="35" t="s">
        <v>20</v>
      </c>
      <c r="G13" t="b">
        <f t="shared" si="3"/>
        <v>0</v>
      </c>
      <c r="H13" t="b">
        <f t="shared" si="4"/>
        <v>0</v>
      </c>
      <c r="I13" s="29">
        <f t="shared" si="2"/>
        <v>39822</v>
      </c>
    </row>
    <row r="14" spans="1:9" ht="25.5" x14ac:dyDescent="0.2">
      <c r="A14" s="28">
        <v>39822</v>
      </c>
      <c r="B14" s="26" t="s">
        <v>1079</v>
      </c>
      <c r="C14" s="26" t="s">
        <v>1250</v>
      </c>
      <c r="D14" s="35" t="s">
        <v>20</v>
      </c>
      <c r="E14" s="35">
        <v>66456</v>
      </c>
      <c r="F14" s="35" t="s">
        <v>20</v>
      </c>
      <c r="G14" t="b">
        <f t="shared" si="3"/>
        <v>0</v>
      </c>
      <c r="H14" t="b">
        <f t="shared" si="4"/>
        <v>0</v>
      </c>
      <c r="I14" s="29">
        <f t="shared" si="2"/>
        <v>39822</v>
      </c>
    </row>
    <row r="15" spans="1:9" ht="12.75" customHeight="1" x14ac:dyDescent="0.2">
      <c r="A15" s="28">
        <v>39822</v>
      </c>
      <c r="B15" s="26" t="s">
        <v>1736</v>
      </c>
      <c r="C15" s="26" t="s">
        <v>9</v>
      </c>
      <c r="D15" s="35" t="s">
        <v>20</v>
      </c>
      <c r="E15" s="35">
        <v>52293</v>
      </c>
      <c r="F15" s="35" t="s">
        <v>20</v>
      </c>
      <c r="G15" t="b">
        <f t="shared" si="3"/>
        <v>0</v>
      </c>
      <c r="H15" t="b">
        <f t="shared" si="4"/>
        <v>0</v>
      </c>
      <c r="I15" s="29">
        <f t="shared" si="2"/>
        <v>39822</v>
      </c>
    </row>
    <row r="16" spans="1:9" ht="12.75" customHeight="1" x14ac:dyDescent="0.2">
      <c r="A16" s="28">
        <v>39822</v>
      </c>
      <c r="B16" s="26" t="s">
        <v>1943</v>
      </c>
      <c r="C16" s="26" t="s">
        <v>3421</v>
      </c>
      <c r="D16" s="35" t="s">
        <v>20</v>
      </c>
      <c r="E16" s="35">
        <v>95209</v>
      </c>
      <c r="F16" s="35" t="s">
        <v>20</v>
      </c>
      <c r="G16" t="b">
        <f t="shared" si="3"/>
        <v>0</v>
      </c>
      <c r="H16" t="b">
        <f t="shared" si="4"/>
        <v>0</v>
      </c>
      <c r="I16" s="29">
        <f t="shared" si="2"/>
        <v>39822</v>
      </c>
    </row>
    <row r="17" spans="1:9" ht="25.5" x14ac:dyDescent="0.2">
      <c r="A17" s="28">
        <v>39822</v>
      </c>
      <c r="B17" s="26" t="s">
        <v>1824</v>
      </c>
      <c r="C17" s="26" t="s">
        <v>9</v>
      </c>
      <c r="D17" s="35" t="s">
        <v>20</v>
      </c>
      <c r="E17" s="35">
        <v>42686</v>
      </c>
      <c r="F17" s="35" t="s">
        <v>20</v>
      </c>
      <c r="G17" t="b">
        <f t="shared" si="3"/>
        <v>0</v>
      </c>
      <c r="H17" t="b">
        <f t="shared" si="4"/>
        <v>0</v>
      </c>
      <c r="I17" s="29">
        <f t="shared" si="2"/>
        <v>39822</v>
      </c>
    </row>
    <row r="18" spans="1:9" ht="12.75" customHeight="1" x14ac:dyDescent="0.2">
      <c r="A18" s="28">
        <v>39826</v>
      </c>
      <c r="B18" s="26" t="s">
        <v>1327</v>
      </c>
      <c r="C18" s="26" t="s">
        <v>2779</v>
      </c>
      <c r="D18" s="35" t="s">
        <v>20</v>
      </c>
      <c r="E18" s="35" t="s">
        <v>20</v>
      </c>
      <c r="F18" s="35" t="s">
        <v>20</v>
      </c>
      <c r="G18" t="b">
        <f t="shared" si="3"/>
        <v>0</v>
      </c>
      <c r="H18" t="b">
        <f t="shared" si="4"/>
        <v>0</v>
      </c>
      <c r="I18" s="29">
        <f t="shared" si="2"/>
        <v>39826</v>
      </c>
    </row>
    <row r="19" spans="1:9" ht="25.5" x14ac:dyDescent="0.2">
      <c r="A19" s="28">
        <v>39826</v>
      </c>
      <c r="B19" s="26" t="s">
        <v>3468</v>
      </c>
      <c r="C19" s="26" t="s">
        <v>9</v>
      </c>
      <c r="D19" s="35" t="s">
        <v>20</v>
      </c>
      <c r="E19" s="35" t="s">
        <v>20</v>
      </c>
      <c r="F19" s="35" t="s">
        <v>20</v>
      </c>
      <c r="G19" t="b">
        <f t="shared" si="3"/>
        <v>0</v>
      </c>
      <c r="H19" t="b">
        <f t="shared" si="4"/>
        <v>0</v>
      </c>
      <c r="I19" s="29">
        <f t="shared" si="2"/>
        <v>39826</v>
      </c>
    </row>
    <row r="20" spans="1:9" ht="25.5" x14ac:dyDescent="0.2">
      <c r="A20" s="28">
        <v>39826</v>
      </c>
      <c r="B20" s="26" t="s">
        <v>3304</v>
      </c>
      <c r="C20" s="26" t="s">
        <v>9</v>
      </c>
      <c r="D20" s="35" t="s">
        <v>20</v>
      </c>
      <c r="E20" s="35" t="s">
        <v>20</v>
      </c>
      <c r="F20" s="35" t="s">
        <v>20</v>
      </c>
      <c r="G20" t="b">
        <f t="shared" si="3"/>
        <v>0</v>
      </c>
      <c r="H20" t="b">
        <f t="shared" si="4"/>
        <v>0</v>
      </c>
      <c r="I20" s="29">
        <f t="shared" si="2"/>
        <v>39826</v>
      </c>
    </row>
    <row r="21" spans="1:9" ht="12.75" customHeight="1" x14ac:dyDescent="0.2">
      <c r="A21" s="28">
        <v>39826</v>
      </c>
      <c r="B21" s="26" t="s">
        <v>1697</v>
      </c>
      <c r="C21" s="26" t="s">
        <v>9</v>
      </c>
      <c r="D21" s="35" t="s">
        <v>20</v>
      </c>
      <c r="E21" s="35" t="s">
        <v>20</v>
      </c>
      <c r="F21" s="35" t="s">
        <v>20</v>
      </c>
      <c r="G21" t="b">
        <f t="shared" si="3"/>
        <v>0</v>
      </c>
      <c r="H21" t="b">
        <f t="shared" si="4"/>
        <v>0</v>
      </c>
      <c r="I21" s="29">
        <f t="shared" si="2"/>
        <v>39826</v>
      </c>
    </row>
    <row r="22" spans="1:9" ht="25.5" x14ac:dyDescent="0.2">
      <c r="A22" s="28">
        <v>39826</v>
      </c>
      <c r="B22" s="26" t="s">
        <v>1746</v>
      </c>
      <c r="C22" s="26" t="s">
        <v>2168</v>
      </c>
      <c r="D22" s="35" t="s">
        <v>20</v>
      </c>
      <c r="E22" s="35" t="s">
        <v>20</v>
      </c>
      <c r="F22" s="35" t="s">
        <v>20</v>
      </c>
      <c r="G22" t="b">
        <f t="shared" si="3"/>
        <v>0</v>
      </c>
      <c r="H22" t="b">
        <f t="shared" si="4"/>
        <v>0</v>
      </c>
      <c r="I22" s="29">
        <f t="shared" si="2"/>
        <v>39826</v>
      </c>
    </row>
    <row r="23" spans="1:9" ht="25.5" x14ac:dyDescent="0.2">
      <c r="A23" s="28">
        <v>39829</v>
      </c>
      <c r="B23" s="26" t="s">
        <v>3293</v>
      </c>
      <c r="C23" s="26" t="s">
        <v>3419</v>
      </c>
      <c r="D23" s="35">
        <v>14000000</v>
      </c>
      <c r="E23" s="35">
        <v>51545952</v>
      </c>
      <c r="F23" s="35">
        <v>102754998</v>
      </c>
      <c r="G23" t="b">
        <f t="shared" si="3"/>
        <v>0</v>
      </c>
      <c r="H23" t="b">
        <f t="shared" si="4"/>
        <v>0</v>
      </c>
      <c r="I23" s="29">
        <f t="shared" si="2"/>
        <v>39829</v>
      </c>
    </row>
    <row r="24" spans="1:9" ht="25.5" x14ac:dyDescent="0.2">
      <c r="A24" s="28">
        <v>39829</v>
      </c>
      <c r="B24" s="26" t="s">
        <v>231</v>
      </c>
      <c r="C24" s="26" t="s">
        <v>2168</v>
      </c>
      <c r="D24" s="35" t="s">
        <v>20</v>
      </c>
      <c r="E24" s="35">
        <v>73034460</v>
      </c>
      <c r="F24" s="35">
        <v>118230763</v>
      </c>
      <c r="G24" t="b">
        <f t="shared" si="3"/>
        <v>0</v>
      </c>
      <c r="H24" t="b">
        <f t="shared" si="4"/>
        <v>0</v>
      </c>
      <c r="I24" s="29">
        <f t="shared" si="2"/>
        <v>39829</v>
      </c>
    </row>
    <row r="25" spans="1:9" ht="12.75" customHeight="1" x14ac:dyDescent="0.2">
      <c r="A25" s="28">
        <v>39829</v>
      </c>
      <c r="B25" s="26" t="s">
        <v>1727</v>
      </c>
      <c r="C25" s="26" t="s">
        <v>2964</v>
      </c>
      <c r="D25" s="35" t="s">
        <v>20</v>
      </c>
      <c r="E25" s="35">
        <v>114507</v>
      </c>
      <c r="F25" s="35" t="s">
        <v>20</v>
      </c>
      <c r="G25" t="b">
        <f t="shared" si="3"/>
        <v>0</v>
      </c>
      <c r="H25" t="b">
        <f t="shared" si="4"/>
        <v>0</v>
      </c>
      <c r="I25" s="29">
        <f t="shared" si="2"/>
        <v>39829</v>
      </c>
    </row>
    <row r="26" spans="1:9" ht="25.5" x14ac:dyDescent="0.2">
      <c r="A26" s="28">
        <v>39829</v>
      </c>
      <c r="B26" s="26" t="s">
        <v>652</v>
      </c>
      <c r="C26" s="26" t="s">
        <v>9</v>
      </c>
      <c r="D26" s="35" t="s">
        <v>20</v>
      </c>
      <c r="E26" s="35">
        <v>47071</v>
      </c>
      <c r="F26" s="35" t="s">
        <v>20</v>
      </c>
      <c r="G26" t="b">
        <f t="shared" si="3"/>
        <v>0</v>
      </c>
      <c r="H26" t="b">
        <f t="shared" si="4"/>
        <v>0</v>
      </c>
      <c r="I26" s="29">
        <f t="shared" si="2"/>
        <v>39829</v>
      </c>
    </row>
    <row r="27" spans="1:9" ht="25.5" x14ac:dyDescent="0.2">
      <c r="A27" s="28">
        <v>39829</v>
      </c>
      <c r="B27" s="26" t="s">
        <v>2487</v>
      </c>
      <c r="C27" s="26" t="s">
        <v>2168</v>
      </c>
      <c r="D27" s="35">
        <v>26000000</v>
      </c>
      <c r="E27" s="35">
        <v>146336178</v>
      </c>
      <c r="F27" s="35">
        <v>181770978</v>
      </c>
      <c r="G27" t="b">
        <f t="shared" si="3"/>
        <v>0</v>
      </c>
      <c r="H27" t="b">
        <f t="shared" si="4"/>
        <v>0</v>
      </c>
      <c r="I27" s="29">
        <f t="shared" si="2"/>
        <v>39829</v>
      </c>
    </row>
    <row r="28" spans="1:9" ht="12.75" customHeight="1" x14ac:dyDescent="0.2">
      <c r="A28" s="28">
        <v>39829</v>
      </c>
      <c r="B28" s="26" t="s">
        <v>532</v>
      </c>
      <c r="C28" s="26" t="s">
        <v>155</v>
      </c>
      <c r="D28" s="35">
        <v>19000000</v>
      </c>
      <c r="E28" s="35">
        <v>36842118</v>
      </c>
      <c r="F28" s="35">
        <v>44473591</v>
      </c>
      <c r="G28" t="b">
        <f t="shared" si="3"/>
        <v>0</v>
      </c>
      <c r="H28" t="b">
        <f t="shared" si="4"/>
        <v>0</v>
      </c>
      <c r="I28" s="29">
        <f t="shared" si="2"/>
        <v>39829</v>
      </c>
    </row>
    <row r="29" spans="1:9" ht="25.5" x14ac:dyDescent="0.2">
      <c r="A29" s="28">
        <v>39829</v>
      </c>
      <c r="B29" s="26" t="s">
        <v>927</v>
      </c>
      <c r="C29" s="26" t="s">
        <v>3209</v>
      </c>
      <c r="D29" s="35" t="s">
        <v>20</v>
      </c>
      <c r="E29" s="35">
        <v>921738</v>
      </c>
      <c r="F29" s="35" t="s">
        <v>20</v>
      </c>
      <c r="G29" t="b">
        <f t="shared" si="3"/>
        <v>0</v>
      </c>
      <c r="H29" t="b">
        <f t="shared" si="4"/>
        <v>0</v>
      </c>
      <c r="I29" s="29">
        <f t="shared" si="2"/>
        <v>39829</v>
      </c>
    </row>
    <row r="30" spans="1:9" ht="25.5" x14ac:dyDescent="0.2">
      <c r="A30" s="28">
        <v>39829</v>
      </c>
      <c r="B30" s="26" t="s">
        <v>14</v>
      </c>
      <c r="C30" s="26" t="s">
        <v>2313</v>
      </c>
      <c r="D30" s="35" t="s">
        <v>20</v>
      </c>
      <c r="E30" s="35">
        <v>2359</v>
      </c>
      <c r="F30" s="35" t="s">
        <v>20</v>
      </c>
      <c r="G30" t="b">
        <f t="shared" si="3"/>
        <v>0</v>
      </c>
      <c r="H30" t="b">
        <f t="shared" si="4"/>
        <v>0</v>
      </c>
      <c r="I30" s="29">
        <f t="shared" si="2"/>
        <v>39829</v>
      </c>
    </row>
    <row r="31" spans="1:9" ht="12.75" customHeight="1" x14ac:dyDescent="0.2">
      <c r="A31" s="28">
        <v>39829</v>
      </c>
      <c r="B31" s="26" t="s">
        <v>1402</v>
      </c>
      <c r="C31" s="26" t="s">
        <v>2285</v>
      </c>
      <c r="D31" s="35" t="s">
        <v>20</v>
      </c>
      <c r="E31" s="35">
        <v>104433</v>
      </c>
      <c r="F31" s="35" t="s">
        <v>20</v>
      </c>
      <c r="G31" t="b">
        <f t="shared" si="3"/>
        <v>0</v>
      </c>
      <c r="H31" t="b">
        <f t="shared" si="4"/>
        <v>0</v>
      </c>
      <c r="I31" s="29">
        <f t="shared" si="2"/>
        <v>39829</v>
      </c>
    </row>
    <row r="32" spans="1:9" ht="12.75" customHeight="1" x14ac:dyDescent="0.2">
      <c r="A32" s="28">
        <v>39833</v>
      </c>
      <c r="B32" s="26" t="s">
        <v>1918</v>
      </c>
      <c r="C32" s="26" t="s">
        <v>9</v>
      </c>
      <c r="D32" s="35" t="s">
        <v>20</v>
      </c>
      <c r="E32" s="35" t="s">
        <v>20</v>
      </c>
      <c r="F32" s="35" t="s">
        <v>20</v>
      </c>
      <c r="G32" t="b">
        <f t="shared" si="3"/>
        <v>0</v>
      </c>
      <c r="H32" t="b">
        <f t="shared" si="4"/>
        <v>0</v>
      </c>
      <c r="I32" s="29">
        <f t="shared" si="2"/>
        <v>39833</v>
      </c>
    </row>
    <row r="33" spans="1:9" ht="25.5" x14ac:dyDescent="0.2">
      <c r="A33" s="28">
        <v>39833</v>
      </c>
      <c r="B33" s="26" t="s">
        <v>1403</v>
      </c>
      <c r="C33" s="26" t="s">
        <v>3209</v>
      </c>
      <c r="D33" s="35" t="s">
        <v>20</v>
      </c>
      <c r="E33" s="35" t="s">
        <v>20</v>
      </c>
      <c r="F33" s="35" t="s">
        <v>20</v>
      </c>
      <c r="G33" t="b">
        <f t="shared" si="3"/>
        <v>0</v>
      </c>
      <c r="H33" t="b">
        <f t="shared" si="4"/>
        <v>0</v>
      </c>
      <c r="I33" s="29">
        <f t="shared" si="2"/>
        <v>39833</v>
      </c>
    </row>
    <row r="34" spans="1:9" ht="25.5" x14ac:dyDescent="0.2">
      <c r="A34" s="28">
        <v>39833</v>
      </c>
      <c r="B34" s="26" t="s">
        <v>2373</v>
      </c>
      <c r="C34" s="26" t="s">
        <v>9</v>
      </c>
      <c r="D34" s="35" t="s">
        <v>20</v>
      </c>
      <c r="E34" s="35" t="s">
        <v>20</v>
      </c>
      <c r="F34" s="35" t="s">
        <v>20</v>
      </c>
      <c r="G34" t="b">
        <f t="shared" si="3"/>
        <v>0</v>
      </c>
      <c r="H34" t="b">
        <f t="shared" si="4"/>
        <v>0</v>
      </c>
      <c r="I34" s="29">
        <f t="shared" si="2"/>
        <v>39833</v>
      </c>
    </row>
    <row r="35" spans="1:9" ht="12.75" customHeight="1" x14ac:dyDescent="0.2">
      <c r="A35" s="28">
        <v>39833</v>
      </c>
      <c r="B35" s="26" t="s">
        <v>2499</v>
      </c>
      <c r="C35" s="26" t="s">
        <v>2160</v>
      </c>
      <c r="D35" s="35" t="s">
        <v>20</v>
      </c>
      <c r="E35" s="35" t="s">
        <v>20</v>
      </c>
      <c r="F35" s="35" t="s">
        <v>20</v>
      </c>
      <c r="G35" t="b">
        <f t="shared" si="3"/>
        <v>0</v>
      </c>
      <c r="H35" t="b">
        <f t="shared" si="4"/>
        <v>0</v>
      </c>
      <c r="I35" s="29">
        <f t="shared" si="2"/>
        <v>39833</v>
      </c>
    </row>
    <row r="36" spans="1:9" ht="25.5" x14ac:dyDescent="0.2">
      <c r="A36" s="28">
        <v>39833</v>
      </c>
      <c r="B36" s="26" t="s">
        <v>2684</v>
      </c>
      <c r="C36" s="26" t="s">
        <v>2160</v>
      </c>
      <c r="D36" s="35" t="s">
        <v>20</v>
      </c>
      <c r="E36" s="35" t="s">
        <v>20</v>
      </c>
      <c r="F36" s="35" t="s">
        <v>20</v>
      </c>
      <c r="G36" t="b">
        <f t="shared" si="3"/>
        <v>0</v>
      </c>
      <c r="H36" t="b">
        <f t="shared" si="4"/>
        <v>0</v>
      </c>
      <c r="I36" s="29">
        <f t="shared" si="2"/>
        <v>39833</v>
      </c>
    </row>
    <row r="37" spans="1:9" ht="25.5" x14ac:dyDescent="0.2">
      <c r="A37" s="28">
        <v>39833</v>
      </c>
      <c r="B37" s="26" t="s">
        <v>48</v>
      </c>
      <c r="C37" s="26" t="s">
        <v>2160</v>
      </c>
      <c r="D37" s="35" t="s">
        <v>20</v>
      </c>
      <c r="E37" s="35" t="s">
        <v>20</v>
      </c>
      <c r="F37" s="35" t="s">
        <v>20</v>
      </c>
      <c r="G37" t="b">
        <f t="shared" si="3"/>
        <v>0</v>
      </c>
      <c r="H37" t="b">
        <f t="shared" si="4"/>
        <v>0</v>
      </c>
      <c r="I37" s="29">
        <f t="shared" si="2"/>
        <v>39833</v>
      </c>
    </row>
    <row r="38" spans="1:9" ht="25.5" x14ac:dyDescent="0.2">
      <c r="A38" s="28">
        <v>39834</v>
      </c>
      <c r="B38" s="26" t="s">
        <v>3420</v>
      </c>
      <c r="C38" s="26" t="s">
        <v>9</v>
      </c>
      <c r="D38" s="35" t="s">
        <v>20</v>
      </c>
      <c r="E38" s="35" t="s">
        <v>20</v>
      </c>
      <c r="F38" s="35" t="s">
        <v>20</v>
      </c>
      <c r="G38" t="b">
        <f t="shared" si="3"/>
        <v>0</v>
      </c>
      <c r="H38" t="b">
        <f t="shared" si="4"/>
        <v>0</v>
      </c>
      <c r="I38" s="29">
        <f t="shared" si="2"/>
        <v>39834</v>
      </c>
    </row>
    <row r="39" spans="1:9" ht="12.75" customHeight="1" x14ac:dyDescent="0.2">
      <c r="A39" s="28">
        <v>39836</v>
      </c>
      <c r="B39" s="26" t="s">
        <v>2644</v>
      </c>
      <c r="C39" s="26" t="s">
        <v>1319</v>
      </c>
      <c r="D39" s="35" t="s">
        <v>20</v>
      </c>
      <c r="E39" s="35" t="s">
        <v>20</v>
      </c>
      <c r="F39" s="35" t="s">
        <v>20</v>
      </c>
      <c r="G39" t="b">
        <f t="shared" si="3"/>
        <v>0</v>
      </c>
      <c r="H39" t="b">
        <f t="shared" si="4"/>
        <v>0</v>
      </c>
      <c r="I39" s="29">
        <f t="shared" si="2"/>
        <v>39836</v>
      </c>
    </row>
    <row r="40" spans="1:9" ht="25.5" x14ac:dyDescent="0.2">
      <c r="A40" s="28">
        <v>39836</v>
      </c>
      <c r="B40" s="26" t="s">
        <v>2678</v>
      </c>
      <c r="C40" s="26" t="s">
        <v>2160</v>
      </c>
      <c r="D40" s="35" t="s">
        <v>20</v>
      </c>
      <c r="E40" s="35">
        <v>45802315</v>
      </c>
      <c r="F40" s="35">
        <v>89102315</v>
      </c>
      <c r="G40" t="b">
        <f t="shared" si="3"/>
        <v>0</v>
      </c>
      <c r="H40" t="b">
        <f t="shared" si="4"/>
        <v>0</v>
      </c>
      <c r="I40" s="29">
        <f t="shared" si="2"/>
        <v>39836</v>
      </c>
    </row>
    <row r="41" spans="1:9" ht="12.75" customHeight="1" x14ac:dyDescent="0.2">
      <c r="A41" s="28">
        <v>39836</v>
      </c>
      <c r="B41" s="26" t="s">
        <v>506</v>
      </c>
      <c r="C41" s="26" t="s">
        <v>1324</v>
      </c>
      <c r="D41" s="35" t="s">
        <v>20</v>
      </c>
      <c r="E41" s="35">
        <v>181</v>
      </c>
      <c r="F41" s="35" t="s">
        <v>20</v>
      </c>
      <c r="G41" t="b">
        <f t="shared" si="3"/>
        <v>0</v>
      </c>
      <c r="H41" t="b">
        <f t="shared" si="4"/>
        <v>0</v>
      </c>
      <c r="I41" s="29">
        <f t="shared" si="2"/>
        <v>39836</v>
      </c>
    </row>
    <row r="42" spans="1:9" ht="25.5" x14ac:dyDescent="0.2">
      <c r="A42" s="28">
        <v>39836</v>
      </c>
      <c r="B42" s="26" t="s">
        <v>1238</v>
      </c>
      <c r="C42" s="26" t="s">
        <v>2285</v>
      </c>
      <c r="D42" s="35" t="s">
        <v>20</v>
      </c>
      <c r="E42" s="35">
        <v>32551</v>
      </c>
      <c r="F42" s="35" t="s">
        <v>20</v>
      </c>
      <c r="G42" t="b">
        <f t="shared" si="3"/>
        <v>0</v>
      </c>
      <c r="H42" t="b">
        <f t="shared" si="4"/>
        <v>0</v>
      </c>
      <c r="I42" s="29">
        <f t="shared" si="2"/>
        <v>39836</v>
      </c>
    </row>
    <row r="43" spans="1:9" ht="25.5" x14ac:dyDescent="0.2">
      <c r="A43" s="28">
        <v>39836</v>
      </c>
      <c r="B43" s="26" t="s">
        <v>1783</v>
      </c>
      <c r="C43" s="26" t="s">
        <v>9</v>
      </c>
      <c r="D43" s="35" t="s">
        <v>20</v>
      </c>
      <c r="E43" s="35" t="s">
        <v>20</v>
      </c>
      <c r="F43" s="35">
        <v>3300000</v>
      </c>
      <c r="G43" t="b">
        <f t="shared" si="3"/>
        <v>0</v>
      </c>
      <c r="H43" t="b">
        <f t="shared" si="4"/>
        <v>0</v>
      </c>
      <c r="I43" s="29">
        <f t="shared" si="2"/>
        <v>39836</v>
      </c>
    </row>
    <row r="44" spans="1:9" ht="12.75" customHeight="1" x14ac:dyDescent="0.2">
      <c r="A44" s="28">
        <v>39836</v>
      </c>
      <c r="B44" s="26" t="s">
        <v>2174</v>
      </c>
      <c r="C44" s="26" t="s">
        <v>3215</v>
      </c>
      <c r="D44" s="35">
        <v>50000000</v>
      </c>
      <c r="E44" s="35">
        <v>166003</v>
      </c>
      <c r="F44" s="35">
        <v>1250617</v>
      </c>
      <c r="G44" t="b">
        <f t="shared" si="3"/>
        <v>0</v>
      </c>
      <c r="H44" t="b">
        <f t="shared" si="4"/>
        <v>0</v>
      </c>
      <c r="I44" s="29">
        <f t="shared" si="2"/>
        <v>39836</v>
      </c>
    </row>
    <row r="45" spans="1:9" ht="12.75" customHeight="1" x14ac:dyDescent="0.2">
      <c r="A45" s="28">
        <v>39836</v>
      </c>
      <c r="B45" s="26" t="s">
        <v>251</v>
      </c>
      <c r="C45" s="26" t="s">
        <v>2460</v>
      </c>
      <c r="D45" s="35">
        <v>60000000</v>
      </c>
      <c r="E45" s="35">
        <v>17303424</v>
      </c>
      <c r="F45" s="35">
        <v>58051454</v>
      </c>
      <c r="G45" t="b">
        <f t="shared" si="3"/>
        <v>0</v>
      </c>
      <c r="H45" t="b">
        <f t="shared" si="4"/>
        <v>0</v>
      </c>
      <c r="I45" s="29">
        <f t="shared" si="2"/>
        <v>39836</v>
      </c>
    </row>
    <row r="46" spans="1:9" ht="12.75" customHeight="1" x14ac:dyDescent="0.2">
      <c r="A46" s="28">
        <v>39836</v>
      </c>
      <c r="B46" s="26" t="s">
        <v>718</v>
      </c>
      <c r="C46" s="26" t="s">
        <v>746</v>
      </c>
      <c r="D46" s="35">
        <v>750000</v>
      </c>
      <c r="E46" s="35">
        <v>19367</v>
      </c>
      <c r="F46" s="35" t="s">
        <v>20</v>
      </c>
      <c r="G46" t="b">
        <f t="shared" si="3"/>
        <v>0</v>
      </c>
      <c r="H46" t="b">
        <f t="shared" si="4"/>
        <v>0</v>
      </c>
      <c r="I46" s="29">
        <f t="shared" si="2"/>
        <v>39836</v>
      </c>
    </row>
    <row r="47" spans="1:9" ht="12.75" customHeight="1" x14ac:dyDescent="0.2">
      <c r="A47" s="28">
        <v>39836</v>
      </c>
      <c r="B47" s="26" t="s">
        <v>753</v>
      </c>
      <c r="C47" s="26" t="s">
        <v>49</v>
      </c>
      <c r="D47" s="35" t="s">
        <v>20</v>
      </c>
      <c r="E47" s="35">
        <v>17007</v>
      </c>
      <c r="F47" s="35" t="s">
        <v>20</v>
      </c>
      <c r="G47" t="b">
        <f t="shared" si="3"/>
        <v>0</v>
      </c>
      <c r="H47" t="b">
        <f t="shared" si="4"/>
        <v>0</v>
      </c>
      <c r="I47" s="29">
        <f t="shared" si="2"/>
        <v>39836</v>
      </c>
    </row>
    <row r="48" spans="1:9" ht="12.75" customHeight="1" x14ac:dyDescent="0.2">
      <c r="A48" s="28">
        <v>39836</v>
      </c>
      <c r="B48" s="26" t="s">
        <v>3125</v>
      </c>
      <c r="C48" s="26" t="s">
        <v>3466</v>
      </c>
      <c r="D48" s="35" t="s">
        <v>20</v>
      </c>
      <c r="E48" s="35">
        <v>80</v>
      </c>
      <c r="F48" s="35" t="s">
        <v>20</v>
      </c>
      <c r="G48" t="b">
        <f t="shared" si="3"/>
        <v>0</v>
      </c>
      <c r="H48" t="b">
        <f t="shared" si="4"/>
        <v>0</v>
      </c>
      <c r="I48" s="29">
        <f t="shared" si="2"/>
        <v>39836</v>
      </c>
    </row>
    <row r="49" spans="1:9" ht="12.75" customHeight="1" x14ac:dyDescent="0.2">
      <c r="A49" s="28">
        <v>39840</v>
      </c>
      <c r="B49" s="26" t="s">
        <v>3041</v>
      </c>
      <c r="C49" s="26" t="s">
        <v>9</v>
      </c>
      <c r="D49" s="35" t="s">
        <v>20</v>
      </c>
      <c r="E49" s="35" t="s">
        <v>20</v>
      </c>
      <c r="F49" s="35">
        <v>188855</v>
      </c>
      <c r="G49" t="b">
        <f t="shared" si="3"/>
        <v>0</v>
      </c>
      <c r="H49" t="b">
        <f t="shared" si="4"/>
        <v>0</v>
      </c>
      <c r="I49" s="29">
        <f t="shared" si="2"/>
        <v>39840</v>
      </c>
    </row>
    <row r="50" spans="1:9" ht="25.5" x14ac:dyDescent="0.2">
      <c r="A50" s="28">
        <v>39840</v>
      </c>
      <c r="B50" s="26" t="s">
        <v>1096</v>
      </c>
      <c r="C50" s="26" t="s">
        <v>3419</v>
      </c>
      <c r="D50" s="35" t="s">
        <v>20</v>
      </c>
      <c r="E50" s="35" t="s">
        <v>20</v>
      </c>
      <c r="F50" s="35" t="s">
        <v>20</v>
      </c>
      <c r="G50" t="b">
        <f t="shared" si="3"/>
        <v>0</v>
      </c>
      <c r="H50" t="b">
        <f t="shared" si="4"/>
        <v>0</v>
      </c>
      <c r="I50" s="29">
        <f t="shared" si="2"/>
        <v>39840</v>
      </c>
    </row>
    <row r="51" spans="1:9" ht="12.75" customHeight="1" x14ac:dyDescent="0.2">
      <c r="A51" s="28">
        <v>39840</v>
      </c>
      <c r="B51" s="26" t="s">
        <v>3137</v>
      </c>
      <c r="C51" s="26" t="s">
        <v>3282</v>
      </c>
      <c r="D51" s="35" t="s">
        <v>20</v>
      </c>
      <c r="E51" s="35" t="s">
        <v>20</v>
      </c>
      <c r="F51" s="35" t="s">
        <v>20</v>
      </c>
      <c r="G51" t="b">
        <f t="shared" si="3"/>
        <v>0</v>
      </c>
      <c r="H51" t="b">
        <f t="shared" si="4"/>
        <v>0</v>
      </c>
      <c r="I51" s="29">
        <f t="shared" si="2"/>
        <v>39840</v>
      </c>
    </row>
    <row r="52" spans="1:9" ht="51" x14ac:dyDescent="0.2">
      <c r="A52" s="28">
        <v>39841</v>
      </c>
      <c r="B52" s="26" t="s">
        <v>1336</v>
      </c>
      <c r="C52" s="26" t="s">
        <v>1609</v>
      </c>
      <c r="D52" s="35" t="s">
        <v>20</v>
      </c>
      <c r="E52" s="35">
        <v>17655</v>
      </c>
      <c r="F52" s="35" t="s">
        <v>20</v>
      </c>
      <c r="G52" t="b">
        <f t="shared" si="3"/>
        <v>0</v>
      </c>
      <c r="H52" t="b">
        <f t="shared" si="4"/>
        <v>0</v>
      </c>
      <c r="I52" s="29">
        <f t="shared" si="2"/>
        <v>39841</v>
      </c>
    </row>
    <row r="53" spans="1:9" ht="12.75" customHeight="1" x14ac:dyDescent="0.2">
      <c r="A53" s="28">
        <v>39843</v>
      </c>
      <c r="B53" s="26" t="s">
        <v>3099</v>
      </c>
      <c r="C53" s="26" t="s">
        <v>9</v>
      </c>
      <c r="D53" s="35" t="s">
        <v>20</v>
      </c>
      <c r="E53" s="35" t="s">
        <v>20</v>
      </c>
      <c r="F53" s="35" t="s">
        <v>20</v>
      </c>
      <c r="G53" t="b">
        <f t="shared" si="3"/>
        <v>0</v>
      </c>
      <c r="H53" t="b">
        <f t="shared" si="4"/>
        <v>0</v>
      </c>
      <c r="I53" s="29">
        <f t="shared" si="2"/>
        <v>39843</v>
      </c>
    </row>
    <row r="54" spans="1:9" ht="25.5" x14ac:dyDescent="0.2">
      <c r="A54" s="28">
        <v>39843</v>
      </c>
      <c r="B54" s="26" t="s">
        <v>2038</v>
      </c>
      <c r="C54" s="26" t="s">
        <v>9</v>
      </c>
      <c r="D54" s="35" t="s">
        <v>20</v>
      </c>
      <c r="E54" s="35" t="s">
        <v>20</v>
      </c>
      <c r="F54" s="35" t="s">
        <v>20</v>
      </c>
      <c r="G54" t="b">
        <f t="shared" si="3"/>
        <v>0</v>
      </c>
      <c r="H54" t="b">
        <f t="shared" si="4"/>
        <v>0</v>
      </c>
      <c r="I54" s="29">
        <f t="shared" si="2"/>
        <v>39843</v>
      </c>
    </row>
    <row r="55" spans="1:9" ht="12.75" customHeight="1" x14ac:dyDescent="0.2">
      <c r="A55" s="28">
        <v>39843</v>
      </c>
      <c r="B55" s="26" t="s">
        <v>1875</v>
      </c>
      <c r="C55" s="26" t="s">
        <v>2051</v>
      </c>
      <c r="D55" s="35" t="s">
        <v>20</v>
      </c>
      <c r="E55" s="35">
        <v>64407</v>
      </c>
      <c r="F55" s="35" t="s">
        <v>20</v>
      </c>
      <c r="G55" t="b">
        <f t="shared" si="3"/>
        <v>0</v>
      </c>
      <c r="H55" t="b">
        <f t="shared" si="4"/>
        <v>0</v>
      </c>
      <c r="I55" s="29">
        <f t="shared" si="2"/>
        <v>39843</v>
      </c>
    </row>
    <row r="56" spans="1:9" ht="12.75" customHeight="1" x14ac:dyDescent="0.2">
      <c r="A56" s="28">
        <v>39843</v>
      </c>
      <c r="B56" s="26" t="s">
        <v>603</v>
      </c>
      <c r="C56" s="26" t="s">
        <v>2994</v>
      </c>
      <c r="D56" s="35" t="s">
        <v>20</v>
      </c>
      <c r="E56" s="35" t="s">
        <v>20</v>
      </c>
      <c r="F56" s="35" t="s">
        <v>20</v>
      </c>
      <c r="G56" t="b">
        <f t="shared" si="3"/>
        <v>0</v>
      </c>
      <c r="H56" t="b">
        <f t="shared" si="4"/>
        <v>0</v>
      </c>
      <c r="I56" s="29">
        <f t="shared" si="2"/>
        <v>39843</v>
      </c>
    </row>
    <row r="57" spans="1:9" ht="25.5" x14ac:dyDescent="0.2">
      <c r="A57" s="28">
        <v>39843</v>
      </c>
      <c r="B57" s="26" t="s">
        <v>1140</v>
      </c>
      <c r="C57" s="26" t="s">
        <v>3466</v>
      </c>
      <c r="D57" s="35" t="s">
        <v>20</v>
      </c>
      <c r="E57" s="35">
        <v>110869</v>
      </c>
      <c r="F57" s="35" t="s">
        <v>20</v>
      </c>
      <c r="G57" t="b">
        <f t="shared" si="3"/>
        <v>0</v>
      </c>
      <c r="H57" t="b">
        <f t="shared" si="4"/>
        <v>0</v>
      </c>
      <c r="I57" s="29">
        <f t="shared" si="2"/>
        <v>39843</v>
      </c>
    </row>
    <row r="58" spans="1:9" ht="12.75" customHeight="1" x14ac:dyDescent="0.2">
      <c r="A58" s="28">
        <v>39843</v>
      </c>
      <c r="B58" s="26" t="s">
        <v>2681</v>
      </c>
      <c r="C58" s="26" t="s">
        <v>612</v>
      </c>
      <c r="D58" s="35" t="s">
        <v>20</v>
      </c>
      <c r="E58" s="35">
        <v>3766810</v>
      </c>
      <c r="F58" s="35">
        <v>26071743</v>
      </c>
      <c r="G58" t="b">
        <f t="shared" si="3"/>
        <v>0</v>
      </c>
      <c r="H58" t="b">
        <f t="shared" si="4"/>
        <v>0</v>
      </c>
      <c r="I58" s="29">
        <f t="shared" si="2"/>
        <v>39843</v>
      </c>
    </row>
    <row r="59" spans="1:9" ht="12.75" customHeight="1" x14ac:dyDescent="0.2">
      <c r="A59" s="28">
        <v>39843</v>
      </c>
      <c r="B59" s="26" t="s">
        <v>1823</v>
      </c>
      <c r="C59" s="26" t="s">
        <v>9</v>
      </c>
      <c r="D59" s="35">
        <v>25000000</v>
      </c>
      <c r="E59" s="35">
        <v>145000989</v>
      </c>
      <c r="F59" s="35">
        <v>225461461</v>
      </c>
      <c r="G59" t="b">
        <f t="shared" si="3"/>
        <v>0</v>
      </c>
      <c r="H59" t="b">
        <f t="shared" si="4"/>
        <v>0</v>
      </c>
      <c r="I59" s="29">
        <f t="shared" si="2"/>
        <v>39843</v>
      </c>
    </row>
    <row r="60" spans="1:9" ht="12.75" customHeight="1" x14ac:dyDescent="0.2">
      <c r="A60" s="28">
        <v>39843</v>
      </c>
      <c r="B60" s="26" t="s">
        <v>1234</v>
      </c>
      <c r="C60" s="26" t="s">
        <v>3419</v>
      </c>
      <c r="D60" s="35" t="s">
        <v>20</v>
      </c>
      <c r="E60" s="35">
        <v>16734283</v>
      </c>
      <c r="F60" s="35">
        <v>22934283</v>
      </c>
      <c r="G60" t="b">
        <f t="shared" si="3"/>
        <v>0</v>
      </c>
      <c r="H60" t="b">
        <f t="shared" si="4"/>
        <v>0</v>
      </c>
      <c r="I60" s="29">
        <f t="shared" si="2"/>
        <v>39843</v>
      </c>
    </row>
    <row r="61" spans="1:9" ht="25.5" x14ac:dyDescent="0.2">
      <c r="A61" s="28">
        <v>39843</v>
      </c>
      <c r="B61" s="26" t="s">
        <v>941</v>
      </c>
      <c r="C61" s="26" t="s">
        <v>1589</v>
      </c>
      <c r="D61" s="35" t="s">
        <v>20</v>
      </c>
      <c r="E61" s="35">
        <v>16588</v>
      </c>
      <c r="F61" s="35" t="s">
        <v>20</v>
      </c>
      <c r="G61" t="b">
        <f t="shared" si="3"/>
        <v>0</v>
      </c>
      <c r="H61" t="b">
        <f t="shared" si="4"/>
        <v>0</v>
      </c>
      <c r="I61" s="29">
        <f t="shared" si="2"/>
        <v>39843</v>
      </c>
    </row>
    <row r="62" spans="1:9" ht="25.5" x14ac:dyDescent="0.2">
      <c r="A62" s="28">
        <v>39843</v>
      </c>
      <c r="B62" s="26" t="s">
        <v>887</v>
      </c>
      <c r="C62" s="26" t="s">
        <v>3056</v>
      </c>
      <c r="D62" s="35" t="s">
        <v>20</v>
      </c>
      <c r="E62" s="35">
        <v>69562</v>
      </c>
      <c r="F62" s="35" t="s">
        <v>20</v>
      </c>
      <c r="G62" t="b">
        <f t="shared" si="3"/>
        <v>0</v>
      </c>
      <c r="H62" t="b">
        <f t="shared" si="4"/>
        <v>0</v>
      </c>
      <c r="I62" s="29">
        <f t="shared" si="2"/>
        <v>39843</v>
      </c>
    </row>
    <row r="63" spans="1:9" ht="25.5" x14ac:dyDescent="0.2">
      <c r="A63" s="28">
        <v>39843</v>
      </c>
      <c r="B63" s="26" t="s">
        <v>2190</v>
      </c>
      <c r="C63" s="26" t="s">
        <v>2168</v>
      </c>
      <c r="D63" s="35" t="s">
        <v>20</v>
      </c>
      <c r="E63" s="35">
        <v>28596818</v>
      </c>
      <c r="F63" s="35">
        <v>42778961</v>
      </c>
      <c r="G63" t="b">
        <f t="shared" si="3"/>
        <v>0</v>
      </c>
      <c r="H63" t="b">
        <f t="shared" si="4"/>
        <v>0</v>
      </c>
      <c r="I63" s="29">
        <f t="shared" si="2"/>
        <v>39843</v>
      </c>
    </row>
    <row r="64" spans="1:9" ht="12.75" customHeight="1" x14ac:dyDescent="0.2">
      <c r="A64" s="28">
        <v>39843</v>
      </c>
      <c r="B64" s="26" t="s">
        <v>3255</v>
      </c>
      <c r="C64" s="26" t="s">
        <v>3478</v>
      </c>
      <c r="D64" s="35" t="s">
        <v>20</v>
      </c>
      <c r="E64" s="35">
        <v>355492</v>
      </c>
      <c r="F64" s="35" t="s">
        <v>20</v>
      </c>
      <c r="G64" t="b">
        <f t="shared" si="3"/>
        <v>0</v>
      </c>
      <c r="H64" t="b">
        <f t="shared" si="4"/>
        <v>0</v>
      </c>
      <c r="I64" s="29">
        <f t="shared" si="2"/>
        <v>39843</v>
      </c>
    </row>
    <row r="65" spans="1:9" ht="12.75" customHeight="1" x14ac:dyDescent="0.2">
      <c r="A65" s="28">
        <v>39847</v>
      </c>
      <c r="B65" s="26" t="s">
        <v>2645</v>
      </c>
      <c r="C65" s="26" t="s">
        <v>9</v>
      </c>
      <c r="D65" s="35" t="s">
        <v>20</v>
      </c>
      <c r="E65" s="35" t="s">
        <v>20</v>
      </c>
      <c r="F65" s="35" t="s">
        <v>20</v>
      </c>
      <c r="G65" t="b">
        <f t="shared" si="3"/>
        <v>0</v>
      </c>
      <c r="H65" t="b">
        <f t="shared" si="4"/>
        <v>0</v>
      </c>
      <c r="I65" s="29">
        <f t="shared" ref="I65:I127" si="5">DATE(2009,MONTH(A65), DAY(A65))</f>
        <v>39847</v>
      </c>
    </row>
    <row r="66" spans="1:9" ht="38.25" x14ac:dyDescent="0.2">
      <c r="A66" s="28">
        <v>39847</v>
      </c>
      <c r="B66" s="26" t="s">
        <v>205</v>
      </c>
      <c r="C66" s="26" t="s">
        <v>2160</v>
      </c>
      <c r="D66" s="35" t="s">
        <v>20</v>
      </c>
      <c r="E66" s="35" t="s">
        <v>20</v>
      </c>
      <c r="F66" s="35" t="s">
        <v>20</v>
      </c>
      <c r="G66" t="b">
        <f t="shared" si="3"/>
        <v>0</v>
      </c>
      <c r="H66" t="b">
        <f t="shared" si="4"/>
        <v>0</v>
      </c>
      <c r="I66" s="29">
        <f t="shared" si="5"/>
        <v>39847</v>
      </c>
    </row>
    <row r="67" spans="1:9" ht="12.75" customHeight="1" x14ac:dyDescent="0.2">
      <c r="A67" s="28">
        <v>39847</v>
      </c>
      <c r="B67" s="26" t="s">
        <v>3257</v>
      </c>
      <c r="C67" s="26" t="s">
        <v>9</v>
      </c>
      <c r="D67" s="35" t="s">
        <v>20</v>
      </c>
      <c r="E67" s="35" t="s">
        <v>20</v>
      </c>
      <c r="F67" s="35" t="s">
        <v>20</v>
      </c>
      <c r="G67" t="b">
        <f t="shared" si="3"/>
        <v>0</v>
      </c>
      <c r="H67" t="b">
        <f t="shared" si="4"/>
        <v>0</v>
      </c>
      <c r="I67" s="29">
        <f t="shared" si="5"/>
        <v>39847</v>
      </c>
    </row>
    <row r="68" spans="1:9" ht="25.5" x14ac:dyDescent="0.2">
      <c r="A68" s="28">
        <v>39847</v>
      </c>
      <c r="B68" s="26" t="s">
        <v>288</v>
      </c>
      <c r="C68" s="26" t="s">
        <v>9</v>
      </c>
      <c r="D68" s="35" t="s">
        <v>20</v>
      </c>
      <c r="E68" s="35" t="s">
        <v>20</v>
      </c>
      <c r="F68" s="35" t="s">
        <v>20</v>
      </c>
      <c r="G68" t="b">
        <f t="shared" si="3"/>
        <v>0</v>
      </c>
      <c r="H68" t="b">
        <f t="shared" si="4"/>
        <v>0</v>
      </c>
      <c r="I68" s="29">
        <f t="shared" si="5"/>
        <v>39847</v>
      </c>
    </row>
    <row r="69" spans="1:9" ht="12.75" customHeight="1" x14ac:dyDescent="0.2">
      <c r="A69" s="28">
        <v>39847</v>
      </c>
      <c r="B69" s="26" t="s">
        <v>223</v>
      </c>
      <c r="C69" s="26" t="s">
        <v>1930</v>
      </c>
      <c r="D69" s="35" t="s">
        <v>20</v>
      </c>
      <c r="E69" s="35" t="s">
        <v>20</v>
      </c>
      <c r="F69" s="35" t="s">
        <v>20</v>
      </c>
      <c r="G69" t="b">
        <f t="shared" si="3"/>
        <v>0</v>
      </c>
      <c r="H69" t="b">
        <f t="shared" si="4"/>
        <v>0</v>
      </c>
      <c r="I69" s="29">
        <f t="shared" si="5"/>
        <v>39847</v>
      </c>
    </row>
    <row r="70" spans="1:9" ht="12.75" customHeight="1" x14ac:dyDescent="0.2">
      <c r="A70" s="28">
        <v>39847</v>
      </c>
      <c r="B70" s="26" t="s">
        <v>2240</v>
      </c>
      <c r="C70" s="26" t="s">
        <v>2310</v>
      </c>
      <c r="D70" s="35" t="s">
        <v>20</v>
      </c>
      <c r="E70" s="35" t="s">
        <v>20</v>
      </c>
      <c r="F70" s="35" t="s">
        <v>20</v>
      </c>
      <c r="G70" t="b">
        <f t="shared" si="3"/>
        <v>0</v>
      </c>
      <c r="H70" t="b">
        <f t="shared" si="4"/>
        <v>0</v>
      </c>
      <c r="I70" s="29">
        <f t="shared" si="5"/>
        <v>39847</v>
      </c>
    </row>
    <row r="71" spans="1:9" ht="25.5" x14ac:dyDescent="0.2">
      <c r="A71" s="28">
        <v>39847</v>
      </c>
      <c r="B71" s="26" t="s">
        <v>1068</v>
      </c>
      <c r="C71" s="26" t="s">
        <v>2160</v>
      </c>
      <c r="D71" s="35" t="s">
        <v>20</v>
      </c>
      <c r="E71" s="35" t="s">
        <v>20</v>
      </c>
      <c r="F71" s="35" t="s">
        <v>20</v>
      </c>
      <c r="G71" t="b">
        <f t="shared" si="3"/>
        <v>0</v>
      </c>
      <c r="H71" t="b">
        <f t="shared" si="4"/>
        <v>0</v>
      </c>
      <c r="I71" s="29">
        <f t="shared" si="5"/>
        <v>39847</v>
      </c>
    </row>
    <row r="72" spans="1:9" ht="12.75" customHeight="1" x14ac:dyDescent="0.2">
      <c r="A72" s="28">
        <v>39848</v>
      </c>
      <c r="B72" s="26" t="s">
        <v>1002</v>
      </c>
      <c r="C72" s="26" t="s">
        <v>2964</v>
      </c>
      <c r="D72" s="35" t="s">
        <v>20</v>
      </c>
      <c r="E72" s="35">
        <v>34557</v>
      </c>
      <c r="F72" s="35" t="s">
        <v>20</v>
      </c>
      <c r="G72" t="b">
        <f t="shared" ref="G72:G133" si="6">ISBLANK(A72)</f>
        <v>0</v>
      </c>
      <c r="H72" t="b">
        <f t="shared" ref="H72:H133" si="7">ISTEXT(A72)</f>
        <v>0</v>
      </c>
      <c r="I72" s="29">
        <f t="shared" si="5"/>
        <v>39848</v>
      </c>
    </row>
    <row r="73" spans="1:9" ht="12.75" customHeight="1" x14ac:dyDescent="0.2">
      <c r="A73" s="28">
        <v>39848</v>
      </c>
      <c r="B73" s="26" t="s">
        <v>531</v>
      </c>
      <c r="C73" s="26" t="s">
        <v>3466</v>
      </c>
      <c r="D73" s="35" t="s">
        <v>20</v>
      </c>
      <c r="E73" s="35">
        <v>95</v>
      </c>
      <c r="F73" s="35" t="s">
        <v>20</v>
      </c>
      <c r="G73" t="b">
        <f t="shared" si="6"/>
        <v>0</v>
      </c>
      <c r="H73" t="b">
        <f t="shared" si="7"/>
        <v>0</v>
      </c>
      <c r="I73" s="29">
        <f t="shared" si="5"/>
        <v>39848</v>
      </c>
    </row>
    <row r="74" spans="1:9" ht="25.5" x14ac:dyDescent="0.2">
      <c r="A74" s="28">
        <v>39848</v>
      </c>
      <c r="B74" s="26" t="s">
        <v>297</v>
      </c>
      <c r="C74" s="26" t="s">
        <v>9</v>
      </c>
      <c r="D74" s="35" t="s">
        <v>20</v>
      </c>
      <c r="E74" s="35" t="s">
        <v>20</v>
      </c>
      <c r="F74" s="35">
        <v>31451622</v>
      </c>
      <c r="G74" t="b">
        <f t="shared" si="6"/>
        <v>0</v>
      </c>
      <c r="H74" t="b">
        <f t="shared" si="7"/>
        <v>0</v>
      </c>
      <c r="I74" s="29">
        <f t="shared" si="5"/>
        <v>39848</v>
      </c>
    </row>
    <row r="75" spans="1:9" ht="12.75" customHeight="1" x14ac:dyDescent="0.2">
      <c r="A75" s="28">
        <v>39850</v>
      </c>
      <c r="B75" s="26" t="s">
        <v>2004</v>
      </c>
      <c r="C75" s="26" t="s">
        <v>3426</v>
      </c>
      <c r="D75" s="35" t="s">
        <v>20</v>
      </c>
      <c r="E75" s="35">
        <v>11917</v>
      </c>
      <c r="F75" s="35" t="s">
        <v>20</v>
      </c>
      <c r="G75" t="b">
        <f t="shared" si="6"/>
        <v>0</v>
      </c>
      <c r="H75" t="b">
        <f t="shared" si="7"/>
        <v>0</v>
      </c>
      <c r="I75" s="29">
        <f t="shared" si="5"/>
        <v>39850</v>
      </c>
    </row>
    <row r="76" spans="1:9" ht="25.5" x14ac:dyDescent="0.2">
      <c r="A76" s="28">
        <v>39850</v>
      </c>
      <c r="B76" s="26" t="s">
        <v>2625</v>
      </c>
      <c r="C76" s="26" t="s">
        <v>2164</v>
      </c>
      <c r="D76" s="35" t="s">
        <v>20</v>
      </c>
      <c r="E76" s="35">
        <v>644635</v>
      </c>
      <c r="F76" s="35" t="s">
        <v>20</v>
      </c>
      <c r="G76" t="b">
        <f t="shared" si="6"/>
        <v>0</v>
      </c>
      <c r="H76" t="b">
        <f t="shared" si="7"/>
        <v>0</v>
      </c>
      <c r="I76" s="29">
        <f t="shared" si="5"/>
        <v>39850</v>
      </c>
    </row>
    <row r="77" spans="1:9" ht="12.75" customHeight="1" x14ac:dyDescent="0.2">
      <c r="A77" s="28">
        <v>39850</v>
      </c>
      <c r="B77" s="26" t="s">
        <v>10</v>
      </c>
      <c r="C77" s="26" t="s">
        <v>9</v>
      </c>
      <c r="D77" s="35">
        <v>60000000</v>
      </c>
      <c r="E77" s="35">
        <v>75286229</v>
      </c>
      <c r="F77" s="35">
        <v>124062750</v>
      </c>
      <c r="G77" t="b">
        <f t="shared" si="6"/>
        <v>0</v>
      </c>
      <c r="H77" t="b">
        <f t="shared" si="7"/>
        <v>0</v>
      </c>
      <c r="I77" s="29">
        <f t="shared" si="5"/>
        <v>39850</v>
      </c>
    </row>
    <row r="78" spans="1:9" x14ac:dyDescent="0.2">
      <c r="A78" s="28">
        <v>39850</v>
      </c>
      <c r="B78" s="26" t="s">
        <v>126</v>
      </c>
      <c r="C78" s="26" t="s">
        <v>2990</v>
      </c>
      <c r="D78" s="35" t="s">
        <v>20</v>
      </c>
      <c r="E78" s="35" t="s">
        <v>20</v>
      </c>
      <c r="F78" s="35" t="s">
        <v>20</v>
      </c>
      <c r="G78" t="b">
        <f t="shared" si="6"/>
        <v>0</v>
      </c>
      <c r="H78" t="b">
        <f t="shared" si="7"/>
        <v>0</v>
      </c>
      <c r="I78" s="29">
        <f t="shared" si="5"/>
        <v>39850</v>
      </c>
    </row>
    <row r="79" spans="1:9" ht="25.5" x14ac:dyDescent="0.2">
      <c r="A79" s="28">
        <v>39850</v>
      </c>
      <c r="B79" s="26" t="s">
        <v>1655</v>
      </c>
      <c r="C79" s="26" t="s">
        <v>130</v>
      </c>
      <c r="D79" s="35">
        <v>38000000</v>
      </c>
      <c r="E79" s="35">
        <v>31811527</v>
      </c>
      <c r="F79" s="35">
        <v>44411527</v>
      </c>
      <c r="G79" t="b">
        <f t="shared" si="6"/>
        <v>0</v>
      </c>
      <c r="H79" t="b">
        <f t="shared" si="7"/>
        <v>0</v>
      </c>
      <c r="I79" s="29">
        <f t="shared" si="5"/>
        <v>39850</v>
      </c>
    </row>
    <row r="80" spans="1:9" ht="25.5" x14ac:dyDescent="0.2">
      <c r="A80" s="28">
        <v>39850</v>
      </c>
      <c r="B80" s="26" t="s">
        <v>2179</v>
      </c>
      <c r="C80" s="26" t="s">
        <v>2460</v>
      </c>
      <c r="D80" s="35" t="s">
        <v>20</v>
      </c>
      <c r="E80" s="35">
        <v>93953653</v>
      </c>
      <c r="F80" s="35">
        <v>178390243</v>
      </c>
      <c r="G80" t="b">
        <f t="shared" si="6"/>
        <v>0</v>
      </c>
      <c r="H80" t="b">
        <f t="shared" si="7"/>
        <v>0</v>
      </c>
      <c r="I80" s="29">
        <f t="shared" si="5"/>
        <v>39850</v>
      </c>
    </row>
    <row r="81" spans="1:9" ht="12.75" customHeight="1" x14ac:dyDescent="0.2">
      <c r="A81" s="28">
        <v>39850</v>
      </c>
      <c r="B81" s="26" t="s">
        <v>2109</v>
      </c>
      <c r="C81" s="26" t="s">
        <v>2779</v>
      </c>
      <c r="D81" s="35" t="s">
        <v>20</v>
      </c>
      <c r="E81" s="35">
        <v>35922978</v>
      </c>
      <c r="F81" s="35">
        <v>70022978</v>
      </c>
      <c r="G81" t="b">
        <f t="shared" si="6"/>
        <v>0</v>
      </c>
      <c r="H81" t="b">
        <f t="shared" si="7"/>
        <v>0</v>
      </c>
      <c r="I81" s="29">
        <f t="shared" si="5"/>
        <v>39850</v>
      </c>
    </row>
    <row r="82" spans="1:9" ht="12.75" customHeight="1" x14ac:dyDescent="0.2">
      <c r="A82" s="28">
        <v>39850</v>
      </c>
      <c r="B82" s="26" t="s">
        <v>2202</v>
      </c>
      <c r="C82" s="26" t="s">
        <v>2256</v>
      </c>
      <c r="D82" s="35" t="s">
        <v>20</v>
      </c>
      <c r="E82" s="35">
        <v>685484</v>
      </c>
      <c r="F82" s="35" t="s">
        <v>20</v>
      </c>
      <c r="G82" t="b">
        <f t="shared" si="6"/>
        <v>0</v>
      </c>
      <c r="H82" t="b">
        <f t="shared" si="7"/>
        <v>0</v>
      </c>
      <c r="I82" s="29">
        <f t="shared" si="5"/>
        <v>39850</v>
      </c>
    </row>
    <row r="83" spans="1:9" ht="12.75" customHeight="1" x14ac:dyDescent="0.2">
      <c r="A83" s="28">
        <v>39850</v>
      </c>
      <c r="B83" s="26" t="s">
        <v>3038</v>
      </c>
      <c r="C83" s="26" t="s">
        <v>2797</v>
      </c>
      <c r="D83" s="35" t="s">
        <v>20</v>
      </c>
      <c r="E83" s="35">
        <v>1418304</v>
      </c>
      <c r="F83" s="35" t="s">
        <v>20</v>
      </c>
      <c r="G83" t="b">
        <f t="shared" si="6"/>
        <v>0</v>
      </c>
      <c r="H83" t="b">
        <f t="shared" si="7"/>
        <v>0</v>
      </c>
      <c r="I83" s="29">
        <f t="shared" si="5"/>
        <v>39850</v>
      </c>
    </row>
    <row r="84" spans="1:9" ht="12.75" customHeight="1" x14ac:dyDescent="0.2">
      <c r="A84" s="28">
        <v>39850</v>
      </c>
      <c r="B84" s="26" t="s">
        <v>1398</v>
      </c>
      <c r="C84" s="26" t="s">
        <v>746</v>
      </c>
      <c r="D84" s="35" t="s">
        <v>20</v>
      </c>
      <c r="E84" s="35">
        <v>14845</v>
      </c>
      <c r="F84" s="35" t="s">
        <v>20</v>
      </c>
      <c r="G84" t="b">
        <f t="shared" si="6"/>
        <v>0</v>
      </c>
      <c r="H84" t="b">
        <f t="shared" si="7"/>
        <v>0</v>
      </c>
      <c r="I84" s="29">
        <f t="shared" si="5"/>
        <v>39850</v>
      </c>
    </row>
    <row r="85" spans="1:9" ht="12.75" customHeight="1" x14ac:dyDescent="0.2">
      <c r="A85" s="28">
        <v>39850</v>
      </c>
      <c r="B85" s="26" t="s">
        <v>1998</v>
      </c>
      <c r="C85" s="26" t="s">
        <v>2964</v>
      </c>
      <c r="D85" s="35" t="s">
        <v>20</v>
      </c>
      <c r="E85" s="35">
        <v>39683</v>
      </c>
      <c r="F85" s="35" t="s">
        <v>20</v>
      </c>
      <c r="G85" t="b">
        <f t="shared" si="6"/>
        <v>0</v>
      </c>
      <c r="H85" t="b">
        <f t="shared" si="7"/>
        <v>0</v>
      </c>
      <c r="I85" s="29">
        <f t="shared" si="5"/>
        <v>39850</v>
      </c>
    </row>
    <row r="86" spans="1:9" ht="12.75" customHeight="1" x14ac:dyDescent="0.2">
      <c r="A86" s="28">
        <v>39850</v>
      </c>
      <c r="B86" s="26" t="s">
        <v>3402</v>
      </c>
      <c r="C86" s="26" t="s">
        <v>1588</v>
      </c>
      <c r="D86" s="35" t="s">
        <v>20</v>
      </c>
      <c r="E86" s="35">
        <v>1260</v>
      </c>
      <c r="F86" s="35" t="s">
        <v>20</v>
      </c>
      <c r="G86" t="b">
        <f t="shared" si="6"/>
        <v>0</v>
      </c>
      <c r="H86" t="b">
        <f t="shared" si="7"/>
        <v>0</v>
      </c>
      <c r="I86" s="29">
        <f t="shared" si="5"/>
        <v>39850</v>
      </c>
    </row>
    <row r="87" spans="1:9" ht="12.75" customHeight="1" x14ac:dyDescent="0.2">
      <c r="A87" s="28">
        <v>39854</v>
      </c>
      <c r="B87" s="26" t="s">
        <v>2008</v>
      </c>
      <c r="C87" s="26" t="s">
        <v>2865</v>
      </c>
      <c r="D87" s="35" t="s">
        <v>20</v>
      </c>
      <c r="E87" s="35" t="s">
        <v>20</v>
      </c>
      <c r="F87" s="35" t="s">
        <v>20</v>
      </c>
      <c r="G87" t="b">
        <f t="shared" si="6"/>
        <v>0</v>
      </c>
      <c r="H87" t="b">
        <f t="shared" si="7"/>
        <v>0</v>
      </c>
      <c r="I87" s="29">
        <f t="shared" si="5"/>
        <v>39854</v>
      </c>
    </row>
    <row r="88" spans="1:9" ht="12.75" customHeight="1" x14ac:dyDescent="0.2">
      <c r="A88" s="28">
        <v>39854</v>
      </c>
      <c r="B88" s="26" t="s">
        <v>1396</v>
      </c>
      <c r="C88" s="26" t="s">
        <v>9</v>
      </c>
      <c r="D88" s="35" t="s">
        <v>20</v>
      </c>
      <c r="E88" s="35" t="s">
        <v>20</v>
      </c>
      <c r="F88" s="35" t="s">
        <v>20</v>
      </c>
      <c r="G88" t="b">
        <f t="shared" si="6"/>
        <v>0</v>
      </c>
      <c r="H88" t="b">
        <f t="shared" si="7"/>
        <v>0</v>
      </c>
      <c r="I88" s="29">
        <f t="shared" si="5"/>
        <v>39854</v>
      </c>
    </row>
    <row r="89" spans="1:9" ht="12.75" customHeight="1" x14ac:dyDescent="0.2">
      <c r="A89" s="28">
        <v>39854</v>
      </c>
      <c r="B89" s="26" t="s">
        <v>3123</v>
      </c>
      <c r="C89" s="26" t="s">
        <v>2310</v>
      </c>
      <c r="D89" s="35" t="s">
        <v>20</v>
      </c>
      <c r="E89" s="35" t="s">
        <v>20</v>
      </c>
      <c r="F89" s="35" t="s">
        <v>20</v>
      </c>
      <c r="G89" t="b">
        <f t="shared" si="6"/>
        <v>0</v>
      </c>
      <c r="H89" t="b">
        <f t="shared" si="7"/>
        <v>0</v>
      </c>
      <c r="I89" s="29">
        <f t="shared" si="5"/>
        <v>39854</v>
      </c>
    </row>
    <row r="90" spans="1:9" ht="12.75" customHeight="1" x14ac:dyDescent="0.2">
      <c r="A90" s="28">
        <v>39854</v>
      </c>
      <c r="B90" s="26" t="s">
        <v>2676</v>
      </c>
      <c r="C90" s="26" t="s">
        <v>384</v>
      </c>
      <c r="D90" s="35" t="s">
        <v>20</v>
      </c>
      <c r="E90" s="35" t="s">
        <v>20</v>
      </c>
      <c r="F90" s="35" t="s">
        <v>20</v>
      </c>
      <c r="G90" t="b">
        <f t="shared" si="6"/>
        <v>0</v>
      </c>
      <c r="H90" t="b">
        <f t="shared" si="7"/>
        <v>0</v>
      </c>
      <c r="I90" s="29">
        <f t="shared" si="5"/>
        <v>39854</v>
      </c>
    </row>
    <row r="91" spans="1:9" ht="12.75" customHeight="1" x14ac:dyDescent="0.2">
      <c r="A91" s="28">
        <v>39857</v>
      </c>
      <c r="B91" s="26" t="s">
        <v>2771</v>
      </c>
      <c r="C91" s="26" t="s">
        <v>2460</v>
      </c>
      <c r="D91" s="35">
        <v>17000000</v>
      </c>
      <c r="E91" s="35">
        <v>65002019</v>
      </c>
      <c r="F91" s="35">
        <v>91700771</v>
      </c>
      <c r="G91" t="b">
        <f t="shared" si="6"/>
        <v>0</v>
      </c>
      <c r="H91" t="b">
        <f t="shared" si="7"/>
        <v>0</v>
      </c>
      <c r="I91" s="29">
        <f t="shared" si="5"/>
        <v>39857</v>
      </c>
    </row>
    <row r="92" spans="1:9" ht="12.75" customHeight="1" x14ac:dyDescent="0.2">
      <c r="A92" s="28">
        <v>39857</v>
      </c>
      <c r="B92" s="26" t="s">
        <v>3337</v>
      </c>
      <c r="C92" s="26" t="s">
        <v>746</v>
      </c>
      <c r="D92" s="35">
        <v>12000000</v>
      </c>
      <c r="E92" s="35">
        <v>3149034</v>
      </c>
      <c r="F92" s="35">
        <v>11549034</v>
      </c>
      <c r="G92" t="b">
        <f t="shared" si="6"/>
        <v>0</v>
      </c>
      <c r="H92" t="b">
        <f t="shared" si="7"/>
        <v>0</v>
      </c>
      <c r="I92" s="29">
        <f t="shared" si="5"/>
        <v>39857</v>
      </c>
    </row>
    <row r="93" spans="1:9" ht="12.75" customHeight="1" x14ac:dyDescent="0.2">
      <c r="A93" s="28">
        <v>39857</v>
      </c>
      <c r="B93" s="26" t="s">
        <v>299</v>
      </c>
      <c r="C93" s="26" t="s">
        <v>9</v>
      </c>
      <c r="D93" s="35" t="s">
        <v>20</v>
      </c>
      <c r="E93" s="35">
        <v>754928</v>
      </c>
      <c r="F93" s="35" t="s">
        <v>20</v>
      </c>
      <c r="G93" t="b">
        <f t="shared" si="6"/>
        <v>0</v>
      </c>
      <c r="H93" t="b">
        <f t="shared" si="7"/>
        <v>0</v>
      </c>
      <c r="I93" s="29">
        <f t="shared" si="5"/>
        <v>39857</v>
      </c>
    </row>
    <row r="94" spans="1:9" ht="12.75" customHeight="1" x14ac:dyDescent="0.2">
      <c r="A94" s="28">
        <v>39857</v>
      </c>
      <c r="B94" s="26" t="s">
        <v>918</v>
      </c>
      <c r="C94" s="26" t="s">
        <v>3209</v>
      </c>
      <c r="D94" s="35" t="s">
        <v>20</v>
      </c>
      <c r="E94" s="35">
        <v>26763798</v>
      </c>
      <c r="F94" s="35">
        <v>31219007</v>
      </c>
      <c r="G94" t="b">
        <f t="shared" si="6"/>
        <v>0</v>
      </c>
      <c r="H94" t="b">
        <f t="shared" si="7"/>
        <v>0</v>
      </c>
      <c r="I94" s="29">
        <f t="shared" si="5"/>
        <v>39857</v>
      </c>
    </row>
    <row r="95" spans="1:9" ht="12.75" customHeight="1" x14ac:dyDescent="0.2">
      <c r="A95" s="28">
        <v>39857</v>
      </c>
      <c r="B95" s="26" t="s">
        <v>1135</v>
      </c>
      <c r="C95" s="26" t="s">
        <v>3096</v>
      </c>
      <c r="D95" s="35">
        <v>50000000</v>
      </c>
      <c r="E95" s="35">
        <v>25450527</v>
      </c>
      <c r="F95" s="35">
        <v>53850527</v>
      </c>
      <c r="G95" t="b">
        <f t="shared" si="6"/>
        <v>0</v>
      </c>
      <c r="H95" t="b">
        <f t="shared" si="7"/>
        <v>0</v>
      </c>
      <c r="I95" s="29">
        <f t="shared" si="5"/>
        <v>39857</v>
      </c>
    </row>
    <row r="96" spans="1:9" ht="25.5" x14ac:dyDescent="0.2">
      <c r="A96" s="28">
        <v>39857</v>
      </c>
      <c r="B96" s="26" t="s">
        <v>1682</v>
      </c>
      <c r="C96" s="26" t="s">
        <v>1180</v>
      </c>
      <c r="D96" s="35" t="s">
        <v>20</v>
      </c>
      <c r="E96" s="35" t="s">
        <v>20</v>
      </c>
      <c r="F96" s="35" t="s">
        <v>20</v>
      </c>
      <c r="G96" t="b">
        <f t="shared" si="6"/>
        <v>0</v>
      </c>
      <c r="H96" t="b">
        <f t="shared" si="7"/>
        <v>0</v>
      </c>
      <c r="I96" s="29">
        <f t="shared" si="5"/>
        <v>39857</v>
      </c>
    </row>
    <row r="97" spans="1:9" ht="12.75" customHeight="1" x14ac:dyDescent="0.2">
      <c r="A97" s="28">
        <v>39857</v>
      </c>
      <c r="B97" s="26" t="s">
        <v>3484</v>
      </c>
      <c r="C97" s="26" t="s">
        <v>3426</v>
      </c>
      <c r="D97" s="35" t="s">
        <v>20</v>
      </c>
      <c r="E97" s="35">
        <v>879913</v>
      </c>
      <c r="F97" s="35">
        <v>11951258</v>
      </c>
      <c r="G97" t="b">
        <f t="shared" si="6"/>
        <v>0</v>
      </c>
      <c r="H97" t="b">
        <f t="shared" si="7"/>
        <v>0</v>
      </c>
      <c r="I97" s="29">
        <f t="shared" si="5"/>
        <v>39857</v>
      </c>
    </row>
    <row r="98" spans="1:9" ht="25.5" x14ac:dyDescent="0.2">
      <c r="A98" s="28">
        <v>39857</v>
      </c>
      <c r="B98" s="26" t="s">
        <v>69</v>
      </c>
      <c r="C98" s="26" t="s">
        <v>2959</v>
      </c>
      <c r="D98" s="35" t="s">
        <v>20</v>
      </c>
      <c r="E98" s="35" t="s">
        <v>20</v>
      </c>
      <c r="F98" s="35" t="s">
        <v>20</v>
      </c>
      <c r="G98" t="b">
        <f t="shared" si="6"/>
        <v>0</v>
      </c>
      <c r="H98" t="b">
        <f t="shared" si="7"/>
        <v>0</v>
      </c>
      <c r="I98" s="29">
        <f t="shared" si="5"/>
        <v>39857</v>
      </c>
    </row>
    <row r="99" spans="1:9" ht="25.5" x14ac:dyDescent="0.2">
      <c r="A99" s="28">
        <v>39857</v>
      </c>
      <c r="B99" s="26" t="s">
        <v>2592</v>
      </c>
      <c r="C99" s="26" t="s">
        <v>9</v>
      </c>
      <c r="D99" s="35" t="s">
        <v>20</v>
      </c>
      <c r="E99" s="35">
        <v>44277350</v>
      </c>
      <c r="F99" s="35">
        <v>108027701</v>
      </c>
      <c r="G99" t="b">
        <f t="shared" si="6"/>
        <v>0</v>
      </c>
      <c r="H99" t="b">
        <f t="shared" si="7"/>
        <v>0</v>
      </c>
      <c r="I99" s="29">
        <f t="shared" si="5"/>
        <v>39857</v>
      </c>
    </row>
    <row r="100" spans="1:9" ht="25.5" x14ac:dyDescent="0.2">
      <c r="A100" s="28">
        <v>39861</v>
      </c>
      <c r="B100" s="26" t="s">
        <v>2972</v>
      </c>
      <c r="C100" s="26" t="s">
        <v>9</v>
      </c>
      <c r="D100" s="35" t="s">
        <v>20</v>
      </c>
      <c r="E100" s="35" t="s">
        <v>20</v>
      </c>
      <c r="F100" s="35" t="s">
        <v>20</v>
      </c>
      <c r="G100" t="b">
        <f t="shared" si="6"/>
        <v>0</v>
      </c>
      <c r="H100" t="b">
        <f t="shared" si="7"/>
        <v>0</v>
      </c>
      <c r="I100" s="29">
        <f t="shared" si="5"/>
        <v>39861</v>
      </c>
    </row>
    <row r="101" spans="1:9" ht="25.5" x14ac:dyDescent="0.2">
      <c r="A101" s="28">
        <v>39861</v>
      </c>
      <c r="B101" s="26" t="s">
        <v>1195</v>
      </c>
      <c r="C101" s="26" t="s">
        <v>9</v>
      </c>
      <c r="D101" s="35" t="s">
        <v>20</v>
      </c>
      <c r="E101" s="35" t="s">
        <v>20</v>
      </c>
      <c r="F101" s="35" t="s">
        <v>20</v>
      </c>
      <c r="G101" t="b">
        <f t="shared" si="6"/>
        <v>0</v>
      </c>
      <c r="H101" t="b">
        <f t="shared" si="7"/>
        <v>0</v>
      </c>
      <c r="I101" s="29">
        <f t="shared" si="5"/>
        <v>39861</v>
      </c>
    </row>
    <row r="102" spans="1:9" ht="25.5" x14ac:dyDescent="0.2">
      <c r="A102" s="28">
        <v>39861</v>
      </c>
      <c r="B102" s="26" t="s">
        <v>1249</v>
      </c>
      <c r="C102" s="26" t="s">
        <v>9</v>
      </c>
      <c r="D102" s="35" t="s">
        <v>20</v>
      </c>
      <c r="E102" s="35" t="s">
        <v>20</v>
      </c>
      <c r="F102" s="35" t="s">
        <v>20</v>
      </c>
      <c r="G102" t="b">
        <f t="shared" si="6"/>
        <v>0</v>
      </c>
      <c r="H102" t="b">
        <f t="shared" si="7"/>
        <v>0</v>
      </c>
      <c r="I102" s="29">
        <f t="shared" si="5"/>
        <v>39861</v>
      </c>
    </row>
    <row r="103" spans="1:9" ht="12.75" customHeight="1" x14ac:dyDescent="0.2">
      <c r="A103" s="28">
        <v>39861</v>
      </c>
      <c r="B103" s="26" t="s">
        <v>782</v>
      </c>
      <c r="C103" s="26" t="s">
        <v>2310</v>
      </c>
      <c r="D103" s="35" t="s">
        <v>20</v>
      </c>
      <c r="E103" s="35" t="s">
        <v>20</v>
      </c>
      <c r="F103" s="35" t="s">
        <v>20</v>
      </c>
      <c r="G103" t="b">
        <f t="shared" si="6"/>
        <v>0</v>
      </c>
      <c r="H103" t="b">
        <f t="shared" si="7"/>
        <v>0</v>
      </c>
      <c r="I103" s="29">
        <f t="shared" si="5"/>
        <v>39861</v>
      </c>
    </row>
    <row r="104" spans="1:9" ht="12.75" customHeight="1" x14ac:dyDescent="0.2">
      <c r="A104" s="28">
        <v>39862</v>
      </c>
      <c r="B104" s="26" t="s">
        <v>154</v>
      </c>
      <c r="C104" s="26" t="s">
        <v>9</v>
      </c>
      <c r="D104" s="35" t="s">
        <v>20</v>
      </c>
      <c r="E104" s="35">
        <v>46714</v>
      </c>
      <c r="F104" s="35">
        <v>548568</v>
      </c>
      <c r="G104" t="b">
        <f t="shared" si="6"/>
        <v>0</v>
      </c>
      <c r="H104" t="b">
        <f t="shared" si="7"/>
        <v>0</v>
      </c>
      <c r="I104" s="29">
        <f t="shared" si="5"/>
        <v>39862</v>
      </c>
    </row>
    <row r="105" spans="1:9" ht="38.25" x14ac:dyDescent="0.2">
      <c r="A105" s="28">
        <v>39863</v>
      </c>
      <c r="B105" s="26" t="s">
        <v>131</v>
      </c>
      <c r="C105" s="26" t="s">
        <v>9</v>
      </c>
      <c r="D105" s="35" t="s">
        <v>20</v>
      </c>
      <c r="E105" s="35" t="s">
        <v>20</v>
      </c>
      <c r="F105" s="35">
        <v>11338495</v>
      </c>
      <c r="G105" t="b">
        <f t="shared" si="6"/>
        <v>0</v>
      </c>
      <c r="H105" t="b">
        <f t="shared" si="7"/>
        <v>0</v>
      </c>
      <c r="I105" s="29">
        <f t="shared" si="5"/>
        <v>39863</v>
      </c>
    </row>
    <row r="106" spans="1:9" ht="25.5" x14ac:dyDescent="0.2">
      <c r="A106" s="28">
        <v>39864</v>
      </c>
      <c r="B106" s="26" t="s">
        <v>2225</v>
      </c>
      <c r="C106" s="26" t="s">
        <v>3419</v>
      </c>
      <c r="D106" s="35">
        <v>17500000</v>
      </c>
      <c r="E106" s="35">
        <v>90508336</v>
      </c>
      <c r="F106" s="35" t="s">
        <v>20</v>
      </c>
      <c r="G106" t="b">
        <f t="shared" si="6"/>
        <v>0</v>
      </c>
      <c r="H106" t="b">
        <f t="shared" si="7"/>
        <v>0</v>
      </c>
      <c r="I106" s="29">
        <f t="shared" si="5"/>
        <v>39864</v>
      </c>
    </row>
    <row r="107" spans="1:9" ht="12.75" customHeight="1" x14ac:dyDescent="0.2">
      <c r="A107" s="28">
        <v>39864</v>
      </c>
      <c r="B107" s="26" t="s">
        <v>1725</v>
      </c>
      <c r="C107" s="26" t="s">
        <v>9</v>
      </c>
      <c r="D107" s="35" t="s">
        <v>20</v>
      </c>
      <c r="E107" s="35">
        <v>7986</v>
      </c>
      <c r="F107" s="35" t="s">
        <v>20</v>
      </c>
      <c r="G107" t="b">
        <f t="shared" si="6"/>
        <v>0</v>
      </c>
      <c r="H107" t="b">
        <f t="shared" si="7"/>
        <v>0</v>
      </c>
      <c r="I107" s="29">
        <f t="shared" si="5"/>
        <v>39864</v>
      </c>
    </row>
    <row r="108" spans="1:9" ht="12.75" customHeight="1" x14ac:dyDescent="0.2">
      <c r="A108" s="28">
        <v>39864</v>
      </c>
      <c r="B108" s="26" t="s">
        <v>146</v>
      </c>
      <c r="C108" s="26" t="s">
        <v>2160</v>
      </c>
      <c r="D108" s="35" t="s">
        <v>20</v>
      </c>
      <c r="E108" s="35">
        <v>17231291</v>
      </c>
      <c r="F108" s="35" t="s">
        <v>20</v>
      </c>
      <c r="G108" t="b">
        <f t="shared" si="6"/>
        <v>0</v>
      </c>
      <c r="H108" t="b">
        <f t="shared" si="7"/>
        <v>0</v>
      </c>
      <c r="I108" s="29">
        <f t="shared" si="5"/>
        <v>39864</v>
      </c>
    </row>
    <row r="109" spans="1:9" ht="12.75" customHeight="1" x14ac:dyDescent="0.2">
      <c r="A109" s="28">
        <v>39865</v>
      </c>
      <c r="B109" s="26" t="s">
        <v>1141</v>
      </c>
      <c r="C109" s="26" t="s">
        <v>1619</v>
      </c>
      <c r="D109" s="35" t="s">
        <v>20</v>
      </c>
      <c r="E109" s="35">
        <v>233570</v>
      </c>
      <c r="F109" s="35" t="s">
        <v>20</v>
      </c>
      <c r="G109" t="b">
        <f t="shared" si="6"/>
        <v>0</v>
      </c>
      <c r="H109" t="b">
        <f t="shared" si="7"/>
        <v>0</v>
      </c>
      <c r="I109" s="29">
        <f t="shared" si="5"/>
        <v>39865</v>
      </c>
    </row>
    <row r="110" spans="1:9" ht="38.25" x14ac:dyDescent="0.2">
      <c r="A110" s="28">
        <v>39868</v>
      </c>
      <c r="B110" s="26" t="s">
        <v>546</v>
      </c>
      <c r="C110" s="26" t="s">
        <v>2160</v>
      </c>
      <c r="D110" s="35" t="s">
        <v>20</v>
      </c>
      <c r="E110" s="35" t="s">
        <v>20</v>
      </c>
      <c r="F110" s="35" t="s">
        <v>20</v>
      </c>
      <c r="G110" t="b">
        <f t="shared" si="6"/>
        <v>0</v>
      </c>
      <c r="H110" t="b">
        <f t="shared" si="7"/>
        <v>0</v>
      </c>
      <c r="I110" s="29">
        <f t="shared" si="5"/>
        <v>39868</v>
      </c>
    </row>
    <row r="111" spans="1:9" ht="12.75" customHeight="1" x14ac:dyDescent="0.2">
      <c r="A111" s="28">
        <v>39868</v>
      </c>
      <c r="B111" s="26" t="s">
        <v>1222</v>
      </c>
      <c r="C111" s="26" t="s">
        <v>2160</v>
      </c>
      <c r="D111" s="35" t="s">
        <v>20</v>
      </c>
      <c r="E111" s="35" t="s">
        <v>20</v>
      </c>
      <c r="F111" s="35" t="s">
        <v>20</v>
      </c>
      <c r="G111" t="b">
        <f t="shared" si="6"/>
        <v>0</v>
      </c>
      <c r="H111" t="b">
        <f t="shared" si="7"/>
        <v>0</v>
      </c>
      <c r="I111" s="29">
        <f t="shared" si="5"/>
        <v>39868</v>
      </c>
    </row>
    <row r="112" spans="1:9" ht="12.75" customHeight="1" x14ac:dyDescent="0.2">
      <c r="A112" s="28">
        <v>39868</v>
      </c>
      <c r="B112" s="26" t="s">
        <v>401</v>
      </c>
      <c r="C112" s="26" t="s">
        <v>9</v>
      </c>
      <c r="D112" s="35" t="s">
        <v>20</v>
      </c>
      <c r="E112" s="35" t="s">
        <v>20</v>
      </c>
      <c r="F112" s="35" t="s">
        <v>20</v>
      </c>
      <c r="G112" t="b">
        <f t="shared" si="6"/>
        <v>0</v>
      </c>
      <c r="H112" t="b">
        <f t="shared" si="7"/>
        <v>0</v>
      </c>
      <c r="I112" s="29">
        <f t="shared" si="5"/>
        <v>39868</v>
      </c>
    </row>
    <row r="113" spans="1:9" ht="25.5" x14ac:dyDescent="0.2">
      <c r="A113" s="28">
        <v>39868</v>
      </c>
      <c r="B113" s="26" t="s">
        <v>2891</v>
      </c>
      <c r="C113" s="26" t="s">
        <v>9</v>
      </c>
      <c r="D113" s="35" t="s">
        <v>20</v>
      </c>
      <c r="E113" s="35" t="s">
        <v>20</v>
      </c>
      <c r="F113" s="35" t="s">
        <v>20</v>
      </c>
      <c r="G113" t="b">
        <f t="shared" si="6"/>
        <v>0</v>
      </c>
      <c r="H113" t="b">
        <f t="shared" si="7"/>
        <v>0</v>
      </c>
      <c r="I113" s="29">
        <f t="shared" si="5"/>
        <v>39868</v>
      </c>
    </row>
    <row r="114" spans="1:9" ht="38.25" x14ac:dyDescent="0.2">
      <c r="A114" s="28">
        <v>39868</v>
      </c>
      <c r="B114" s="26" t="s">
        <v>273</v>
      </c>
      <c r="C114" s="26" t="s">
        <v>2298</v>
      </c>
      <c r="D114" s="35" t="s">
        <v>20</v>
      </c>
      <c r="E114" s="35" t="s">
        <v>20</v>
      </c>
      <c r="F114" s="35" t="s">
        <v>20</v>
      </c>
      <c r="G114" t="b">
        <f t="shared" si="6"/>
        <v>0</v>
      </c>
      <c r="H114" t="b">
        <f t="shared" si="7"/>
        <v>0</v>
      </c>
      <c r="I114" s="29">
        <f t="shared" si="5"/>
        <v>39868</v>
      </c>
    </row>
    <row r="115" spans="1:9" ht="12.75" customHeight="1" x14ac:dyDescent="0.2">
      <c r="A115" s="28">
        <v>39869</v>
      </c>
      <c r="B115" s="26" t="s">
        <v>1593</v>
      </c>
      <c r="C115" s="26" t="s">
        <v>2314</v>
      </c>
      <c r="D115" s="35" t="s">
        <v>20</v>
      </c>
      <c r="E115" s="35">
        <v>120712</v>
      </c>
      <c r="F115" s="35" t="s">
        <v>20</v>
      </c>
      <c r="G115" t="b">
        <f t="shared" si="6"/>
        <v>0</v>
      </c>
      <c r="H115" t="b">
        <f t="shared" si="7"/>
        <v>0</v>
      </c>
      <c r="I115" s="29">
        <f t="shared" si="5"/>
        <v>39869</v>
      </c>
    </row>
    <row r="116" spans="1:9" ht="25.5" x14ac:dyDescent="0.2">
      <c r="A116" s="28">
        <v>39871</v>
      </c>
      <c r="B116" s="26" t="s">
        <v>1261</v>
      </c>
      <c r="C116" s="26" t="s">
        <v>27</v>
      </c>
      <c r="D116" s="35" t="s">
        <v>20</v>
      </c>
      <c r="E116" s="35">
        <v>9166</v>
      </c>
      <c r="F116" s="35" t="s">
        <v>20</v>
      </c>
      <c r="G116" t="b">
        <f t="shared" si="6"/>
        <v>0</v>
      </c>
      <c r="H116" t="b">
        <f t="shared" si="7"/>
        <v>0</v>
      </c>
      <c r="I116" s="29">
        <f t="shared" si="5"/>
        <v>39871</v>
      </c>
    </row>
    <row r="117" spans="1:9" ht="12.75" customHeight="1" x14ac:dyDescent="0.2">
      <c r="A117" s="28">
        <v>39871</v>
      </c>
      <c r="B117" s="26" t="s">
        <v>2954</v>
      </c>
      <c r="C117" s="26" t="s">
        <v>49</v>
      </c>
      <c r="D117" s="35" t="s">
        <v>20</v>
      </c>
      <c r="E117" s="35">
        <v>4462332</v>
      </c>
      <c r="F117" s="35">
        <v>4614344</v>
      </c>
      <c r="G117" t="b">
        <f t="shared" si="6"/>
        <v>0</v>
      </c>
      <c r="H117" t="b">
        <f t="shared" si="7"/>
        <v>0</v>
      </c>
      <c r="I117" s="29">
        <f t="shared" si="5"/>
        <v>39871</v>
      </c>
    </row>
    <row r="118" spans="1:9" ht="12.75" customHeight="1" x14ac:dyDescent="0.2">
      <c r="A118" s="28">
        <v>39871</v>
      </c>
      <c r="B118" s="26" t="s">
        <v>2432</v>
      </c>
      <c r="C118" s="26" t="s">
        <v>9</v>
      </c>
      <c r="D118" s="35" t="s">
        <v>20</v>
      </c>
      <c r="E118" s="35">
        <v>653120</v>
      </c>
      <c r="F118" s="35" t="s">
        <v>20</v>
      </c>
      <c r="G118" t="b">
        <f t="shared" si="6"/>
        <v>0</v>
      </c>
      <c r="H118" t="b">
        <f t="shared" si="7"/>
        <v>0</v>
      </c>
      <c r="I118" s="29">
        <f t="shared" si="5"/>
        <v>39871</v>
      </c>
    </row>
    <row r="119" spans="1:9" ht="25.5" x14ac:dyDescent="0.2">
      <c r="A119" s="28">
        <v>39871</v>
      </c>
      <c r="B119" s="26" t="s">
        <v>1798</v>
      </c>
      <c r="C119" s="26" t="s">
        <v>197</v>
      </c>
      <c r="D119" s="35" t="s">
        <v>20</v>
      </c>
      <c r="E119" s="35" t="s">
        <v>20</v>
      </c>
      <c r="F119" s="35" t="s">
        <v>20</v>
      </c>
      <c r="G119" t="b">
        <f t="shared" si="6"/>
        <v>0</v>
      </c>
      <c r="H119" t="b">
        <f t="shared" si="7"/>
        <v>0</v>
      </c>
      <c r="I119" s="29">
        <f t="shared" si="5"/>
        <v>39871</v>
      </c>
    </row>
    <row r="120" spans="1:9" ht="25.5" x14ac:dyDescent="0.2">
      <c r="A120" s="28">
        <v>39871</v>
      </c>
      <c r="B120" s="26" t="s">
        <v>1217</v>
      </c>
      <c r="C120" s="26" t="s">
        <v>2797</v>
      </c>
      <c r="D120" s="35" t="s">
        <v>20</v>
      </c>
      <c r="E120" s="35">
        <v>267856</v>
      </c>
      <c r="F120" s="35" t="s">
        <v>20</v>
      </c>
      <c r="G120" t="b">
        <f t="shared" si="6"/>
        <v>0</v>
      </c>
      <c r="H120" t="b">
        <f t="shared" si="7"/>
        <v>0</v>
      </c>
      <c r="I120" s="29">
        <f t="shared" si="5"/>
        <v>39871</v>
      </c>
    </row>
    <row r="121" spans="1:9" ht="12.75" customHeight="1" x14ac:dyDescent="0.2">
      <c r="A121" s="28">
        <v>39871</v>
      </c>
      <c r="B121" s="26" t="s">
        <v>87</v>
      </c>
      <c r="C121" s="26" t="s">
        <v>9</v>
      </c>
      <c r="D121" s="35" t="s">
        <v>20</v>
      </c>
      <c r="E121" s="35">
        <v>4085</v>
      </c>
      <c r="F121" s="35" t="s">
        <v>20</v>
      </c>
      <c r="G121" t="b">
        <f t="shared" si="6"/>
        <v>0</v>
      </c>
      <c r="H121" t="b">
        <f t="shared" si="7"/>
        <v>0</v>
      </c>
      <c r="I121" s="29">
        <f t="shared" si="5"/>
        <v>39871</v>
      </c>
    </row>
    <row r="122" spans="1:9" ht="25.5" x14ac:dyDescent="0.2">
      <c r="A122" s="28">
        <v>39871</v>
      </c>
      <c r="B122" s="26" t="s">
        <v>677</v>
      </c>
      <c r="C122" s="26" t="s">
        <v>1250</v>
      </c>
      <c r="D122" s="35" t="s">
        <v>20</v>
      </c>
      <c r="E122" s="35">
        <v>793756</v>
      </c>
      <c r="F122" s="35" t="s">
        <v>20</v>
      </c>
      <c r="G122" t="b">
        <f t="shared" si="6"/>
        <v>0</v>
      </c>
      <c r="H122" t="b">
        <f t="shared" si="7"/>
        <v>0</v>
      </c>
      <c r="I122" s="29">
        <f t="shared" si="5"/>
        <v>39871</v>
      </c>
    </row>
    <row r="123" spans="1:9" ht="25.5" x14ac:dyDescent="0.2">
      <c r="A123" s="28">
        <v>39871</v>
      </c>
      <c r="B123" s="26" t="s">
        <v>1964</v>
      </c>
      <c r="C123" s="26" t="s">
        <v>384</v>
      </c>
      <c r="D123" s="35" t="s">
        <v>20</v>
      </c>
      <c r="E123" s="35">
        <v>9135036</v>
      </c>
      <c r="F123" s="35">
        <v>12335036</v>
      </c>
      <c r="G123" t="b">
        <f t="shared" si="6"/>
        <v>0</v>
      </c>
      <c r="H123" t="b">
        <f t="shared" si="7"/>
        <v>0</v>
      </c>
      <c r="I123" s="29">
        <f t="shared" si="5"/>
        <v>39871</v>
      </c>
    </row>
    <row r="124" spans="1:9" x14ac:dyDescent="0.2">
      <c r="A124" s="28">
        <v>39871</v>
      </c>
      <c r="B124" s="26" t="s">
        <v>748</v>
      </c>
      <c r="C124" s="26" t="s">
        <v>9</v>
      </c>
      <c r="D124" s="35" t="s">
        <v>20</v>
      </c>
      <c r="E124" s="35">
        <v>27276</v>
      </c>
      <c r="F124" s="35" t="s">
        <v>20</v>
      </c>
      <c r="G124" t="b">
        <f t="shared" si="6"/>
        <v>0</v>
      </c>
      <c r="H124" t="b">
        <f t="shared" si="7"/>
        <v>0</v>
      </c>
      <c r="I124" s="29">
        <f t="shared" si="5"/>
        <v>39871</v>
      </c>
    </row>
    <row r="125" spans="1:9" ht="38.25" x14ac:dyDescent="0.2">
      <c r="A125" s="28">
        <v>39871</v>
      </c>
      <c r="B125" s="26" t="s">
        <v>1525</v>
      </c>
      <c r="C125" s="26" t="s">
        <v>3390</v>
      </c>
      <c r="D125" s="35" t="s">
        <v>20</v>
      </c>
      <c r="E125" s="35">
        <v>19162740</v>
      </c>
      <c r="F125" s="35">
        <v>30428831</v>
      </c>
      <c r="G125" t="b">
        <f t="shared" si="6"/>
        <v>0</v>
      </c>
      <c r="H125" t="b">
        <f t="shared" si="7"/>
        <v>0</v>
      </c>
      <c r="I125" s="29">
        <f t="shared" si="5"/>
        <v>39871</v>
      </c>
    </row>
    <row r="126" spans="1:9" ht="25.5" x14ac:dyDescent="0.2">
      <c r="A126" s="28">
        <v>39871</v>
      </c>
      <c r="B126" s="26" t="s">
        <v>3280</v>
      </c>
      <c r="C126" s="26" t="s">
        <v>9</v>
      </c>
      <c r="D126" s="35" t="s">
        <v>20</v>
      </c>
      <c r="E126" s="35">
        <v>6840</v>
      </c>
      <c r="F126" s="35" t="s">
        <v>20</v>
      </c>
      <c r="G126" t="b">
        <f t="shared" si="6"/>
        <v>0</v>
      </c>
      <c r="H126" t="b">
        <f t="shared" si="7"/>
        <v>0</v>
      </c>
      <c r="I126" s="29">
        <f t="shared" si="5"/>
        <v>39871</v>
      </c>
    </row>
    <row r="127" spans="1:9" ht="12.75" customHeight="1" x14ac:dyDescent="0.2">
      <c r="A127" s="28">
        <v>39872</v>
      </c>
      <c r="B127" s="26" t="s">
        <v>171</v>
      </c>
      <c r="C127" s="26" t="s">
        <v>9</v>
      </c>
      <c r="D127" s="35" t="s">
        <v>20</v>
      </c>
      <c r="E127" s="35" t="s">
        <v>20</v>
      </c>
      <c r="F127" s="35">
        <v>4972396</v>
      </c>
      <c r="G127" t="b">
        <f t="shared" si="6"/>
        <v>0</v>
      </c>
      <c r="H127" t="b">
        <f t="shared" si="7"/>
        <v>0</v>
      </c>
      <c r="I127" s="29">
        <f t="shared" si="5"/>
        <v>39872</v>
      </c>
    </row>
    <row r="128" spans="1:9" ht="12.75" customHeight="1" x14ac:dyDescent="0.2">
      <c r="A128" s="28">
        <v>39873</v>
      </c>
      <c r="B128" s="26" t="s">
        <v>78</v>
      </c>
      <c r="C128" s="26" t="s">
        <v>1414</v>
      </c>
      <c r="D128" s="35" t="s">
        <v>20</v>
      </c>
      <c r="E128" s="35">
        <v>11283</v>
      </c>
      <c r="F128" s="35" t="s">
        <v>20</v>
      </c>
      <c r="G128" t="b">
        <f t="shared" si="6"/>
        <v>0</v>
      </c>
      <c r="H128" t="b">
        <f t="shared" si="7"/>
        <v>0</v>
      </c>
      <c r="I128" s="29">
        <f t="shared" ref="I128:I190" si="8">DATE(2009,MONTH(A128), DAY(A128))</f>
        <v>39873</v>
      </c>
    </row>
    <row r="129" spans="1:9" ht="25.5" x14ac:dyDescent="0.2">
      <c r="A129" s="28">
        <v>39875</v>
      </c>
      <c r="B129" s="26" t="s">
        <v>2747</v>
      </c>
      <c r="C129" s="26" t="s">
        <v>1144</v>
      </c>
      <c r="D129" s="35" t="s">
        <v>20</v>
      </c>
      <c r="E129" s="35" t="s">
        <v>20</v>
      </c>
      <c r="F129" s="35" t="s">
        <v>20</v>
      </c>
      <c r="G129" t="b">
        <f t="shared" si="6"/>
        <v>0</v>
      </c>
      <c r="H129" t="b">
        <f t="shared" si="7"/>
        <v>0</v>
      </c>
      <c r="I129" s="29">
        <f t="shared" si="8"/>
        <v>39875</v>
      </c>
    </row>
    <row r="130" spans="1:9" ht="25.5" x14ac:dyDescent="0.2">
      <c r="A130" s="28">
        <v>39875</v>
      </c>
      <c r="B130" s="26" t="s">
        <v>1923</v>
      </c>
      <c r="C130" s="26" t="s">
        <v>3209</v>
      </c>
      <c r="D130" s="35" t="s">
        <v>20</v>
      </c>
      <c r="E130" s="35" t="s">
        <v>20</v>
      </c>
      <c r="F130" s="35" t="s">
        <v>20</v>
      </c>
      <c r="G130" t="b">
        <f t="shared" si="6"/>
        <v>0</v>
      </c>
      <c r="H130" t="b">
        <f t="shared" si="7"/>
        <v>0</v>
      </c>
      <c r="I130" s="29">
        <f t="shared" si="8"/>
        <v>39875</v>
      </c>
    </row>
    <row r="131" spans="1:9" ht="12.75" customHeight="1" x14ac:dyDescent="0.2">
      <c r="A131" s="28">
        <v>39875</v>
      </c>
      <c r="B131" s="26" t="s">
        <v>3110</v>
      </c>
      <c r="C131" s="26" t="s">
        <v>2310</v>
      </c>
      <c r="D131" s="35" t="s">
        <v>20</v>
      </c>
      <c r="E131" s="35" t="s">
        <v>20</v>
      </c>
      <c r="F131" s="35" t="s">
        <v>20</v>
      </c>
      <c r="G131" t="b">
        <f t="shared" si="6"/>
        <v>0</v>
      </c>
      <c r="H131" t="b">
        <f t="shared" si="7"/>
        <v>0</v>
      </c>
      <c r="I131" s="29">
        <f t="shared" si="8"/>
        <v>39875</v>
      </c>
    </row>
    <row r="132" spans="1:9" ht="12.75" customHeight="1" x14ac:dyDescent="0.2">
      <c r="A132" s="28">
        <v>39875</v>
      </c>
      <c r="B132" s="26" t="s">
        <v>687</v>
      </c>
      <c r="C132" s="26" t="s">
        <v>2865</v>
      </c>
      <c r="D132" s="35" t="s">
        <v>20</v>
      </c>
      <c r="E132" s="35" t="s">
        <v>20</v>
      </c>
      <c r="F132" s="35" t="s">
        <v>20</v>
      </c>
      <c r="G132" t="b">
        <f t="shared" si="6"/>
        <v>0</v>
      </c>
      <c r="H132" t="b">
        <f t="shared" si="7"/>
        <v>0</v>
      </c>
      <c r="I132" s="29">
        <f t="shared" si="8"/>
        <v>39875</v>
      </c>
    </row>
    <row r="133" spans="1:9" ht="38.25" x14ac:dyDescent="0.2">
      <c r="A133" s="28">
        <v>39875</v>
      </c>
      <c r="B133" s="26" t="s">
        <v>343</v>
      </c>
      <c r="C133" s="26" t="s">
        <v>3209</v>
      </c>
      <c r="D133" s="35" t="s">
        <v>20</v>
      </c>
      <c r="E133" s="35" t="s">
        <v>20</v>
      </c>
      <c r="F133" s="35" t="s">
        <v>20</v>
      </c>
      <c r="G133" t="b">
        <f t="shared" si="6"/>
        <v>0</v>
      </c>
      <c r="H133" t="b">
        <f t="shared" si="7"/>
        <v>0</v>
      </c>
      <c r="I133" s="29">
        <f t="shared" si="8"/>
        <v>39875</v>
      </c>
    </row>
    <row r="134" spans="1:9" ht="25.5" x14ac:dyDescent="0.2">
      <c r="A134" s="28">
        <v>39875</v>
      </c>
      <c r="B134" s="26" t="s">
        <v>1654</v>
      </c>
      <c r="C134" s="26" t="s">
        <v>3209</v>
      </c>
      <c r="D134" s="35" t="s">
        <v>20</v>
      </c>
      <c r="E134" s="35" t="s">
        <v>20</v>
      </c>
      <c r="F134" s="35" t="s">
        <v>20</v>
      </c>
      <c r="G134" t="b">
        <f t="shared" ref="G134:G197" si="9">ISBLANK(A134)</f>
        <v>0</v>
      </c>
      <c r="H134" t="b">
        <f t="shared" ref="H134:H197" si="10">ISTEXT(A134)</f>
        <v>0</v>
      </c>
      <c r="I134" s="29">
        <f t="shared" si="8"/>
        <v>39875</v>
      </c>
    </row>
    <row r="135" spans="1:9" ht="12.75" customHeight="1" x14ac:dyDescent="0.2">
      <c r="A135" s="28">
        <v>39876</v>
      </c>
      <c r="B135" s="26">
        <v>12</v>
      </c>
      <c r="C135" s="26" t="s">
        <v>9</v>
      </c>
      <c r="D135" s="35" t="s">
        <v>20</v>
      </c>
      <c r="E135" s="35">
        <v>125120</v>
      </c>
      <c r="F135" s="35">
        <v>4581361</v>
      </c>
      <c r="G135" t="b">
        <f t="shared" si="9"/>
        <v>0</v>
      </c>
      <c r="H135" t="b">
        <f t="shared" si="10"/>
        <v>0</v>
      </c>
      <c r="I135" s="29">
        <f t="shared" si="8"/>
        <v>39876</v>
      </c>
    </row>
    <row r="136" spans="1:9" ht="25.5" x14ac:dyDescent="0.2">
      <c r="A136" s="28">
        <v>39877</v>
      </c>
      <c r="B136" s="26" t="s">
        <v>1428</v>
      </c>
      <c r="C136" s="26" t="s">
        <v>9</v>
      </c>
      <c r="D136" s="35" t="s">
        <v>20</v>
      </c>
      <c r="E136" s="35" t="s">
        <v>20</v>
      </c>
      <c r="F136" s="35">
        <v>10439457</v>
      </c>
      <c r="G136" t="b">
        <f t="shared" si="9"/>
        <v>0</v>
      </c>
      <c r="H136" t="b">
        <f t="shared" si="10"/>
        <v>0</v>
      </c>
      <c r="I136" s="29">
        <f t="shared" si="8"/>
        <v>39877</v>
      </c>
    </row>
    <row r="137" spans="1:9" ht="12.75" customHeight="1" x14ac:dyDescent="0.2">
      <c r="A137" s="28">
        <v>39878</v>
      </c>
      <c r="B137" s="26" t="s">
        <v>3059</v>
      </c>
      <c r="C137" s="26" t="s">
        <v>9</v>
      </c>
      <c r="D137" s="35" t="s">
        <v>20</v>
      </c>
      <c r="E137" s="35">
        <v>31831</v>
      </c>
      <c r="F137" s="35" t="s">
        <v>20</v>
      </c>
      <c r="G137" t="b">
        <f t="shared" si="9"/>
        <v>0</v>
      </c>
      <c r="H137" t="b">
        <f t="shared" si="10"/>
        <v>0</v>
      </c>
      <c r="I137" s="29">
        <f t="shared" si="8"/>
        <v>39878</v>
      </c>
    </row>
    <row r="138" spans="1:9" ht="25.5" x14ac:dyDescent="0.2">
      <c r="A138" s="28">
        <v>39878</v>
      </c>
      <c r="B138" s="26" t="s">
        <v>1617</v>
      </c>
      <c r="C138" s="26" t="s">
        <v>3233</v>
      </c>
      <c r="D138" s="35" t="s">
        <v>20</v>
      </c>
      <c r="E138" s="35">
        <v>72979</v>
      </c>
      <c r="F138" s="35" t="s">
        <v>20</v>
      </c>
      <c r="G138" t="b">
        <f t="shared" si="9"/>
        <v>0</v>
      </c>
      <c r="H138" t="b">
        <f t="shared" si="10"/>
        <v>0</v>
      </c>
      <c r="I138" s="29">
        <f t="shared" si="8"/>
        <v>39878</v>
      </c>
    </row>
    <row r="139" spans="1:9" ht="12.75" customHeight="1" x14ac:dyDescent="0.2">
      <c r="A139" s="28">
        <v>39878</v>
      </c>
      <c r="B139" s="26" t="s">
        <v>548</v>
      </c>
      <c r="C139" s="26" t="s">
        <v>3096</v>
      </c>
      <c r="D139" s="35">
        <v>138000000</v>
      </c>
      <c r="E139" s="35">
        <v>107509799</v>
      </c>
      <c r="F139" s="35">
        <v>184068357</v>
      </c>
      <c r="G139" t="b">
        <f t="shared" si="9"/>
        <v>0</v>
      </c>
      <c r="H139" t="b">
        <f t="shared" si="10"/>
        <v>0</v>
      </c>
      <c r="I139" s="29">
        <f t="shared" si="8"/>
        <v>39878</v>
      </c>
    </row>
    <row r="140" spans="1:9" ht="12.75" customHeight="1" x14ac:dyDescent="0.2">
      <c r="A140" s="28">
        <v>39878</v>
      </c>
      <c r="B140" s="26" t="s">
        <v>952</v>
      </c>
      <c r="C140" s="26" t="s">
        <v>9</v>
      </c>
      <c r="D140" s="35" t="s">
        <v>20</v>
      </c>
      <c r="E140" s="35">
        <v>9626</v>
      </c>
      <c r="F140" s="35" t="s">
        <v>20</v>
      </c>
      <c r="G140" t="b">
        <f t="shared" si="9"/>
        <v>0</v>
      </c>
      <c r="H140" t="b">
        <f t="shared" si="10"/>
        <v>0</v>
      </c>
      <c r="I140" s="29">
        <f t="shared" si="8"/>
        <v>39878</v>
      </c>
    </row>
    <row r="141" spans="1:9" ht="12.75" customHeight="1" x14ac:dyDescent="0.2">
      <c r="A141" s="28">
        <v>39878</v>
      </c>
      <c r="B141" s="26" t="s">
        <v>1255</v>
      </c>
      <c r="C141" s="26" t="s">
        <v>9</v>
      </c>
      <c r="D141" s="35" t="s">
        <v>20</v>
      </c>
      <c r="E141" s="35" t="s">
        <v>20</v>
      </c>
      <c r="F141" s="35">
        <v>3977016</v>
      </c>
      <c r="G141" t="b">
        <f t="shared" si="9"/>
        <v>0</v>
      </c>
      <c r="H141" t="b">
        <f t="shared" si="10"/>
        <v>0</v>
      </c>
      <c r="I141" s="29">
        <f t="shared" si="8"/>
        <v>39878</v>
      </c>
    </row>
    <row r="142" spans="1:9" ht="25.5" x14ac:dyDescent="0.2">
      <c r="A142" s="28">
        <v>39878</v>
      </c>
      <c r="B142" s="26" t="s">
        <v>2564</v>
      </c>
      <c r="C142" s="26" t="s">
        <v>371</v>
      </c>
      <c r="D142" s="35" t="s">
        <v>20</v>
      </c>
      <c r="E142" s="35">
        <v>8030</v>
      </c>
      <c r="F142" s="35" t="s">
        <v>20</v>
      </c>
      <c r="G142" t="b">
        <f t="shared" si="9"/>
        <v>0</v>
      </c>
      <c r="H142" t="b">
        <f t="shared" si="10"/>
        <v>0</v>
      </c>
      <c r="I142" s="29">
        <f t="shared" si="8"/>
        <v>39878</v>
      </c>
    </row>
    <row r="143" spans="1:9" ht="12.75" customHeight="1" x14ac:dyDescent="0.2">
      <c r="A143" s="28">
        <v>39878</v>
      </c>
      <c r="B143" s="26" t="s">
        <v>3199</v>
      </c>
      <c r="C143" s="26" t="s">
        <v>9</v>
      </c>
      <c r="D143" s="35" t="s">
        <v>20</v>
      </c>
      <c r="E143" s="35">
        <v>351059</v>
      </c>
      <c r="F143" s="35">
        <v>1134059</v>
      </c>
      <c r="G143" t="b">
        <f t="shared" si="9"/>
        <v>0</v>
      </c>
      <c r="H143" t="b">
        <f t="shared" si="10"/>
        <v>0</v>
      </c>
      <c r="I143" s="29">
        <f t="shared" si="8"/>
        <v>39878</v>
      </c>
    </row>
    <row r="144" spans="1:9" ht="25.5" x14ac:dyDescent="0.2">
      <c r="A144" s="28">
        <v>39878</v>
      </c>
      <c r="B144" s="26" t="s">
        <v>2618</v>
      </c>
      <c r="C144" s="26" t="s">
        <v>3466</v>
      </c>
      <c r="D144" s="35" t="s">
        <v>20</v>
      </c>
      <c r="E144" s="35">
        <v>610825</v>
      </c>
      <c r="F144" s="35">
        <v>3210825</v>
      </c>
      <c r="G144" t="b">
        <f t="shared" si="9"/>
        <v>0</v>
      </c>
      <c r="H144" t="b">
        <f t="shared" si="10"/>
        <v>0</v>
      </c>
      <c r="I144" s="29">
        <f t="shared" si="8"/>
        <v>39878</v>
      </c>
    </row>
    <row r="145" spans="1:9" ht="12.75" customHeight="1" x14ac:dyDescent="0.2">
      <c r="A145" s="28">
        <v>39878</v>
      </c>
      <c r="B145" s="26" t="s">
        <v>2970</v>
      </c>
      <c r="C145" s="26" t="s">
        <v>2466</v>
      </c>
      <c r="D145" s="35" t="s">
        <v>20</v>
      </c>
      <c r="E145" s="35">
        <v>1925</v>
      </c>
      <c r="F145" s="35" t="s">
        <v>20</v>
      </c>
      <c r="G145" t="b">
        <f t="shared" si="9"/>
        <v>0</v>
      </c>
      <c r="H145" t="b">
        <f t="shared" si="10"/>
        <v>0</v>
      </c>
      <c r="I145" s="29">
        <f t="shared" si="8"/>
        <v>39878</v>
      </c>
    </row>
    <row r="146" spans="1:9" ht="12.75" customHeight="1" x14ac:dyDescent="0.2">
      <c r="A146" s="28">
        <v>39878</v>
      </c>
      <c r="B146" s="26" t="s">
        <v>3288</v>
      </c>
      <c r="C146" s="26" t="s">
        <v>2310</v>
      </c>
      <c r="D146" s="35" t="s">
        <v>20</v>
      </c>
      <c r="E146" s="35" t="s">
        <v>20</v>
      </c>
      <c r="F146" s="35" t="s">
        <v>20</v>
      </c>
      <c r="G146" t="b">
        <f t="shared" si="9"/>
        <v>0</v>
      </c>
      <c r="H146" t="b">
        <f t="shared" si="10"/>
        <v>0</v>
      </c>
      <c r="I146" s="29">
        <f t="shared" si="8"/>
        <v>39878</v>
      </c>
    </row>
    <row r="147" spans="1:9" ht="12.75" customHeight="1" x14ac:dyDescent="0.2">
      <c r="A147" s="28">
        <v>39878</v>
      </c>
      <c r="B147" s="26" t="s">
        <v>3256</v>
      </c>
      <c r="C147" s="26" t="s">
        <v>400</v>
      </c>
      <c r="D147" s="35" t="s">
        <v>20</v>
      </c>
      <c r="E147" s="35">
        <v>129150</v>
      </c>
      <c r="F147" s="35" t="s">
        <v>20</v>
      </c>
      <c r="G147" t="b">
        <f t="shared" si="9"/>
        <v>0</v>
      </c>
      <c r="H147" t="b">
        <f t="shared" si="10"/>
        <v>0</v>
      </c>
      <c r="I147" s="29">
        <f t="shared" si="8"/>
        <v>39878</v>
      </c>
    </row>
    <row r="148" spans="1:9" ht="12.75" customHeight="1" x14ac:dyDescent="0.2">
      <c r="A148" s="28">
        <v>39878</v>
      </c>
      <c r="B148" s="26" t="s">
        <v>2230</v>
      </c>
      <c r="C148" s="26" t="s">
        <v>9</v>
      </c>
      <c r="D148" s="35" t="s">
        <v>20</v>
      </c>
      <c r="E148" s="35">
        <v>28564</v>
      </c>
      <c r="F148" s="35" t="s">
        <v>20</v>
      </c>
      <c r="G148" t="b">
        <f t="shared" si="9"/>
        <v>0</v>
      </c>
      <c r="H148" t="b">
        <f t="shared" si="10"/>
        <v>0</v>
      </c>
      <c r="I148" s="29">
        <f t="shared" si="8"/>
        <v>39878</v>
      </c>
    </row>
    <row r="149" spans="1:9" ht="25.5" x14ac:dyDescent="0.2">
      <c r="A149" s="28">
        <v>39878</v>
      </c>
      <c r="B149" s="26" t="s">
        <v>2920</v>
      </c>
      <c r="C149" s="26" t="s">
        <v>9</v>
      </c>
      <c r="D149" s="35" t="s">
        <v>20</v>
      </c>
      <c r="E149" s="35">
        <v>5127</v>
      </c>
      <c r="F149" s="35">
        <v>1063900</v>
      </c>
      <c r="G149" t="b">
        <f t="shared" si="9"/>
        <v>0</v>
      </c>
      <c r="H149" t="b">
        <f t="shared" si="10"/>
        <v>0</v>
      </c>
      <c r="I149" s="29">
        <f t="shared" si="8"/>
        <v>39878</v>
      </c>
    </row>
    <row r="150" spans="1:9" ht="12.75" customHeight="1" x14ac:dyDescent="0.2">
      <c r="A150" s="28">
        <v>39878</v>
      </c>
      <c r="B150" s="26" t="s">
        <v>61</v>
      </c>
      <c r="C150" s="26" t="s">
        <v>2493</v>
      </c>
      <c r="D150" s="35" t="s">
        <v>20</v>
      </c>
      <c r="E150" s="35">
        <v>12235</v>
      </c>
      <c r="F150" s="35">
        <v>1398742</v>
      </c>
      <c r="G150" t="b">
        <f t="shared" si="9"/>
        <v>0</v>
      </c>
      <c r="H150" t="b">
        <f t="shared" si="10"/>
        <v>0</v>
      </c>
      <c r="I150" s="29">
        <f t="shared" si="8"/>
        <v>39878</v>
      </c>
    </row>
    <row r="151" spans="1:9" ht="12.75" customHeight="1" x14ac:dyDescent="0.2">
      <c r="A151" s="28">
        <v>39878</v>
      </c>
      <c r="B151" s="26" t="s">
        <v>1796</v>
      </c>
      <c r="C151" s="26" t="s">
        <v>9</v>
      </c>
      <c r="D151" s="35" t="s">
        <v>20</v>
      </c>
      <c r="E151" s="35" t="s">
        <v>20</v>
      </c>
      <c r="F151" s="35">
        <v>26669089</v>
      </c>
      <c r="G151" t="b">
        <f t="shared" si="9"/>
        <v>0</v>
      </c>
      <c r="H151" t="b">
        <f t="shared" si="10"/>
        <v>0</v>
      </c>
      <c r="I151" s="29">
        <f t="shared" si="8"/>
        <v>39878</v>
      </c>
    </row>
    <row r="152" spans="1:9" ht="51" x14ac:dyDescent="0.2">
      <c r="A152" s="28">
        <v>39879</v>
      </c>
      <c r="B152" s="26" t="s">
        <v>1010</v>
      </c>
      <c r="C152" s="26" t="s">
        <v>9</v>
      </c>
      <c r="D152" s="35" t="s">
        <v>20</v>
      </c>
      <c r="E152" s="35" t="s">
        <v>20</v>
      </c>
      <c r="F152" s="35">
        <v>993112</v>
      </c>
      <c r="G152" t="b">
        <f t="shared" si="9"/>
        <v>0</v>
      </c>
      <c r="H152" t="b">
        <f t="shared" si="10"/>
        <v>0</v>
      </c>
      <c r="I152" s="29">
        <f t="shared" si="8"/>
        <v>39879</v>
      </c>
    </row>
    <row r="153" spans="1:9" ht="25.5" x14ac:dyDescent="0.2">
      <c r="A153" s="28">
        <v>39879</v>
      </c>
      <c r="B153" s="26" t="s">
        <v>529</v>
      </c>
      <c r="C153" s="26" t="s">
        <v>9</v>
      </c>
      <c r="D153" s="35" t="s">
        <v>20</v>
      </c>
      <c r="E153" s="35" t="s">
        <v>20</v>
      </c>
      <c r="F153" s="35">
        <v>4341479</v>
      </c>
      <c r="G153" t="b">
        <f t="shared" si="9"/>
        <v>0</v>
      </c>
      <c r="H153" t="b">
        <f t="shared" si="10"/>
        <v>0</v>
      </c>
      <c r="I153" s="29">
        <f t="shared" si="8"/>
        <v>39879</v>
      </c>
    </row>
    <row r="154" spans="1:9" ht="38.25" x14ac:dyDescent="0.2">
      <c r="A154" s="28">
        <v>39879</v>
      </c>
      <c r="B154" s="26" t="s">
        <v>1423</v>
      </c>
      <c r="C154" s="26" t="s">
        <v>9</v>
      </c>
      <c r="D154" s="35" t="s">
        <v>20</v>
      </c>
      <c r="E154" s="35" t="s">
        <v>20</v>
      </c>
      <c r="F154" s="35">
        <v>21463266</v>
      </c>
      <c r="G154" t="b">
        <f t="shared" si="9"/>
        <v>0</v>
      </c>
      <c r="H154" t="b">
        <f t="shared" si="10"/>
        <v>0</v>
      </c>
      <c r="I154" s="29">
        <f t="shared" si="8"/>
        <v>39879</v>
      </c>
    </row>
    <row r="155" spans="1:9" ht="12.75" customHeight="1" x14ac:dyDescent="0.2">
      <c r="A155" s="28">
        <v>39882</v>
      </c>
      <c r="B155" s="26" t="s">
        <v>3210</v>
      </c>
      <c r="C155" s="26" t="s">
        <v>9</v>
      </c>
      <c r="D155" s="35" t="s">
        <v>20</v>
      </c>
      <c r="E155" s="35" t="s">
        <v>20</v>
      </c>
      <c r="F155" s="35" t="s">
        <v>20</v>
      </c>
      <c r="G155" t="b">
        <f t="shared" si="9"/>
        <v>0</v>
      </c>
      <c r="H155" t="b">
        <f t="shared" si="10"/>
        <v>0</v>
      </c>
      <c r="I155" s="29">
        <f t="shared" si="8"/>
        <v>39882</v>
      </c>
    </row>
    <row r="156" spans="1:9" ht="12.75" customHeight="1" x14ac:dyDescent="0.2">
      <c r="A156" s="28">
        <v>39883</v>
      </c>
      <c r="B156" s="26" t="s">
        <v>2133</v>
      </c>
      <c r="C156" s="26" t="s">
        <v>9</v>
      </c>
      <c r="D156" s="35" t="s">
        <v>20</v>
      </c>
      <c r="E156" s="35" t="s">
        <v>20</v>
      </c>
      <c r="F156" s="35">
        <v>1659016</v>
      </c>
      <c r="G156" t="b">
        <f t="shared" si="9"/>
        <v>0</v>
      </c>
      <c r="H156" t="b">
        <f t="shared" si="10"/>
        <v>0</v>
      </c>
      <c r="I156" s="29">
        <f t="shared" si="8"/>
        <v>39883</v>
      </c>
    </row>
    <row r="157" spans="1:9" ht="12.75" customHeight="1" x14ac:dyDescent="0.2">
      <c r="A157" s="28">
        <v>39883</v>
      </c>
      <c r="B157" s="26" t="s">
        <v>1741</v>
      </c>
      <c r="C157" s="26" t="s">
        <v>9</v>
      </c>
      <c r="D157" s="35" t="s">
        <v>20</v>
      </c>
      <c r="E157" s="35">
        <v>13461</v>
      </c>
      <c r="F157" s="35">
        <v>4316974</v>
      </c>
      <c r="G157" t="b">
        <f t="shared" si="9"/>
        <v>0</v>
      </c>
      <c r="H157" t="b">
        <f t="shared" si="10"/>
        <v>0</v>
      </c>
      <c r="I157" s="29">
        <f t="shared" si="8"/>
        <v>39883</v>
      </c>
    </row>
    <row r="158" spans="1:9" ht="12.75" customHeight="1" x14ac:dyDescent="0.2">
      <c r="A158" s="28">
        <v>39885</v>
      </c>
      <c r="B158" s="26" t="s">
        <v>183</v>
      </c>
      <c r="C158" s="26" t="s">
        <v>9</v>
      </c>
      <c r="D158" s="35" t="s">
        <v>20</v>
      </c>
      <c r="E158" s="35" t="s">
        <v>20</v>
      </c>
      <c r="F158" s="35">
        <v>1784639</v>
      </c>
      <c r="G158" t="b">
        <f t="shared" si="9"/>
        <v>0</v>
      </c>
      <c r="H158" t="b">
        <f t="shared" si="10"/>
        <v>0</v>
      </c>
      <c r="I158" s="29">
        <f t="shared" si="8"/>
        <v>39885</v>
      </c>
    </row>
    <row r="159" spans="1:9" ht="25.5" x14ac:dyDescent="0.2">
      <c r="A159" s="28">
        <v>39885</v>
      </c>
      <c r="B159" s="26" t="s">
        <v>926</v>
      </c>
      <c r="C159" s="26" t="s">
        <v>3056</v>
      </c>
      <c r="D159" s="35" t="s">
        <v>20</v>
      </c>
      <c r="E159" s="35">
        <v>115778</v>
      </c>
      <c r="F159" s="35" t="s">
        <v>20</v>
      </c>
      <c r="G159" t="b">
        <f t="shared" si="9"/>
        <v>0</v>
      </c>
      <c r="H159" t="b">
        <f t="shared" si="10"/>
        <v>0</v>
      </c>
      <c r="I159" s="29">
        <f t="shared" si="8"/>
        <v>39885</v>
      </c>
    </row>
    <row r="160" spans="1:9" ht="12.75" customHeight="1" x14ac:dyDescent="0.2">
      <c r="A160" s="28">
        <v>39885</v>
      </c>
      <c r="B160" s="26" t="s">
        <v>70</v>
      </c>
      <c r="C160" s="26" t="s">
        <v>9</v>
      </c>
      <c r="D160" s="35" t="s">
        <v>20</v>
      </c>
      <c r="E160" s="35">
        <v>153148</v>
      </c>
      <c r="F160" s="35" t="s">
        <v>20</v>
      </c>
      <c r="G160" t="b">
        <f t="shared" si="9"/>
        <v>0</v>
      </c>
      <c r="H160" t="b">
        <f t="shared" si="10"/>
        <v>0</v>
      </c>
      <c r="I160" s="29">
        <f t="shared" si="8"/>
        <v>39885</v>
      </c>
    </row>
    <row r="161" spans="1:9" ht="25.5" x14ac:dyDescent="0.2">
      <c r="A161" s="28">
        <v>39885</v>
      </c>
      <c r="B161" s="26" t="s">
        <v>201</v>
      </c>
      <c r="C161" s="26" t="s">
        <v>9</v>
      </c>
      <c r="D161" s="35" t="s">
        <v>20</v>
      </c>
      <c r="E161" s="35" t="s">
        <v>20</v>
      </c>
      <c r="F161" s="35">
        <v>47360</v>
      </c>
      <c r="G161" t="b">
        <f t="shared" si="9"/>
        <v>0</v>
      </c>
      <c r="H161" t="b">
        <f t="shared" si="10"/>
        <v>0</v>
      </c>
      <c r="I161" s="29">
        <f t="shared" si="8"/>
        <v>39885</v>
      </c>
    </row>
    <row r="162" spans="1:9" ht="12.75" customHeight="1" x14ac:dyDescent="0.2">
      <c r="A162" s="28">
        <v>39885</v>
      </c>
      <c r="B162" s="26" t="s">
        <v>2289</v>
      </c>
      <c r="C162" s="26" t="s">
        <v>9</v>
      </c>
      <c r="D162" s="35" t="s">
        <v>20</v>
      </c>
      <c r="E162" s="35" t="s">
        <v>20</v>
      </c>
      <c r="F162" s="35">
        <v>2164821</v>
      </c>
      <c r="G162" t="b">
        <f t="shared" si="9"/>
        <v>0</v>
      </c>
      <c r="H162" t="b">
        <f t="shared" si="10"/>
        <v>0</v>
      </c>
      <c r="I162" s="29">
        <f t="shared" si="8"/>
        <v>39885</v>
      </c>
    </row>
    <row r="163" spans="1:9" ht="25.5" x14ac:dyDescent="0.2">
      <c r="A163" s="28">
        <v>39885</v>
      </c>
      <c r="B163" s="26" t="s">
        <v>124</v>
      </c>
      <c r="C163" s="26" t="s">
        <v>2148</v>
      </c>
      <c r="D163" s="35" t="s">
        <v>20</v>
      </c>
      <c r="E163" s="35">
        <v>1548858</v>
      </c>
      <c r="F163" s="35" t="s">
        <v>20</v>
      </c>
      <c r="G163" t="b">
        <f t="shared" si="9"/>
        <v>0</v>
      </c>
      <c r="H163" t="b">
        <f t="shared" si="10"/>
        <v>0</v>
      </c>
      <c r="I163" s="29">
        <f t="shared" si="8"/>
        <v>39885</v>
      </c>
    </row>
    <row r="164" spans="1:9" ht="12.75" customHeight="1" x14ac:dyDescent="0.2">
      <c r="A164" s="28">
        <v>39885</v>
      </c>
      <c r="B164" s="26" t="s">
        <v>298</v>
      </c>
      <c r="C164" s="26" t="s">
        <v>9</v>
      </c>
      <c r="D164" s="35" t="s">
        <v>20</v>
      </c>
      <c r="E164" s="35" t="s">
        <v>20</v>
      </c>
      <c r="F164" s="35">
        <v>6514227</v>
      </c>
      <c r="G164" t="b">
        <f t="shared" si="9"/>
        <v>0</v>
      </c>
      <c r="H164" t="b">
        <f t="shared" si="10"/>
        <v>0</v>
      </c>
      <c r="I164" s="29">
        <f t="shared" si="8"/>
        <v>39885</v>
      </c>
    </row>
    <row r="165" spans="1:9" ht="25.5" x14ac:dyDescent="0.2">
      <c r="A165" s="28">
        <v>39885</v>
      </c>
      <c r="B165" s="26" t="s">
        <v>1048</v>
      </c>
      <c r="C165" s="26" t="s">
        <v>2051</v>
      </c>
      <c r="D165" s="35" t="s">
        <v>20</v>
      </c>
      <c r="E165" s="35">
        <v>13834</v>
      </c>
      <c r="F165" s="35" t="s">
        <v>20</v>
      </c>
      <c r="G165" t="b">
        <f t="shared" si="9"/>
        <v>0</v>
      </c>
      <c r="H165" t="b">
        <f t="shared" si="10"/>
        <v>0</v>
      </c>
      <c r="I165" s="29">
        <f t="shared" si="8"/>
        <v>39885</v>
      </c>
    </row>
    <row r="166" spans="1:9" ht="12.75" customHeight="1" x14ac:dyDescent="0.2">
      <c r="A166" s="28">
        <v>39885</v>
      </c>
      <c r="B166" s="26" t="s">
        <v>1259</v>
      </c>
      <c r="C166" s="26" t="s">
        <v>804</v>
      </c>
      <c r="D166" s="35" t="s">
        <v>20</v>
      </c>
      <c r="E166" s="35">
        <v>6224</v>
      </c>
      <c r="F166" s="35" t="s">
        <v>20</v>
      </c>
      <c r="G166" t="b">
        <f t="shared" si="9"/>
        <v>0</v>
      </c>
      <c r="H166" t="b">
        <f t="shared" si="10"/>
        <v>0</v>
      </c>
      <c r="I166" s="29">
        <f t="shared" si="8"/>
        <v>39885</v>
      </c>
    </row>
    <row r="167" spans="1:9" ht="12.75" customHeight="1" x14ac:dyDescent="0.2">
      <c r="A167" s="28">
        <v>39885</v>
      </c>
      <c r="B167" s="26" t="s">
        <v>1804</v>
      </c>
      <c r="C167" s="26" t="s">
        <v>9</v>
      </c>
      <c r="D167" s="35" t="s">
        <v>20</v>
      </c>
      <c r="E167" s="35" t="s">
        <v>20</v>
      </c>
      <c r="F167" s="35">
        <v>7937165</v>
      </c>
      <c r="G167" t="b">
        <f t="shared" si="9"/>
        <v>0</v>
      </c>
      <c r="H167" t="b">
        <f t="shared" si="10"/>
        <v>0</v>
      </c>
      <c r="I167" s="29">
        <f t="shared" si="8"/>
        <v>39885</v>
      </c>
    </row>
    <row r="168" spans="1:9" ht="51" x14ac:dyDescent="0.2">
      <c r="A168" s="28">
        <v>39885</v>
      </c>
      <c r="B168" s="26" t="s">
        <v>80</v>
      </c>
      <c r="C168" s="26" t="s">
        <v>2621</v>
      </c>
      <c r="D168" s="35" t="s">
        <v>20</v>
      </c>
      <c r="E168" s="35">
        <v>18728</v>
      </c>
      <c r="F168" s="35" t="s">
        <v>20</v>
      </c>
      <c r="G168" t="b">
        <f t="shared" si="9"/>
        <v>0</v>
      </c>
      <c r="H168" t="b">
        <f t="shared" si="10"/>
        <v>0</v>
      </c>
      <c r="I168" s="29">
        <f t="shared" si="8"/>
        <v>39885</v>
      </c>
    </row>
    <row r="169" spans="1:9" ht="25.5" x14ac:dyDescent="0.2">
      <c r="A169" s="28">
        <v>39885</v>
      </c>
      <c r="B169" s="26" t="s">
        <v>3188</v>
      </c>
      <c r="C169" s="26" t="s">
        <v>2752</v>
      </c>
      <c r="D169" s="35" t="s">
        <v>20</v>
      </c>
      <c r="E169" s="35">
        <v>67172594</v>
      </c>
      <c r="F169" s="35">
        <v>105103783</v>
      </c>
      <c r="G169" t="b">
        <f t="shared" si="9"/>
        <v>0</v>
      </c>
      <c r="H169" t="b">
        <f t="shared" si="10"/>
        <v>0</v>
      </c>
      <c r="I169" s="29">
        <f t="shared" si="8"/>
        <v>39885</v>
      </c>
    </row>
    <row r="170" spans="1:9" x14ac:dyDescent="0.2">
      <c r="A170" s="28">
        <v>39885</v>
      </c>
      <c r="B170" s="26" t="s">
        <v>1854</v>
      </c>
      <c r="C170" s="26" t="s">
        <v>9</v>
      </c>
      <c r="D170" s="35">
        <v>5000000</v>
      </c>
      <c r="E170" s="35">
        <v>12062558</v>
      </c>
      <c r="F170" s="35">
        <v>16462558</v>
      </c>
      <c r="G170" t="b">
        <f t="shared" si="9"/>
        <v>0</v>
      </c>
      <c r="H170" t="b">
        <f t="shared" si="10"/>
        <v>0</v>
      </c>
      <c r="I170" s="29">
        <f t="shared" si="8"/>
        <v>39885</v>
      </c>
    </row>
    <row r="171" spans="1:9" ht="12.75" customHeight="1" x14ac:dyDescent="0.2">
      <c r="A171" s="28">
        <v>39885</v>
      </c>
      <c r="B171" s="26" t="s">
        <v>268</v>
      </c>
      <c r="C171" s="26" t="s">
        <v>9</v>
      </c>
      <c r="D171" s="35" t="s">
        <v>20</v>
      </c>
      <c r="E171" s="35">
        <v>278356</v>
      </c>
      <c r="F171" s="35" t="s">
        <v>20</v>
      </c>
      <c r="G171" t="b">
        <f t="shared" si="9"/>
        <v>0</v>
      </c>
      <c r="H171" t="b">
        <f t="shared" si="10"/>
        <v>0</v>
      </c>
      <c r="I171" s="29">
        <f t="shared" si="8"/>
        <v>39885</v>
      </c>
    </row>
    <row r="172" spans="1:9" ht="25.5" x14ac:dyDescent="0.2">
      <c r="A172" s="28">
        <v>39885</v>
      </c>
      <c r="B172" s="26" t="s">
        <v>1832</v>
      </c>
      <c r="C172" s="26" t="s">
        <v>3096</v>
      </c>
      <c r="D172" s="35" t="s">
        <v>20</v>
      </c>
      <c r="E172" s="35">
        <v>32752215</v>
      </c>
      <c r="F172" s="35">
        <v>45482936</v>
      </c>
      <c r="G172" t="b">
        <f t="shared" si="9"/>
        <v>0</v>
      </c>
      <c r="H172" t="b">
        <f t="shared" si="10"/>
        <v>0</v>
      </c>
      <c r="I172" s="29">
        <f t="shared" si="8"/>
        <v>39885</v>
      </c>
    </row>
    <row r="173" spans="1:9" ht="12.75" customHeight="1" x14ac:dyDescent="0.2">
      <c r="A173" s="28">
        <v>39885</v>
      </c>
      <c r="B173" s="26" t="s">
        <v>2879</v>
      </c>
      <c r="C173" s="26" t="s">
        <v>384</v>
      </c>
      <c r="D173" s="35" t="s">
        <v>20</v>
      </c>
      <c r="E173" s="35">
        <v>4542775</v>
      </c>
      <c r="F173" s="35">
        <v>4712514</v>
      </c>
      <c r="G173" t="b">
        <f t="shared" si="9"/>
        <v>0</v>
      </c>
      <c r="H173" t="b">
        <f t="shared" si="10"/>
        <v>0</v>
      </c>
      <c r="I173" s="29">
        <f t="shared" si="8"/>
        <v>39885</v>
      </c>
    </row>
    <row r="174" spans="1:9" ht="25.5" x14ac:dyDescent="0.2">
      <c r="A174" s="28">
        <v>39889</v>
      </c>
      <c r="B174" s="26" t="s">
        <v>1529</v>
      </c>
      <c r="C174" s="26" t="s">
        <v>3096</v>
      </c>
      <c r="D174" s="35" t="s">
        <v>20</v>
      </c>
      <c r="E174" s="35" t="s">
        <v>20</v>
      </c>
      <c r="F174" s="35" t="s">
        <v>20</v>
      </c>
      <c r="G174" t="b">
        <f t="shared" si="9"/>
        <v>0</v>
      </c>
      <c r="H174" t="b">
        <f t="shared" si="10"/>
        <v>0</v>
      </c>
      <c r="I174" s="29">
        <f t="shared" si="8"/>
        <v>39889</v>
      </c>
    </row>
    <row r="175" spans="1:9" ht="12.75" customHeight="1" x14ac:dyDescent="0.2">
      <c r="A175" s="28">
        <v>39889</v>
      </c>
      <c r="B175" s="26" t="s">
        <v>921</v>
      </c>
      <c r="C175" s="26" t="s">
        <v>9</v>
      </c>
      <c r="D175" s="35" t="s">
        <v>20</v>
      </c>
      <c r="E175" s="35" t="s">
        <v>20</v>
      </c>
      <c r="F175" s="35" t="s">
        <v>20</v>
      </c>
      <c r="G175" t="b">
        <f t="shared" si="9"/>
        <v>0</v>
      </c>
      <c r="H175" t="b">
        <f t="shared" si="10"/>
        <v>0</v>
      </c>
      <c r="I175" s="29">
        <f t="shared" si="8"/>
        <v>39889</v>
      </c>
    </row>
    <row r="176" spans="1:9" ht="12.75" customHeight="1" x14ac:dyDescent="0.2">
      <c r="A176" s="28">
        <v>39889</v>
      </c>
      <c r="B176" s="26" t="s">
        <v>3260</v>
      </c>
      <c r="C176" s="26" t="s">
        <v>9</v>
      </c>
      <c r="D176" s="35" t="s">
        <v>20</v>
      </c>
      <c r="E176" s="35" t="s">
        <v>20</v>
      </c>
      <c r="F176" s="35" t="s">
        <v>20</v>
      </c>
      <c r="G176" t="b">
        <f t="shared" si="9"/>
        <v>0</v>
      </c>
      <c r="H176" t="b">
        <f t="shared" si="10"/>
        <v>0</v>
      </c>
      <c r="I176" s="29">
        <f t="shared" si="8"/>
        <v>39889</v>
      </c>
    </row>
    <row r="177" spans="1:9" ht="38.25" x14ac:dyDescent="0.2">
      <c r="A177" s="28">
        <v>39889</v>
      </c>
      <c r="B177" s="26" t="s">
        <v>199</v>
      </c>
      <c r="C177" s="26" t="s">
        <v>9</v>
      </c>
      <c r="D177" s="35" t="s">
        <v>20</v>
      </c>
      <c r="E177" s="35" t="s">
        <v>20</v>
      </c>
      <c r="F177" s="35" t="s">
        <v>20</v>
      </c>
      <c r="G177" t="b">
        <f t="shared" si="9"/>
        <v>0</v>
      </c>
      <c r="H177" t="b">
        <f t="shared" si="10"/>
        <v>0</v>
      </c>
      <c r="I177" s="29">
        <f t="shared" si="8"/>
        <v>39889</v>
      </c>
    </row>
    <row r="178" spans="1:9" ht="25.5" x14ac:dyDescent="0.2">
      <c r="A178" s="28">
        <v>39889</v>
      </c>
      <c r="B178" s="26" t="s">
        <v>2163</v>
      </c>
      <c r="C178" s="26" t="s">
        <v>2310</v>
      </c>
      <c r="D178" s="35" t="s">
        <v>20</v>
      </c>
      <c r="E178" s="35" t="s">
        <v>20</v>
      </c>
      <c r="F178" s="35" t="s">
        <v>20</v>
      </c>
      <c r="G178" t="b">
        <f t="shared" si="9"/>
        <v>0</v>
      </c>
      <c r="H178" t="b">
        <f t="shared" si="10"/>
        <v>0</v>
      </c>
      <c r="I178" s="29">
        <f t="shared" si="8"/>
        <v>39889</v>
      </c>
    </row>
    <row r="179" spans="1:9" x14ac:dyDescent="0.2">
      <c r="A179" s="28">
        <v>39889</v>
      </c>
      <c r="B179" s="26" t="s">
        <v>3001</v>
      </c>
      <c r="C179" s="26" t="s">
        <v>646</v>
      </c>
      <c r="D179" s="35" t="s">
        <v>20</v>
      </c>
      <c r="E179" s="35" t="s">
        <v>20</v>
      </c>
      <c r="F179" s="35" t="s">
        <v>20</v>
      </c>
      <c r="G179" t="b">
        <f t="shared" si="9"/>
        <v>0</v>
      </c>
      <c r="H179" t="b">
        <f t="shared" si="10"/>
        <v>0</v>
      </c>
      <c r="I179" s="29">
        <f t="shared" si="8"/>
        <v>39889</v>
      </c>
    </row>
    <row r="180" spans="1:9" ht="25.5" x14ac:dyDescent="0.2">
      <c r="A180" s="28">
        <v>39890</v>
      </c>
      <c r="B180" s="26" t="s">
        <v>517</v>
      </c>
      <c r="C180" s="26" t="s">
        <v>9</v>
      </c>
      <c r="D180" s="35" t="s">
        <v>20</v>
      </c>
      <c r="E180" s="35">
        <v>1755134</v>
      </c>
      <c r="F180" s="35" t="s">
        <v>20</v>
      </c>
      <c r="G180" t="b">
        <f t="shared" si="9"/>
        <v>0</v>
      </c>
      <c r="H180" t="b">
        <f t="shared" si="10"/>
        <v>0</v>
      </c>
      <c r="I180" s="29">
        <f t="shared" si="8"/>
        <v>39890</v>
      </c>
    </row>
    <row r="181" spans="1:9" ht="25.5" x14ac:dyDescent="0.2">
      <c r="A181" s="28">
        <v>39892</v>
      </c>
      <c r="B181" s="26" t="s">
        <v>3083</v>
      </c>
      <c r="C181" s="26" t="s">
        <v>2621</v>
      </c>
      <c r="D181" s="35" t="s">
        <v>20</v>
      </c>
      <c r="E181" s="35">
        <v>750587</v>
      </c>
      <c r="F181" s="35">
        <v>754353</v>
      </c>
      <c r="G181" t="b">
        <f t="shared" si="9"/>
        <v>0</v>
      </c>
      <c r="H181" t="b">
        <f t="shared" si="10"/>
        <v>0</v>
      </c>
      <c r="I181" s="29">
        <f t="shared" si="8"/>
        <v>39892</v>
      </c>
    </row>
    <row r="182" spans="1:9" ht="12.75" customHeight="1" x14ac:dyDescent="0.2">
      <c r="A182" s="28">
        <v>39892</v>
      </c>
      <c r="B182" s="26" t="s">
        <v>31</v>
      </c>
      <c r="C182" s="26" t="s">
        <v>9</v>
      </c>
      <c r="D182" s="35" t="s">
        <v>20</v>
      </c>
      <c r="E182" s="35" t="s">
        <v>20</v>
      </c>
      <c r="F182" s="35">
        <v>3738076</v>
      </c>
      <c r="G182" t="b">
        <f t="shared" si="9"/>
        <v>0</v>
      </c>
      <c r="H182" t="b">
        <f t="shared" si="10"/>
        <v>0</v>
      </c>
      <c r="I182" s="29">
        <f t="shared" si="8"/>
        <v>39892</v>
      </c>
    </row>
    <row r="183" spans="1:9" ht="25.5" x14ac:dyDescent="0.2">
      <c r="A183" s="28">
        <v>39892</v>
      </c>
      <c r="B183" s="26" t="s">
        <v>2327</v>
      </c>
      <c r="C183" s="26" t="s">
        <v>2180</v>
      </c>
      <c r="D183" s="35" t="s">
        <v>20</v>
      </c>
      <c r="E183" s="35">
        <v>30955</v>
      </c>
      <c r="F183" s="35" t="s">
        <v>20</v>
      </c>
      <c r="G183" t="b">
        <f t="shared" si="9"/>
        <v>0</v>
      </c>
      <c r="H183" t="b">
        <f t="shared" si="10"/>
        <v>0</v>
      </c>
      <c r="I183" s="29">
        <f t="shared" si="8"/>
        <v>39892</v>
      </c>
    </row>
    <row r="184" spans="1:9" ht="12.75" customHeight="1" x14ac:dyDescent="0.2">
      <c r="A184" s="28">
        <v>39892</v>
      </c>
      <c r="B184" s="26" t="s">
        <v>761</v>
      </c>
      <c r="C184" s="26" t="s">
        <v>1017</v>
      </c>
      <c r="D184" s="35" t="s">
        <v>20</v>
      </c>
      <c r="E184" s="35">
        <v>16133</v>
      </c>
      <c r="F184" s="35" t="s">
        <v>20</v>
      </c>
      <c r="G184" t="b">
        <f t="shared" si="9"/>
        <v>0</v>
      </c>
      <c r="H184" t="b">
        <f t="shared" si="10"/>
        <v>0</v>
      </c>
      <c r="I184" s="29">
        <f t="shared" si="8"/>
        <v>39892</v>
      </c>
    </row>
    <row r="185" spans="1:9" ht="12.75" customHeight="1" x14ac:dyDescent="0.2">
      <c r="A185" s="28">
        <v>39892</v>
      </c>
      <c r="B185" s="26" t="s">
        <v>559</v>
      </c>
      <c r="C185" s="26" t="s">
        <v>1228</v>
      </c>
      <c r="D185" s="35" t="s">
        <v>20</v>
      </c>
      <c r="E185" s="35">
        <v>16596</v>
      </c>
      <c r="F185" s="35" t="s">
        <v>20</v>
      </c>
      <c r="G185" t="b">
        <f t="shared" si="9"/>
        <v>0</v>
      </c>
      <c r="H185" t="b">
        <f t="shared" si="10"/>
        <v>0</v>
      </c>
      <c r="I185" s="29">
        <f t="shared" si="8"/>
        <v>39892</v>
      </c>
    </row>
    <row r="186" spans="1:9" ht="12.75" customHeight="1" x14ac:dyDescent="0.2">
      <c r="A186" s="28">
        <v>39892</v>
      </c>
      <c r="B186" s="26" t="s">
        <v>803</v>
      </c>
      <c r="C186" s="26" t="s">
        <v>9</v>
      </c>
      <c r="D186" s="35" t="s">
        <v>20</v>
      </c>
      <c r="E186" s="35">
        <v>29697</v>
      </c>
      <c r="F186" s="35" t="s">
        <v>20</v>
      </c>
      <c r="G186" t="b">
        <f t="shared" si="9"/>
        <v>0</v>
      </c>
      <c r="H186" t="b">
        <f t="shared" si="10"/>
        <v>0</v>
      </c>
      <c r="I186" s="29">
        <f t="shared" si="8"/>
        <v>39892</v>
      </c>
    </row>
    <row r="187" spans="1:9" ht="12.75" customHeight="1" x14ac:dyDescent="0.2">
      <c r="A187" s="28">
        <v>39892</v>
      </c>
      <c r="B187" s="26" t="s">
        <v>2011</v>
      </c>
      <c r="C187" s="26" t="s">
        <v>9</v>
      </c>
      <c r="D187" s="35" t="s">
        <v>20</v>
      </c>
      <c r="E187" s="35" t="s">
        <v>20</v>
      </c>
      <c r="F187" s="35">
        <v>14378901</v>
      </c>
      <c r="G187" t="b">
        <f t="shared" si="9"/>
        <v>0</v>
      </c>
      <c r="H187" t="b">
        <f t="shared" si="10"/>
        <v>0</v>
      </c>
      <c r="I187" s="29">
        <f t="shared" si="8"/>
        <v>39892</v>
      </c>
    </row>
    <row r="188" spans="1:9" ht="12.75" customHeight="1" x14ac:dyDescent="0.2">
      <c r="A188" s="28">
        <v>39892</v>
      </c>
      <c r="B188" s="26" t="s">
        <v>2227</v>
      </c>
      <c r="C188" s="26" t="s">
        <v>9</v>
      </c>
      <c r="D188" s="35">
        <v>50000000</v>
      </c>
      <c r="E188" s="35">
        <v>79957634</v>
      </c>
      <c r="F188" s="35">
        <v>187858642</v>
      </c>
      <c r="G188" t="b">
        <f t="shared" si="9"/>
        <v>0</v>
      </c>
      <c r="H188" t="b">
        <f t="shared" si="10"/>
        <v>0</v>
      </c>
      <c r="I188" s="29">
        <f t="shared" si="8"/>
        <v>39892</v>
      </c>
    </row>
    <row r="189" spans="1:9" ht="25.5" x14ac:dyDescent="0.2">
      <c r="A189" s="28">
        <v>39892</v>
      </c>
      <c r="B189" s="26" t="s">
        <v>101</v>
      </c>
      <c r="C189" s="26" t="s">
        <v>9</v>
      </c>
      <c r="D189" s="35" t="s">
        <v>20</v>
      </c>
      <c r="E189" s="35" t="s">
        <v>20</v>
      </c>
      <c r="F189" s="35">
        <v>2430452</v>
      </c>
      <c r="G189" t="b">
        <f t="shared" si="9"/>
        <v>0</v>
      </c>
      <c r="H189" t="b">
        <f t="shared" si="10"/>
        <v>0</v>
      </c>
      <c r="I189" s="29">
        <f t="shared" si="8"/>
        <v>39892</v>
      </c>
    </row>
    <row r="190" spans="1:9" ht="38.25" x14ac:dyDescent="0.2">
      <c r="A190" s="28">
        <v>39892</v>
      </c>
      <c r="B190" s="26" t="s">
        <v>360</v>
      </c>
      <c r="C190" s="26" t="s">
        <v>9</v>
      </c>
      <c r="D190" s="35" t="s">
        <v>20</v>
      </c>
      <c r="E190" s="35" t="s">
        <v>20</v>
      </c>
      <c r="F190" s="35">
        <v>1303981</v>
      </c>
      <c r="G190" t="b">
        <f t="shared" si="9"/>
        <v>0</v>
      </c>
      <c r="H190" t="b">
        <f t="shared" si="10"/>
        <v>0</v>
      </c>
      <c r="I190" s="29">
        <f t="shared" si="8"/>
        <v>39892</v>
      </c>
    </row>
    <row r="191" spans="1:9" ht="25.5" x14ac:dyDescent="0.2">
      <c r="A191" s="28">
        <v>39892</v>
      </c>
      <c r="B191" s="26" t="s">
        <v>1388</v>
      </c>
      <c r="C191" s="26" t="s">
        <v>2168</v>
      </c>
      <c r="D191" s="35" t="s">
        <v>20</v>
      </c>
      <c r="E191" s="35">
        <v>71440011</v>
      </c>
      <c r="F191" s="35">
        <v>91729503</v>
      </c>
      <c r="G191" t="b">
        <f t="shared" si="9"/>
        <v>0</v>
      </c>
      <c r="H191" t="b">
        <f t="shared" si="10"/>
        <v>0</v>
      </c>
      <c r="I191" s="29">
        <f t="shared" ref="I191:I252" si="11">DATE(2009,MONTH(A191), DAY(A191))</f>
        <v>39892</v>
      </c>
    </row>
    <row r="192" spans="1:9" ht="12.75" customHeight="1" x14ac:dyDescent="0.2">
      <c r="A192" s="28">
        <v>39892</v>
      </c>
      <c r="B192" s="26" t="s">
        <v>1235</v>
      </c>
      <c r="C192" s="26" t="s">
        <v>698</v>
      </c>
      <c r="D192" s="35" t="s">
        <v>20</v>
      </c>
      <c r="E192" s="35">
        <v>2536665</v>
      </c>
      <c r="F192" s="35">
        <v>3399370</v>
      </c>
      <c r="G192" t="b">
        <f t="shared" si="9"/>
        <v>0</v>
      </c>
      <c r="H192" t="b">
        <f t="shared" si="10"/>
        <v>0</v>
      </c>
      <c r="I192" s="29">
        <f t="shared" si="11"/>
        <v>39892</v>
      </c>
    </row>
    <row r="193" spans="1:9" ht="12.75" customHeight="1" x14ac:dyDescent="0.2">
      <c r="A193" s="28">
        <v>39892</v>
      </c>
      <c r="B193" s="26" t="s">
        <v>524</v>
      </c>
      <c r="C193" s="26" t="s">
        <v>3096</v>
      </c>
      <c r="D193" s="35" t="s">
        <v>20</v>
      </c>
      <c r="E193" s="35">
        <v>40572825</v>
      </c>
      <c r="F193" s="35">
        <v>81079566</v>
      </c>
      <c r="G193" t="b">
        <f t="shared" si="9"/>
        <v>0</v>
      </c>
      <c r="H193" t="b">
        <f t="shared" si="10"/>
        <v>0</v>
      </c>
      <c r="I193" s="29">
        <f t="shared" si="11"/>
        <v>39892</v>
      </c>
    </row>
    <row r="194" spans="1:9" ht="12.75" customHeight="1" x14ac:dyDescent="0.2">
      <c r="A194" s="28">
        <v>39892</v>
      </c>
      <c r="B194" s="26" t="s">
        <v>2639</v>
      </c>
      <c r="C194" s="26" t="s">
        <v>1889</v>
      </c>
      <c r="D194" s="35" t="s">
        <v>20</v>
      </c>
      <c r="E194" s="35">
        <v>62408</v>
      </c>
      <c r="F194" s="35" t="s">
        <v>20</v>
      </c>
      <c r="G194" t="b">
        <f t="shared" si="9"/>
        <v>0</v>
      </c>
      <c r="H194" t="b">
        <f t="shared" si="10"/>
        <v>0</v>
      </c>
      <c r="I194" s="29">
        <f t="shared" si="11"/>
        <v>39892</v>
      </c>
    </row>
    <row r="195" spans="1:9" ht="12.75" customHeight="1" x14ac:dyDescent="0.2">
      <c r="A195" s="28">
        <v>39893</v>
      </c>
      <c r="B195" s="26" t="s">
        <v>2086</v>
      </c>
      <c r="C195" s="26" t="s">
        <v>9</v>
      </c>
      <c r="D195" s="35" t="s">
        <v>20</v>
      </c>
      <c r="E195" s="35" t="s">
        <v>20</v>
      </c>
      <c r="F195" s="35">
        <v>11528993</v>
      </c>
      <c r="G195" t="b">
        <f t="shared" si="9"/>
        <v>0</v>
      </c>
      <c r="H195" t="b">
        <f t="shared" si="10"/>
        <v>0</v>
      </c>
      <c r="I195" s="29">
        <f t="shared" si="11"/>
        <v>39893</v>
      </c>
    </row>
    <row r="196" spans="1:9" ht="38.25" x14ac:dyDescent="0.2">
      <c r="A196" s="28">
        <v>39893</v>
      </c>
      <c r="B196" s="26" t="s">
        <v>1094</v>
      </c>
      <c r="C196" s="26" t="s">
        <v>9</v>
      </c>
      <c r="D196" s="35" t="s">
        <v>20</v>
      </c>
      <c r="E196" s="35" t="s">
        <v>20</v>
      </c>
      <c r="F196" s="35">
        <v>2519909</v>
      </c>
      <c r="G196" t="b">
        <f t="shared" si="9"/>
        <v>0</v>
      </c>
      <c r="H196" t="b">
        <f t="shared" si="10"/>
        <v>0</v>
      </c>
      <c r="I196" s="29">
        <f t="shared" si="11"/>
        <v>39893</v>
      </c>
    </row>
    <row r="197" spans="1:9" ht="51" x14ac:dyDescent="0.2">
      <c r="A197" s="28">
        <v>39896</v>
      </c>
      <c r="B197" s="26" t="s">
        <v>3229</v>
      </c>
      <c r="C197" s="26" t="s">
        <v>3209</v>
      </c>
      <c r="D197" s="35" t="s">
        <v>20</v>
      </c>
      <c r="E197" s="35" t="s">
        <v>20</v>
      </c>
      <c r="F197" s="35" t="s">
        <v>20</v>
      </c>
      <c r="G197" t="b">
        <f t="shared" si="9"/>
        <v>0</v>
      </c>
      <c r="H197" t="b">
        <f t="shared" si="10"/>
        <v>0</v>
      </c>
      <c r="I197" s="29">
        <f t="shared" si="11"/>
        <v>39896</v>
      </c>
    </row>
    <row r="198" spans="1:9" ht="12.75" customHeight="1" x14ac:dyDescent="0.2">
      <c r="A198" s="28">
        <v>39896</v>
      </c>
      <c r="B198" s="26" t="s">
        <v>2476</v>
      </c>
      <c r="C198" s="26" t="s">
        <v>2160</v>
      </c>
      <c r="D198" s="35" t="s">
        <v>20</v>
      </c>
      <c r="E198" s="35" t="s">
        <v>20</v>
      </c>
      <c r="F198" s="35" t="s">
        <v>20</v>
      </c>
      <c r="G198" t="b">
        <f t="shared" ref="G198:G259" si="12">ISBLANK(A198)</f>
        <v>0</v>
      </c>
      <c r="H198" t="b">
        <f t="shared" ref="H198:H259" si="13">ISTEXT(A198)</f>
        <v>0</v>
      </c>
      <c r="I198" s="29">
        <f t="shared" si="11"/>
        <v>39896</v>
      </c>
    </row>
    <row r="199" spans="1:9" ht="12.75" customHeight="1" x14ac:dyDescent="0.2">
      <c r="A199" s="28">
        <v>39896</v>
      </c>
      <c r="B199" s="26" t="s">
        <v>2059</v>
      </c>
      <c r="C199" s="26" t="s">
        <v>2990</v>
      </c>
      <c r="D199" s="35" t="s">
        <v>20</v>
      </c>
      <c r="E199" s="35" t="s">
        <v>20</v>
      </c>
      <c r="F199" s="35" t="s">
        <v>20</v>
      </c>
      <c r="G199" t="b">
        <f t="shared" si="12"/>
        <v>0</v>
      </c>
      <c r="H199" t="b">
        <f t="shared" si="13"/>
        <v>0</v>
      </c>
      <c r="I199" s="29">
        <f t="shared" si="11"/>
        <v>39896</v>
      </c>
    </row>
    <row r="200" spans="1:9" ht="12.75" customHeight="1" x14ac:dyDescent="0.2">
      <c r="A200" s="28">
        <v>39896</v>
      </c>
      <c r="B200" s="26" t="s">
        <v>884</v>
      </c>
      <c r="C200" s="26" t="s">
        <v>9</v>
      </c>
      <c r="D200" s="35" t="s">
        <v>20</v>
      </c>
      <c r="E200" s="35" t="s">
        <v>20</v>
      </c>
      <c r="F200" s="35" t="s">
        <v>20</v>
      </c>
      <c r="G200" t="b">
        <f t="shared" si="12"/>
        <v>0</v>
      </c>
      <c r="H200" t="b">
        <f t="shared" si="13"/>
        <v>0</v>
      </c>
      <c r="I200" s="29">
        <f t="shared" si="11"/>
        <v>39896</v>
      </c>
    </row>
    <row r="201" spans="1:9" ht="25.5" x14ac:dyDescent="0.2">
      <c r="A201" s="28">
        <v>39896</v>
      </c>
      <c r="B201" s="26" t="s">
        <v>1642</v>
      </c>
      <c r="C201" s="26" t="s">
        <v>1125</v>
      </c>
      <c r="D201" s="35" t="s">
        <v>20</v>
      </c>
      <c r="E201" s="35" t="s">
        <v>20</v>
      </c>
      <c r="F201" s="35" t="s">
        <v>20</v>
      </c>
      <c r="G201" t="b">
        <f t="shared" si="12"/>
        <v>0</v>
      </c>
      <c r="H201" t="b">
        <f t="shared" si="13"/>
        <v>0</v>
      </c>
      <c r="I201" s="29">
        <f t="shared" si="11"/>
        <v>39896</v>
      </c>
    </row>
    <row r="202" spans="1:9" ht="12.75" customHeight="1" x14ac:dyDescent="0.2">
      <c r="A202" s="28">
        <v>39896</v>
      </c>
      <c r="B202" s="26" t="s">
        <v>943</v>
      </c>
      <c r="C202" s="26" t="s">
        <v>82</v>
      </c>
      <c r="D202" s="35" t="s">
        <v>20</v>
      </c>
      <c r="E202" s="35" t="s">
        <v>20</v>
      </c>
      <c r="F202" s="35">
        <v>1770677</v>
      </c>
      <c r="G202" t="b">
        <f t="shared" si="12"/>
        <v>0</v>
      </c>
      <c r="H202" t="b">
        <f t="shared" si="13"/>
        <v>0</v>
      </c>
      <c r="I202" s="29">
        <f t="shared" si="11"/>
        <v>39896</v>
      </c>
    </row>
    <row r="203" spans="1:9" ht="38.25" x14ac:dyDescent="0.2">
      <c r="A203" s="28">
        <v>39896</v>
      </c>
      <c r="B203" s="26" t="s">
        <v>2825</v>
      </c>
      <c r="C203" s="26" t="s">
        <v>2310</v>
      </c>
      <c r="D203" s="35" t="s">
        <v>20</v>
      </c>
      <c r="E203" s="35" t="s">
        <v>20</v>
      </c>
      <c r="F203" s="35" t="s">
        <v>20</v>
      </c>
      <c r="G203" t="b">
        <f t="shared" si="12"/>
        <v>0</v>
      </c>
      <c r="H203" t="b">
        <f t="shared" si="13"/>
        <v>0</v>
      </c>
      <c r="I203" s="29">
        <f t="shared" si="11"/>
        <v>39896</v>
      </c>
    </row>
    <row r="204" spans="1:9" x14ac:dyDescent="0.2">
      <c r="A204" s="28">
        <v>39897</v>
      </c>
      <c r="B204" s="26" t="s">
        <v>699</v>
      </c>
      <c r="C204" s="26" t="s">
        <v>9</v>
      </c>
      <c r="D204" s="35" t="s">
        <v>20</v>
      </c>
      <c r="E204" s="35" t="s">
        <v>20</v>
      </c>
      <c r="F204" s="35">
        <v>5955923</v>
      </c>
      <c r="G204" t="b">
        <f t="shared" si="12"/>
        <v>0</v>
      </c>
      <c r="H204" t="b">
        <f t="shared" si="13"/>
        <v>0</v>
      </c>
      <c r="I204" s="29">
        <f t="shared" si="11"/>
        <v>39897</v>
      </c>
    </row>
    <row r="205" spans="1:9" x14ac:dyDescent="0.2">
      <c r="A205" s="28">
        <v>39899</v>
      </c>
      <c r="B205" s="26" t="s">
        <v>3309</v>
      </c>
      <c r="C205" s="26" t="s">
        <v>1227</v>
      </c>
      <c r="D205" s="35" t="s">
        <v>20</v>
      </c>
      <c r="E205" s="35">
        <v>2450</v>
      </c>
      <c r="F205" s="35" t="s">
        <v>20</v>
      </c>
      <c r="G205" t="b">
        <f t="shared" si="12"/>
        <v>0</v>
      </c>
      <c r="H205" t="b">
        <f t="shared" si="13"/>
        <v>0</v>
      </c>
      <c r="I205" s="29">
        <f t="shared" si="11"/>
        <v>39899</v>
      </c>
    </row>
    <row r="206" spans="1:9" ht="38.25" x14ac:dyDescent="0.2">
      <c r="A206" s="28">
        <v>39899</v>
      </c>
      <c r="B206" s="26" t="s">
        <v>864</v>
      </c>
      <c r="C206" s="26" t="s">
        <v>2813</v>
      </c>
      <c r="D206" s="35" t="s">
        <v>20</v>
      </c>
      <c r="E206" s="35">
        <v>741557</v>
      </c>
      <c r="F206" s="35" t="s">
        <v>20</v>
      </c>
      <c r="G206" t="b">
        <f t="shared" si="12"/>
        <v>0</v>
      </c>
      <c r="H206" t="b">
        <f t="shared" si="13"/>
        <v>0</v>
      </c>
      <c r="I206" s="29">
        <f t="shared" si="11"/>
        <v>39899</v>
      </c>
    </row>
    <row r="207" spans="1:9" ht="25.5" x14ac:dyDescent="0.2">
      <c r="A207" s="28">
        <v>39899</v>
      </c>
      <c r="B207" s="26" t="s">
        <v>1155</v>
      </c>
      <c r="C207" s="26" t="s">
        <v>9</v>
      </c>
      <c r="D207" s="35" t="s">
        <v>20</v>
      </c>
      <c r="E207" s="35">
        <v>55389516</v>
      </c>
      <c r="F207" s="35">
        <v>72806846</v>
      </c>
      <c r="G207" t="b">
        <f t="shared" si="12"/>
        <v>0</v>
      </c>
      <c r="H207" t="b">
        <f t="shared" si="13"/>
        <v>0</v>
      </c>
      <c r="I207" s="29">
        <f t="shared" si="11"/>
        <v>39899</v>
      </c>
    </row>
    <row r="208" spans="1:9" ht="25.5" x14ac:dyDescent="0.2">
      <c r="A208" s="28">
        <v>39899</v>
      </c>
      <c r="B208" s="26" t="s">
        <v>109</v>
      </c>
      <c r="C208" s="26" t="s">
        <v>9</v>
      </c>
      <c r="D208" s="35" t="s">
        <v>20</v>
      </c>
      <c r="E208" s="35">
        <v>14547</v>
      </c>
      <c r="F208" s="35" t="s">
        <v>20</v>
      </c>
      <c r="G208" t="b">
        <f t="shared" si="12"/>
        <v>0</v>
      </c>
      <c r="H208" t="b">
        <f t="shared" si="13"/>
        <v>0</v>
      </c>
      <c r="I208" s="29">
        <f t="shared" si="11"/>
        <v>39899</v>
      </c>
    </row>
    <row r="209" spans="1:9" ht="25.5" x14ac:dyDescent="0.2">
      <c r="A209" s="28">
        <v>39899</v>
      </c>
      <c r="B209" s="26" t="s">
        <v>2036</v>
      </c>
      <c r="C209" s="26" t="s">
        <v>9</v>
      </c>
      <c r="D209" s="35" t="s">
        <v>20</v>
      </c>
      <c r="E209" s="35">
        <v>5534</v>
      </c>
      <c r="F209" s="35" t="s">
        <v>20</v>
      </c>
      <c r="G209" t="b">
        <f t="shared" si="12"/>
        <v>0</v>
      </c>
      <c r="H209" t="b">
        <f t="shared" si="13"/>
        <v>0</v>
      </c>
      <c r="I209" s="29">
        <f t="shared" si="11"/>
        <v>39899</v>
      </c>
    </row>
    <row r="210" spans="1:9" x14ac:dyDescent="0.2">
      <c r="A210" s="28">
        <v>39899</v>
      </c>
      <c r="B210" s="26" t="s">
        <v>3481</v>
      </c>
      <c r="C210" s="26" t="s">
        <v>9</v>
      </c>
      <c r="D210" s="35" t="s">
        <v>20</v>
      </c>
      <c r="E210" s="35" t="s">
        <v>20</v>
      </c>
      <c r="F210" s="35">
        <v>3776883</v>
      </c>
      <c r="G210" t="b">
        <f t="shared" si="12"/>
        <v>0</v>
      </c>
      <c r="H210" t="b">
        <f t="shared" si="13"/>
        <v>0</v>
      </c>
      <c r="I210" s="29">
        <f t="shared" si="11"/>
        <v>39899</v>
      </c>
    </row>
    <row r="211" spans="1:9" ht="12.75" customHeight="1" x14ac:dyDescent="0.2">
      <c r="A211" s="28">
        <v>39899</v>
      </c>
      <c r="B211" s="26" t="s">
        <v>2961</v>
      </c>
      <c r="C211" s="26" t="s">
        <v>2314</v>
      </c>
      <c r="D211" s="35" t="s">
        <v>20</v>
      </c>
      <c r="E211" s="35">
        <v>41343</v>
      </c>
      <c r="F211" s="35" t="s">
        <v>20</v>
      </c>
      <c r="G211" t="b">
        <f t="shared" si="12"/>
        <v>0</v>
      </c>
      <c r="H211" t="b">
        <f t="shared" si="13"/>
        <v>0</v>
      </c>
      <c r="I211" s="29">
        <f t="shared" si="11"/>
        <v>39899</v>
      </c>
    </row>
    <row r="212" spans="1:9" ht="12.75" customHeight="1" x14ac:dyDescent="0.2">
      <c r="A212" s="28">
        <v>39899</v>
      </c>
      <c r="B212" s="26" t="s">
        <v>2715</v>
      </c>
      <c r="C212" s="26" t="s">
        <v>746</v>
      </c>
      <c r="D212" s="35" t="s">
        <v>20</v>
      </c>
      <c r="E212" s="35">
        <v>30156</v>
      </c>
      <c r="F212" s="35" t="s">
        <v>20</v>
      </c>
      <c r="G212" t="b">
        <f t="shared" si="12"/>
        <v>0</v>
      </c>
      <c r="H212" t="b">
        <f t="shared" si="13"/>
        <v>0</v>
      </c>
      <c r="I212" s="29">
        <f t="shared" si="11"/>
        <v>39899</v>
      </c>
    </row>
    <row r="213" spans="1:9" ht="12.75" customHeight="1" x14ac:dyDescent="0.2">
      <c r="A213" s="28">
        <v>39899</v>
      </c>
      <c r="B213" s="26" t="s">
        <v>286</v>
      </c>
      <c r="C213" s="26" t="s">
        <v>1414</v>
      </c>
      <c r="D213" s="35" t="s">
        <v>20</v>
      </c>
      <c r="E213" s="35">
        <v>50072</v>
      </c>
      <c r="F213" s="35" t="s">
        <v>20</v>
      </c>
      <c r="G213" t="b">
        <f t="shared" si="12"/>
        <v>0</v>
      </c>
      <c r="H213" t="b">
        <f t="shared" si="13"/>
        <v>0</v>
      </c>
      <c r="I213" s="29">
        <f t="shared" si="11"/>
        <v>39899</v>
      </c>
    </row>
    <row r="214" spans="1:9" ht="12.75" customHeight="1" x14ac:dyDescent="0.2">
      <c r="A214" s="28">
        <v>39899</v>
      </c>
      <c r="B214" s="26" t="s">
        <v>754</v>
      </c>
      <c r="C214" s="26" t="s">
        <v>3096</v>
      </c>
      <c r="D214" s="35" t="s">
        <v>20</v>
      </c>
      <c r="E214" s="35" t="s">
        <v>20</v>
      </c>
      <c r="F214" s="35">
        <v>197191</v>
      </c>
      <c r="G214" t="b">
        <f t="shared" si="12"/>
        <v>0</v>
      </c>
      <c r="H214" t="b">
        <f t="shared" si="13"/>
        <v>0</v>
      </c>
      <c r="I214" s="29">
        <f t="shared" si="11"/>
        <v>39899</v>
      </c>
    </row>
    <row r="215" spans="1:9" ht="25.5" x14ac:dyDescent="0.2">
      <c r="A215" s="28">
        <v>39899</v>
      </c>
      <c r="B215" s="26" t="s">
        <v>3400</v>
      </c>
      <c r="C215" s="26" t="s">
        <v>3240</v>
      </c>
      <c r="D215" s="35">
        <v>175000000</v>
      </c>
      <c r="E215" s="35">
        <v>198351526</v>
      </c>
      <c r="F215" s="35">
        <v>381687380</v>
      </c>
      <c r="G215" t="b">
        <f t="shared" si="12"/>
        <v>0</v>
      </c>
      <c r="H215" t="b">
        <f t="shared" si="13"/>
        <v>0</v>
      </c>
      <c r="I215" s="29">
        <f t="shared" si="11"/>
        <v>39899</v>
      </c>
    </row>
    <row r="216" spans="1:9" ht="12.75" customHeight="1" x14ac:dyDescent="0.2">
      <c r="A216" s="28">
        <v>39899</v>
      </c>
      <c r="B216" s="26" t="s">
        <v>3365</v>
      </c>
      <c r="C216" s="26" t="s">
        <v>1890</v>
      </c>
      <c r="D216" s="35" t="s">
        <v>20</v>
      </c>
      <c r="E216" s="35">
        <v>535499</v>
      </c>
      <c r="F216" s="35">
        <v>2735499</v>
      </c>
      <c r="G216" t="b">
        <f t="shared" si="12"/>
        <v>0</v>
      </c>
      <c r="H216" t="b">
        <f t="shared" si="13"/>
        <v>0</v>
      </c>
      <c r="I216" s="29">
        <f t="shared" si="11"/>
        <v>39899</v>
      </c>
    </row>
    <row r="217" spans="1:9" ht="25.5" x14ac:dyDescent="0.2">
      <c r="A217" s="28">
        <v>39899</v>
      </c>
      <c r="B217" s="26" t="s">
        <v>3144</v>
      </c>
      <c r="C217" s="26" t="s">
        <v>2180</v>
      </c>
      <c r="D217" s="35" t="s">
        <v>20</v>
      </c>
      <c r="E217" s="35">
        <v>871445</v>
      </c>
      <c r="F217" s="35" t="s">
        <v>20</v>
      </c>
      <c r="G217" t="b">
        <f t="shared" si="12"/>
        <v>0</v>
      </c>
      <c r="H217" t="b">
        <f t="shared" si="13"/>
        <v>0</v>
      </c>
      <c r="I217" s="29">
        <f t="shared" si="11"/>
        <v>39899</v>
      </c>
    </row>
    <row r="218" spans="1:9" ht="12.75" customHeight="1" x14ac:dyDescent="0.2">
      <c r="A218" s="28">
        <v>39899</v>
      </c>
      <c r="B218" s="26" t="s">
        <v>1122</v>
      </c>
      <c r="C218" s="26" t="s">
        <v>384</v>
      </c>
      <c r="D218" s="35">
        <v>20000000</v>
      </c>
      <c r="E218" s="35">
        <v>12234694</v>
      </c>
      <c r="F218" s="35">
        <v>18184083</v>
      </c>
      <c r="G218" t="b">
        <f t="shared" si="12"/>
        <v>0</v>
      </c>
      <c r="H218" t="b">
        <f t="shared" si="13"/>
        <v>0</v>
      </c>
      <c r="I218" s="29">
        <f t="shared" si="11"/>
        <v>39899</v>
      </c>
    </row>
    <row r="219" spans="1:9" ht="25.5" x14ac:dyDescent="0.2">
      <c r="A219" s="28">
        <v>39899</v>
      </c>
      <c r="B219" s="26" t="s">
        <v>1681</v>
      </c>
      <c r="C219" s="26" t="s">
        <v>9</v>
      </c>
      <c r="D219" s="35" t="s">
        <v>20</v>
      </c>
      <c r="E219" s="35">
        <v>27052</v>
      </c>
      <c r="F219" s="35" t="s">
        <v>20</v>
      </c>
      <c r="G219" t="b">
        <f t="shared" si="12"/>
        <v>0</v>
      </c>
      <c r="H219" t="b">
        <f t="shared" si="13"/>
        <v>0</v>
      </c>
      <c r="I219" s="29">
        <f t="shared" si="11"/>
        <v>39899</v>
      </c>
    </row>
    <row r="220" spans="1:9" ht="25.5" x14ac:dyDescent="0.2">
      <c r="A220" s="28">
        <v>39899</v>
      </c>
      <c r="B220" s="26" t="s">
        <v>1679</v>
      </c>
      <c r="C220" s="26" t="s">
        <v>1619</v>
      </c>
      <c r="D220" s="35" t="s">
        <v>20</v>
      </c>
      <c r="E220" s="35">
        <v>268143</v>
      </c>
      <c r="F220" s="35" t="s">
        <v>20</v>
      </c>
      <c r="G220" t="b">
        <f t="shared" si="12"/>
        <v>0</v>
      </c>
      <c r="H220" t="b">
        <f t="shared" si="13"/>
        <v>0</v>
      </c>
      <c r="I220" s="29">
        <f t="shared" si="11"/>
        <v>39899</v>
      </c>
    </row>
    <row r="221" spans="1:9" ht="51" x14ac:dyDescent="0.2">
      <c r="A221" s="28">
        <v>39901</v>
      </c>
      <c r="B221" s="26" t="s">
        <v>812</v>
      </c>
      <c r="C221" s="26" t="s">
        <v>9</v>
      </c>
      <c r="D221" s="35" t="s">
        <v>20</v>
      </c>
      <c r="E221" s="35" t="s">
        <v>20</v>
      </c>
      <c r="F221" s="35">
        <v>4089965</v>
      </c>
      <c r="G221" t="b">
        <f t="shared" si="12"/>
        <v>0</v>
      </c>
      <c r="H221" t="b">
        <f t="shared" si="13"/>
        <v>0</v>
      </c>
      <c r="I221" s="29">
        <f t="shared" si="11"/>
        <v>39901</v>
      </c>
    </row>
    <row r="222" spans="1:9" ht="25.5" x14ac:dyDescent="0.2">
      <c r="A222" s="28">
        <v>39901</v>
      </c>
      <c r="B222" s="26" t="s">
        <v>1436</v>
      </c>
      <c r="C222" s="26" t="s">
        <v>49</v>
      </c>
      <c r="D222" s="35" t="s">
        <v>20</v>
      </c>
      <c r="E222" s="35" t="s">
        <v>20</v>
      </c>
      <c r="F222" s="35" t="s">
        <v>20</v>
      </c>
      <c r="G222" t="b">
        <f t="shared" si="12"/>
        <v>0</v>
      </c>
      <c r="H222" t="b">
        <f t="shared" si="13"/>
        <v>0</v>
      </c>
      <c r="I222" s="29">
        <f t="shared" si="11"/>
        <v>39901</v>
      </c>
    </row>
    <row r="223" spans="1:9" ht="12.75" customHeight="1" x14ac:dyDescent="0.2">
      <c r="A223" s="28">
        <v>39903</v>
      </c>
      <c r="B223" s="26" t="s">
        <v>1879</v>
      </c>
      <c r="C223" s="26" t="s">
        <v>2310</v>
      </c>
      <c r="D223" s="35" t="s">
        <v>20</v>
      </c>
      <c r="E223" s="35" t="s">
        <v>20</v>
      </c>
      <c r="F223" s="35" t="s">
        <v>20</v>
      </c>
      <c r="G223" t="b">
        <f t="shared" si="12"/>
        <v>0</v>
      </c>
      <c r="H223" t="b">
        <f t="shared" si="13"/>
        <v>0</v>
      </c>
      <c r="I223" s="29">
        <f t="shared" si="11"/>
        <v>39903</v>
      </c>
    </row>
    <row r="224" spans="1:9" ht="25.5" x14ac:dyDescent="0.2">
      <c r="A224" s="28">
        <v>39903</v>
      </c>
      <c r="B224" s="26" t="s">
        <v>2436</v>
      </c>
      <c r="C224" s="26" t="s">
        <v>2310</v>
      </c>
      <c r="D224" s="35" t="s">
        <v>20</v>
      </c>
      <c r="E224" s="35" t="s">
        <v>20</v>
      </c>
      <c r="F224" s="35" t="s">
        <v>20</v>
      </c>
      <c r="G224" t="b">
        <f t="shared" si="12"/>
        <v>0</v>
      </c>
      <c r="H224" t="b">
        <f t="shared" si="13"/>
        <v>0</v>
      </c>
      <c r="I224" s="29">
        <f t="shared" si="11"/>
        <v>39903</v>
      </c>
    </row>
    <row r="225" spans="1:9" ht="12.75" customHeight="1" x14ac:dyDescent="0.2">
      <c r="A225" s="28">
        <v>39903</v>
      </c>
      <c r="B225" s="26" t="s">
        <v>160</v>
      </c>
      <c r="C225" s="26" t="s">
        <v>9</v>
      </c>
      <c r="D225" s="35" t="s">
        <v>20</v>
      </c>
      <c r="E225" s="35" t="s">
        <v>20</v>
      </c>
      <c r="F225" s="35" t="s">
        <v>20</v>
      </c>
      <c r="G225" t="b">
        <f t="shared" si="12"/>
        <v>0</v>
      </c>
      <c r="H225" t="b">
        <f t="shared" si="13"/>
        <v>0</v>
      </c>
      <c r="I225" s="29">
        <f t="shared" si="11"/>
        <v>39903</v>
      </c>
    </row>
    <row r="226" spans="1:9" ht="12.75" customHeight="1" x14ac:dyDescent="0.2">
      <c r="A226" s="28">
        <v>39904</v>
      </c>
      <c r="B226" s="26" t="s">
        <v>2106</v>
      </c>
      <c r="C226" s="26" t="s">
        <v>9</v>
      </c>
      <c r="D226" s="35" t="s">
        <v>20</v>
      </c>
      <c r="E226" s="35" t="s">
        <v>20</v>
      </c>
      <c r="F226" s="35">
        <v>4580625</v>
      </c>
      <c r="G226" t="b">
        <f t="shared" si="12"/>
        <v>0</v>
      </c>
      <c r="H226" t="b">
        <f t="shared" si="13"/>
        <v>0</v>
      </c>
      <c r="I226" s="29">
        <f t="shared" si="11"/>
        <v>39904</v>
      </c>
    </row>
    <row r="227" spans="1:9" ht="12.75" customHeight="1" x14ac:dyDescent="0.2">
      <c r="A227" s="28">
        <v>39904</v>
      </c>
      <c r="B227" s="26" t="s">
        <v>3217</v>
      </c>
      <c r="C227" s="26" t="s">
        <v>2314</v>
      </c>
      <c r="D227" s="35" t="s">
        <v>20</v>
      </c>
      <c r="E227" s="35">
        <v>158741</v>
      </c>
      <c r="F227" s="35" t="s">
        <v>20</v>
      </c>
      <c r="G227" t="b">
        <f t="shared" si="12"/>
        <v>0</v>
      </c>
      <c r="H227" t="b">
        <f t="shared" si="13"/>
        <v>0</v>
      </c>
      <c r="I227" s="29">
        <f t="shared" si="11"/>
        <v>39904</v>
      </c>
    </row>
    <row r="228" spans="1:9" ht="12.75" customHeight="1" x14ac:dyDescent="0.2">
      <c r="A228" s="28">
        <v>39905</v>
      </c>
      <c r="B228" s="26" t="s">
        <v>2368</v>
      </c>
      <c r="C228" s="26" t="s">
        <v>9</v>
      </c>
      <c r="D228" s="35" t="s">
        <v>20</v>
      </c>
      <c r="E228" s="35" t="s">
        <v>20</v>
      </c>
      <c r="F228" s="35">
        <v>2013340</v>
      </c>
      <c r="G228" t="b">
        <f t="shared" si="12"/>
        <v>0</v>
      </c>
      <c r="H228" t="b">
        <f t="shared" si="13"/>
        <v>0</v>
      </c>
      <c r="I228" s="29">
        <f t="shared" si="11"/>
        <v>39905</v>
      </c>
    </row>
    <row r="229" spans="1:9" ht="12.75" customHeight="1" x14ac:dyDescent="0.2">
      <c r="A229" s="28">
        <v>39905</v>
      </c>
      <c r="B229" s="26" t="s">
        <v>2669</v>
      </c>
      <c r="C229" s="26" t="s">
        <v>9</v>
      </c>
      <c r="D229" s="35" t="s">
        <v>20</v>
      </c>
      <c r="E229" s="35" t="s">
        <v>20</v>
      </c>
      <c r="F229" s="35">
        <v>2904792</v>
      </c>
      <c r="G229" t="b">
        <f t="shared" si="12"/>
        <v>0</v>
      </c>
      <c r="H229" t="b">
        <f t="shared" si="13"/>
        <v>0</v>
      </c>
      <c r="I229" s="29">
        <f t="shared" si="11"/>
        <v>39905</v>
      </c>
    </row>
    <row r="230" spans="1:9" ht="12.75" customHeight="1" x14ac:dyDescent="0.2">
      <c r="A230" s="28">
        <v>39905</v>
      </c>
      <c r="B230" s="26" t="s">
        <v>2057</v>
      </c>
      <c r="C230" s="26" t="s">
        <v>9</v>
      </c>
      <c r="D230" s="35" t="s">
        <v>20</v>
      </c>
      <c r="E230" s="35" t="s">
        <v>20</v>
      </c>
      <c r="F230" s="35">
        <v>7077312</v>
      </c>
      <c r="G230" t="b">
        <f t="shared" si="12"/>
        <v>0</v>
      </c>
      <c r="H230" t="b">
        <f t="shared" si="13"/>
        <v>0</v>
      </c>
      <c r="I230" s="29">
        <f t="shared" si="11"/>
        <v>39905</v>
      </c>
    </row>
    <row r="231" spans="1:9" ht="12.75" customHeight="1" x14ac:dyDescent="0.2">
      <c r="A231" s="28">
        <v>39906</v>
      </c>
      <c r="B231" s="26" t="s">
        <v>1991</v>
      </c>
      <c r="C231" s="26" t="s">
        <v>571</v>
      </c>
      <c r="D231" s="35" t="s">
        <v>20</v>
      </c>
      <c r="E231" s="35">
        <v>113132</v>
      </c>
      <c r="F231" s="35" t="s">
        <v>20</v>
      </c>
      <c r="G231" t="b">
        <f t="shared" si="12"/>
        <v>0</v>
      </c>
      <c r="H231" t="b">
        <f t="shared" si="13"/>
        <v>0</v>
      </c>
      <c r="I231" s="29">
        <f t="shared" si="11"/>
        <v>39906</v>
      </c>
    </row>
    <row r="232" spans="1:9" ht="12.75" customHeight="1" x14ac:dyDescent="0.2">
      <c r="A232" s="28">
        <v>39906</v>
      </c>
      <c r="B232" s="26" t="s">
        <v>2934</v>
      </c>
      <c r="C232" s="26" t="s">
        <v>3096</v>
      </c>
      <c r="D232" s="35">
        <v>85000000</v>
      </c>
      <c r="E232" s="35">
        <v>155064265</v>
      </c>
      <c r="F232" s="35">
        <v>360161740</v>
      </c>
      <c r="G232" t="b">
        <f t="shared" si="12"/>
        <v>0</v>
      </c>
      <c r="H232" t="b">
        <f t="shared" si="13"/>
        <v>0</v>
      </c>
      <c r="I232" s="29">
        <f t="shared" si="11"/>
        <v>39906</v>
      </c>
    </row>
    <row r="233" spans="1:9" ht="12.75" customHeight="1" x14ac:dyDescent="0.2">
      <c r="A233" s="28">
        <v>39906</v>
      </c>
      <c r="B233" s="26" t="s">
        <v>3049</v>
      </c>
      <c r="C233" s="26" t="s">
        <v>9</v>
      </c>
      <c r="D233" s="35" t="s">
        <v>20</v>
      </c>
      <c r="E233" s="35" t="s">
        <v>20</v>
      </c>
      <c r="F233" s="35">
        <v>1407045</v>
      </c>
      <c r="G233" t="b">
        <f t="shared" si="12"/>
        <v>0</v>
      </c>
      <c r="H233" t="b">
        <f t="shared" si="13"/>
        <v>0</v>
      </c>
      <c r="I233" s="29">
        <f t="shared" si="11"/>
        <v>39906</v>
      </c>
    </row>
    <row r="234" spans="1:9" ht="12.75" customHeight="1" x14ac:dyDescent="0.2">
      <c r="A234" s="28">
        <v>39906</v>
      </c>
      <c r="B234" s="26" t="s">
        <v>2188</v>
      </c>
      <c r="C234" s="26" t="s">
        <v>3233</v>
      </c>
      <c r="D234" s="35" t="s">
        <v>20</v>
      </c>
      <c r="E234" s="35">
        <v>13023</v>
      </c>
      <c r="F234" s="35" t="s">
        <v>20</v>
      </c>
      <c r="G234" t="b">
        <f t="shared" si="12"/>
        <v>0</v>
      </c>
      <c r="H234" t="b">
        <f t="shared" si="13"/>
        <v>0</v>
      </c>
      <c r="I234" s="29">
        <f t="shared" si="11"/>
        <v>39906</v>
      </c>
    </row>
    <row r="235" spans="1:9" ht="12.75" customHeight="1" x14ac:dyDescent="0.2">
      <c r="A235" s="28">
        <v>39906</v>
      </c>
      <c r="B235" s="26" t="s">
        <v>768</v>
      </c>
      <c r="C235" s="26" t="s">
        <v>970</v>
      </c>
      <c r="D235" s="35" t="s">
        <v>20</v>
      </c>
      <c r="E235" s="35">
        <v>6793</v>
      </c>
      <c r="F235" s="35" t="s">
        <v>20</v>
      </c>
      <c r="G235" t="b">
        <f t="shared" si="12"/>
        <v>0</v>
      </c>
      <c r="H235" t="b">
        <f t="shared" si="13"/>
        <v>0</v>
      </c>
      <c r="I235" s="29">
        <f t="shared" si="11"/>
        <v>39906</v>
      </c>
    </row>
    <row r="236" spans="1:9" ht="12.75" customHeight="1" x14ac:dyDescent="0.2">
      <c r="A236" s="28">
        <v>39906</v>
      </c>
      <c r="B236" s="26" t="s">
        <v>929</v>
      </c>
      <c r="C236" s="26" t="s">
        <v>612</v>
      </c>
      <c r="D236" s="35" t="s">
        <v>20</v>
      </c>
      <c r="E236" s="35">
        <v>1081922</v>
      </c>
      <c r="F236" s="35" t="s">
        <v>20</v>
      </c>
      <c r="G236" t="b">
        <f t="shared" si="12"/>
        <v>0</v>
      </c>
      <c r="H236" t="b">
        <f t="shared" si="13"/>
        <v>0</v>
      </c>
      <c r="I236" s="29">
        <f t="shared" si="11"/>
        <v>39906</v>
      </c>
    </row>
    <row r="237" spans="1:9" ht="25.5" x14ac:dyDescent="0.2">
      <c r="A237" s="28">
        <v>39906</v>
      </c>
      <c r="B237" s="26" t="s">
        <v>3175</v>
      </c>
      <c r="C237" s="26" t="s">
        <v>150</v>
      </c>
      <c r="D237" s="35" t="s">
        <v>20</v>
      </c>
      <c r="E237" s="35" t="s">
        <v>20</v>
      </c>
      <c r="F237" s="35" t="s">
        <v>20</v>
      </c>
      <c r="G237" t="b">
        <f t="shared" si="12"/>
        <v>0</v>
      </c>
      <c r="H237" t="b">
        <f t="shared" si="13"/>
        <v>0</v>
      </c>
      <c r="I237" s="29">
        <f t="shared" si="11"/>
        <v>39906</v>
      </c>
    </row>
    <row r="238" spans="1:9" ht="25.5" x14ac:dyDescent="0.2">
      <c r="A238" s="28">
        <v>39906</v>
      </c>
      <c r="B238" s="26" t="s">
        <v>2385</v>
      </c>
      <c r="C238" s="26" t="s">
        <v>545</v>
      </c>
      <c r="D238" s="35" t="s">
        <v>20</v>
      </c>
      <c r="E238" s="35">
        <v>104526</v>
      </c>
      <c r="F238" s="35" t="s">
        <v>20</v>
      </c>
      <c r="G238" t="b">
        <f t="shared" si="12"/>
        <v>0</v>
      </c>
      <c r="H238" t="b">
        <f t="shared" si="13"/>
        <v>0</v>
      </c>
      <c r="I238" s="29">
        <f t="shared" si="11"/>
        <v>39906</v>
      </c>
    </row>
    <row r="239" spans="1:9" ht="12.75" customHeight="1" x14ac:dyDescent="0.2">
      <c r="A239" s="28">
        <v>39906</v>
      </c>
      <c r="B239" s="26" t="s">
        <v>34</v>
      </c>
      <c r="C239" s="26" t="s">
        <v>3218</v>
      </c>
      <c r="D239" s="35" t="s">
        <v>20</v>
      </c>
      <c r="E239" s="35">
        <v>16044025</v>
      </c>
      <c r="F239" s="35">
        <v>17144025</v>
      </c>
      <c r="G239" t="b">
        <f t="shared" si="12"/>
        <v>0</v>
      </c>
      <c r="H239" t="b">
        <f t="shared" si="13"/>
        <v>0</v>
      </c>
      <c r="I239" s="29">
        <f t="shared" si="11"/>
        <v>39906</v>
      </c>
    </row>
    <row r="240" spans="1:9" ht="25.5" x14ac:dyDescent="0.2">
      <c r="A240" s="28">
        <v>39906</v>
      </c>
      <c r="B240" s="26" t="s">
        <v>1012</v>
      </c>
      <c r="C240" s="26" t="s">
        <v>9</v>
      </c>
      <c r="D240" s="35" t="s">
        <v>20</v>
      </c>
      <c r="E240" s="35">
        <v>116372</v>
      </c>
      <c r="F240" s="35" t="s">
        <v>20</v>
      </c>
      <c r="G240" t="b">
        <f t="shared" si="12"/>
        <v>0</v>
      </c>
      <c r="H240" t="b">
        <f t="shared" si="13"/>
        <v>0</v>
      </c>
      <c r="I240" s="29">
        <f t="shared" si="11"/>
        <v>39906</v>
      </c>
    </row>
    <row r="241" spans="1:9" ht="12.75" customHeight="1" x14ac:dyDescent="0.2">
      <c r="A241" s="28">
        <v>39906</v>
      </c>
      <c r="B241" s="26" t="s">
        <v>208</v>
      </c>
      <c r="C241" s="26" t="s">
        <v>9</v>
      </c>
      <c r="D241" s="35" t="s">
        <v>20</v>
      </c>
      <c r="E241" s="35">
        <v>850575</v>
      </c>
      <c r="F241" s="35">
        <v>11610575</v>
      </c>
      <c r="G241" t="b">
        <f t="shared" si="12"/>
        <v>0</v>
      </c>
      <c r="H241" t="b">
        <f t="shared" si="13"/>
        <v>0</v>
      </c>
      <c r="I241" s="29">
        <f t="shared" si="11"/>
        <v>39906</v>
      </c>
    </row>
    <row r="242" spans="1:9" ht="25.5" x14ac:dyDescent="0.2">
      <c r="A242" s="28">
        <v>39906</v>
      </c>
      <c r="B242" s="26" t="s">
        <v>634</v>
      </c>
      <c r="C242" s="26" t="s">
        <v>1542</v>
      </c>
      <c r="D242" s="35" t="s">
        <v>20</v>
      </c>
      <c r="E242" s="35">
        <v>102704</v>
      </c>
      <c r="F242" s="35" t="s">
        <v>20</v>
      </c>
      <c r="G242" t="b">
        <f t="shared" si="12"/>
        <v>0</v>
      </c>
      <c r="H242" t="b">
        <f t="shared" si="13"/>
        <v>0</v>
      </c>
      <c r="I242" s="29">
        <f t="shared" si="11"/>
        <v>39906</v>
      </c>
    </row>
    <row r="243" spans="1:9" ht="12.75" customHeight="1" x14ac:dyDescent="0.2">
      <c r="A243" s="28">
        <v>39906</v>
      </c>
      <c r="B243" s="26" t="s">
        <v>3326</v>
      </c>
      <c r="C243" s="26" t="s">
        <v>2990</v>
      </c>
      <c r="D243" s="35" t="s">
        <v>20</v>
      </c>
      <c r="E243" s="35">
        <v>53760</v>
      </c>
      <c r="F243" s="35" t="s">
        <v>20</v>
      </c>
      <c r="G243" t="b">
        <f t="shared" si="12"/>
        <v>0</v>
      </c>
      <c r="H243" t="b">
        <f t="shared" si="13"/>
        <v>0</v>
      </c>
      <c r="I243" s="29">
        <f t="shared" si="11"/>
        <v>39906</v>
      </c>
    </row>
    <row r="244" spans="1:9" ht="25.5" x14ac:dyDescent="0.2">
      <c r="A244" s="28">
        <v>39910</v>
      </c>
      <c r="B244" s="26" t="s">
        <v>1262</v>
      </c>
      <c r="C244" s="26" t="s">
        <v>2158</v>
      </c>
      <c r="D244" s="35" t="s">
        <v>20</v>
      </c>
      <c r="E244" s="35" t="s">
        <v>20</v>
      </c>
      <c r="F244" s="35" t="s">
        <v>20</v>
      </c>
      <c r="G244" t="b">
        <f t="shared" si="12"/>
        <v>0</v>
      </c>
      <c r="H244" t="b">
        <f t="shared" si="13"/>
        <v>0</v>
      </c>
      <c r="I244" s="29">
        <f t="shared" si="11"/>
        <v>39910</v>
      </c>
    </row>
    <row r="245" spans="1:9" ht="12.75" customHeight="1" x14ac:dyDescent="0.2">
      <c r="A245" s="28">
        <v>39910</v>
      </c>
      <c r="B245" s="26" t="s">
        <v>144</v>
      </c>
      <c r="C245" s="26" t="s">
        <v>2310</v>
      </c>
      <c r="D245" s="35" t="s">
        <v>20</v>
      </c>
      <c r="E245" s="35" t="s">
        <v>20</v>
      </c>
      <c r="F245" s="35" t="s">
        <v>20</v>
      </c>
      <c r="G245" t="b">
        <f t="shared" si="12"/>
        <v>0</v>
      </c>
      <c r="H245" t="b">
        <f t="shared" si="13"/>
        <v>0</v>
      </c>
      <c r="I245" s="29">
        <f t="shared" si="11"/>
        <v>39910</v>
      </c>
    </row>
    <row r="246" spans="1:9" ht="25.5" x14ac:dyDescent="0.2">
      <c r="A246" s="28">
        <v>39910</v>
      </c>
      <c r="B246" s="26" t="s">
        <v>2539</v>
      </c>
      <c r="C246" s="26" t="s">
        <v>2160</v>
      </c>
      <c r="D246" s="35" t="s">
        <v>20</v>
      </c>
      <c r="E246" s="35" t="s">
        <v>20</v>
      </c>
      <c r="F246" s="35" t="s">
        <v>20</v>
      </c>
      <c r="G246" t="b">
        <f t="shared" si="12"/>
        <v>0</v>
      </c>
      <c r="H246" t="b">
        <f t="shared" si="13"/>
        <v>0</v>
      </c>
      <c r="I246" s="29">
        <f t="shared" si="11"/>
        <v>39910</v>
      </c>
    </row>
    <row r="247" spans="1:9" ht="12.75" customHeight="1" x14ac:dyDescent="0.2">
      <c r="A247" s="28">
        <v>39910</v>
      </c>
      <c r="B247" s="26" t="s">
        <v>1882</v>
      </c>
      <c r="C247" s="26" t="s">
        <v>9</v>
      </c>
      <c r="D247" s="35" t="s">
        <v>20</v>
      </c>
      <c r="E247" s="35" t="s">
        <v>20</v>
      </c>
      <c r="F247" s="35" t="s">
        <v>20</v>
      </c>
      <c r="G247" t="b">
        <f t="shared" si="12"/>
        <v>0</v>
      </c>
      <c r="H247" t="b">
        <f t="shared" si="13"/>
        <v>0</v>
      </c>
      <c r="I247" s="29">
        <f t="shared" si="11"/>
        <v>39910</v>
      </c>
    </row>
    <row r="248" spans="1:9" ht="25.5" x14ac:dyDescent="0.2">
      <c r="A248" s="28">
        <v>39910</v>
      </c>
      <c r="B248" s="26" t="s">
        <v>3122</v>
      </c>
      <c r="C248" s="26" t="s">
        <v>1857</v>
      </c>
      <c r="D248" s="35" t="s">
        <v>20</v>
      </c>
      <c r="E248" s="35" t="s">
        <v>20</v>
      </c>
      <c r="F248" s="35" t="s">
        <v>20</v>
      </c>
      <c r="G248" t="b">
        <f t="shared" si="12"/>
        <v>0</v>
      </c>
      <c r="H248" t="b">
        <f t="shared" si="13"/>
        <v>0</v>
      </c>
      <c r="I248" s="29">
        <f t="shared" si="11"/>
        <v>39910</v>
      </c>
    </row>
    <row r="249" spans="1:9" ht="25.5" x14ac:dyDescent="0.2">
      <c r="A249" s="28">
        <v>39910</v>
      </c>
      <c r="B249" s="26" t="s">
        <v>2696</v>
      </c>
      <c r="C249" s="26" t="s">
        <v>9</v>
      </c>
      <c r="D249" s="35" t="s">
        <v>20</v>
      </c>
      <c r="E249" s="35" t="s">
        <v>20</v>
      </c>
      <c r="F249" s="35" t="s">
        <v>20</v>
      </c>
      <c r="G249" t="b">
        <f t="shared" si="12"/>
        <v>0</v>
      </c>
      <c r="H249" t="b">
        <f t="shared" si="13"/>
        <v>0</v>
      </c>
      <c r="I249" s="29">
        <f t="shared" si="11"/>
        <v>39910</v>
      </c>
    </row>
    <row r="250" spans="1:9" ht="25.5" x14ac:dyDescent="0.2">
      <c r="A250" s="28">
        <v>39911</v>
      </c>
      <c r="B250" s="26" t="s">
        <v>2213</v>
      </c>
      <c r="C250" s="26" t="s">
        <v>384</v>
      </c>
      <c r="D250" s="35" t="s">
        <v>20</v>
      </c>
      <c r="E250" s="35">
        <v>9362785</v>
      </c>
      <c r="F250" s="35">
        <v>58228460</v>
      </c>
      <c r="G250" t="b">
        <f t="shared" si="12"/>
        <v>0</v>
      </c>
      <c r="H250" t="b">
        <f t="shared" si="13"/>
        <v>0</v>
      </c>
      <c r="I250" s="29">
        <f t="shared" si="11"/>
        <v>39911</v>
      </c>
    </row>
    <row r="251" spans="1:9" ht="12.75" customHeight="1" x14ac:dyDescent="0.2">
      <c r="A251" s="28">
        <v>39913</v>
      </c>
      <c r="B251" s="26" t="s">
        <v>680</v>
      </c>
      <c r="C251" s="26" t="s">
        <v>9</v>
      </c>
      <c r="D251" s="35" t="s">
        <v>20</v>
      </c>
      <c r="E251" s="35">
        <v>421307</v>
      </c>
      <c r="F251" s="35" t="s">
        <v>20</v>
      </c>
      <c r="G251" t="b">
        <f t="shared" si="12"/>
        <v>0</v>
      </c>
      <c r="H251" t="b">
        <f t="shared" si="13"/>
        <v>0</v>
      </c>
      <c r="I251" s="29">
        <f t="shared" si="11"/>
        <v>39913</v>
      </c>
    </row>
    <row r="252" spans="1:9" ht="25.5" x14ac:dyDescent="0.2">
      <c r="A252" s="28">
        <v>39913</v>
      </c>
      <c r="B252" s="26" t="s">
        <v>1559</v>
      </c>
      <c r="C252" s="26" t="s">
        <v>923</v>
      </c>
      <c r="D252" s="35" t="s">
        <v>20</v>
      </c>
      <c r="E252" s="35">
        <v>667911</v>
      </c>
      <c r="F252" s="35">
        <v>906705</v>
      </c>
      <c r="G252" t="b">
        <f t="shared" si="12"/>
        <v>0</v>
      </c>
      <c r="H252" t="b">
        <f t="shared" si="13"/>
        <v>0</v>
      </c>
      <c r="I252" s="29">
        <f t="shared" si="11"/>
        <v>39913</v>
      </c>
    </row>
    <row r="253" spans="1:9" ht="25.5" x14ac:dyDescent="0.2">
      <c r="A253" s="28">
        <v>39913</v>
      </c>
      <c r="B253" s="26" t="s">
        <v>3355</v>
      </c>
      <c r="C253" s="26" t="s">
        <v>571</v>
      </c>
      <c r="D253" s="35" t="s">
        <v>20</v>
      </c>
      <c r="E253" s="35">
        <v>113132</v>
      </c>
      <c r="F253" s="35" t="s">
        <v>20</v>
      </c>
      <c r="G253" t="b">
        <f t="shared" si="12"/>
        <v>0</v>
      </c>
      <c r="H253" t="b">
        <f t="shared" si="13"/>
        <v>0</v>
      </c>
      <c r="I253" s="29">
        <f t="shared" ref="I253:I314" si="14">DATE(2009,MONTH(A253), DAY(A253))</f>
        <v>39913</v>
      </c>
    </row>
    <row r="254" spans="1:9" ht="25.5" x14ac:dyDescent="0.2">
      <c r="A254" s="28">
        <v>39913</v>
      </c>
      <c r="B254" s="26" t="s">
        <v>471</v>
      </c>
      <c r="C254" s="26" t="s">
        <v>9</v>
      </c>
      <c r="D254" s="35" t="s">
        <v>20</v>
      </c>
      <c r="E254" s="35">
        <v>80283</v>
      </c>
      <c r="F254" s="35" t="s">
        <v>20</v>
      </c>
      <c r="G254" t="b">
        <f t="shared" si="12"/>
        <v>0</v>
      </c>
      <c r="H254" t="b">
        <f t="shared" si="13"/>
        <v>0</v>
      </c>
      <c r="I254" s="29">
        <f t="shared" si="14"/>
        <v>39913</v>
      </c>
    </row>
    <row r="255" spans="1:9" ht="12.75" customHeight="1" x14ac:dyDescent="0.2">
      <c r="A255" s="28">
        <v>39913</v>
      </c>
      <c r="B255" s="26" t="s">
        <v>1921</v>
      </c>
      <c r="C255" s="26" t="s">
        <v>730</v>
      </c>
      <c r="D255" s="35" t="s">
        <v>20</v>
      </c>
      <c r="E255" s="35">
        <v>55270</v>
      </c>
      <c r="F255" s="35" t="s">
        <v>20</v>
      </c>
      <c r="G255" t="b">
        <f t="shared" si="12"/>
        <v>0</v>
      </c>
      <c r="H255" t="b">
        <f t="shared" si="13"/>
        <v>0</v>
      </c>
      <c r="I255" s="29">
        <f t="shared" si="14"/>
        <v>39913</v>
      </c>
    </row>
    <row r="256" spans="1:9" ht="25.5" x14ac:dyDescent="0.2">
      <c r="A256" s="28">
        <v>39913</v>
      </c>
      <c r="B256" s="26" t="s">
        <v>480</v>
      </c>
      <c r="C256" s="26" t="s">
        <v>3209</v>
      </c>
      <c r="D256" s="35" t="s">
        <v>20</v>
      </c>
      <c r="E256" s="35">
        <v>24007324</v>
      </c>
      <c r="F256" s="35" t="s">
        <v>20</v>
      </c>
      <c r="G256" t="b">
        <f t="shared" si="12"/>
        <v>0</v>
      </c>
      <c r="H256" t="b">
        <f t="shared" si="13"/>
        <v>0</v>
      </c>
      <c r="I256" s="29">
        <f t="shared" si="14"/>
        <v>39913</v>
      </c>
    </row>
    <row r="257" spans="1:9" ht="12.75" customHeight="1" x14ac:dyDescent="0.2">
      <c r="A257" s="28">
        <v>39913</v>
      </c>
      <c r="B257" s="26" t="s">
        <v>2223</v>
      </c>
      <c r="C257" s="26" t="s">
        <v>9</v>
      </c>
      <c r="D257" s="35" t="s">
        <v>20</v>
      </c>
      <c r="E257" s="35" t="s">
        <v>20</v>
      </c>
      <c r="F257" s="35" t="s">
        <v>20</v>
      </c>
      <c r="G257" t="b">
        <f t="shared" si="12"/>
        <v>0</v>
      </c>
      <c r="H257" t="b">
        <f t="shared" si="13"/>
        <v>0</v>
      </c>
      <c r="I257" s="29">
        <f t="shared" si="14"/>
        <v>39913</v>
      </c>
    </row>
    <row r="258" spans="1:9" ht="25.5" x14ac:dyDescent="0.2">
      <c r="A258" s="28">
        <v>39913</v>
      </c>
      <c r="B258" s="26" t="s">
        <v>670</v>
      </c>
      <c r="C258" s="26" t="s">
        <v>9</v>
      </c>
      <c r="D258" s="35" t="s">
        <v>20</v>
      </c>
      <c r="E258" s="35">
        <v>7334</v>
      </c>
      <c r="F258" s="35" t="s">
        <v>20</v>
      </c>
      <c r="G258" t="b">
        <f t="shared" si="12"/>
        <v>0</v>
      </c>
      <c r="H258" t="b">
        <f t="shared" si="13"/>
        <v>0</v>
      </c>
      <c r="I258" s="29">
        <f t="shared" si="14"/>
        <v>39913</v>
      </c>
    </row>
    <row r="259" spans="1:9" ht="25.5" x14ac:dyDescent="0.2">
      <c r="A259" s="28">
        <v>39913</v>
      </c>
      <c r="B259" s="26" t="s">
        <v>1064</v>
      </c>
      <c r="C259" s="26" t="s">
        <v>2752</v>
      </c>
      <c r="D259" s="35" t="s">
        <v>20</v>
      </c>
      <c r="E259" s="35">
        <v>79576189</v>
      </c>
      <c r="F259" s="35">
        <v>150094153</v>
      </c>
      <c r="G259" t="b">
        <f t="shared" si="12"/>
        <v>0</v>
      </c>
      <c r="H259" t="b">
        <f t="shared" si="13"/>
        <v>0</v>
      </c>
      <c r="I259" s="29">
        <f t="shared" si="14"/>
        <v>39913</v>
      </c>
    </row>
    <row r="260" spans="1:9" ht="25.5" x14ac:dyDescent="0.2">
      <c r="A260" s="28">
        <v>39913</v>
      </c>
      <c r="B260" s="26" t="s">
        <v>516</v>
      </c>
      <c r="C260" s="26" t="s">
        <v>9</v>
      </c>
      <c r="D260" s="35" t="s">
        <v>20</v>
      </c>
      <c r="E260" s="35">
        <v>208214</v>
      </c>
      <c r="F260" s="35" t="s">
        <v>20</v>
      </c>
      <c r="G260" t="b">
        <f t="shared" ref="G260:G321" si="15">ISBLANK(A260)</f>
        <v>0</v>
      </c>
      <c r="H260" t="b">
        <f t="shared" ref="H260:H321" si="16">ISTEXT(A260)</f>
        <v>0</v>
      </c>
      <c r="I260" s="29">
        <f t="shared" si="14"/>
        <v>39913</v>
      </c>
    </row>
    <row r="261" spans="1:9" ht="12.75" customHeight="1" x14ac:dyDescent="0.2">
      <c r="A261" s="28">
        <v>39917</v>
      </c>
      <c r="B261" s="26" t="s">
        <v>3169</v>
      </c>
      <c r="C261" s="26" t="s">
        <v>9</v>
      </c>
      <c r="D261" s="35" t="s">
        <v>20</v>
      </c>
      <c r="E261" s="35" t="s">
        <v>20</v>
      </c>
      <c r="F261" s="35" t="s">
        <v>20</v>
      </c>
      <c r="G261" t="b">
        <f t="shared" si="15"/>
        <v>0</v>
      </c>
      <c r="H261" t="b">
        <f t="shared" si="16"/>
        <v>0</v>
      </c>
      <c r="I261" s="29">
        <f t="shared" si="14"/>
        <v>39917</v>
      </c>
    </row>
    <row r="262" spans="1:9" ht="12.75" customHeight="1" x14ac:dyDescent="0.2">
      <c r="A262" s="28">
        <v>39917</v>
      </c>
      <c r="B262" s="26" t="s">
        <v>1201</v>
      </c>
      <c r="C262" s="26" t="s">
        <v>9</v>
      </c>
      <c r="D262" s="35" t="s">
        <v>20</v>
      </c>
      <c r="E262" s="35" t="s">
        <v>20</v>
      </c>
      <c r="F262" s="35" t="s">
        <v>20</v>
      </c>
      <c r="G262" t="b">
        <f t="shared" si="15"/>
        <v>0</v>
      </c>
      <c r="H262" t="b">
        <f t="shared" si="16"/>
        <v>0</v>
      </c>
      <c r="I262" s="29">
        <f t="shared" si="14"/>
        <v>39917</v>
      </c>
    </row>
    <row r="263" spans="1:9" ht="12.75" customHeight="1" x14ac:dyDescent="0.2">
      <c r="A263" s="28">
        <v>39920</v>
      </c>
      <c r="B263" s="26" t="s">
        <v>390</v>
      </c>
      <c r="C263" s="26" t="s">
        <v>9</v>
      </c>
      <c r="D263" s="35" t="s">
        <v>20</v>
      </c>
      <c r="E263" s="35">
        <v>80136</v>
      </c>
      <c r="F263" s="35" t="s">
        <v>20</v>
      </c>
      <c r="G263" t="b">
        <f t="shared" si="15"/>
        <v>0</v>
      </c>
      <c r="H263" t="b">
        <f t="shared" si="16"/>
        <v>0</v>
      </c>
      <c r="I263" s="29">
        <f t="shared" si="14"/>
        <v>39920</v>
      </c>
    </row>
    <row r="264" spans="1:9" ht="12.75" customHeight="1" x14ac:dyDescent="0.2">
      <c r="A264" s="28">
        <v>39920</v>
      </c>
      <c r="B264" s="26" t="s">
        <v>1021</v>
      </c>
      <c r="C264" s="26" t="s">
        <v>612</v>
      </c>
      <c r="D264" s="35" t="s">
        <v>20</v>
      </c>
      <c r="E264" s="35">
        <v>1725141</v>
      </c>
      <c r="F264" s="35">
        <v>2640141</v>
      </c>
      <c r="G264" t="b">
        <f t="shared" si="15"/>
        <v>0</v>
      </c>
      <c r="H264" t="b">
        <f t="shared" si="16"/>
        <v>0</v>
      </c>
      <c r="I264" s="29">
        <f t="shared" si="14"/>
        <v>39920</v>
      </c>
    </row>
    <row r="265" spans="1:9" ht="12.75" customHeight="1" x14ac:dyDescent="0.2">
      <c r="A265" s="28">
        <v>39920</v>
      </c>
      <c r="B265" s="26" t="s">
        <v>1035</v>
      </c>
      <c r="C265" s="26" t="s">
        <v>3096</v>
      </c>
      <c r="D265" s="35">
        <v>60000000</v>
      </c>
      <c r="E265" s="35">
        <v>37017955</v>
      </c>
      <c r="F265" s="35">
        <v>91445389</v>
      </c>
      <c r="G265" t="b">
        <f t="shared" si="15"/>
        <v>0</v>
      </c>
      <c r="H265" t="b">
        <f t="shared" si="16"/>
        <v>0</v>
      </c>
      <c r="I265" s="29">
        <f t="shared" si="14"/>
        <v>39920</v>
      </c>
    </row>
    <row r="266" spans="1:9" ht="25.5" x14ac:dyDescent="0.2">
      <c r="A266" s="28">
        <v>39920</v>
      </c>
      <c r="B266" s="26" t="s">
        <v>2965</v>
      </c>
      <c r="C266" s="26" t="s">
        <v>3419</v>
      </c>
      <c r="D266" s="35" t="s">
        <v>20</v>
      </c>
      <c r="E266" s="35">
        <v>13684249</v>
      </c>
      <c r="F266" s="35" t="s">
        <v>20</v>
      </c>
      <c r="G266" t="b">
        <f t="shared" si="15"/>
        <v>0</v>
      </c>
      <c r="H266" t="b">
        <f t="shared" si="16"/>
        <v>0</v>
      </c>
      <c r="I266" s="29">
        <f t="shared" si="14"/>
        <v>39920</v>
      </c>
    </row>
    <row r="267" spans="1:9" ht="12.75" customHeight="1" x14ac:dyDescent="0.2">
      <c r="A267" s="28">
        <v>39920</v>
      </c>
      <c r="B267" s="26" t="s">
        <v>325</v>
      </c>
      <c r="C267" s="26" t="s">
        <v>3466</v>
      </c>
      <c r="D267" s="35" t="s">
        <v>20</v>
      </c>
      <c r="E267" s="35">
        <v>569672</v>
      </c>
      <c r="F267" s="35">
        <v>7069672</v>
      </c>
      <c r="G267" t="b">
        <f t="shared" si="15"/>
        <v>0</v>
      </c>
      <c r="H267" t="b">
        <f t="shared" si="16"/>
        <v>0</v>
      </c>
      <c r="I267" s="29">
        <f t="shared" si="14"/>
        <v>39920</v>
      </c>
    </row>
    <row r="268" spans="1:9" ht="12.75" customHeight="1" x14ac:dyDescent="0.2">
      <c r="A268" s="28">
        <v>39920</v>
      </c>
      <c r="B268" s="26" t="s">
        <v>3399</v>
      </c>
      <c r="C268" s="26" t="s">
        <v>1319</v>
      </c>
      <c r="D268" s="35" t="s">
        <v>20</v>
      </c>
      <c r="E268" s="35">
        <v>554434</v>
      </c>
      <c r="F268" s="35" t="s">
        <v>20</v>
      </c>
      <c r="G268" t="b">
        <f t="shared" si="15"/>
        <v>0</v>
      </c>
      <c r="H268" t="b">
        <f t="shared" si="16"/>
        <v>0</v>
      </c>
      <c r="I268" s="29">
        <f t="shared" si="14"/>
        <v>39920</v>
      </c>
    </row>
    <row r="269" spans="1:9" x14ac:dyDescent="0.2">
      <c r="A269" s="28">
        <v>39920</v>
      </c>
      <c r="B269" s="26" t="s">
        <v>3141</v>
      </c>
      <c r="C269" s="26" t="s">
        <v>9</v>
      </c>
      <c r="D269" s="35" t="s">
        <v>20</v>
      </c>
      <c r="E269" s="35">
        <v>2026756</v>
      </c>
      <c r="F269" s="35" t="s">
        <v>20</v>
      </c>
      <c r="G269" t="b">
        <f t="shared" si="15"/>
        <v>0</v>
      </c>
      <c r="H269" t="b">
        <f t="shared" si="16"/>
        <v>0</v>
      </c>
      <c r="I269" s="29">
        <f t="shared" si="14"/>
        <v>39920</v>
      </c>
    </row>
    <row r="270" spans="1:9" ht="12.75" customHeight="1" x14ac:dyDescent="0.2">
      <c r="A270" s="28">
        <v>39920</v>
      </c>
      <c r="B270" s="26" t="s">
        <v>1605</v>
      </c>
      <c r="C270" s="26" t="s">
        <v>2460</v>
      </c>
      <c r="D270" s="35" t="s">
        <v>20</v>
      </c>
      <c r="E270" s="35">
        <v>64167069</v>
      </c>
      <c r="F270" s="35">
        <v>136267069</v>
      </c>
      <c r="G270" t="b">
        <f t="shared" si="15"/>
        <v>0</v>
      </c>
      <c r="H270" t="b">
        <f t="shared" si="16"/>
        <v>0</v>
      </c>
      <c r="I270" s="29">
        <f t="shared" si="14"/>
        <v>39920</v>
      </c>
    </row>
    <row r="271" spans="1:9" ht="25.5" x14ac:dyDescent="0.2">
      <c r="A271" s="28">
        <v>39920</v>
      </c>
      <c r="B271" s="26" t="s">
        <v>165</v>
      </c>
      <c r="C271" s="26" t="s">
        <v>2180</v>
      </c>
      <c r="D271" s="35" t="s">
        <v>20</v>
      </c>
      <c r="E271" s="35">
        <v>184169</v>
      </c>
      <c r="F271" s="35" t="s">
        <v>20</v>
      </c>
      <c r="G271" t="b">
        <f t="shared" si="15"/>
        <v>0</v>
      </c>
      <c r="H271" t="b">
        <f t="shared" si="16"/>
        <v>0</v>
      </c>
      <c r="I271" s="29">
        <f t="shared" si="14"/>
        <v>39920</v>
      </c>
    </row>
    <row r="272" spans="1:9" ht="12.75" customHeight="1" x14ac:dyDescent="0.2">
      <c r="A272" s="28">
        <v>39920</v>
      </c>
      <c r="B272" s="26" t="s">
        <v>2981</v>
      </c>
      <c r="C272" s="26" t="s">
        <v>9</v>
      </c>
      <c r="D272" s="35" t="s">
        <v>20</v>
      </c>
      <c r="E272" s="35">
        <v>3564</v>
      </c>
      <c r="F272" s="35" t="s">
        <v>20</v>
      </c>
      <c r="G272" t="b">
        <f t="shared" si="15"/>
        <v>0</v>
      </c>
      <c r="H272" t="b">
        <f t="shared" si="16"/>
        <v>0</v>
      </c>
      <c r="I272" s="29">
        <f t="shared" si="14"/>
        <v>39920</v>
      </c>
    </row>
    <row r="273" spans="1:9" ht="12.75" customHeight="1" x14ac:dyDescent="0.2">
      <c r="A273" s="28">
        <v>39924</v>
      </c>
      <c r="B273" s="26" t="s">
        <v>2127</v>
      </c>
      <c r="C273" s="26" t="s">
        <v>2310</v>
      </c>
      <c r="D273" s="35" t="s">
        <v>20</v>
      </c>
      <c r="E273" s="35" t="s">
        <v>20</v>
      </c>
      <c r="F273" s="35" t="s">
        <v>20</v>
      </c>
      <c r="G273" t="b">
        <f t="shared" si="15"/>
        <v>0</v>
      </c>
      <c r="H273" t="b">
        <f t="shared" si="16"/>
        <v>0</v>
      </c>
      <c r="I273" s="29">
        <f t="shared" si="14"/>
        <v>39924</v>
      </c>
    </row>
    <row r="274" spans="1:9" ht="12.75" customHeight="1" x14ac:dyDescent="0.2">
      <c r="A274" s="28">
        <v>39924</v>
      </c>
      <c r="B274" s="26" t="s">
        <v>911</v>
      </c>
      <c r="C274" s="26" t="s">
        <v>3096</v>
      </c>
      <c r="D274" s="35" t="s">
        <v>20</v>
      </c>
      <c r="E274" s="35" t="s">
        <v>20</v>
      </c>
      <c r="F274" s="35" t="s">
        <v>20</v>
      </c>
      <c r="G274" t="b">
        <f t="shared" si="15"/>
        <v>0</v>
      </c>
      <c r="H274" t="b">
        <f t="shared" si="16"/>
        <v>0</v>
      </c>
      <c r="I274" s="29">
        <f t="shared" si="14"/>
        <v>39924</v>
      </c>
    </row>
    <row r="275" spans="1:9" ht="12.75" customHeight="1" x14ac:dyDescent="0.2">
      <c r="A275" s="28">
        <v>39924</v>
      </c>
      <c r="B275" s="26" t="s">
        <v>1268</v>
      </c>
      <c r="C275" s="26" t="s">
        <v>9</v>
      </c>
      <c r="D275" s="35" t="s">
        <v>20</v>
      </c>
      <c r="E275" s="35" t="s">
        <v>20</v>
      </c>
      <c r="F275" s="35" t="s">
        <v>20</v>
      </c>
      <c r="G275" t="b">
        <f t="shared" si="15"/>
        <v>0</v>
      </c>
      <c r="H275" t="b">
        <f t="shared" si="16"/>
        <v>0</v>
      </c>
      <c r="I275" s="29">
        <f t="shared" si="14"/>
        <v>39924</v>
      </c>
    </row>
    <row r="276" spans="1:9" ht="25.5" x14ac:dyDescent="0.2">
      <c r="A276" s="28">
        <v>39924</v>
      </c>
      <c r="B276" s="26" t="s">
        <v>3043</v>
      </c>
      <c r="C276" s="26" t="s">
        <v>2779</v>
      </c>
      <c r="D276" s="35" t="s">
        <v>20</v>
      </c>
      <c r="E276" s="35" t="s">
        <v>20</v>
      </c>
      <c r="F276" s="35" t="s">
        <v>20</v>
      </c>
      <c r="G276" t="b">
        <f t="shared" si="15"/>
        <v>0</v>
      </c>
      <c r="H276" t="b">
        <f t="shared" si="16"/>
        <v>0</v>
      </c>
      <c r="I276" s="29">
        <f t="shared" si="14"/>
        <v>39924</v>
      </c>
    </row>
    <row r="277" spans="1:9" ht="12.75" customHeight="1" x14ac:dyDescent="0.2">
      <c r="A277" s="28">
        <v>39924</v>
      </c>
      <c r="B277" s="26" t="s">
        <v>1805</v>
      </c>
      <c r="C277" s="26" t="s">
        <v>1144</v>
      </c>
      <c r="D277" s="35" t="s">
        <v>20</v>
      </c>
      <c r="E277" s="35" t="s">
        <v>20</v>
      </c>
      <c r="F277" s="35" t="s">
        <v>20</v>
      </c>
      <c r="G277" t="b">
        <f t="shared" si="15"/>
        <v>0</v>
      </c>
      <c r="H277" t="b">
        <f t="shared" si="16"/>
        <v>0</v>
      </c>
      <c r="I277" s="29">
        <f t="shared" si="14"/>
        <v>39924</v>
      </c>
    </row>
    <row r="278" spans="1:9" ht="12.75" customHeight="1" x14ac:dyDescent="0.2">
      <c r="A278" s="28">
        <v>39924</v>
      </c>
      <c r="B278" s="26" t="s">
        <v>3207</v>
      </c>
      <c r="C278" s="26" t="s">
        <v>9</v>
      </c>
      <c r="D278" s="35" t="s">
        <v>20</v>
      </c>
      <c r="E278" s="35" t="s">
        <v>20</v>
      </c>
      <c r="F278" s="35" t="s">
        <v>20</v>
      </c>
      <c r="G278" t="b">
        <f t="shared" si="15"/>
        <v>0</v>
      </c>
      <c r="H278" t="b">
        <f t="shared" si="16"/>
        <v>0</v>
      </c>
      <c r="I278" s="29">
        <f t="shared" si="14"/>
        <v>39924</v>
      </c>
    </row>
    <row r="279" spans="1:9" ht="38.25" x14ac:dyDescent="0.2">
      <c r="A279" s="28">
        <v>39924</v>
      </c>
      <c r="B279" s="26" t="s">
        <v>1849</v>
      </c>
      <c r="C279" s="26" t="s">
        <v>2627</v>
      </c>
      <c r="D279" s="35" t="s">
        <v>20</v>
      </c>
      <c r="E279" s="35" t="s">
        <v>20</v>
      </c>
      <c r="F279" s="35" t="s">
        <v>20</v>
      </c>
      <c r="G279" t="b">
        <f t="shared" si="15"/>
        <v>0</v>
      </c>
      <c r="H279" t="b">
        <f t="shared" si="16"/>
        <v>0</v>
      </c>
      <c r="I279" s="29">
        <f t="shared" si="14"/>
        <v>39924</v>
      </c>
    </row>
    <row r="280" spans="1:9" ht="25.5" x14ac:dyDescent="0.2">
      <c r="A280" s="28">
        <v>39924</v>
      </c>
      <c r="B280" s="26" t="s">
        <v>2217</v>
      </c>
      <c r="C280" s="26" t="s">
        <v>9</v>
      </c>
      <c r="D280" s="35" t="s">
        <v>20</v>
      </c>
      <c r="E280" s="35" t="s">
        <v>20</v>
      </c>
      <c r="F280" s="35" t="s">
        <v>20</v>
      </c>
      <c r="G280" t="b">
        <f t="shared" si="15"/>
        <v>0</v>
      </c>
      <c r="H280" t="b">
        <f t="shared" si="16"/>
        <v>0</v>
      </c>
      <c r="I280" s="29">
        <f t="shared" si="14"/>
        <v>39924</v>
      </c>
    </row>
    <row r="281" spans="1:9" ht="12.75" customHeight="1" x14ac:dyDescent="0.2">
      <c r="A281" s="28">
        <v>39924</v>
      </c>
      <c r="B281" s="26" t="s">
        <v>1724</v>
      </c>
      <c r="C281" s="26" t="s">
        <v>9</v>
      </c>
      <c r="D281" s="35" t="s">
        <v>20</v>
      </c>
      <c r="E281" s="35" t="s">
        <v>20</v>
      </c>
      <c r="F281" s="35" t="s">
        <v>20</v>
      </c>
      <c r="G281" t="b">
        <f t="shared" si="15"/>
        <v>0</v>
      </c>
      <c r="H281" t="b">
        <f t="shared" si="16"/>
        <v>0</v>
      </c>
      <c r="I281" s="29">
        <f t="shared" si="14"/>
        <v>39924</v>
      </c>
    </row>
    <row r="282" spans="1:9" ht="12.75" customHeight="1" x14ac:dyDescent="0.2">
      <c r="A282" s="28">
        <v>39924</v>
      </c>
      <c r="B282" s="26" t="s">
        <v>2998</v>
      </c>
      <c r="C282" s="26" t="s">
        <v>9</v>
      </c>
      <c r="D282" s="35" t="s">
        <v>20</v>
      </c>
      <c r="E282" s="35" t="s">
        <v>20</v>
      </c>
      <c r="F282" s="35" t="s">
        <v>20</v>
      </c>
      <c r="G282" t="b">
        <f t="shared" si="15"/>
        <v>0</v>
      </c>
      <c r="H282" t="b">
        <f t="shared" si="16"/>
        <v>0</v>
      </c>
      <c r="I282" s="29">
        <f t="shared" si="14"/>
        <v>39924</v>
      </c>
    </row>
    <row r="283" spans="1:9" ht="12.75" customHeight="1" x14ac:dyDescent="0.2">
      <c r="A283" s="28">
        <v>39924</v>
      </c>
      <c r="B283" s="26" t="s">
        <v>2614</v>
      </c>
      <c r="C283" s="26" t="s">
        <v>9</v>
      </c>
      <c r="D283" s="35" t="s">
        <v>20</v>
      </c>
      <c r="E283" s="35" t="s">
        <v>20</v>
      </c>
      <c r="F283" s="35" t="s">
        <v>20</v>
      </c>
      <c r="G283" t="b">
        <f t="shared" si="15"/>
        <v>0</v>
      </c>
      <c r="H283" t="b">
        <f t="shared" si="16"/>
        <v>0</v>
      </c>
      <c r="I283" s="29">
        <f t="shared" si="14"/>
        <v>39924</v>
      </c>
    </row>
    <row r="284" spans="1:9" ht="12.75" customHeight="1" x14ac:dyDescent="0.2">
      <c r="A284" s="28">
        <v>39924</v>
      </c>
      <c r="B284" s="26" t="s">
        <v>11</v>
      </c>
      <c r="C284" s="26" t="s">
        <v>2310</v>
      </c>
      <c r="D284" s="35" t="s">
        <v>20</v>
      </c>
      <c r="E284" s="35" t="s">
        <v>20</v>
      </c>
      <c r="F284" s="35" t="s">
        <v>20</v>
      </c>
      <c r="G284" t="b">
        <f t="shared" si="15"/>
        <v>0</v>
      </c>
      <c r="H284" t="b">
        <f t="shared" si="16"/>
        <v>0</v>
      </c>
      <c r="I284" s="29">
        <f t="shared" si="14"/>
        <v>39924</v>
      </c>
    </row>
    <row r="285" spans="1:9" ht="12.75" customHeight="1" x14ac:dyDescent="0.2">
      <c r="A285" s="28">
        <v>39925</v>
      </c>
      <c r="B285" s="26" t="s">
        <v>1302</v>
      </c>
      <c r="C285" s="26" t="s">
        <v>9</v>
      </c>
      <c r="D285" s="35">
        <v>12000000</v>
      </c>
      <c r="E285" s="35" t="s">
        <v>20</v>
      </c>
      <c r="F285" s="35">
        <v>20000000</v>
      </c>
      <c r="G285" t="b">
        <f t="shared" si="15"/>
        <v>0</v>
      </c>
      <c r="H285" t="b">
        <f t="shared" si="16"/>
        <v>0</v>
      </c>
      <c r="I285" s="29">
        <f t="shared" si="14"/>
        <v>39925</v>
      </c>
    </row>
    <row r="286" spans="1:9" x14ac:dyDescent="0.2">
      <c r="A286" s="28">
        <v>39925</v>
      </c>
      <c r="B286" s="26" t="s">
        <v>1961</v>
      </c>
      <c r="C286" s="26" t="s">
        <v>322</v>
      </c>
      <c r="D286" s="35" t="s">
        <v>20</v>
      </c>
      <c r="E286" s="35">
        <v>60336</v>
      </c>
      <c r="F286" s="35" t="s">
        <v>20</v>
      </c>
      <c r="G286" t="b">
        <f t="shared" si="15"/>
        <v>0</v>
      </c>
      <c r="H286" t="b">
        <f t="shared" si="16"/>
        <v>0</v>
      </c>
      <c r="I286" s="29">
        <f t="shared" si="14"/>
        <v>39925</v>
      </c>
    </row>
    <row r="287" spans="1:9" ht="12.75" customHeight="1" x14ac:dyDescent="0.2">
      <c r="A287" s="28">
        <v>39925</v>
      </c>
      <c r="B287" s="26" t="s">
        <v>334</v>
      </c>
      <c r="C287" s="26" t="s">
        <v>3390</v>
      </c>
      <c r="D287" s="35">
        <v>15000000</v>
      </c>
      <c r="E287" s="35">
        <v>32011576</v>
      </c>
      <c r="F287" s="35">
        <v>109011576</v>
      </c>
      <c r="G287" t="b">
        <f t="shared" si="15"/>
        <v>0</v>
      </c>
      <c r="H287" t="b">
        <f t="shared" si="16"/>
        <v>0</v>
      </c>
      <c r="I287" s="29">
        <f t="shared" si="14"/>
        <v>39925</v>
      </c>
    </row>
    <row r="288" spans="1:9" ht="25.5" x14ac:dyDescent="0.2">
      <c r="A288" s="28">
        <v>39926</v>
      </c>
      <c r="B288" s="26" t="s">
        <v>326</v>
      </c>
      <c r="C288" s="26" t="s">
        <v>9</v>
      </c>
      <c r="D288" s="35" t="s">
        <v>20</v>
      </c>
      <c r="E288" s="35" t="s">
        <v>20</v>
      </c>
      <c r="F288" s="35">
        <v>20468524</v>
      </c>
      <c r="G288" t="b">
        <f t="shared" si="15"/>
        <v>0</v>
      </c>
      <c r="H288" t="b">
        <f t="shared" si="16"/>
        <v>0</v>
      </c>
      <c r="I288" s="29">
        <f t="shared" si="14"/>
        <v>39926</v>
      </c>
    </row>
    <row r="289" spans="1:9" x14ac:dyDescent="0.2">
      <c r="A289" s="28">
        <v>39926</v>
      </c>
      <c r="B289" s="26" t="s">
        <v>835</v>
      </c>
      <c r="C289" s="26" t="s">
        <v>9</v>
      </c>
      <c r="D289" s="35" t="s">
        <v>20</v>
      </c>
      <c r="E289" s="35" t="s">
        <v>20</v>
      </c>
      <c r="F289" s="35">
        <v>37309</v>
      </c>
      <c r="G289" t="b">
        <f t="shared" si="15"/>
        <v>0</v>
      </c>
      <c r="H289" t="b">
        <f t="shared" si="16"/>
        <v>0</v>
      </c>
      <c r="I289" s="29">
        <f t="shared" si="14"/>
        <v>39926</v>
      </c>
    </row>
    <row r="290" spans="1:9" ht="12.75" customHeight="1" x14ac:dyDescent="0.2">
      <c r="A290" s="28">
        <v>39927</v>
      </c>
      <c r="B290" s="26" t="s">
        <v>3435</v>
      </c>
      <c r="C290" s="26" t="s">
        <v>612</v>
      </c>
      <c r="D290" s="35" t="s">
        <v>20</v>
      </c>
      <c r="E290" s="35">
        <v>887918</v>
      </c>
      <c r="F290" s="35" t="s">
        <v>20</v>
      </c>
      <c r="G290" t="b">
        <f t="shared" si="15"/>
        <v>0</v>
      </c>
      <c r="H290" t="b">
        <f t="shared" si="16"/>
        <v>0</v>
      </c>
      <c r="I290" s="29">
        <f t="shared" si="14"/>
        <v>39927</v>
      </c>
    </row>
    <row r="291" spans="1:9" ht="12.75" customHeight="1" x14ac:dyDescent="0.2">
      <c r="A291" s="28">
        <v>39927</v>
      </c>
      <c r="B291" s="26" t="s">
        <v>1363</v>
      </c>
      <c r="C291" s="26" t="s">
        <v>2160</v>
      </c>
      <c r="D291" s="35" t="s">
        <v>20</v>
      </c>
      <c r="E291" s="35">
        <v>68261644</v>
      </c>
      <c r="F291" s="35">
        <v>71881032</v>
      </c>
      <c r="G291" t="b">
        <f t="shared" si="15"/>
        <v>0</v>
      </c>
      <c r="H291" t="b">
        <f t="shared" si="16"/>
        <v>0</v>
      </c>
      <c r="I291" s="29">
        <f t="shared" si="14"/>
        <v>39927</v>
      </c>
    </row>
    <row r="292" spans="1:9" ht="12.75" customHeight="1" x14ac:dyDescent="0.2">
      <c r="A292" s="28">
        <v>39927</v>
      </c>
      <c r="B292" s="26" t="s">
        <v>1378</v>
      </c>
      <c r="C292" s="26" t="s">
        <v>9</v>
      </c>
      <c r="D292" s="35">
        <v>18000000</v>
      </c>
      <c r="E292" s="35">
        <v>315000</v>
      </c>
      <c r="F292" s="35" t="s">
        <v>20</v>
      </c>
      <c r="G292" t="b">
        <f t="shared" si="15"/>
        <v>0</v>
      </c>
      <c r="H292" t="b">
        <f t="shared" si="16"/>
        <v>0</v>
      </c>
      <c r="I292" s="29">
        <f t="shared" si="14"/>
        <v>39927</v>
      </c>
    </row>
    <row r="293" spans="1:9" ht="12.75" customHeight="1" x14ac:dyDescent="0.2">
      <c r="A293" s="28">
        <v>39927</v>
      </c>
      <c r="B293" s="26" t="s">
        <v>1360</v>
      </c>
      <c r="C293" s="26" t="s">
        <v>432</v>
      </c>
      <c r="D293" s="35" t="s">
        <v>20</v>
      </c>
      <c r="E293" s="35" t="s">
        <v>20</v>
      </c>
      <c r="F293" s="35" t="s">
        <v>20</v>
      </c>
      <c r="G293" t="b">
        <f t="shared" si="15"/>
        <v>0</v>
      </c>
      <c r="H293" t="b">
        <f t="shared" si="16"/>
        <v>0</v>
      </c>
      <c r="I293" s="29">
        <f t="shared" si="14"/>
        <v>39927</v>
      </c>
    </row>
    <row r="294" spans="1:9" ht="12.75" customHeight="1" x14ac:dyDescent="0.2">
      <c r="A294" s="28">
        <v>39927</v>
      </c>
      <c r="B294" s="26" t="s">
        <v>3245</v>
      </c>
      <c r="C294" s="26" t="s">
        <v>9</v>
      </c>
      <c r="D294" s="35" t="s">
        <v>20</v>
      </c>
      <c r="E294" s="35">
        <v>23091010</v>
      </c>
      <c r="F294" s="35">
        <v>31254436</v>
      </c>
      <c r="G294" t="b">
        <f t="shared" si="15"/>
        <v>0</v>
      </c>
      <c r="H294" t="b">
        <f t="shared" si="16"/>
        <v>0</v>
      </c>
      <c r="I294" s="29">
        <f t="shared" si="14"/>
        <v>39927</v>
      </c>
    </row>
    <row r="295" spans="1:9" ht="25.5" x14ac:dyDescent="0.2">
      <c r="A295" s="28">
        <v>39927</v>
      </c>
      <c r="B295" s="26" t="s">
        <v>1556</v>
      </c>
      <c r="C295" s="26" t="s">
        <v>1358</v>
      </c>
      <c r="D295" s="35" t="s">
        <v>20</v>
      </c>
      <c r="E295" s="35">
        <v>5483</v>
      </c>
      <c r="F295" s="35" t="s">
        <v>20</v>
      </c>
      <c r="G295" t="b">
        <f t="shared" si="15"/>
        <v>0</v>
      </c>
      <c r="H295" t="b">
        <f t="shared" si="16"/>
        <v>0</v>
      </c>
      <c r="I295" s="29">
        <f t="shared" si="14"/>
        <v>39927</v>
      </c>
    </row>
    <row r="296" spans="1:9" ht="12.75" customHeight="1" x14ac:dyDescent="0.2">
      <c r="A296" s="28">
        <v>39927</v>
      </c>
      <c r="B296" s="26" t="s">
        <v>2006</v>
      </c>
      <c r="C296" s="26" t="s">
        <v>9</v>
      </c>
      <c r="D296" s="35">
        <v>60000000</v>
      </c>
      <c r="E296" s="35">
        <v>31720158</v>
      </c>
      <c r="F296" s="35">
        <v>38286958</v>
      </c>
      <c r="G296" t="b">
        <f t="shared" si="15"/>
        <v>0</v>
      </c>
      <c r="H296" t="b">
        <f t="shared" si="16"/>
        <v>0</v>
      </c>
      <c r="I296" s="29">
        <f t="shared" si="14"/>
        <v>39927</v>
      </c>
    </row>
    <row r="297" spans="1:9" ht="12.75" customHeight="1" x14ac:dyDescent="0.2">
      <c r="A297" s="28">
        <v>39927</v>
      </c>
      <c r="B297" s="26" t="s">
        <v>830</v>
      </c>
      <c r="C297" s="26" t="s">
        <v>322</v>
      </c>
      <c r="D297" s="35" t="s">
        <v>20</v>
      </c>
      <c r="E297" s="35">
        <v>26931</v>
      </c>
      <c r="F297" s="35" t="s">
        <v>20</v>
      </c>
      <c r="G297" t="b">
        <f t="shared" si="15"/>
        <v>0</v>
      </c>
      <c r="H297" t="b">
        <f t="shared" si="16"/>
        <v>0</v>
      </c>
      <c r="I297" s="29">
        <f t="shared" si="14"/>
        <v>39927</v>
      </c>
    </row>
    <row r="298" spans="1:9" ht="25.5" x14ac:dyDescent="0.2">
      <c r="A298" s="28">
        <v>39927</v>
      </c>
      <c r="B298" s="26" t="s">
        <v>28</v>
      </c>
      <c r="C298" s="26" t="s">
        <v>2466</v>
      </c>
      <c r="D298" s="35" t="s">
        <v>20</v>
      </c>
      <c r="E298" s="35">
        <v>5107</v>
      </c>
      <c r="F298" s="35" t="s">
        <v>20</v>
      </c>
      <c r="G298" t="b">
        <f t="shared" si="15"/>
        <v>0</v>
      </c>
      <c r="H298" t="b">
        <f t="shared" si="16"/>
        <v>0</v>
      </c>
      <c r="I298" s="29">
        <f t="shared" si="14"/>
        <v>39927</v>
      </c>
    </row>
    <row r="299" spans="1:9" x14ac:dyDescent="0.2">
      <c r="A299" s="28">
        <v>39927</v>
      </c>
      <c r="B299" s="26" t="s">
        <v>3308</v>
      </c>
      <c r="C299" s="26" t="s">
        <v>2395</v>
      </c>
      <c r="D299" s="35" t="s">
        <v>20</v>
      </c>
      <c r="E299" s="35">
        <v>26042</v>
      </c>
      <c r="F299" s="35" t="s">
        <v>20</v>
      </c>
      <c r="G299" t="b">
        <f t="shared" si="15"/>
        <v>0</v>
      </c>
      <c r="H299" t="b">
        <f t="shared" si="16"/>
        <v>0</v>
      </c>
      <c r="I299" s="29">
        <f t="shared" si="14"/>
        <v>39927</v>
      </c>
    </row>
    <row r="300" spans="1:9" ht="25.5" x14ac:dyDescent="0.2">
      <c r="A300" s="28">
        <v>39927</v>
      </c>
      <c r="B300" s="26" t="s">
        <v>265</v>
      </c>
      <c r="C300" s="26" t="s">
        <v>3475</v>
      </c>
      <c r="D300" s="35" t="s">
        <v>20</v>
      </c>
      <c r="E300" s="35">
        <v>4724</v>
      </c>
      <c r="F300" s="35" t="s">
        <v>20</v>
      </c>
      <c r="G300" t="b">
        <f t="shared" si="15"/>
        <v>0</v>
      </c>
      <c r="H300" t="b">
        <f t="shared" si="16"/>
        <v>0</v>
      </c>
      <c r="I300" s="29">
        <f t="shared" si="14"/>
        <v>39927</v>
      </c>
    </row>
    <row r="301" spans="1:9" ht="12.75" customHeight="1" x14ac:dyDescent="0.2">
      <c r="A301" s="28">
        <v>39931</v>
      </c>
      <c r="B301" s="26" t="s">
        <v>438</v>
      </c>
      <c r="C301" s="26" t="s">
        <v>1427</v>
      </c>
      <c r="D301" s="35" t="s">
        <v>20</v>
      </c>
      <c r="E301" s="35" t="s">
        <v>20</v>
      </c>
      <c r="F301" s="35" t="s">
        <v>20</v>
      </c>
      <c r="G301" t="b">
        <f t="shared" si="15"/>
        <v>0</v>
      </c>
      <c r="H301" t="b">
        <f t="shared" si="16"/>
        <v>0</v>
      </c>
      <c r="I301" s="29">
        <f t="shared" si="14"/>
        <v>39931</v>
      </c>
    </row>
    <row r="302" spans="1:9" ht="12.75" customHeight="1" x14ac:dyDescent="0.2">
      <c r="A302" s="28">
        <v>39931</v>
      </c>
      <c r="B302" s="26" t="s">
        <v>1346</v>
      </c>
      <c r="C302" s="26" t="s">
        <v>9</v>
      </c>
      <c r="D302" s="35" t="s">
        <v>20</v>
      </c>
      <c r="E302" s="35" t="s">
        <v>20</v>
      </c>
      <c r="F302" s="35" t="s">
        <v>20</v>
      </c>
      <c r="G302" t="b">
        <f t="shared" si="15"/>
        <v>0</v>
      </c>
      <c r="H302" t="b">
        <f t="shared" si="16"/>
        <v>0</v>
      </c>
      <c r="I302" s="29">
        <f t="shared" si="14"/>
        <v>39931</v>
      </c>
    </row>
    <row r="303" spans="1:9" ht="12.75" customHeight="1" x14ac:dyDescent="0.2">
      <c r="A303" s="28">
        <v>39931</v>
      </c>
      <c r="B303" s="26" t="s">
        <v>2474</v>
      </c>
      <c r="C303" s="26" t="s">
        <v>9</v>
      </c>
      <c r="D303" s="35" t="s">
        <v>20</v>
      </c>
      <c r="E303" s="35" t="s">
        <v>20</v>
      </c>
      <c r="F303" s="35" t="s">
        <v>20</v>
      </c>
      <c r="G303" t="b">
        <f t="shared" si="15"/>
        <v>0</v>
      </c>
      <c r="H303" t="b">
        <f t="shared" si="16"/>
        <v>0</v>
      </c>
      <c r="I303" s="29">
        <f t="shared" si="14"/>
        <v>39931</v>
      </c>
    </row>
    <row r="304" spans="1:9" ht="12.75" customHeight="1" x14ac:dyDescent="0.2">
      <c r="A304" s="28">
        <v>39931</v>
      </c>
      <c r="B304" s="26" t="s">
        <v>1750</v>
      </c>
      <c r="C304" s="26" t="s">
        <v>9</v>
      </c>
      <c r="D304" s="35" t="s">
        <v>20</v>
      </c>
      <c r="E304" s="35" t="s">
        <v>20</v>
      </c>
      <c r="F304" s="35" t="s">
        <v>20</v>
      </c>
      <c r="G304" t="b">
        <f t="shared" si="15"/>
        <v>0</v>
      </c>
      <c r="H304" t="b">
        <f t="shared" si="16"/>
        <v>0</v>
      </c>
      <c r="I304" s="29">
        <f t="shared" si="14"/>
        <v>39931</v>
      </c>
    </row>
    <row r="305" spans="1:9" ht="25.5" x14ac:dyDescent="0.2">
      <c r="A305" s="28">
        <v>39933</v>
      </c>
      <c r="B305" s="26" t="s">
        <v>3376</v>
      </c>
      <c r="C305" s="26" t="s">
        <v>9</v>
      </c>
      <c r="D305" s="35" t="s">
        <v>20</v>
      </c>
      <c r="E305" s="35" t="s">
        <v>20</v>
      </c>
      <c r="F305" s="35" t="s">
        <v>20</v>
      </c>
      <c r="G305" t="b">
        <f t="shared" si="15"/>
        <v>0</v>
      </c>
      <c r="H305" t="b">
        <f t="shared" si="16"/>
        <v>0</v>
      </c>
      <c r="I305" s="29">
        <f t="shared" si="14"/>
        <v>39933</v>
      </c>
    </row>
    <row r="306" spans="1:9" ht="25.5" x14ac:dyDescent="0.2">
      <c r="A306" s="28">
        <v>39934</v>
      </c>
      <c r="B306" s="26" t="s">
        <v>2066</v>
      </c>
      <c r="C306" s="26" t="s">
        <v>9</v>
      </c>
      <c r="D306" s="35" t="s">
        <v>20</v>
      </c>
      <c r="E306" s="35">
        <v>347977</v>
      </c>
      <c r="F306" s="35" t="s">
        <v>20</v>
      </c>
      <c r="G306" t="b">
        <f t="shared" si="15"/>
        <v>0</v>
      </c>
      <c r="H306" t="b">
        <f t="shared" si="16"/>
        <v>0</v>
      </c>
      <c r="I306" s="29">
        <f t="shared" si="14"/>
        <v>39934</v>
      </c>
    </row>
    <row r="307" spans="1:9" ht="12.75" customHeight="1" x14ac:dyDescent="0.2">
      <c r="A307" s="28">
        <v>39934</v>
      </c>
      <c r="B307" s="26" t="s">
        <v>3266</v>
      </c>
      <c r="C307" s="26" t="s">
        <v>2650</v>
      </c>
      <c r="D307" s="35" t="s">
        <v>20</v>
      </c>
      <c r="E307" s="35">
        <v>308040</v>
      </c>
      <c r="F307" s="35" t="s">
        <v>20</v>
      </c>
      <c r="G307" t="b">
        <f t="shared" si="15"/>
        <v>0</v>
      </c>
      <c r="H307" t="b">
        <f t="shared" si="16"/>
        <v>0</v>
      </c>
      <c r="I307" s="29">
        <f t="shared" si="14"/>
        <v>39934</v>
      </c>
    </row>
    <row r="308" spans="1:9" ht="25.5" x14ac:dyDescent="0.2">
      <c r="A308" s="28">
        <v>39934</v>
      </c>
      <c r="B308" s="26" t="s">
        <v>2303</v>
      </c>
      <c r="C308" s="26" t="s">
        <v>384</v>
      </c>
      <c r="D308" s="35">
        <v>150000000</v>
      </c>
      <c r="E308" s="35">
        <v>179883157</v>
      </c>
      <c r="F308" s="35">
        <v>374825760</v>
      </c>
      <c r="G308" t="b">
        <f t="shared" si="15"/>
        <v>0</v>
      </c>
      <c r="H308" t="b">
        <f t="shared" si="16"/>
        <v>0</v>
      </c>
      <c r="I308" s="29">
        <f t="shared" si="14"/>
        <v>39934</v>
      </c>
    </row>
    <row r="309" spans="1:9" ht="12.75" customHeight="1" x14ac:dyDescent="0.2">
      <c r="A309" s="28">
        <v>39934</v>
      </c>
      <c r="B309" s="26" t="s">
        <v>2323</v>
      </c>
      <c r="C309" s="26" t="s">
        <v>2310</v>
      </c>
      <c r="D309" s="35" t="s">
        <v>20</v>
      </c>
      <c r="E309" s="35">
        <v>1647083</v>
      </c>
      <c r="F309" s="35" t="s">
        <v>20</v>
      </c>
      <c r="G309" t="b">
        <f t="shared" si="15"/>
        <v>0</v>
      </c>
      <c r="H309" t="b">
        <f t="shared" si="16"/>
        <v>0</v>
      </c>
      <c r="I309" s="29">
        <f t="shared" si="14"/>
        <v>39934</v>
      </c>
    </row>
    <row r="310" spans="1:9" ht="12.75" customHeight="1" x14ac:dyDescent="0.2">
      <c r="A310" s="28">
        <v>39934</v>
      </c>
      <c r="B310" s="26" t="s">
        <v>2843</v>
      </c>
      <c r="C310" s="26" t="s">
        <v>2313</v>
      </c>
      <c r="D310" s="35" t="s">
        <v>20</v>
      </c>
      <c r="E310" s="35">
        <v>15433</v>
      </c>
      <c r="F310" s="35">
        <v>992210</v>
      </c>
      <c r="G310" t="b">
        <f t="shared" si="15"/>
        <v>0</v>
      </c>
      <c r="H310" t="b">
        <f t="shared" si="16"/>
        <v>0</v>
      </c>
      <c r="I310" s="29">
        <f t="shared" si="14"/>
        <v>39934</v>
      </c>
    </row>
    <row r="311" spans="1:9" ht="25.5" x14ac:dyDescent="0.2">
      <c r="A311" s="28">
        <v>39934</v>
      </c>
      <c r="B311" s="26" t="s">
        <v>2577</v>
      </c>
      <c r="C311" s="26" t="s">
        <v>2964</v>
      </c>
      <c r="D311" s="35" t="s">
        <v>20</v>
      </c>
      <c r="E311" s="35">
        <v>20169</v>
      </c>
      <c r="F311" s="35" t="s">
        <v>20</v>
      </c>
      <c r="G311" t="b">
        <f t="shared" si="15"/>
        <v>0</v>
      </c>
      <c r="H311" t="b">
        <f t="shared" si="16"/>
        <v>0</v>
      </c>
      <c r="I311" s="29">
        <f t="shared" si="14"/>
        <v>39934</v>
      </c>
    </row>
    <row r="312" spans="1:9" ht="12.75" customHeight="1" x14ac:dyDescent="0.2">
      <c r="A312" s="28">
        <v>39934</v>
      </c>
      <c r="B312" s="26" t="s">
        <v>3012</v>
      </c>
      <c r="C312" s="26" t="s">
        <v>3466</v>
      </c>
      <c r="D312" s="35" t="s">
        <v>20</v>
      </c>
      <c r="E312" s="35">
        <v>6223</v>
      </c>
      <c r="F312" s="35" t="s">
        <v>20</v>
      </c>
      <c r="G312" t="b">
        <f t="shared" si="15"/>
        <v>0</v>
      </c>
      <c r="H312" t="b">
        <f t="shared" si="16"/>
        <v>0</v>
      </c>
      <c r="I312" s="29">
        <f t="shared" si="14"/>
        <v>39934</v>
      </c>
    </row>
    <row r="313" spans="1:9" ht="12.75" customHeight="1" x14ac:dyDescent="0.2">
      <c r="A313" s="28">
        <v>39934</v>
      </c>
      <c r="B313" s="26" t="s">
        <v>2587</v>
      </c>
      <c r="C313" s="26" t="s">
        <v>9</v>
      </c>
      <c r="D313" s="35" t="s">
        <v>20</v>
      </c>
      <c r="E313" s="35">
        <v>21413</v>
      </c>
      <c r="F313" s="35" t="s">
        <v>20</v>
      </c>
      <c r="G313" t="b">
        <f t="shared" si="15"/>
        <v>0</v>
      </c>
      <c r="H313" t="b">
        <f t="shared" si="16"/>
        <v>0</v>
      </c>
      <c r="I313" s="29">
        <f t="shared" si="14"/>
        <v>39934</v>
      </c>
    </row>
    <row r="314" spans="1:9" ht="25.5" x14ac:dyDescent="0.2">
      <c r="A314" s="28">
        <v>39934</v>
      </c>
      <c r="B314" s="26" t="s">
        <v>2520</v>
      </c>
      <c r="C314" s="26" t="s">
        <v>698</v>
      </c>
      <c r="D314" s="35" t="s">
        <v>20</v>
      </c>
      <c r="E314" s="35">
        <v>426688</v>
      </c>
      <c r="F314" s="35">
        <v>616577</v>
      </c>
      <c r="G314" t="b">
        <f t="shared" si="15"/>
        <v>0</v>
      </c>
      <c r="H314" t="b">
        <f t="shared" si="16"/>
        <v>0</v>
      </c>
      <c r="I314" s="29">
        <f t="shared" si="14"/>
        <v>39934</v>
      </c>
    </row>
    <row r="315" spans="1:9" ht="25.5" x14ac:dyDescent="0.2">
      <c r="A315" s="28">
        <v>39934</v>
      </c>
      <c r="B315" s="26" t="s">
        <v>873</v>
      </c>
      <c r="C315" s="26" t="s">
        <v>3209</v>
      </c>
      <c r="D315" s="35" t="s">
        <v>20</v>
      </c>
      <c r="E315" s="35">
        <v>55250026</v>
      </c>
      <c r="F315" s="35">
        <v>102512802</v>
      </c>
      <c r="G315" t="b">
        <f t="shared" si="15"/>
        <v>0</v>
      </c>
      <c r="H315" t="b">
        <f t="shared" si="16"/>
        <v>0</v>
      </c>
      <c r="I315" s="29">
        <f t="shared" ref="I315:I378" si="17">DATE(2009,MONTH(A315), DAY(A315))</f>
        <v>39934</v>
      </c>
    </row>
    <row r="316" spans="1:9" ht="12.75" customHeight="1" x14ac:dyDescent="0.2">
      <c r="A316" s="28">
        <v>39938</v>
      </c>
      <c r="B316" s="26" t="s">
        <v>2232</v>
      </c>
      <c r="C316" s="26" t="s">
        <v>96</v>
      </c>
      <c r="D316" s="35" t="s">
        <v>20</v>
      </c>
      <c r="E316" s="35" t="s">
        <v>20</v>
      </c>
      <c r="F316" s="35" t="s">
        <v>20</v>
      </c>
      <c r="G316" t="b">
        <f t="shared" si="15"/>
        <v>0</v>
      </c>
      <c r="H316" t="b">
        <f t="shared" si="16"/>
        <v>0</v>
      </c>
      <c r="I316" s="29">
        <f t="shared" si="17"/>
        <v>39938</v>
      </c>
    </row>
    <row r="317" spans="1:9" ht="12.75" customHeight="1" x14ac:dyDescent="0.2">
      <c r="A317" s="28">
        <v>39938</v>
      </c>
      <c r="B317" s="26" t="s">
        <v>2566</v>
      </c>
      <c r="C317" s="26" t="s">
        <v>9</v>
      </c>
      <c r="D317" s="35" t="s">
        <v>20</v>
      </c>
      <c r="E317" s="35" t="s">
        <v>20</v>
      </c>
      <c r="F317" s="35" t="s">
        <v>20</v>
      </c>
      <c r="G317" t="b">
        <f t="shared" si="15"/>
        <v>0</v>
      </c>
      <c r="H317" t="b">
        <f t="shared" si="16"/>
        <v>0</v>
      </c>
      <c r="I317" s="29">
        <f t="shared" si="17"/>
        <v>39938</v>
      </c>
    </row>
    <row r="318" spans="1:9" ht="12.75" customHeight="1" x14ac:dyDescent="0.2">
      <c r="A318" s="28">
        <v>39938</v>
      </c>
      <c r="B318" s="26" t="s">
        <v>1112</v>
      </c>
      <c r="C318" s="26" t="s">
        <v>1930</v>
      </c>
      <c r="D318" s="35" t="s">
        <v>20</v>
      </c>
      <c r="E318" s="35" t="s">
        <v>20</v>
      </c>
      <c r="F318" s="35" t="s">
        <v>20</v>
      </c>
      <c r="G318" t="b">
        <f t="shared" si="15"/>
        <v>0</v>
      </c>
      <c r="H318" t="b">
        <f t="shared" si="16"/>
        <v>0</v>
      </c>
      <c r="I318" s="29">
        <f t="shared" si="17"/>
        <v>39938</v>
      </c>
    </row>
    <row r="319" spans="1:9" ht="12.75" customHeight="1" x14ac:dyDescent="0.2">
      <c r="A319" s="28">
        <v>39938</v>
      </c>
      <c r="B319" s="26" t="s">
        <v>1650</v>
      </c>
      <c r="C319" s="26" t="s">
        <v>9</v>
      </c>
      <c r="D319" s="35" t="s">
        <v>20</v>
      </c>
      <c r="E319" s="35" t="s">
        <v>20</v>
      </c>
      <c r="F319" s="35" t="s">
        <v>20</v>
      </c>
      <c r="G319" t="b">
        <f t="shared" si="15"/>
        <v>0</v>
      </c>
      <c r="H319" t="b">
        <f t="shared" si="16"/>
        <v>0</v>
      </c>
      <c r="I319" s="29">
        <f t="shared" si="17"/>
        <v>39938</v>
      </c>
    </row>
    <row r="320" spans="1:9" ht="12.75" customHeight="1" x14ac:dyDescent="0.2">
      <c r="A320" s="28">
        <v>39939</v>
      </c>
      <c r="B320" s="26" t="s">
        <v>3173</v>
      </c>
      <c r="C320" s="26" t="s">
        <v>1414</v>
      </c>
      <c r="D320" s="35" t="s">
        <v>20</v>
      </c>
      <c r="E320" s="35">
        <v>12738</v>
      </c>
      <c r="F320" s="35" t="s">
        <v>20</v>
      </c>
      <c r="G320" t="b">
        <f t="shared" si="15"/>
        <v>0</v>
      </c>
      <c r="H320" t="b">
        <f t="shared" si="16"/>
        <v>0</v>
      </c>
      <c r="I320" s="29">
        <f t="shared" si="17"/>
        <v>39939</v>
      </c>
    </row>
    <row r="321" spans="1:9" ht="25.5" x14ac:dyDescent="0.2">
      <c r="A321" s="28">
        <v>39941</v>
      </c>
      <c r="B321" s="26" t="s">
        <v>2132</v>
      </c>
      <c r="C321" s="26" t="s">
        <v>2168</v>
      </c>
      <c r="D321" s="35">
        <v>140000000</v>
      </c>
      <c r="E321" s="35">
        <v>257730019</v>
      </c>
      <c r="F321" s="35">
        <v>385680446</v>
      </c>
      <c r="G321" t="b">
        <f t="shared" si="15"/>
        <v>0</v>
      </c>
      <c r="H321" t="b">
        <f t="shared" si="16"/>
        <v>0</v>
      </c>
      <c r="I321" s="29">
        <f t="shared" si="17"/>
        <v>39941</v>
      </c>
    </row>
    <row r="322" spans="1:9" ht="12.75" customHeight="1" x14ac:dyDescent="0.2">
      <c r="A322" s="28">
        <v>39941</v>
      </c>
      <c r="B322" s="26" t="s">
        <v>2194</v>
      </c>
      <c r="C322" s="26" t="s">
        <v>746</v>
      </c>
      <c r="D322" s="35" t="s">
        <v>20</v>
      </c>
      <c r="E322" s="35">
        <v>287198</v>
      </c>
      <c r="F322" s="35" t="s">
        <v>20</v>
      </c>
      <c r="G322" t="b">
        <f t="shared" ref="G322:G385" si="18">ISBLANK(A322)</f>
        <v>0</v>
      </c>
      <c r="H322" t="b">
        <f t="shared" ref="H322:H385" si="19">ISTEXT(A322)</f>
        <v>0</v>
      </c>
      <c r="I322" s="29">
        <f t="shared" si="17"/>
        <v>39941</v>
      </c>
    </row>
    <row r="323" spans="1:9" ht="12.75" customHeight="1" x14ac:dyDescent="0.2">
      <c r="A323" s="28">
        <v>39941</v>
      </c>
      <c r="B323" s="26" t="s">
        <v>664</v>
      </c>
      <c r="C323" s="26" t="s">
        <v>612</v>
      </c>
      <c r="D323" s="35" t="s">
        <v>20</v>
      </c>
      <c r="E323" s="35">
        <v>1827660</v>
      </c>
      <c r="F323" s="35">
        <v>11987924</v>
      </c>
      <c r="G323" t="b">
        <f t="shared" si="18"/>
        <v>0</v>
      </c>
      <c r="H323" t="b">
        <f t="shared" si="19"/>
        <v>0</v>
      </c>
      <c r="I323" s="29">
        <f t="shared" si="17"/>
        <v>39941</v>
      </c>
    </row>
    <row r="324" spans="1:9" ht="12.75" customHeight="1" x14ac:dyDescent="0.2">
      <c r="A324" s="28">
        <v>39941</v>
      </c>
      <c r="B324" s="26" t="s">
        <v>324</v>
      </c>
      <c r="C324" s="26" t="s">
        <v>746</v>
      </c>
      <c r="D324" s="35" t="s">
        <v>20</v>
      </c>
      <c r="E324" s="35">
        <v>65108</v>
      </c>
      <c r="F324" s="35" t="s">
        <v>20</v>
      </c>
      <c r="G324" t="b">
        <f t="shared" si="18"/>
        <v>0</v>
      </c>
      <c r="H324" t="b">
        <f t="shared" si="19"/>
        <v>0</v>
      </c>
      <c r="I324" s="29">
        <f t="shared" si="17"/>
        <v>39941</v>
      </c>
    </row>
    <row r="325" spans="1:9" ht="12.75" customHeight="1" x14ac:dyDescent="0.2">
      <c r="A325" s="28">
        <v>39941</v>
      </c>
      <c r="B325" s="26" t="s">
        <v>954</v>
      </c>
      <c r="C325" s="26" t="s">
        <v>2051</v>
      </c>
      <c r="D325" s="35" t="s">
        <v>20</v>
      </c>
      <c r="E325" s="35">
        <v>481586</v>
      </c>
      <c r="F325" s="35" t="s">
        <v>20</v>
      </c>
      <c r="G325" t="b">
        <f t="shared" si="18"/>
        <v>0</v>
      </c>
      <c r="H325" t="b">
        <f t="shared" si="19"/>
        <v>0</v>
      </c>
      <c r="I325" s="29">
        <f t="shared" si="17"/>
        <v>39941</v>
      </c>
    </row>
    <row r="326" spans="1:9" ht="12.75" customHeight="1" x14ac:dyDescent="0.2">
      <c r="A326" s="28">
        <v>39941</v>
      </c>
      <c r="B326" s="26" t="s">
        <v>2717</v>
      </c>
      <c r="C326" s="26" t="s">
        <v>9</v>
      </c>
      <c r="D326" s="35" t="s">
        <v>20</v>
      </c>
      <c r="E326" s="35">
        <v>8668</v>
      </c>
      <c r="F326" s="35" t="s">
        <v>20</v>
      </c>
      <c r="G326" t="b">
        <f t="shared" si="18"/>
        <v>0</v>
      </c>
      <c r="H326" t="b">
        <f t="shared" si="19"/>
        <v>0</v>
      </c>
      <c r="I326" s="29">
        <f t="shared" si="17"/>
        <v>39941</v>
      </c>
    </row>
    <row r="327" spans="1:9" ht="12.75" customHeight="1" x14ac:dyDescent="0.2">
      <c r="A327" s="28">
        <v>39941</v>
      </c>
      <c r="B327" s="26" t="s">
        <v>1612</v>
      </c>
      <c r="C327" s="26" t="s">
        <v>9</v>
      </c>
      <c r="D327" s="35" t="s">
        <v>20</v>
      </c>
      <c r="E327" s="35" t="s">
        <v>20</v>
      </c>
      <c r="F327" s="35" t="s">
        <v>20</v>
      </c>
      <c r="G327" t="b">
        <f t="shared" si="18"/>
        <v>0</v>
      </c>
      <c r="H327" t="b">
        <f t="shared" si="19"/>
        <v>0</v>
      </c>
      <c r="I327" s="29">
        <f t="shared" si="17"/>
        <v>39941</v>
      </c>
    </row>
    <row r="328" spans="1:9" ht="12.75" customHeight="1" x14ac:dyDescent="0.2">
      <c r="A328" s="28">
        <v>39941</v>
      </c>
      <c r="B328" s="26" t="s">
        <v>1755</v>
      </c>
      <c r="C328" s="26" t="s">
        <v>9</v>
      </c>
      <c r="D328" s="35" t="s">
        <v>20</v>
      </c>
      <c r="E328" s="35">
        <v>47812</v>
      </c>
      <c r="F328" s="35" t="s">
        <v>20</v>
      </c>
      <c r="G328" t="b">
        <f t="shared" si="18"/>
        <v>0</v>
      </c>
      <c r="H328" t="b">
        <f t="shared" si="19"/>
        <v>0</v>
      </c>
      <c r="I328" s="29">
        <f t="shared" si="17"/>
        <v>39941</v>
      </c>
    </row>
    <row r="329" spans="1:9" ht="12.75" customHeight="1" x14ac:dyDescent="0.2">
      <c r="A329" s="28">
        <v>39941</v>
      </c>
      <c r="B329" s="26" t="s">
        <v>72</v>
      </c>
      <c r="C329" s="26" t="s">
        <v>612</v>
      </c>
      <c r="D329" s="35">
        <v>4000000</v>
      </c>
      <c r="E329" s="35">
        <v>294244</v>
      </c>
      <c r="F329" s="35" t="s">
        <v>20</v>
      </c>
      <c r="G329" t="b">
        <f t="shared" si="18"/>
        <v>0</v>
      </c>
      <c r="H329" t="b">
        <f t="shared" si="19"/>
        <v>0</v>
      </c>
      <c r="I329" s="29">
        <f t="shared" si="17"/>
        <v>39941</v>
      </c>
    </row>
    <row r="330" spans="1:9" ht="12.75" customHeight="1" x14ac:dyDescent="0.2">
      <c r="A330" s="28">
        <v>39941</v>
      </c>
      <c r="B330" s="26" t="s">
        <v>551</v>
      </c>
      <c r="C330" s="26" t="s">
        <v>1066</v>
      </c>
      <c r="D330" s="35" t="s">
        <v>20</v>
      </c>
      <c r="E330" s="35">
        <v>10027047</v>
      </c>
      <c r="F330" s="35" t="s">
        <v>20</v>
      </c>
      <c r="G330" t="b">
        <f t="shared" si="18"/>
        <v>0</v>
      </c>
      <c r="H330" t="b">
        <f t="shared" si="19"/>
        <v>0</v>
      </c>
      <c r="I330" s="29">
        <f t="shared" si="17"/>
        <v>39941</v>
      </c>
    </row>
    <row r="331" spans="1:9" ht="25.5" x14ac:dyDescent="0.2">
      <c r="A331" s="28">
        <v>39942</v>
      </c>
      <c r="B331" s="26" t="s">
        <v>2932</v>
      </c>
      <c r="C331" s="26" t="s">
        <v>9</v>
      </c>
      <c r="D331" s="35" t="s">
        <v>20</v>
      </c>
      <c r="E331" s="35" t="s">
        <v>20</v>
      </c>
      <c r="F331" s="35">
        <v>31510715</v>
      </c>
      <c r="G331" t="b">
        <f t="shared" si="18"/>
        <v>0</v>
      </c>
      <c r="H331" t="b">
        <f t="shared" si="19"/>
        <v>0</v>
      </c>
      <c r="I331" s="29">
        <f t="shared" si="17"/>
        <v>39942</v>
      </c>
    </row>
    <row r="332" spans="1:9" ht="38.25" x14ac:dyDescent="0.2">
      <c r="A332" s="28">
        <v>39945</v>
      </c>
      <c r="B332" s="26" t="s">
        <v>1439</v>
      </c>
      <c r="C332" s="26" t="s">
        <v>2153</v>
      </c>
      <c r="D332" s="35" t="s">
        <v>20</v>
      </c>
      <c r="E332" s="35" t="s">
        <v>20</v>
      </c>
      <c r="F332" s="35" t="s">
        <v>20</v>
      </c>
      <c r="G332" t="b">
        <f t="shared" si="18"/>
        <v>0</v>
      </c>
      <c r="H332" t="b">
        <f t="shared" si="19"/>
        <v>0</v>
      </c>
      <c r="I332" s="29">
        <f t="shared" si="17"/>
        <v>39945</v>
      </c>
    </row>
    <row r="333" spans="1:9" ht="12.75" customHeight="1" x14ac:dyDescent="0.2">
      <c r="A333" s="28">
        <v>39945</v>
      </c>
      <c r="B333" s="26" t="s">
        <v>1632</v>
      </c>
      <c r="C333" s="26" t="s">
        <v>3096</v>
      </c>
      <c r="D333" s="35" t="s">
        <v>20</v>
      </c>
      <c r="E333" s="35" t="s">
        <v>20</v>
      </c>
      <c r="F333" s="35" t="s">
        <v>20</v>
      </c>
      <c r="G333" t="b">
        <f t="shared" si="18"/>
        <v>0</v>
      </c>
      <c r="H333" t="b">
        <f t="shared" si="19"/>
        <v>0</v>
      </c>
      <c r="I333" s="29">
        <f t="shared" si="17"/>
        <v>39945</v>
      </c>
    </row>
    <row r="334" spans="1:9" ht="12.75" customHeight="1" x14ac:dyDescent="0.2">
      <c r="A334" s="28">
        <v>39945</v>
      </c>
      <c r="B334" s="26" t="s">
        <v>3347</v>
      </c>
      <c r="C334" s="26" t="s">
        <v>9</v>
      </c>
      <c r="D334" s="35" t="s">
        <v>20</v>
      </c>
      <c r="E334" s="35" t="s">
        <v>20</v>
      </c>
      <c r="F334" s="35" t="s">
        <v>20</v>
      </c>
      <c r="G334" t="b">
        <f t="shared" si="18"/>
        <v>0</v>
      </c>
      <c r="H334" t="b">
        <f t="shared" si="19"/>
        <v>0</v>
      </c>
      <c r="I334" s="29">
        <f t="shared" si="17"/>
        <v>39945</v>
      </c>
    </row>
    <row r="335" spans="1:9" ht="12.75" customHeight="1" x14ac:dyDescent="0.2">
      <c r="A335" s="28">
        <v>39945</v>
      </c>
      <c r="B335" s="26" t="s">
        <v>3315</v>
      </c>
      <c r="C335" s="26" t="s">
        <v>9</v>
      </c>
      <c r="D335" s="35" t="s">
        <v>20</v>
      </c>
      <c r="E335" s="35" t="s">
        <v>20</v>
      </c>
      <c r="F335" s="35" t="s">
        <v>20</v>
      </c>
      <c r="G335" t="b">
        <f t="shared" si="18"/>
        <v>0</v>
      </c>
      <c r="H335" t="b">
        <f t="shared" si="19"/>
        <v>0</v>
      </c>
      <c r="I335" s="29">
        <f t="shared" si="17"/>
        <v>39945</v>
      </c>
    </row>
    <row r="336" spans="1:9" ht="12.75" customHeight="1" x14ac:dyDescent="0.2">
      <c r="A336" s="28">
        <v>39945</v>
      </c>
      <c r="B336" s="26" t="s">
        <v>3214</v>
      </c>
      <c r="C336" s="26" t="s">
        <v>9</v>
      </c>
      <c r="D336" s="35" t="s">
        <v>20</v>
      </c>
      <c r="E336" s="35" t="s">
        <v>20</v>
      </c>
      <c r="F336" s="35" t="s">
        <v>20</v>
      </c>
      <c r="G336" t="b">
        <f t="shared" si="18"/>
        <v>0</v>
      </c>
      <c r="H336" t="b">
        <f t="shared" si="19"/>
        <v>0</v>
      </c>
      <c r="I336" s="29">
        <f t="shared" si="17"/>
        <v>39945</v>
      </c>
    </row>
    <row r="337" spans="1:9" ht="12.75" customHeight="1" x14ac:dyDescent="0.2">
      <c r="A337" s="28">
        <v>39945</v>
      </c>
      <c r="B337" s="26" t="s">
        <v>133</v>
      </c>
      <c r="C337" s="26" t="s">
        <v>9</v>
      </c>
      <c r="D337" s="35" t="s">
        <v>20</v>
      </c>
      <c r="E337" s="35" t="s">
        <v>20</v>
      </c>
      <c r="F337" s="35" t="s">
        <v>20</v>
      </c>
      <c r="G337" t="b">
        <f t="shared" si="18"/>
        <v>0</v>
      </c>
      <c r="H337" t="b">
        <f t="shared" si="19"/>
        <v>0</v>
      </c>
      <c r="I337" s="29">
        <f t="shared" si="17"/>
        <v>39945</v>
      </c>
    </row>
    <row r="338" spans="1:9" ht="12.75" customHeight="1" x14ac:dyDescent="0.2">
      <c r="A338" s="28">
        <v>39945</v>
      </c>
      <c r="B338" s="26" t="s">
        <v>1089</v>
      </c>
      <c r="C338" s="26" t="s">
        <v>2310</v>
      </c>
      <c r="D338" s="35" t="s">
        <v>20</v>
      </c>
      <c r="E338" s="35" t="s">
        <v>20</v>
      </c>
      <c r="F338" s="35" t="s">
        <v>20</v>
      </c>
      <c r="G338" t="b">
        <f t="shared" si="18"/>
        <v>0</v>
      </c>
      <c r="H338" t="b">
        <f t="shared" si="19"/>
        <v>0</v>
      </c>
      <c r="I338" s="29">
        <f t="shared" si="17"/>
        <v>39945</v>
      </c>
    </row>
    <row r="339" spans="1:9" ht="25.5" x14ac:dyDescent="0.2">
      <c r="A339" s="28">
        <v>39945</v>
      </c>
      <c r="B339" s="26" t="s">
        <v>743</v>
      </c>
      <c r="C339" s="26" t="s">
        <v>9</v>
      </c>
      <c r="D339" s="35" t="s">
        <v>20</v>
      </c>
      <c r="E339" s="35" t="s">
        <v>20</v>
      </c>
      <c r="F339" s="35" t="s">
        <v>20</v>
      </c>
      <c r="G339" t="b">
        <f t="shared" si="18"/>
        <v>0</v>
      </c>
      <c r="H339" t="b">
        <f t="shared" si="19"/>
        <v>0</v>
      </c>
      <c r="I339" s="29">
        <f t="shared" si="17"/>
        <v>39945</v>
      </c>
    </row>
    <row r="340" spans="1:9" ht="12.75" customHeight="1" x14ac:dyDescent="0.2">
      <c r="A340" s="28">
        <v>39945</v>
      </c>
      <c r="B340" s="26" t="s">
        <v>859</v>
      </c>
      <c r="C340" s="26" t="s">
        <v>9</v>
      </c>
      <c r="D340" s="35" t="s">
        <v>20</v>
      </c>
      <c r="E340" s="35" t="s">
        <v>20</v>
      </c>
      <c r="F340" s="35" t="s">
        <v>20</v>
      </c>
      <c r="G340" t="b">
        <f t="shared" si="18"/>
        <v>0</v>
      </c>
      <c r="H340" t="b">
        <f t="shared" si="19"/>
        <v>0</v>
      </c>
      <c r="I340" s="29">
        <f t="shared" si="17"/>
        <v>39945</v>
      </c>
    </row>
    <row r="341" spans="1:9" ht="25.5" x14ac:dyDescent="0.2">
      <c r="A341" s="28">
        <v>39945</v>
      </c>
      <c r="B341" s="26" t="s">
        <v>2977</v>
      </c>
      <c r="C341" s="26" t="s">
        <v>9</v>
      </c>
      <c r="D341" s="35" t="s">
        <v>20</v>
      </c>
      <c r="E341" s="35" t="s">
        <v>20</v>
      </c>
      <c r="F341" s="35" t="s">
        <v>20</v>
      </c>
      <c r="G341" t="b">
        <f t="shared" si="18"/>
        <v>0</v>
      </c>
      <c r="H341" t="b">
        <f t="shared" si="19"/>
        <v>0</v>
      </c>
      <c r="I341" s="29">
        <f t="shared" si="17"/>
        <v>39945</v>
      </c>
    </row>
    <row r="342" spans="1:9" x14ac:dyDescent="0.2">
      <c r="A342" s="28">
        <v>39948</v>
      </c>
      <c r="B342" s="26" t="s">
        <v>1473</v>
      </c>
      <c r="C342" s="26" t="s">
        <v>2160</v>
      </c>
      <c r="D342" s="35">
        <v>150000000</v>
      </c>
      <c r="E342" s="35">
        <v>133375846</v>
      </c>
      <c r="F342" s="35">
        <v>485975846</v>
      </c>
      <c r="G342" t="b">
        <f t="shared" si="18"/>
        <v>0</v>
      </c>
      <c r="H342" t="b">
        <f t="shared" si="19"/>
        <v>0</v>
      </c>
      <c r="I342" s="29">
        <f t="shared" si="17"/>
        <v>39948</v>
      </c>
    </row>
    <row r="343" spans="1:9" ht="12.75" customHeight="1" x14ac:dyDescent="0.2">
      <c r="A343" s="28">
        <v>39948</v>
      </c>
      <c r="B343" s="26" t="s">
        <v>1732</v>
      </c>
      <c r="C343" s="26" t="s">
        <v>746</v>
      </c>
      <c r="D343" s="35" t="s">
        <v>20</v>
      </c>
      <c r="E343" s="35">
        <v>40796</v>
      </c>
      <c r="F343" s="35" t="s">
        <v>20</v>
      </c>
      <c r="G343" t="b">
        <f t="shared" si="18"/>
        <v>0</v>
      </c>
      <c r="H343" t="b">
        <f t="shared" si="19"/>
        <v>0</v>
      </c>
      <c r="I343" s="29">
        <f t="shared" si="17"/>
        <v>39948</v>
      </c>
    </row>
    <row r="344" spans="1:9" ht="12.75" customHeight="1" x14ac:dyDescent="0.2">
      <c r="A344" s="28">
        <v>39948</v>
      </c>
      <c r="B344" s="26" t="s">
        <v>1948</v>
      </c>
      <c r="C344" s="26" t="s">
        <v>2990</v>
      </c>
      <c r="D344" s="35" t="s">
        <v>20</v>
      </c>
      <c r="E344" s="35">
        <v>53723</v>
      </c>
      <c r="F344" s="35" t="s">
        <v>20</v>
      </c>
      <c r="G344" t="b">
        <f t="shared" si="18"/>
        <v>0</v>
      </c>
      <c r="H344" t="b">
        <f t="shared" si="19"/>
        <v>0</v>
      </c>
      <c r="I344" s="29">
        <f t="shared" si="17"/>
        <v>39948</v>
      </c>
    </row>
    <row r="345" spans="1:9" ht="25.5" x14ac:dyDescent="0.2">
      <c r="A345" s="28">
        <v>39948</v>
      </c>
      <c r="B345" s="26" t="s">
        <v>1819</v>
      </c>
      <c r="C345" s="26" t="s">
        <v>1066</v>
      </c>
      <c r="D345" s="35" t="s">
        <v>20</v>
      </c>
      <c r="E345" s="35">
        <v>3531756</v>
      </c>
      <c r="F345" s="35">
        <v>3729930</v>
      </c>
      <c r="G345" t="b">
        <f t="shared" si="18"/>
        <v>0</v>
      </c>
      <c r="H345" t="b">
        <f t="shared" si="19"/>
        <v>0</v>
      </c>
      <c r="I345" s="29">
        <f t="shared" si="17"/>
        <v>39948</v>
      </c>
    </row>
    <row r="346" spans="1:9" ht="12.75" customHeight="1" x14ac:dyDescent="0.2">
      <c r="A346" s="28">
        <v>39948</v>
      </c>
      <c r="B346" s="26" t="s">
        <v>3079</v>
      </c>
      <c r="C346" s="26" t="s">
        <v>3466</v>
      </c>
      <c r="D346" s="35" t="s">
        <v>20</v>
      </c>
      <c r="E346" s="35">
        <v>1647001</v>
      </c>
      <c r="F346" s="35">
        <v>6947001</v>
      </c>
      <c r="G346" t="b">
        <f t="shared" si="18"/>
        <v>0</v>
      </c>
      <c r="H346" t="b">
        <f t="shared" si="19"/>
        <v>0</v>
      </c>
      <c r="I346" s="29">
        <f t="shared" si="17"/>
        <v>39948</v>
      </c>
    </row>
    <row r="347" spans="1:9" ht="12.75" customHeight="1" x14ac:dyDescent="0.2">
      <c r="A347" s="28">
        <v>39948</v>
      </c>
      <c r="B347" s="26" t="s">
        <v>1506</v>
      </c>
      <c r="C347" s="26" t="s">
        <v>1319</v>
      </c>
      <c r="D347" s="35" t="s">
        <v>20</v>
      </c>
      <c r="E347" s="35">
        <v>934658</v>
      </c>
      <c r="F347" s="35" t="s">
        <v>20</v>
      </c>
      <c r="G347" t="b">
        <f t="shared" si="18"/>
        <v>0</v>
      </c>
      <c r="H347" t="b">
        <f t="shared" si="19"/>
        <v>0</v>
      </c>
      <c r="I347" s="29">
        <f t="shared" si="17"/>
        <v>39948</v>
      </c>
    </row>
    <row r="348" spans="1:9" ht="12.75" customHeight="1" x14ac:dyDescent="0.2">
      <c r="A348" s="28">
        <v>39948</v>
      </c>
      <c r="B348" s="26" t="s">
        <v>1241</v>
      </c>
      <c r="C348" s="26" t="s">
        <v>842</v>
      </c>
      <c r="D348" s="35" t="s">
        <v>20</v>
      </c>
      <c r="E348" s="35">
        <v>60105</v>
      </c>
      <c r="F348" s="35" t="s">
        <v>20</v>
      </c>
      <c r="G348" t="b">
        <f t="shared" si="18"/>
        <v>0</v>
      </c>
      <c r="H348" t="b">
        <f t="shared" si="19"/>
        <v>0</v>
      </c>
      <c r="I348" s="29">
        <f t="shared" si="17"/>
        <v>39948</v>
      </c>
    </row>
    <row r="349" spans="1:9" ht="12.75" customHeight="1" x14ac:dyDescent="0.2">
      <c r="A349" s="28">
        <v>39952</v>
      </c>
      <c r="B349" s="26" t="s">
        <v>1837</v>
      </c>
      <c r="C349" s="26" t="s">
        <v>9</v>
      </c>
      <c r="D349" s="35" t="s">
        <v>20</v>
      </c>
      <c r="E349" s="35" t="s">
        <v>20</v>
      </c>
      <c r="F349" s="35" t="s">
        <v>20</v>
      </c>
      <c r="G349" t="b">
        <f t="shared" si="18"/>
        <v>0</v>
      </c>
      <c r="H349" t="b">
        <f t="shared" si="19"/>
        <v>0</v>
      </c>
      <c r="I349" s="29">
        <f t="shared" si="17"/>
        <v>39952</v>
      </c>
    </row>
    <row r="350" spans="1:9" ht="12.75" customHeight="1" x14ac:dyDescent="0.2">
      <c r="A350" s="28">
        <v>39952</v>
      </c>
      <c r="B350" s="26" t="s">
        <v>2929</v>
      </c>
      <c r="C350" s="26" t="s">
        <v>9</v>
      </c>
      <c r="D350" s="35" t="s">
        <v>20</v>
      </c>
      <c r="E350" s="35" t="s">
        <v>20</v>
      </c>
      <c r="F350" s="35" t="s">
        <v>20</v>
      </c>
      <c r="G350" t="b">
        <f t="shared" si="18"/>
        <v>0</v>
      </c>
      <c r="H350" t="b">
        <f t="shared" si="19"/>
        <v>0</v>
      </c>
      <c r="I350" s="29">
        <f t="shared" si="17"/>
        <v>39952</v>
      </c>
    </row>
    <row r="351" spans="1:9" x14ac:dyDescent="0.2">
      <c r="A351" s="28">
        <v>39952</v>
      </c>
      <c r="B351" s="26" t="s">
        <v>2651</v>
      </c>
      <c r="C351" s="26" t="s">
        <v>9</v>
      </c>
      <c r="D351" s="35" t="s">
        <v>20</v>
      </c>
      <c r="E351" s="35" t="s">
        <v>20</v>
      </c>
      <c r="F351" s="35" t="s">
        <v>20</v>
      </c>
      <c r="G351" t="b">
        <f t="shared" si="18"/>
        <v>0</v>
      </c>
      <c r="H351" t="b">
        <f t="shared" si="19"/>
        <v>0</v>
      </c>
      <c r="I351" s="29">
        <f t="shared" si="17"/>
        <v>39952</v>
      </c>
    </row>
    <row r="352" spans="1:9" ht="25.5" x14ac:dyDescent="0.2">
      <c r="A352" s="28">
        <v>39952</v>
      </c>
      <c r="B352" s="26" t="s">
        <v>3270</v>
      </c>
      <c r="C352" s="26" t="s">
        <v>9</v>
      </c>
      <c r="D352" s="35" t="s">
        <v>20</v>
      </c>
      <c r="E352" s="35" t="s">
        <v>20</v>
      </c>
      <c r="F352" s="35" t="s">
        <v>20</v>
      </c>
      <c r="G352" t="b">
        <f t="shared" si="18"/>
        <v>0</v>
      </c>
      <c r="H352" t="b">
        <f t="shared" si="19"/>
        <v>0</v>
      </c>
      <c r="I352" s="29">
        <f t="shared" si="17"/>
        <v>39952</v>
      </c>
    </row>
    <row r="353" spans="1:9" ht="25.5" x14ac:dyDescent="0.2">
      <c r="A353" s="28">
        <v>39952</v>
      </c>
      <c r="B353" s="26" t="s">
        <v>2880</v>
      </c>
      <c r="C353" s="26" t="s">
        <v>9</v>
      </c>
      <c r="D353" s="35" t="s">
        <v>20</v>
      </c>
      <c r="E353" s="35" t="s">
        <v>20</v>
      </c>
      <c r="F353" s="35" t="s">
        <v>20</v>
      </c>
      <c r="G353" t="b">
        <f t="shared" si="18"/>
        <v>0</v>
      </c>
      <c r="H353" t="b">
        <f t="shared" si="19"/>
        <v>0</v>
      </c>
      <c r="I353" s="29">
        <f t="shared" si="17"/>
        <v>39952</v>
      </c>
    </row>
    <row r="354" spans="1:9" ht="12.75" customHeight="1" x14ac:dyDescent="0.2">
      <c r="A354" s="28">
        <v>39952</v>
      </c>
      <c r="B354" s="26" t="s">
        <v>507</v>
      </c>
      <c r="C354" s="26" t="s">
        <v>746</v>
      </c>
      <c r="D354" s="35" t="s">
        <v>20</v>
      </c>
      <c r="E354" s="35" t="s">
        <v>20</v>
      </c>
      <c r="F354" s="35" t="s">
        <v>20</v>
      </c>
      <c r="G354" t="b">
        <f t="shared" si="18"/>
        <v>0</v>
      </c>
      <c r="H354" t="b">
        <f t="shared" si="19"/>
        <v>0</v>
      </c>
      <c r="I354" s="29">
        <f t="shared" si="17"/>
        <v>39952</v>
      </c>
    </row>
    <row r="355" spans="1:9" ht="12.75" customHeight="1" x14ac:dyDescent="0.2">
      <c r="A355" s="28">
        <v>39953</v>
      </c>
      <c r="B355" s="26" t="s">
        <v>1951</v>
      </c>
      <c r="C355" s="26" t="s">
        <v>322</v>
      </c>
      <c r="D355" s="35" t="s">
        <v>20</v>
      </c>
      <c r="E355" s="35">
        <v>51672</v>
      </c>
      <c r="F355" s="35" t="s">
        <v>20</v>
      </c>
      <c r="G355" t="b">
        <f t="shared" si="18"/>
        <v>0</v>
      </c>
      <c r="H355" t="b">
        <f t="shared" si="19"/>
        <v>0</v>
      </c>
      <c r="I355" s="29">
        <f t="shared" si="17"/>
        <v>39953</v>
      </c>
    </row>
    <row r="356" spans="1:9" ht="38.25" x14ac:dyDescent="0.2">
      <c r="A356" s="28">
        <v>39954</v>
      </c>
      <c r="B356" s="26" t="s">
        <v>2404</v>
      </c>
      <c r="C356" s="26" t="s">
        <v>3209</v>
      </c>
      <c r="D356" s="35">
        <v>200000000</v>
      </c>
      <c r="E356" s="35">
        <v>125322469</v>
      </c>
      <c r="F356" s="35">
        <v>371628539</v>
      </c>
      <c r="G356" t="b">
        <f t="shared" si="18"/>
        <v>0</v>
      </c>
      <c r="H356" t="b">
        <f t="shared" si="19"/>
        <v>0</v>
      </c>
      <c r="I356" s="29">
        <f t="shared" si="17"/>
        <v>39954</v>
      </c>
    </row>
    <row r="357" spans="1:9" ht="25.5" x14ac:dyDescent="0.2">
      <c r="A357" s="28">
        <v>39955</v>
      </c>
      <c r="B357" s="26" t="s">
        <v>975</v>
      </c>
      <c r="C357" s="26" t="s">
        <v>2168</v>
      </c>
      <c r="D357" s="35">
        <v>25000000</v>
      </c>
      <c r="E357" s="35">
        <v>25662155</v>
      </c>
      <c r="F357" s="35">
        <v>32092761</v>
      </c>
      <c r="G357" t="b">
        <f t="shared" si="18"/>
        <v>0</v>
      </c>
      <c r="H357" t="b">
        <f t="shared" si="19"/>
        <v>0</v>
      </c>
      <c r="I357" s="29">
        <f t="shared" si="17"/>
        <v>39955</v>
      </c>
    </row>
    <row r="358" spans="1:9" ht="12.75" customHeight="1" x14ac:dyDescent="0.2">
      <c r="A358" s="28">
        <v>39955</v>
      </c>
      <c r="B358" s="26" t="s">
        <v>535</v>
      </c>
      <c r="C358" s="26" t="s">
        <v>612</v>
      </c>
      <c r="D358" s="35" t="s">
        <v>20</v>
      </c>
      <c r="E358" s="35">
        <v>302232</v>
      </c>
      <c r="F358" s="35">
        <v>1502232</v>
      </c>
      <c r="G358" t="b">
        <f t="shared" si="18"/>
        <v>0</v>
      </c>
      <c r="H358" t="b">
        <f t="shared" si="19"/>
        <v>0</v>
      </c>
      <c r="I358" s="29">
        <f t="shared" si="17"/>
        <v>39955</v>
      </c>
    </row>
    <row r="359" spans="1:9" ht="12.75" customHeight="1" x14ac:dyDescent="0.2">
      <c r="A359" s="28">
        <v>39955</v>
      </c>
      <c r="B359" s="26" t="s">
        <v>519</v>
      </c>
      <c r="C359" s="26" t="s">
        <v>9</v>
      </c>
      <c r="D359" s="35" t="s">
        <v>20</v>
      </c>
      <c r="E359" s="35" t="s">
        <v>20</v>
      </c>
      <c r="F359" s="35">
        <v>452479</v>
      </c>
      <c r="G359" t="b">
        <f t="shared" si="18"/>
        <v>0</v>
      </c>
      <c r="H359" t="b">
        <f t="shared" si="19"/>
        <v>0</v>
      </c>
      <c r="I359" s="29">
        <f t="shared" si="17"/>
        <v>39955</v>
      </c>
    </row>
    <row r="360" spans="1:9" ht="12.75" customHeight="1" x14ac:dyDescent="0.2">
      <c r="A360" s="28">
        <v>39955</v>
      </c>
      <c r="B360" s="26" t="s">
        <v>1626</v>
      </c>
      <c r="C360" s="26" t="s">
        <v>9</v>
      </c>
      <c r="D360" s="35" t="s">
        <v>20</v>
      </c>
      <c r="E360" s="35">
        <v>2656784</v>
      </c>
      <c r="F360" s="35">
        <v>12656784</v>
      </c>
      <c r="G360" t="b">
        <f t="shared" si="18"/>
        <v>0</v>
      </c>
      <c r="H360" t="b">
        <f t="shared" si="19"/>
        <v>0</v>
      </c>
      <c r="I360" s="29">
        <f t="shared" si="17"/>
        <v>39955</v>
      </c>
    </row>
    <row r="361" spans="1:9" ht="25.5" x14ac:dyDescent="0.2">
      <c r="A361" s="28">
        <v>39955</v>
      </c>
      <c r="B361" s="26" t="s">
        <v>635</v>
      </c>
      <c r="C361" s="26" t="s">
        <v>9</v>
      </c>
      <c r="D361" s="35" t="s">
        <v>20</v>
      </c>
      <c r="E361" s="35" t="s">
        <v>20</v>
      </c>
      <c r="F361" s="35">
        <v>506048</v>
      </c>
      <c r="G361" t="b">
        <f t="shared" si="18"/>
        <v>0</v>
      </c>
      <c r="H361" t="b">
        <f t="shared" si="19"/>
        <v>0</v>
      </c>
      <c r="I361" s="29">
        <f t="shared" si="17"/>
        <v>39955</v>
      </c>
    </row>
    <row r="362" spans="1:9" ht="38.25" x14ac:dyDescent="0.2">
      <c r="A362" s="28">
        <v>39955</v>
      </c>
      <c r="B362" s="26" t="s">
        <v>3201</v>
      </c>
      <c r="C362" s="26" t="s">
        <v>384</v>
      </c>
      <c r="D362" s="35">
        <v>150000000</v>
      </c>
      <c r="E362" s="35">
        <v>177243721</v>
      </c>
      <c r="F362" s="35">
        <v>413054631</v>
      </c>
      <c r="G362" t="b">
        <f t="shared" si="18"/>
        <v>0</v>
      </c>
      <c r="H362" t="b">
        <f t="shared" si="19"/>
        <v>0</v>
      </c>
      <c r="I362" s="29">
        <f t="shared" si="17"/>
        <v>39955</v>
      </c>
    </row>
    <row r="363" spans="1:9" ht="25.5" x14ac:dyDescent="0.2">
      <c r="A363" s="28">
        <v>39955</v>
      </c>
      <c r="B363" s="26" t="s">
        <v>344</v>
      </c>
      <c r="C363" s="26" t="s">
        <v>746</v>
      </c>
      <c r="D363" s="35" t="s">
        <v>20</v>
      </c>
      <c r="E363" s="35">
        <v>695840</v>
      </c>
      <c r="F363" s="35" t="s">
        <v>20</v>
      </c>
      <c r="G363" t="b">
        <f t="shared" si="18"/>
        <v>0</v>
      </c>
      <c r="H363" t="b">
        <f t="shared" si="19"/>
        <v>0</v>
      </c>
      <c r="I363" s="29">
        <f t="shared" si="17"/>
        <v>39955</v>
      </c>
    </row>
    <row r="364" spans="1:9" ht="25.5" x14ac:dyDescent="0.2">
      <c r="A364" s="28">
        <v>39955</v>
      </c>
      <c r="B364" s="26" t="s">
        <v>1192</v>
      </c>
      <c r="C364" s="26" t="s">
        <v>1561</v>
      </c>
      <c r="D364" s="35" t="s">
        <v>20</v>
      </c>
      <c r="E364" s="35">
        <v>4638</v>
      </c>
      <c r="F364" s="35" t="s">
        <v>20</v>
      </c>
      <c r="G364" t="b">
        <f t="shared" si="18"/>
        <v>0</v>
      </c>
      <c r="H364" t="b">
        <f t="shared" si="19"/>
        <v>0</v>
      </c>
      <c r="I364" s="29">
        <f t="shared" si="17"/>
        <v>39955</v>
      </c>
    </row>
    <row r="365" spans="1:9" ht="38.25" x14ac:dyDescent="0.2">
      <c r="A365" s="28">
        <v>39955</v>
      </c>
      <c r="B365" s="26" t="s">
        <v>868</v>
      </c>
      <c r="C365" s="26" t="s">
        <v>9</v>
      </c>
      <c r="D365" s="35" t="s">
        <v>20</v>
      </c>
      <c r="E365" s="35">
        <v>55513</v>
      </c>
      <c r="F365" s="35" t="s">
        <v>20</v>
      </c>
      <c r="G365" t="b">
        <f t="shared" si="18"/>
        <v>0</v>
      </c>
      <c r="H365" t="b">
        <f t="shared" si="19"/>
        <v>0</v>
      </c>
      <c r="I365" s="29">
        <f t="shared" si="17"/>
        <v>39955</v>
      </c>
    </row>
    <row r="366" spans="1:9" ht="25.5" x14ac:dyDescent="0.2">
      <c r="A366" s="28">
        <v>39956</v>
      </c>
      <c r="B366" s="26" t="s">
        <v>863</v>
      </c>
      <c r="C366" s="26" t="s">
        <v>9</v>
      </c>
      <c r="D366" s="35" t="s">
        <v>20</v>
      </c>
      <c r="E366" s="35" t="s">
        <v>20</v>
      </c>
      <c r="F366" s="35">
        <v>730513</v>
      </c>
      <c r="G366" t="b">
        <f t="shared" si="18"/>
        <v>0</v>
      </c>
      <c r="H366" t="b">
        <f t="shared" si="19"/>
        <v>0</v>
      </c>
      <c r="I366" s="29">
        <f t="shared" si="17"/>
        <v>39956</v>
      </c>
    </row>
    <row r="367" spans="1:9" ht="12.75" customHeight="1" x14ac:dyDescent="0.2">
      <c r="A367" s="28">
        <v>39956</v>
      </c>
      <c r="B367" s="26" t="s">
        <v>1244</v>
      </c>
      <c r="C367" s="26" t="s">
        <v>9</v>
      </c>
      <c r="D367" s="35" t="s">
        <v>20</v>
      </c>
      <c r="E367" s="35" t="s">
        <v>20</v>
      </c>
      <c r="F367" s="35">
        <v>1052268</v>
      </c>
      <c r="G367" t="b">
        <f t="shared" si="18"/>
        <v>0</v>
      </c>
      <c r="H367" t="b">
        <f t="shared" si="19"/>
        <v>0</v>
      </c>
      <c r="I367" s="29">
        <f t="shared" si="17"/>
        <v>39956</v>
      </c>
    </row>
    <row r="368" spans="1:9" ht="25.5" x14ac:dyDescent="0.2">
      <c r="A368" s="28">
        <v>39959</v>
      </c>
      <c r="B368" s="26" t="s">
        <v>2384</v>
      </c>
      <c r="C368" s="26" t="s">
        <v>9</v>
      </c>
      <c r="D368" s="35" t="s">
        <v>20</v>
      </c>
      <c r="E368" s="35" t="s">
        <v>20</v>
      </c>
      <c r="F368" s="35" t="s">
        <v>20</v>
      </c>
      <c r="G368" t="b">
        <f t="shared" si="18"/>
        <v>0</v>
      </c>
      <c r="H368" t="b">
        <f t="shared" si="19"/>
        <v>0</v>
      </c>
      <c r="I368" s="29">
        <f t="shared" si="17"/>
        <v>39959</v>
      </c>
    </row>
    <row r="369" spans="1:9" ht="12.75" customHeight="1" x14ac:dyDescent="0.2">
      <c r="A369" s="28">
        <v>39959</v>
      </c>
      <c r="B369" s="26" t="s">
        <v>1214</v>
      </c>
      <c r="C369" s="26" t="s">
        <v>9</v>
      </c>
      <c r="D369" s="35" t="s">
        <v>20</v>
      </c>
      <c r="E369" s="35" t="s">
        <v>20</v>
      </c>
      <c r="F369" s="35" t="s">
        <v>20</v>
      </c>
      <c r="G369" t="b">
        <f t="shared" si="18"/>
        <v>0</v>
      </c>
      <c r="H369" t="b">
        <f t="shared" si="19"/>
        <v>0</v>
      </c>
      <c r="I369" s="29">
        <f t="shared" si="17"/>
        <v>39959</v>
      </c>
    </row>
    <row r="370" spans="1:9" ht="25.5" x14ac:dyDescent="0.2">
      <c r="A370" s="28">
        <v>39959</v>
      </c>
      <c r="B370" s="26" t="s">
        <v>1763</v>
      </c>
      <c r="C370" s="26" t="s">
        <v>37</v>
      </c>
      <c r="D370" s="35" t="s">
        <v>20</v>
      </c>
      <c r="E370" s="35" t="s">
        <v>20</v>
      </c>
      <c r="F370" s="35" t="s">
        <v>20</v>
      </c>
      <c r="G370" t="b">
        <f t="shared" si="18"/>
        <v>0</v>
      </c>
      <c r="H370" t="b">
        <f t="shared" si="19"/>
        <v>0</v>
      </c>
      <c r="I370" s="29">
        <f t="shared" si="17"/>
        <v>39959</v>
      </c>
    </row>
    <row r="371" spans="1:9" ht="25.5" x14ac:dyDescent="0.2">
      <c r="A371" s="28">
        <v>39959</v>
      </c>
      <c r="B371" s="26" t="s">
        <v>1935</v>
      </c>
      <c r="C371" s="26" t="s">
        <v>9</v>
      </c>
      <c r="D371" s="35" t="s">
        <v>20</v>
      </c>
      <c r="E371" s="35" t="s">
        <v>20</v>
      </c>
      <c r="F371" s="35" t="s">
        <v>20</v>
      </c>
      <c r="G371" t="b">
        <f t="shared" si="18"/>
        <v>0</v>
      </c>
      <c r="H371" t="b">
        <f t="shared" si="19"/>
        <v>0</v>
      </c>
      <c r="I371" s="29">
        <f t="shared" si="17"/>
        <v>39959</v>
      </c>
    </row>
    <row r="372" spans="1:9" ht="12.75" customHeight="1" x14ac:dyDescent="0.2">
      <c r="A372" s="28">
        <v>39959</v>
      </c>
      <c r="B372" s="26" t="s">
        <v>910</v>
      </c>
      <c r="C372" s="26" t="s">
        <v>9</v>
      </c>
      <c r="D372" s="35" t="s">
        <v>20</v>
      </c>
      <c r="E372" s="35" t="s">
        <v>20</v>
      </c>
      <c r="F372" s="35" t="s">
        <v>20</v>
      </c>
      <c r="G372" t="b">
        <f t="shared" si="18"/>
        <v>0</v>
      </c>
      <c r="H372" t="b">
        <f t="shared" si="19"/>
        <v>0</v>
      </c>
      <c r="I372" s="29">
        <f t="shared" si="17"/>
        <v>39959</v>
      </c>
    </row>
    <row r="373" spans="1:9" ht="12.75" customHeight="1" x14ac:dyDescent="0.2">
      <c r="A373" s="28">
        <v>39959</v>
      </c>
      <c r="B373" s="26" t="s">
        <v>875</v>
      </c>
      <c r="C373" s="26" t="s">
        <v>9</v>
      </c>
      <c r="D373" s="35" t="s">
        <v>20</v>
      </c>
      <c r="E373" s="35" t="s">
        <v>20</v>
      </c>
      <c r="F373" s="35" t="s">
        <v>20</v>
      </c>
      <c r="G373" t="b">
        <f t="shared" si="18"/>
        <v>0</v>
      </c>
      <c r="H373" t="b">
        <f t="shared" si="19"/>
        <v>0</v>
      </c>
      <c r="I373" s="29">
        <f t="shared" si="17"/>
        <v>39959</v>
      </c>
    </row>
    <row r="374" spans="1:9" ht="12.75" customHeight="1" x14ac:dyDescent="0.2">
      <c r="A374" s="28">
        <v>39960</v>
      </c>
      <c r="B374" s="26" t="s">
        <v>3178</v>
      </c>
      <c r="C374" s="26" t="s">
        <v>2418</v>
      </c>
      <c r="D374" s="35" t="s">
        <v>20</v>
      </c>
      <c r="E374" s="35">
        <v>44802</v>
      </c>
      <c r="F374" s="35" t="s">
        <v>20</v>
      </c>
      <c r="G374" t="b">
        <f t="shared" si="18"/>
        <v>0</v>
      </c>
      <c r="H374" t="b">
        <f t="shared" si="19"/>
        <v>0</v>
      </c>
      <c r="I374" s="29">
        <f t="shared" si="17"/>
        <v>39960</v>
      </c>
    </row>
    <row r="375" spans="1:9" ht="25.5" x14ac:dyDescent="0.2">
      <c r="A375" s="28">
        <v>39960</v>
      </c>
      <c r="B375" s="26" t="s">
        <v>2897</v>
      </c>
      <c r="C375" s="26" t="s">
        <v>9</v>
      </c>
      <c r="D375" s="35" t="s">
        <v>20</v>
      </c>
      <c r="E375" s="35" t="s">
        <v>20</v>
      </c>
      <c r="F375" s="35">
        <v>2326099</v>
      </c>
      <c r="G375" t="b">
        <f t="shared" si="18"/>
        <v>0</v>
      </c>
      <c r="H375" t="b">
        <f t="shared" si="19"/>
        <v>0</v>
      </c>
      <c r="I375" s="29">
        <f t="shared" si="17"/>
        <v>39960</v>
      </c>
    </row>
    <row r="376" spans="1:9" ht="12.75" customHeight="1" x14ac:dyDescent="0.2">
      <c r="A376" s="28">
        <v>39962</v>
      </c>
      <c r="B376" s="26" t="s">
        <v>1080</v>
      </c>
      <c r="C376" s="26" t="s">
        <v>9</v>
      </c>
      <c r="D376" s="35" t="s">
        <v>20</v>
      </c>
      <c r="E376" s="35">
        <v>1543346</v>
      </c>
      <c r="F376" s="35">
        <v>66143346</v>
      </c>
      <c r="G376" t="b">
        <f t="shared" si="18"/>
        <v>0</v>
      </c>
      <c r="H376" t="b">
        <f t="shared" si="19"/>
        <v>0</v>
      </c>
      <c r="I376" s="29">
        <f t="shared" si="17"/>
        <v>39962</v>
      </c>
    </row>
    <row r="377" spans="1:9" ht="12.75" customHeight="1" x14ac:dyDescent="0.2">
      <c r="A377" s="28">
        <v>39962</v>
      </c>
      <c r="B377" s="26" t="s">
        <v>533</v>
      </c>
      <c r="C377" s="26" t="s">
        <v>3466</v>
      </c>
      <c r="D377" s="35" t="s">
        <v>20</v>
      </c>
      <c r="E377" s="35">
        <v>3865</v>
      </c>
      <c r="F377" s="35" t="s">
        <v>20</v>
      </c>
      <c r="G377" t="b">
        <f t="shared" si="18"/>
        <v>0</v>
      </c>
      <c r="H377" t="b">
        <f t="shared" si="19"/>
        <v>0</v>
      </c>
      <c r="I377" s="29">
        <f t="shared" si="17"/>
        <v>39962</v>
      </c>
    </row>
    <row r="378" spans="1:9" ht="12.75" customHeight="1" x14ac:dyDescent="0.2">
      <c r="A378" s="28">
        <v>39962</v>
      </c>
      <c r="B378" s="26" t="s">
        <v>978</v>
      </c>
      <c r="C378" s="26" t="s">
        <v>83</v>
      </c>
      <c r="D378" s="35" t="s">
        <v>20</v>
      </c>
      <c r="E378" s="35">
        <v>13689</v>
      </c>
      <c r="F378" s="35" t="s">
        <v>20</v>
      </c>
      <c r="G378" t="b">
        <f t="shared" si="18"/>
        <v>0</v>
      </c>
      <c r="H378" t="b">
        <f t="shared" si="19"/>
        <v>0</v>
      </c>
      <c r="I378" s="29">
        <f t="shared" si="17"/>
        <v>39962</v>
      </c>
    </row>
    <row r="379" spans="1:9" ht="12.75" customHeight="1" x14ac:dyDescent="0.2">
      <c r="A379" s="28">
        <v>39962</v>
      </c>
      <c r="B379" s="26" t="s">
        <v>499</v>
      </c>
      <c r="C379" s="26" t="s">
        <v>9</v>
      </c>
      <c r="D379" s="35" t="s">
        <v>20</v>
      </c>
      <c r="E379" s="35" t="s">
        <v>20</v>
      </c>
      <c r="F379" s="35" t="s">
        <v>20</v>
      </c>
      <c r="G379" t="b">
        <f t="shared" si="18"/>
        <v>0</v>
      </c>
      <c r="H379" t="b">
        <f t="shared" si="19"/>
        <v>0</v>
      </c>
      <c r="I379" s="29">
        <f t="shared" ref="I379:I440" si="20">DATE(2009,MONTH(A379), DAY(A379))</f>
        <v>39962</v>
      </c>
    </row>
    <row r="380" spans="1:9" ht="12.75" customHeight="1" x14ac:dyDescent="0.2">
      <c r="A380" s="28">
        <v>39962</v>
      </c>
      <c r="B380" s="26" t="s">
        <v>1301</v>
      </c>
      <c r="C380" s="26" t="s">
        <v>3390</v>
      </c>
      <c r="D380" s="35">
        <v>175000000</v>
      </c>
      <c r="E380" s="35">
        <v>293004164</v>
      </c>
      <c r="F380" s="35">
        <v>731304609</v>
      </c>
      <c r="G380" t="b">
        <f t="shared" si="18"/>
        <v>0</v>
      </c>
      <c r="H380" t="b">
        <f t="shared" si="19"/>
        <v>0</v>
      </c>
      <c r="I380" s="29">
        <f t="shared" si="20"/>
        <v>39962</v>
      </c>
    </row>
    <row r="381" spans="1:9" ht="12.75" customHeight="1" x14ac:dyDescent="0.2">
      <c r="A381" s="28">
        <v>39962</v>
      </c>
      <c r="B381" s="26" t="s">
        <v>3018</v>
      </c>
      <c r="C381" s="26" t="s">
        <v>9</v>
      </c>
      <c r="D381" s="35" t="s">
        <v>20</v>
      </c>
      <c r="E381" s="35">
        <v>5290</v>
      </c>
      <c r="F381" s="35" t="s">
        <v>20</v>
      </c>
      <c r="G381" t="b">
        <f t="shared" si="18"/>
        <v>0</v>
      </c>
      <c r="H381" t="b">
        <f t="shared" si="19"/>
        <v>0</v>
      </c>
      <c r="I381" s="29">
        <f t="shared" si="20"/>
        <v>39962</v>
      </c>
    </row>
    <row r="382" spans="1:9" ht="12.75" customHeight="1" x14ac:dyDescent="0.2">
      <c r="A382" s="28">
        <v>39962</v>
      </c>
      <c r="B382" s="26" t="s">
        <v>2975</v>
      </c>
      <c r="C382" s="26" t="s">
        <v>2493</v>
      </c>
      <c r="D382" s="35" t="s">
        <v>20</v>
      </c>
      <c r="E382" s="35" t="s">
        <v>20</v>
      </c>
      <c r="F382" s="35" t="s">
        <v>20</v>
      </c>
      <c r="G382" t="b">
        <f t="shared" si="18"/>
        <v>0</v>
      </c>
      <c r="H382" t="b">
        <f t="shared" si="19"/>
        <v>0</v>
      </c>
      <c r="I382" s="29">
        <f t="shared" si="20"/>
        <v>39962</v>
      </c>
    </row>
    <row r="383" spans="1:9" ht="12.75" customHeight="1" x14ac:dyDescent="0.2">
      <c r="A383" s="28">
        <v>39962</v>
      </c>
      <c r="B383" s="26" t="s">
        <v>281</v>
      </c>
      <c r="C383" s="26" t="s">
        <v>9</v>
      </c>
      <c r="D383" s="35">
        <v>30000000</v>
      </c>
      <c r="E383" s="35">
        <v>42100625</v>
      </c>
      <c r="F383" s="35">
        <v>85724728</v>
      </c>
      <c r="G383" t="b">
        <f t="shared" si="18"/>
        <v>0</v>
      </c>
      <c r="H383" t="b">
        <f t="shared" si="19"/>
        <v>0</v>
      </c>
      <c r="I383" s="29">
        <f t="shared" si="20"/>
        <v>39962</v>
      </c>
    </row>
    <row r="384" spans="1:9" ht="12.75" customHeight="1" x14ac:dyDescent="0.2">
      <c r="A384" s="28">
        <v>39962</v>
      </c>
      <c r="B384" s="26" t="s">
        <v>1486</v>
      </c>
      <c r="C384" s="26" t="s">
        <v>1414</v>
      </c>
      <c r="D384" s="35" t="s">
        <v>20</v>
      </c>
      <c r="E384" s="35">
        <v>7001</v>
      </c>
      <c r="F384" s="35" t="s">
        <v>20</v>
      </c>
      <c r="G384" t="b">
        <f t="shared" si="18"/>
        <v>0</v>
      </c>
      <c r="H384" t="b">
        <f t="shared" si="19"/>
        <v>0</v>
      </c>
      <c r="I384" s="29">
        <f t="shared" si="20"/>
        <v>39962</v>
      </c>
    </row>
    <row r="385" spans="1:9" ht="12.75" customHeight="1" x14ac:dyDescent="0.2">
      <c r="A385" s="28">
        <v>39963</v>
      </c>
      <c r="B385" s="26" t="s">
        <v>1516</v>
      </c>
      <c r="C385" s="26" t="s">
        <v>9</v>
      </c>
      <c r="D385" s="35" t="s">
        <v>20</v>
      </c>
      <c r="E385" s="35" t="s">
        <v>20</v>
      </c>
      <c r="F385" s="35">
        <v>85405510</v>
      </c>
      <c r="G385" t="b">
        <f t="shared" si="18"/>
        <v>0</v>
      </c>
      <c r="H385" t="b">
        <f t="shared" si="19"/>
        <v>0</v>
      </c>
      <c r="I385" s="29">
        <f t="shared" si="20"/>
        <v>39963</v>
      </c>
    </row>
    <row r="386" spans="1:9" ht="12.75" customHeight="1" x14ac:dyDescent="0.2">
      <c r="A386" s="28">
        <v>39966</v>
      </c>
      <c r="B386" s="26" t="s">
        <v>2984</v>
      </c>
      <c r="C386" s="26" t="s">
        <v>9</v>
      </c>
      <c r="D386" s="35" t="s">
        <v>20</v>
      </c>
      <c r="E386" s="35" t="s">
        <v>20</v>
      </c>
      <c r="F386" s="35" t="s">
        <v>20</v>
      </c>
      <c r="G386" t="b">
        <f t="shared" ref="G386:G447" si="21">ISBLANK(A386)</f>
        <v>0</v>
      </c>
      <c r="H386" t="b">
        <f t="shared" ref="H386:H447" si="22">ISTEXT(A386)</f>
        <v>0</v>
      </c>
      <c r="I386" s="29">
        <f t="shared" si="20"/>
        <v>39966</v>
      </c>
    </row>
    <row r="387" spans="1:9" ht="25.5" x14ac:dyDescent="0.2">
      <c r="A387" s="28">
        <v>39966</v>
      </c>
      <c r="B387" s="26" t="s">
        <v>1509</v>
      </c>
      <c r="C387" s="26" t="s">
        <v>9</v>
      </c>
      <c r="D387" s="35" t="s">
        <v>20</v>
      </c>
      <c r="E387" s="35" t="s">
        <v>20</v>
      </c>
      <c r="F387" s="35" t="s">
        <v>20</v>
      </c>
      <c r="G387" t="b">
        <f t="shared" si="21"/>
        <v>0</v>
      </c>
      <c r="H387" t="b">
        <f t="shared" si="22"/>
        <v>0</v>
      </c>
      <c r="I387" s="29">
        <f t="shared" si="20"/>
        <v>39966</v>
      </c>
    </row>
    <row r="388" spans="1:9" ht="12.75" customHeight="1" x14ac:dyDescent="0.2">
      <c r="A388" s="28">
        <v>39966</v>
      </c>
      <c r="B388" s="26" t="s">
        <v>861</v>
      </c>
      <c r="C388" s="26" t="s">
        <v>9</v>
      </c>
      <c r="D388" s="35" t="s">
        <v>20</v>
      </c>
      <c r="E388" s="35" t="s">
        <v>20</v>
      </c>
      <c r="F388" s="35" t="s">
        <v>20</v>
      </c>
      <c r="G388" t="b">
        <f t="shared" si="21"/>
        <v>0</v>
      </c>
      <c r="H388" t="b">
        <f t="shared" si="22"/>
        <v>0</v>
      </c>
      <c r="I388" s="29">
        <f t="shared" si="20"/>
        <v>39966</v>
      </c>
    </row>
    <row r="389" spans="1:9" ht="12.75" customHeight="1" x14ac:dyDescent="0.2">
      <c r="A389" s="28">
        <v>39966</v>
      </c>
      <c r="B389" s="26" t="s">
        <v>2178</v>
      </c>
      <c r="C389" s="26" t="s">
        <v>9</v>
      </c>
      <c r="D389" s="35" t="s">
        <v>20</v>
      </c>
      <c r="E389" s="35" t="s">
        <v>20</v>
      </c>
      <c r="F389" s="35" t="s">
        <v>20</v>
      </c>
      <c r="G389" t="b">
        <f t="shared" si="21"/>
        <v>0</v>
      </c>
      <c r="H389" t="b">
        <f t="shared" si="22"/>
        <v>0</v>
      </c>
      <c r="I389" s="29">
        <f t="shared" si="20"/>
        <v>39966</v>
      </c>
    </row>
    <row r="390" spans="1:9" ht="12.75" customHeight="1" x14ac:dyDescent="0.2">
      <c r="A390" s="28">
        <v>39967</v>
      </c>
      <c r="B390" s="26" t="s">
        <v>1248</v>
      </c>
      <c r="C390" s="26" t="s">
        <v>322</v>
      </c>
      <c r="D390" s="35" t="s">
        <v>20</v>
      </c>
      <c r="E390" s="35">
        <v>306140</v>
      </c>
      <c r="F390" s="35" t="s">
        <v>20</v>
      </c>
      <c r="G390" t="b">
        <f t="shared" si="21"/>
        <v>0</v>
      </c>
      <c r="H390" t="b">
        <f t="shared" si="22"/>
        <v>0</v>
      </c>
      <c r="I390" s="29">
        <f t="shared" si="20"/>
        <v>39967</v>
      </c>
    </row>
    <row r="391" spans="1:9" x14ac:dyDescent="0.2">
      <c r="A391" s="28">
        <v>39968</v>
      </c>
      <c r="B391" s="26" t="s">
        <v>365</v>
      </c>
      <c r="C391" s="26" t="s">
        <v>9</v>
      </c>
      <c r="D391" s="35" t="s">
        <v>20</v>
      </c>
      <c r="E391" s="35" t="s">
        <v>20</v>
      </c>
      <c r="F391" s="35">
        <v>650018</v>
      </c>
      <c r="G391" t="b">
        <f t="shared" si="21"/>
        <v>0</v>
      </c>
      <c r="H391" t="b">
        <f t="shared" si="22"/>
        <v>0</v>
      </c>
      <c r="I391" s="29">
        <f t="shared" si="20"/>
        <v>39968</v>
      </c>
    </row>
    <row r="392" spans="1:9" ht="25.5" x14ac:dyDescent="0.2">
      <c r="A392" s="28">
        <v>39969</v>
      </c>
      <c r="B392" s="26" t="s">
        <v>3152</v>
      </c>
      <c r="C392" s="26" t="s">
        <v>2775</v>
      </c>
      <c r="D392" s="35" t="s">
        <v>20</v>
      </c>
      <c r="E392" s="35">
        <v>10382</v>
      </c>
      <c r="F392" s="35" t="s">
        <v>20</v>
      </c>
      <c r="G392" t="b">
        <f t="shared" si="21"/>
        <v>0</v>
      </c>
      <c r="H392" t="b">
        <f t="shared" si="22"/>
        <v>0</v>
      </c>
      <c r="I392" s="29">
        <f t="shared" si="20"/>
        <v>39969</v>
      </c>
    </row>
    <row r="393" spans="1:9" ht="12.75" customHeight="1" x14ac:dyDescent="0.2">
      <c r="A393" s="28">
        <v>39969</v>
      </c>
      <c r="B393" s="26" t="s">
        <v>3026</v>
      </c>
      <c r="C393" s="26" t="s">
        <v>9</v>
      </c>
      <c r="D393" s="35" t="s">
        <v>20</v>
      </c>
      <c r="E393" s="35" t="s">
        <v>20</v>
      </c>
      <c r="F393" s="35" t="s">
        <v>20</v>
      </c>
      <c r="G393" t="b">
        <f t="shared" si="21"/>
        <v>0</v>
      </c>
      <c r="H393" t="b">
        <f t="shared" si="22"/>
        <v>0</v>
      </c>
      <c r="I393" s="29">
        <f t="shared" si="20"/>
        <v>39969</v>
      </c>
    </row>
    <row r="394" spans="1:9" ht="12.75" customHeight="1" x14ac:dyDescent="0.2">
      <c r="A394" s="28">
        <v>39969</v>
      </c>
      <c r="B394" s="26" t="s">
        <v>1200</v>
      </c>
      <c r="C394" s="26" t="s">
        <v>1414</v>
      </c>
      <c r="D394" s="35" t="s">
        <v>20</v>
      </c>
      <c r="E394" s="35">
        <v>10443</v>
      </c>
      <c r="F394" s="35" t="s">
        <v>20</v>
      </c>
      <c r="G394" t="b">
        <f t="shared" si="21"/>
        <v>0</v>
      </c>
      <c r="H394" t="b">
        <f t="shared" si="22"/>
        <v>0</v>
      </c>
      <c r="I394" s="29">
        <f t="shared" si="20"/>
        <v>39969</v>
      </c>
    </row>
    <row r="395" spans="1:9" ht="12.75" customHeight="1" x14ac:dyDescent="0.2">
      <c r="A395" s="28">
        <v>39969</v>
      </c>
      <c r="B395" s="26" t="s">
        <v>175</v>
      </c>
      <c r="C395" s="26" t="s">
        <v>698</v>
      </c>
      <c r="D395" s="35">
        <v>21000000</v>
      </c>
      <c r="E395" s="35">
        <v>9451946</v>
      </c>
      <c r="F395" s="35">
        <v>10108016</v>
      </c>
      <c r="G395" t="b">
        <f t="shared" si="21"/>
        <v>0</v>
      </c>
      <c r="H395" t="b">
        <f t="shared" si="22"/>
        <v>0</v>
      </c>
      <c r="I395" s="29">
        <f t="shared" si="20"/>
        <v>39969</v>
      </c>
    </row>
    <row r="396" spans="1:9" ht="12.75" customHeight="1" x14ac:dyDescent="0.2">
      <c r="A396" s="28">
        <v>39969</v>
      </c>
      <c r="B396" s="26" t="s">
        <v>409</v>
      </c>
      <c r="C396" s="26" t="s">
        <v>9</v>
      </c>
      <c r="D396" s="35" t="s">
        <v>20</v>
      </c>
      <c r="E396" s="35">
        <v>16100</v>
      </c>
      <c r="F396" s="35" t="s">
        <v>20</v>
      </c>
      <c r="G396" t="b">
        <f t="shared" si="21"/>
        <v>0</v>
      </c>
      <c r="H396" t="b">
        <f t="shared" si="22"/>
        <v>0</v>
      </c>
      <c r="I396" s="29">
        <f t="shared" si="20"/>
        <v>39969</v>
      </c>
    </row>
    <row r="397" spans="1:9" ht="12.75" customHeight="1" x14ac:dyDescent="0.2">
      <c r="A397" s="28">
        <v>39969</v>
      </c>
      <c r="B397" s="26" t="s">
        <v>878</v>
      </c>
      <c r="C397" s="26" t="s">
        <v>155</v>
      </c>
      <c r="D397" s="35" t="s">
        <v>20</v>
      </c>
      <c r="E397" s="35">
        <v>8665206</v>
      </c>
      <c r="F397" s="35">
        <v>18008669</v>
      </c>
      <c r="G397" t="b">
        <f t="shared" si="21"/>
        <v>0</v>
      </c>
      <c r="H397" t="b">
        <f t="shared" si="22"/>
        <v>0</v>
      </c>
      <c r="I397" s="29">
        <f t="shared" si="20"/>
        <v>39969</v>
      </c>
    </row>
    <row r="398" spans="1:9" ht="12.75" customHeight="1" x14ac:dyDescent="0.2">
      <c r="A398" s="28">
        <v>39969</v>
      </c>
      <c r="B398" s="26" t="s">
        <v>1039</v>
      </c>
      <c r="C398" s="26" t="s">
        <v>9</v>
      </c>
      <c r="D398" s="35" t="s">
        <v>20</v>
      </c>
      <c r="E398" s="35" t="s">
        <v>20</v>
      </c>
      <c r="F398" s="35">
        <v>6762276</v>
      </c>
      <c r="G398" t="b">
        <f t="shared" si="21"/>
        <v>0</v>
      </c>
      <c r="H398" t="b">
        <f t="shared" si="22"/>
        <v>0</v>
      </c>
      <c r="I398" s="29">
        <f t="shared" si="20"/>
        <v>39969</v>
      </c>
    </row>
    <row r="399" spans="1:9" ht="12.75" customHeight="1" x14ac:dyDescent="0.2">
      <c r="A399" s="28">
        <v>39969</v>
      </c>
      <c r="B399" s="26" t="s">
        <v>591</v>
      </c>
      <c r="C399" s="26" t="s">
        <v>3096</v>
      </c>
      <c r="D399" s="35">
        <v>100000000</v>
      </c>
      <c r="E399" s="35">
        <v>49438370</v>
      </c>
      <c r="F399" s="35">
        <v>69548641</v>
      </c>
      <c r="G399" t="b">
        <f t="shared" si="21"/>
        <v>0</v>
      </c>
      <c r="H399" t="b">
        <f t="shared" si="22"/>
        <v>0</v>
      </c>
      <c r="I399" s="29">
        <f t="shared" si="20"/>
        <v>39969</v>
      </c>
    </row>
    <row r="400" spans="1:9" ht="12.75" customHeight="1" x14ac:dyDescent="0.2">
      <c r="A400" s="28">
        <v>39969</v>
      </c>
      <c r="B400" s="26" t="s">
        <v>2074</v>
      </c>
      <c r="C400" s="26" t="s">
        <v>616</v>
      </c>
      <c r="D400" s="35" t="s">
        <v>20</v>
      </c>
      <c r="E400" s="35">
        <v>4970</v>
      </c>
      <c r="F400" s="35" t="s">
        <v>20</v>
      </c>
      <c r="G400" t="b">
        <f t="shared" si="21"/>
        <v>0</v>
      </c>
      <c r="H400" t="b">
        <f t="shared" si="22"/>
        <v>0</v>
      </c>
      <c r="I400" s="29">
        <f t="shared" si="20"/>
        <v>39969</v>
      </c>
    </row>
    <row r="401" spans="1:9" ht="12.75" customHeight="1" x14ac:dyDescent="0.2">
      <c r="A401" s="28">
        <v>39969</v>
      </c>
      <c r="B401" s="26" t="s">
        <v>2706</v>
      </c>
      <c r="C401" s="26" t="s">
        <v>3209</v>
      </c>
      <c r="D401" s="35">
        <v>35000000</v>
      </c>
      <c r="E401" s="35">
        <v>277322503</v>
      </c>
      <c r="F401" s="35">
        <v>469553471</v>
      </c>
      <c r="G401" t="b">
        <f t="shared" si="21"/>
        <v>0</v>
      </c>
      <c r="H401" t="b">
        <f t="shared" si="22"/>
        <v>0</v>
      </c>
      <c r="I401" s="29">
        <f t="shared" si="20"/>
        <v>39969</v>
      </c>
    </row>
    <row r="402" spans="1:9" ht="12.75" customHeight="1" x14ac:dyDescent="0.2">
      <c r="A402" s="28">
        <v>39969</v>
      </c>
      <c r="B402" s="26" t="s">
        <v>2141</v>
      </c>
      <c r="C402" s="26" t="s">
        <v>3241</v>
      </c>
      <c r="D402" s="35" t="s">
        <v>20</v>
      </c>
      <c r="E402" s="35">
        <v>884613</v>
      </c>
      <c r="F402" s="35" t="s">
        <v>20</v>
      </c>
      <c r="G402" t="b">
        <f t="shared" si="21"/>
        <v>0</v>
      </c>
      <c r="H402" t="b">
        <f t="shared" si="22"/>
        <v>0</v>
      </c>
      <c r="I402" s="29">
        <f t="shared" si="20"/>
        <v>39969</v>
      </c>
    </row>
    <row r="403" spans="1:9" ht="25.5" x14ac:dyDescent="0.2">
      <c r="A403" s="28">
        <v>39969</v>
      </c>
      <c r="B403" s="26" t="s">
        <v>1803</v>
      </c>
      <c r="C403" s="26" t="s">
        <v>2285</v>
      </c>
      <c r="D403" s="35" t="s">
        <v>20</v>
      </c>
      <c r="E403" s="35">
        <v>22282</v>
      </c>
      <c r="F403" s="35" t="s">
        <v>20</v>
      </c>
      <c r="G403" t="b">
        <f t="shared" si="21"/>
        <v>0</v>
      </c>
      <c r="H403" t="b">
        <f t="shared" si="22"/>
        <v>0</v>
      </c>
      <c r="I403" s="29">
        <f t="shared" si="20"/>
        <v>39969</v>
      </c>
    </row>
    <row r="404" spans="1:9" ht="12.75" customHeight="1" x14ac:dyDescent="0.2">
      <c r="A404" s="28">
        <v>39969</v>
      </c>
      <c r="B404" s="26" t="s">
        <v>781</v>
      </c>
      <c r="C404" s="26" t="s">
        <v>2605</v>
      </c>
      <c r="D404" s="35" t="s">
        <v>20</v>
      </c>
      <c r="E404" s="35">
        <v>194721</v>
      </c>
      <c r="F404" s="35" t="s">
        <v>20</v>
      </c>
      <c r="G404" t="b">
        <f t="shared" si="21"/>
        <v>0</v>
      </c>
      <c r="H404" t="b">
        <f t="shared" si="22"/>
        <v>0</v>
      </c>
      <c r="I404" s="29">
        <f t="shared" si="20"/>
        <v>39969</v>
      </c>
    </row>
    <row r="405" spans="1:9" ht="12.75" customHeight="1" x14ac:dyDescent="0.2">
      <c r="A405" s="28">
        <v>39969</v>
      </c>
      <c r="B405" s="26" t="s">
        <v>2769</v>
      </c>
      <c r="C405" s="26" t="s">
        <v>842</v>
      </c>
      <c r="D405" s="35" t="s">
        <v>20</v>
      </c>
      <c r="E405" s="35">
        <v>30799</v>
      </c>
      <c r="F405" s="35" t="s">
        <v>20</v>
      </c>
      <c r="G405" t="b">
        <f t="shared" si="21"/>
        <v>0</v>
      </c>
      <c r="H405" t="b">
        <f t="shared" si="22"/>
        <v>0</v>
      </c>
      <c r="I405" s="29">
        <f t="shared" si="20"/>
        <v>39969</v>
      </c>
    </row>
    <row r="406" spans="1:9" ht="12.75" customHeight="1" x14ac:dyDescent="0.2">
      <c r="A406" s="28">
        <v>39970</v>
      </c>
      <c r="B406" s="26" t="s">
        <v>1874</v>
      </c>
      <c r="C406" s="26" t="s">
        <v>1380</v>
      </c>
      <c r="D406" s="35" t="s">
        <v>20</v>
      </c>
      <c r="E406" s="35" t="s">
        <v>20</v>
      </c>
      <c r="F406" s="35">
        <v>6915788</v>
      </c>
      <c r="G406" t="b">
        <f t="shared" si="21"/>
        <v>0</v>
      </c>
      <c r="H406" t="b">
        <f t="shared" si="22"/>
        <v>0</v>
      </c>
      <c r="I406" s="29">
        <f t="shared" si="20"/>
        <v>39970</v>
      </c>
    </row>
    <row r="407" spans="1:9" x14ac:dyDescent="0.2">
      <c r="A407" s="28">
        <v>39975</v>
      </c>
      <c r="B407" s="26" t="s">
        <v>1754</v>
      </c>
      <c r="C407" s="26" t="s">
        <v>694</v>
      </c>
      <c r="D407" s="35" t="s">
        <v>20</v>
      </c>
      <c r="E407" s="35">
        <v>518522</v>
      </c>
      <c r="F407" s="35" t="s">
        <v>20</v>
      </c>
      <c r="G407" t="b">
        <f t="shared" si="21"/>
        <v>0</v>
      </c>
      <c r="H407" t="b">
        <f t="shared" si="22"/>
        <v>0</v>
      </c>
      <c r="I407" s="29">
        <f t="shared" si="20"/>
        <v>39975</v>
      </c>
    </row>
    <row r="408" spans="1:9" x14ac:dyDescent="0.2">
      <c r="A408" s="28">
        <v>39975</v>
      </c>
      <c r="B408" s="26" t="s">
        <v>1356</v>
      </c>
      <c r="C408" s="26" t="s">
        <v>9</v>
      </c>
      <c r="D408" s="35" t="s">
        <v>20</v>
      </c>
      <c r="E408" s="35" t="s">
        <v>20</v>
      </c>
      <c r="F408" s="35">
        <v>703403</v>
      </c>
      <c r="G408" t="b">
        <f t="shared" si="21"/>
        <v>0</v>
      </c>
      <c r="H408" t="b">
        <f t="shared" si="22"/>
        <v>0</v>
      </c>
      <c r="I408" s="29">
        <f t="shared" si="20"/>
        <v>39975</v>
      </c>
    </row>
    <row r="409" spans="1:9" ht="12.75" customHeight="1" x14ac:dyDescent="0.2">
      <c r="A409" s="28">
        <v>39975</v>
      </c>
      <c r="B409" s="26" t="s">
        <v>166</v>
      </c>
      <c r="C409" s="26" t="s">
        <v>9</v>
      </c>
      <c r="D409" s="35" t="s">
        <v>20</v>
      </c>
      <c r="E409" s="35" t="s">
        <v>20</v>
      </c>
      <c r="F409" s="35">
        <v>16083981</v>
      </c>
      <c r="G409" t="b">
        <f t="shared" si="21"/>
        <v>0</v>
      </c>
      <c r="H409" t="b">
        <f t="shared" si="22"/>
        <v>0</v>
      </c>
      <c r="I409" s="29">
        <f t="shared" si="20"/>
        <v>39975</v>
      </c>
    </row>
    <row r="410" spans="1:9" ht="12.75" customHeight="1" x14ac:dyDescent="0.2">
      <c r="A410" s="28">
        <v>39975</v>
      </c>
      <c r="B410" s="26" t="s">
        <v>1075</v>
      </c>
      <c r="C410" s="26" t="s">
        <v>2228</v>
      </c>
      <c r="D410" s="35" t="s">
        <v>20</v>
      </c>
      <c r="E410" s="35" t="s">
        <v>20</v>
      </c>
      <c r="F410" s="35" t="s">
        <v>20</v>
      </c>
      <c r="G410" t="b">
        <f t="shared" si="21"/>
        <v>0</v>
      </c>
      <c r="H410" t="b">
        <f t="shared" si="22"/>
        <v>0</v>
      </c>
      <c r="I410" s="29">
        <f t="shared" si="20"/>
        <v>39975</v>
      </c>
    </row>
    <row r="411" spans="1:9" ht="38.25" x14ac:dyDescent="0.2">
      <c r="A411" s="28">
        <v>39976</v>
      </c>
      <c r="B411" s="26" t="s">
        <v>3410</v>
      </c>
      <c r="C411" s="26" t="s">
        <v>9</v>
      </c>
      <c r="D411" s="35" t="s">
        <v>20</v>
      </c>
      <c r="E411" s="35">
        <v>25646</v>
      </c>
      <c r="F411" s="35" t="s">
        <v>20</v>
      </c>
      <c r="G411" t="b">
        <f t="shared" si="21"/>
        <v>0</v>
      </c>
      <c r="H411" t="b">
        <f t="shared" si="22"/>
        <v>0</v>
      </c>
      <c r="I411" s="29">
        <f t="shared" si="20"/>
        <v>39976</v>
      </c>
    </row>
    <row r="412" spans="1:9" ht="25.5" x14ac:dyDescent="0.2">
      <c r="A412" s="28">
        <v>39976</v>
      </c>
      <c r="B412" s="26" t="s">
        <v>417</v>
      </c>
      <c r="C412" s="26" t="s">
        <v>1561</v>
      </c>
      <c r="D412" s="35" t="s">
        <v>20</v>
      </c>
      <c r="E412" s="35">
        <v>4490</v>
      </c>
      <c r="F412" s="35" t="s">
        <v>20</v>
      </c>
      <c r="G412" t="b">
        <f t="shared" si="21"/>
        <v>0</v>
      </c>
      <c r="H412" t="b">
        <f t="shared" si="22"/>
        <v>0</v>
      </c>
      <c r="I412" s="29">
        <f t="shared" si="20"/>
        <v>39976</v>
      </c>
    </row>
    <row r="413" spans="1:9" x14ac:dyDescent="0.2">
      <c r="A413" s="28">
        <v>39976</v>
      </c>
      <c r="B413" s="26" t="s">
        <v>749</v>
      </c>
      <c r="C413" s="26" t="s">
        <v>9</v>
      </c>
      <c r="D413" s="35" t="s">
        <v>20</v>
      </c>
      <c r="E413" s="35" t="s">
        <v>20</v>
      </c>
      <c r="F413" s="35" t="s">
        <v>20</v>
      </c>
      <c r="G413" t="b">
        <f t="shared" si="21"/>
        <v>0</v>
      </c>
      <c r="H413" t="b">
        <f t="shared" si="22"/>
        <v>0</v>
      </c>
      <c r="I413" s="29">
        <f t="shared" si="20"/>
        <v>39976</v>
      </c>
    </row>
    <row r="414" spans="1:9" ht="12.75" customHeight="1" x14ac:dyDescent="0.2">
      <c r="A414" s="28">
        <v>39976</v>
      </c>
      <c r="B414" s="26" t="s">
        <v>3248</v>
      </c>
      <c r="C414" s="26" t="s">
        <v>746</v>
      </c>
      <c r="D414" s="35" t="s">
        <v>20</v>
      </c>
      <c r="E414" s="35">
        <v>4417674</v>
      </c>
      <c r="F414" s="35">
        <v>4631219</v>
      </c>
      <c r="G414" t="b">
        <f t="shared" si="21"/>
        <v>0</v>
      </c>
      <c r="H414" t="b">
        <f t="shared" si="22"/>
        <v>0</v>
      </c>
      <c r="I414" s="29">
        <f t="shared" si="20"/>
        <v>39976</v>
      </c>
    </row>
    <row r="415" spans="1:9" ht="12.75" customHeight="1" x14ac:dyDescent="0.2">
      <c r="A415" s="28">
        <v>39976</v>
      </c>
      <c r="B415" s="26" t="s">
        <v>2489</v>
      </c>
      <c r="C415" s="26" t="s">
        <v>612</v>
      </c>
      <c r="D415" s="35">
        <v>5000000</v>
      </c>
      <c r="E415" s="35">
        <v>5010163</v>
      </c>
      <c r="F415" s="35">
        <v>6934829</v>
      </c>
      <c r="G415" t="b">
        <f t="shared" si="21"/>
        <v>0</v>
      </c>
      <c r="H415" t="b">
        <f t="shared" si="22"/>
        <v>0</v>
      </c>
      <c r="I415" s="29">
        <f t="shared" si="20"/>
        <v>39976</v>
      </c>
    </row>
    <row r="416" spans="1:9" ht="12.75" customHeight="1" x14ac:dyDescent="0.2">
      <c r="A416" s="28">
        <v>39976</v>
      </c>
      <c r="B416" s="26" t="s">
        <v>1442</v>
      </c>
      <c r="C416" s="26" t="s">
        <v>2493</v>
      </c>
      <c r="D416" s="35" t="s">
        <v>20</v>
      </c>
      <c r="E416" s="35">
        <v>24625</v>
      </c>
      <c r="F416" s="35" t="s">
        <v>20</v>
      </c>
      <c r="G416" t="b">
        <f t="shared" si="21"/>
        <v>0</v>
      </c>
      <c r="H416" t="b">
        <f t="shared" si="22"/>
        <v>0</v>
      </c>
      <c r="I416" s="29">
        <f t="shared" si="20"/>
        <v>39976</v>
      </c>
    </row>
    <row r="417" spans="1:9" ht="25.5" x14ac:dyDescent="0.2">
      <c r="A417" s="28">
        <v>39976</v>
      </c>
      <c r="B417" s="26" t="s">
        <v>769</v>
      </c>
      <c r="C417" s="26" t="s">
        <v>2168</v>
      </c>
      <c r="D417" s="35">
        <v>55000000</v>
      </c>
      <c r="E417" s="35">
        <v>16123323</v>
      </c>
      <c r="F417" s="35" t="s">
        <v>20</v>
      </c>
      <c r="G417" t="b">
        <f t="shared" si="21"/>
        <v>0</v>
      </c>
      <c r="H417" t="b">
        <f t="shared" si="22"/>
        <v>0</v>
      </c>
      <c r="I417" s="29">
        <f t="shared" si="20"/>
        <v>39976</v>
      </c>
    </row>
    <row r="418" spans="1:9" ht="25.5" x14ac:dyDescent="0.2">
      <c r="A418" s="28">
        <v>39976</v>
      </c>
      <c r="B418" s="26" t="s">
        <v>1834</v>
      </c>
      <c r="C418" s="26" t="s">
        <v>1813</v>
      </c>
      <c r="D418" s="35" t="s">
        <v>20</v>
      </c>
      <c r="E418" s="35">
        <v>123670</v>
      </c>
      <c r="F418" s="35" t="s">
        <v>20</v>
      </c>
      <c r="G418" t="b">
        <f t="shared" si="21"/>
        <v>0</v>
      </c>
      <c r="H418" t="b">
        <f t="shared" si="22"/>
        <v>0</v>
      </c>
      <c r="I418" s="29">
        <f t="shared" si="20"/>
        <v>39976</v>
      </c>
    </row>
    <row r="419" spans="1:9" ht="25.5" x14ac:dyDescent="0.2">
      <c r="A419" s="28">
        <v>39976</v>
      </c>
      <c r="B419" s="26" t="s">
        <v>2335</v>
      </c>
      <c r="C419" s="26" t="s">
        <v>9</v>
      </c>
      <c r="D419" s="35" t="s">
        <v>20</v>
      </c>
      <c r="E419" s="35" t="s">
        <v>20</v>
      </c>
      <c r="F419" s="35">
        <v>4487215</v>
      </c>
      <c r="G419" t="b">
        <f t="shared" si="21"/>
        <v>0</v>
      </c>
      <c r="H419" t="b">
        <f t="shared" si="22"/>
        <v>0</v>
      </c>
      <c r="I419" s="29">
        <f t="shared" si="20"/>
        <v>39976</v>
      </c>
    </row>
    <row r="420" spans="1:9" ht="25.5" x14ac:dyDescent="0.2">
      <c r="A420" s="28">
        <v>39976</v>
      </c>
      <c r="B420" s="26" t="s">
        <v>2551</v>
      </c>
      <c r="C420" s="26" t="s">
        <v>9</v>
      </c>
      <c r="D420" s="35" t="s">
        <v>20</v>
      </c>
      <c r="E420" s="35" t="s">
        <v>20</v>
      </c>
      <c r="F420" s="35">
        <v>5152345</v>
      </c>
      <c r="G420" t="b">
        <f t="shared" si="21"/>
        <v>0</v>
      </c>
      <c r="H420" t="b">
        <f t="shared" si="22"/>
        <v>0</v>
      </c>
      <c r="I420" s="29">
        <f t="shared" si="20"/>
        <v>39976</v>
      </c>
    </row>
    <row r="421" spans="1:9" ht="25.5" x14ac:dyDescent="0.2">
      <c r="A421" s="28">
        <v>39976</v>
      </c>
      <c r="B421" s="26" t="s">
        <v>332</v>
      </c>
      <c r="C421" s="26" t="s">
        <v>592</v>
      </c>
      <c r="D421" s="35" t="s">
        <v>20</v>
      </c>
      <c r="E421" s="35">
        <v>122575</v>
      </c>
      <c r="F421" s="35" t="s">
        <v>20</v>
      </c>
      <c r="G421" t="b">
        <f t="shared" si="21"/>
        <v>0</v>
      </c>
      <c r="H421" t="b">
        <f t="shared" si="22"/>
        <v>0</v>
      </c>
      <c r="I421" s="29">
        <f t="shared" si="20"/>
        <v>39976</v>
      </c>
    </row>
    <row r="422" spans="1:9" ht="25.5" x14ac:dyDescent="0.2">
      <c r="A422" s="28">
        <v>39976</v>
      </c>
      <c r="B422" s="26" t="s">
        <v>601</v>
      </c>
      <c r="C422" s="26" t="s">
        <v>1976</v>
      </c>
      <c r="D422" s="35" t="s">
        <v>20</v>
      </c>
      <c r="E422" s="35">
        <v>48711</v>
      </c>
      <c r="F422" s="35" t="s">
        <v>20</v>
      </c>
      <c r="G422" t="b">
        <f t="shared" si="21"/>
        <v>0</v>
      </c>
      <c r="H422" t="b">
        <f t="shared" si="22"/>
        <v>0</v>
      </c>
      <c r="I422" s="29">
        <f t="shared" si="20"/>
        <v>39976</v>
      </c>
    </row>
    <row r="423" spans="1:9" ht="25.5" x14ac:dyDescent="0.2">
      <c r="A423" s="28">
        <v>39976</v>
      </c>
      <c r="B423" s="26" t="s">
        <v>686</v>
      </c>
      <c r="C423" s="26" t="s">
        <v>2160</v>
      </c>
      <c r="D423" s="35">
        <v>110000000</v>
      </c>
      <c r="E423" s="35">
        <v>65452312</v>
      </c>
      <c r="F423" s="35">
        <v>148989667</v>
      </c>
      <c r="G423" t="b">
        <f t="shared" si="21"/>
        <v>0</v>
      </c>
      <c r="H423" t="b">
        <f t="shared" si="22"/>
        <v>0</v>
      </c>
      <c r="I423" s="29">
        <f t="shared" si="20"/>
        <v>39976</v>
      </c>
    </row>
    <row r="424" spans="1:9" ht="25.5" x14ac:dyDescent="0.2">
      <c r="A424" s="28">
        <v>39976</v>
      </c>
      <c r="B424" s="26" t="s">
        <v>1826</v>
      </c>
      <c r="C424" s="26" t="s">
        <v>9</v>
      </c>
      <c r="D424" s="35" t="s">
        <v>20</v>
      </c>
      <c r="E424" s="35">
        <v>169221</v>
      </c>
      <c r="F424" s="35" t="s">
        <v>20</v>
      </c>
      <c r="G424" t="b">
        <f t="shared" si="21"/>
        <v>0</v>
      </c>
      <c r="H424" t="b">
        <f t="shared" si="22"/>
        <v>0</v>
      </c>
      <c r="I424" s="29">
        <f t="shared" si="20"/>
        <v>39976</v>
      </c>
    </row>
    <row r="425" spans="1:9" ht="12.75" customHeight="1" x14ac:dyDescent="0.2">
      <c r="A425" s="28">
        <v>39976</v>
      </c>
      <c r="B425" s="26" t="s">
        <v>3013</v>
      </c>
      <c r="C425" s="26" t="s">
        <v>9</v>
      </c>
      <c r="D425" s="35" t="s">
        <v>20</v>
      </c>
      <c r="E425" s="35" t="s">
        <v>20</v>
      </c>
      <c r="F425" s="35">
        <v>3001084</v>
      </c>
      <c r="G425" t="b">
        <f t="shared" si="21"/>
        <v>0</v>
      </c>
      <c r="H425" t="b">
        <f t="shared" si="22"/>
        <v>0</v>
      </c>
      <c r="I425" s="29">
        <f t="shared" si="20"/>
        <v>39976</v>
      </c>
    </row>
    <row r="426" spans="1:9" ht="12.75" customHeight="1" x14ac:dyDescent="0.2">
      <c r="A426" s="28">
        <v>39976</v>
      </c>
      <c r="B426" s="26" t="s">
        <v>3279</v>
      </c>
      <c r="C426" s="26" t="s">
        <v>2051</v>
      </c>
      <c r="D426" s="35" t="s">
        <v>20</v>
      </c>
      <c r="E426" s="35">
        <v>12069</v>
      </c>
      <c r="F426" s="35" t="s">
        <v>20</v>
      </c>
      <c r="G426" t="b">
        <f t="shared" si="21"/>
        <v>0</v>
      </c>
      <c r="H426" t="b">
        <f t="shared" si="22"/>
        <v>0</v>
      </c>
      <c r="I426" s="29">
        <f t="shared" si="20"/>
        <v>39976</v>
      </c>
    </row>
    <row r="427" spans="1:9" x14ac:dyDescent="0.2">
      <c r="A427" s="28">
        <v>39976</v>
      </c>
      <c r="B427" s="26" t="s">
        <v>3391</v>
      </c>
      <c r="C427" s="26" t="s">
        <v>2853</v>
      </c>
      <c r="D427" s="35" t="s">
        <v>20</v>
      </c>
      <c r="E427" s="35">
        <v>28682</v>
      </c>
      <c r="F427" s="35" t="s">
        <v>20</v>
      </c>
      <c r="G427" t="b">
        <f t="shared" si="21"/>
        <v>0</v>
      </c>
      <c r="H427" t="b">
        <f t="shared" si="22"/>
        <v>0</v>
      </c>
      <c r="I427" s="29">
        <f t="shared" si="20"/>
        <v>39976</v>
      </c>
    </row>
    <row r="428" spans="1:9" ht="12.75" customHeight="1" x14ac:dyDescent="0.2">
      <c r="A428" s="28">
        <v>39977</v>
      </c>
      <c r="B428" s="26" t="s">
        <v>1126</v>
      </c>
      <c r="C428" s="26" t="s">
        <v>9</v>
      </c>
      <c r="D428" s="35" t="s">
        <v>20</v>
      </c>
      <c r="E428" s="35" t="s">
        <v>20</v>
      </c>
      <c r="F428" s="35">
        <v>4323830</v>
      </c>
      <c r="G428" t="b">
        <f t="shared" si="21"/>
        <v>0</v>
      </c>
      <c r="H428" t="b">
        <f t="shared" si="22"/>
        <v>0</v>
      </c>
      <c r="I428" s="29">
        <f t="shared" si="20"/>
        <v>39977</v>
      </c>
    </row>
    <row r="429" spans="1:9" ht="12.75" customHeight="1" x14ac:dyDescent="0.2">
      <c r="A429" s="28">
        <v>39980</v>
      </c>
      <c r="B429" s="26" t="s">
        <v>1366</v>
      </c>
      <c r="C429" s="26" t="s">
        <v>9</v>
      </c>
      <c r="D429" s="35" t="s">
        <v>20</v>
      </c>
      <c r="E429" s="35" t="s">
        <v>20</v>
      </c>
      <c r="F429" s="35" t="s">
        <v>20</v>
      </c>
      <c r="G429" t="b">
        <f t="shared" si="21"/>
        <v>0</v>
      </c>
      <c r="H429" t="b">
        <f t="shared" si="22"/>
        <v>0</v>
      </c>
      <c r="I429" s="29">
        <f t="shared" si="20"/>
        <v>39980</v>
      </c>
    </row>
    <row r="430" spans="1:9" ht="12.75" customHeight="1" x14ac:dyDescent="0.2">
      <c r="A430" s="28">
        <v>39980</v>
      </c>
      <c r="B430" s="26" t="s">
        <v>587</v>
      </c>
      <c r="C430" s="26" t="s">
        <v>9</v>
      </c>
      <c r="D430" s="35" t="s">
        <v>20</v>
      </c>
      <c r="E430" s="35" t="s">
        <v>20</v>
      </c>
      <c r="F430" s="35" t="s">
        <v>20</v>
      </c>
      <c r="G430" t="b">
        <f t="shared" si="21"/>
        <v>0</v>
      </c>
      <c r="H430" t="b">
        <f t="shared" si="22"/>
        <v>0</v>
      </c>
      <c r="I430" s="29">
        <f t="shared" si="20"/>
        <v>39980</v>
      </c>
    </row>
    <row r="431" spans="1:9" ht="25.5" x14ac:dyDescent="0.2">
      <c r="A431" s="28">
        <v>39980</v>
      </c>
      <c r="B431" s="26" t="s">
        <v>2640</v>
      </c>
      <c r="C431" s="26" t="s">
        <v>9</v>
      </c>
      <c r="D431" s="35" t="s">
        <v>20</v>
      </c>
      <c r="E431" s="35" t="s">
        <v>20</v>
      </c>
      <c r="F431" s="35">
        <v>5116354</v>
      </c>
      <c r="G431" t="b">
        <f t="shared" si="21"/>
        <v>0</v>
      </c>
      <c r="H431" t="b">
        <f t="shared" si="22"/>
        <v>0</v>
      </c>
      <c r="I431" s="29">
        <f t="shared" si="20"/>
        <v>39980</v>
      </c>
    </row>
    <row r="432" spans="1:9" ht="12.75" customHeight="1" x14ac:dyDescent="0.2">
      <c r="A432" s="28">
        <v>39980</v>
      </c>
      <c r="B432" s="26" t="s">
        <v>1361</v>
      </c>
      <c r="C432" s="26" t="s">
        <v>9</v>
      </c>
      <c r="D432" s="35" t="s">
        <v>20</v>
      </c>
      <c r="E432" s="35" t="s">
        <v>20</v>
      </c>
      <c r="F432" s="35" t="s">
        <v>20</v>
      </c>
      <c r="G432" t="b">
        <f t="shared" si="21"/>
        <v>0</v>
      </c>
      <c r="H432" t="b">
        <f t="shared" si="22"/>
        <v>0</v>
      </c>
      <c r="I432" s="29">
        <f t="shared" si="20"/>
        <v>39980</v>
      </c>
    </row>
    <row r="433" spans="1:9" ht="12.75" customHeight="1" x14ac:dyDescent="0.2">
      <c r="A433" s="28">
        <v>39980</v>
      </c>
      <c r="B433" s="26" t="s">
        <v>2736</v>
      </c>
      <c r="C433" s="26" t="s">
        <v>9</v>
      </c>
      <c r="D433" s="35" t="s">
        <v>20</v>
      </c>
      <c r="E433" s="35" t="s">
        <v>20</v>
      </c>
      <c r="F433" s="35" t="s">
        <v>20</v>
      </c>
      <c r="G433" t="b">
        <f t="shared" si="21"/>
        <v>0</v>
      </c>
      <c r="H433" t="b">
        <f t="shared" si="22"/>
        <v>0</v>
      </c>
      <c r="I433" s="29">
        <f t="shared" si="20"/>
        <v>39980</v>
      </c>
    </row>
    <row r="434" spans="1:9" ht="12.75" customHeight="1" x14ac:dyDescent="0.2">
      <c r="A434" s="28">
        <v>39980</v>
      </c>
      <c r="B434" s="26" t="s">
        <v>2121</v>
      </c>
      <c r="C434" s="26" t="s">
        <v>9</v>
      </c>
      <c r="D434" s="35" t="s">
        <v>20</v>
      </c>
      <c r="E434" s="35" t="s">
        <v>20</v>
      </c>
      <c r="F434" s="35" t="s">
        <v>20</v>
      </c>
      <c r="G434" t="b">
        <f t="shared" si="21"/>
        <v>0</v>
      </c>
      <c r="H434" t="b">
        <f t="shared" si="22"/>
        <v>0</v>
      </c>
      <c r="I434" s="29">
        <f t="shared" si="20"/>
        <v>39980</v>
      </c>
    </row>
    <row r="435" spans="1:9" ht="38.25" x14ac:dyDescent="0.2">
      <c r="A435" s="28">
        <v>39980</v>
      </c>
      <c r="B435" s="26" t="s">
        <v>3436</v>
      </c>
      <c r="C435" s="26" t="s">
        <v>9</v>
      </c>
      <c r="D435" s="35" t="s">
        <v>20</v>
      </c>
      <c r="E435" s="35" t="s">
        <v>20</v>
      </c>
      <c r="F435" s="35" t="s">
        <v>20</v>
      </c>
      <c r="G435" t="b">
        <f t="shared" si="21"/>
        <v>0</v>
      </c>
      <c r="H435" t="b">
        <f t="shared" si="22"/>
        <v>0</v>
      </c>
      <c r="I435" s="29">
        <f t="shared" si="20"/>
        <v>39980</v>
      </c>
    </row>
    <row r="436" spans="1:9" ht="25.5" x14ac:dyDescent="0.2">
      <c r="A436" s="28">
        <v>39980</v>
      </c>
      <c r="B436" s="26" t="s">
        <v>2562</v>
      </c>
      <c r="C436" s="26" t="s">
        <v>9</v>
      </c>
      <c r="D436" s="35" t="s">
        <v>20</v>
      </c>
      <c r="E436" s="35" t="s">
        <v>20</v>
      </c>
      <c r="F436" s="35" t="s">
        <v>20</v>
      </c>
      <c r="G436" t="b">
        <f t="shared" si="21"/>
        <v>0</v>
      </c>
      <c r="H436" t="b">
        <f t="shared" si="22"/>
        <v>0</v>
      </c>
      <c r="I436" s="29">
        <f t="shared" si="20"/>
        <v>39980</v>
      </c>
    </row>
    <row r="437" spans="1:9" ht="12.75" customHeight="1" x14ac:dyDescent="0.2">
      <c r="A437" s="28">
        <v>39981</v>
      </c>
      <c r="B437" s="26" t="s">
        <v>662</v>
      </c>
      <c r="C437" s="26" t="s">
        <v>1889</v>
      </c>
      <c r="D437" s="35" t="s">
        <v>20</v>
      </c>
      <c r="E437" s="35">
        <v>97698</v>
      </c>
      <c r="F437" s="35" t="s">
        <v>20</v>
      </c>
      <c r="G437" t="b">
        <f t="shared" si="21"/>
        <v>0</v>
      </c>
      <c r="H437" t="b">
        <f t="shared" si="22"/>
        <v>0</v>
      </c>
      <c r="I437" s="29">
        <f t="shared" si="20"/>
        <v>39981</v>
      </c>
    </row>
    <row r="438" spans="1:9" ht="25.5" x14ac:dyDescent="0.2">
      <c r="A438" s="28">
        <v>39981</v>
      </c>
      <c r="B438" s="26" t="s">
        <v>204</v>
      </c>
      <c r="C438" s="26" t="s">
        <v>9</v>
      </c>
      <c r="D438" s="35" t="s">
        <v>20</v>
      </c>
      <c r="E438" s="35">
        <v>30050</v>
      </c>
      <c r="F438" s="35" t="s">
        <v>20</v>
      </c>
      <c r="G438" t="b">
        <f t="shared" si="21"/>
        <v>0</v>
      </c>
      <c r="H438" t="b">
        <f t="shared" si="22"/>
        <v>0</v>
      </c>
      <c r="I438" s="29">
        <f t="shared" si="20"/>
        <v>39981</v>
      </c>
    </row>
    <row r="439" spans="1:9" ht="12.75" customHeight="1" x14ac:dyDescent="0.2">
      <c r="A439" s="28">
        <v>39982</v>
      </c>
      <c r="B439" s="26" t="s">
        <v>767</v>
      </c>
      <c r="C439" s="26" t="s">
        <v>9</v>
      </c>
      <c r="D439" s="35" t="s">
        <v>20</v>
      </c>
      <c r="E439" s="35" t="s">
        <v>20</v>
      </c>
      <c r="F439" s="35" t="s">
        <v>20</v>
      </c>
      <c r="G439" t="b">
        <f t="shared" si="21"/>
        <v>0</v>
      </c>
      <c r="H439" t="b">
        <f t="shared" si="22"/>
        <v>0</v>
      </c>
      <c r="I439" s="29">
        <f t="shared" si="20"/>
        <v>39982</v>
      </c>
    </row>
    <row r="440" spans="1:9" x14ac:dyDescent="0.2">
      <c r="A440" s="28">
        <v>39983</v>
      </c>
      <c r="B440" s="26" t="s">
        <v>3441</v>
      </c>
      <c r="C440" s="26" t="s">
        <v>2806</v>
      </c>
      <c r="D440" s="35" t="s">
        <v>20</v>
      </c>
      <c r="E440" s="35">
        <v>110175</v>
      </c>
      <c r="F440" s="35" t="s">
        <v>20</v>
      </c>
      <c r="G440" t="b">
        <f t="shared" si="21"/>
        <v>0</v>
      </c>
      <c r="H440" t="b">
        <f t="shared" si="22"/>
        <v>0</v>
      </c>
      <c r="I440" s="29">
        <f t="shared" si="20"/>
        <v>39983</v>
      </c>
    </row>
    <row r="441" spans="1:9" ht="12.75" customHeight="1" x14ac:dyDescent="0.2">
      <c r="A441" s="28">
        <v>39983</v>
      </c>
      <c r="B441" s="26" t="s">
        <v>841</v>
      </c>
      <c r="C441" s="26" t="s">
        <v>2160</v>
      </c>
      <c r="D441" s="35">
        <v>60000000</v>
      </c>
      <c r="E441" s="35">
        <v>43337279</v>
      </c>
      <c r="F441" s="35">
        <v>57604723</v>
      </c>
      <c r="G441" t="b">
        <f t="shared" si="21"/>
        <v>0</v>
      </c>
      <c r="H441" t="b">
        <f t="shared" si="22"/>
        <v>0</v>
      </c>
      <c r="I441" s="29">
        <f t="shared" ref="I441:I502" si="23">DATE(2009,MONTH(A441), DAY(A441))</f>
        <v>39983</v>
      </c>
    </row>
    <row r="442" spans="1:9" ht="12.75" customHeight="1" x14ac:dyDescent="0.2">
      <c r="A442" s="28">
        <v>39983</v>
      </c>
      <c r="B442" s="26">
        <v>9.99</v>
      </c>
      <c r="C442" s="26" t="s">
        <v>2775</v>
      </c>
      <c r="D442" s="35" t="s">
        <v>20</v>
      </c>
      <c r="E442" s="35">
        <v>52107</v>
      </c>
      <c r="F442" s="35" t="s">
        <v>20</v>
      </c>
      <c r="G442" t="b">
        <f t="shared" si="21"/>
        <v>0</v>
      </c>
      <c r="H442" t="b">
        <f t="shared" si="22"/>
        <v>0</v>
      </c>
      <c r="I442" s="29">
        <f t="shared" si="23"/>
        <v>39983</v>
      </c>
    </row>
    <row r="443" spans="1:9" ht="12.75" customHeight="1" x14ac:dyDescent="0.2">
      <c r="A443" s="28">
        <v>39983</v>
      </c>
      <c r="B443" s="26" t="s">
        <v>2149</v>
      </c>
      <c r="C443" s="26" t="s">
        <v>3390</v>
      </c>
      <c r="D443" s="35">
        <v>40000000</v>
      </c>
      <c r="E443" s="35">
        <v>163958031</v>
      </c>
      <c r="F443" s="35">
        <v>317358031</v>
      </c>
      <c r="G443" t="b">
        <f t="shared" si="21"/>
        <v>0</v>
      </c>
      <c r="H443" t="b">
        <f t="shared" si="22"/>
        <v>0</v>
      </c>
      <c r="I443" s="29">
        <f t="shared" si="23"/>
        <v>39983</v>
      </c>
    </row>
    <row r="444" spans="1:9" ht="12.75" customHeight="1" x14ac:dyDescent="0.2">
      <c r="A444" s="28">
        <v>39983</v>
      </c>
      <c r="B444" s="26" t="s">
        <v>1468</v>
      </c>
      <c r="C444" s="26" t="s">
        <v>3421</v>
      </c>
      <c r="D444" s="35" t="s">
        <v>20</v>
      </c>
      <c r="E444" s="35">
        <v>46466</v>
      </c>
      <c r="F444" s="35" t="s">
        <v>20</v>
      </c>
      <c r="G444" t="b">
        <f t="shared" si="21"/>
        <v>0</v>
      </c>
      <c r="H444" t="b">
        <f t="shared" si="22"/>
        <v>0</v>
      </c>
      <c r="I444" s="29">
        <f t="shared" si="23"/>
        <v>39983</v>
      </c>
    </row>
    <row r="445" spans="1:9" ht="12.75" customHeight="1" x14ac:dyDescent="0.2">
      <c r="A445" s="28">
        <v>39983</v>
      </c>
      <c r="B445" s="26" t="s">
        <v>1856</v>
      </c>
      <c r="C445" s="26" t="s">
        <v>3466</v>
      </c>
      <c r="D445" s="35" t="s">
        <v>20</v>
      </c>
      <c r="E445" s="35">
        <v>46742</v>
      </c>
      <c r="F445" s="35" t="s">
        <v>20</v>
      </c>
      <c r="G445" t="b">
        <f t="shared" si="21"/>
        <v>0</v>
      </c>
      <c r="H445" t="b">
        <f t="shared" si="22"/>
        <v>0</v>
      </c>
      <c r="I445" s="29">
        <f t="shared" si="23"/>
        <v>39983</v>
      </c>
    </row>
    <row r="446" spans="1:9" ht="12.75" customHeight="1" x14ac:dyDescent="0.2">
      <c r="A446" s="28">
        <v>39983</v>
      </c>
      <c r="B446" s="26" t="s">
        <v>1631</v>
      </c>
      <c r="C446" s="26" t="s">
        <v>612</v>
      </c>
      <c r="D446" s="35" t="s">
        <v>20</v>
      </c>
      <c r="E446" s="35">
        <v>5306706</v>
      </c>
      <c r="F446" s="35">
        <v>25261859</v>
      </c>
      <c r="G446" t="b">
        <f t="shared" si="21"/>
        <v>0</v>
      </c>
      <c r="H446" t="b">
        <f t="shared" si="22"/>
        <v>0</v>
      </c>
      <c r="I446" s="29">
        <f t="shared" si="23"/>
        <v>39983</v>
      </c>
    </row>
    <row r="447" spans="1:9" ht="25.5" x14ac:dyDescent="0.2">
      <c r="A447" s="28">
        <v>39984</v>
      </c>
      <c r="B447" s="26" t="s">
        <v>1350</v>
      </c>
      <c r="C447" s="26" t="s">
        <v>9</v>
      </c>
      <c r="D447" s="35" t="s">
        <v>20</v>
      </c>
      <c r="E447" s="35" t="s">
        <v>20</v>
      </c>
      <c r="F447" s="35">
        <v>24405079</v>
      </c>
      <c r="G447" t="b">
        <f t="shared" si="21"/>
        <v>0</v>
      </c>
      <c r="H447" t="b">
        <f t="shared" si="22"/>
        <v>0</v>
      </c>
      <c r="I447" s="29">
        <f t="shared" si="23"/>
        <v>39984</v>
      </c>
    </row>
    <row r="448" spans="1:9" ht="12.75" customHeight="1" x14ac:dyDescent="0.2">
      <c r="A448" s="28">
        <v>39987</v>
      </c>
      <c r="B448" s="26" t="s">
        <v>3356</v>
      </c>
      <c r="C448" s="26" t="s">
        <v>9</v>
      </c>
      <c r="D448" s="35" t="s">
        <v>20</v>
      </c>
      <c r="E448" s="35" t="s">
        <v>20</v>
      </c>
      <c r="F448" s="35" t="s">
        <v>20</v>
      </c>
      <c r="G448" t="b">
        <f t="shared" ref="G448:G509" si="24">ISBLANK(A448)</f>
        <v>0</v>
      </c>
      <c r="H448" t="b">
        <f t="shared" ref="H448:H509" si="25">ISTEXT(A448)</f>
        <v>0</v>
      </c>
      <c r="I448" s="29">
        <f t="shared" si="23"/>
        <v>39987</v>
      </c>
    </row>
    <row r="449" spans="1:9" ht="12.75" customHeight="1" x14ac:dyDescent="0.2">
      <c r="A449" s="28">
        <v>39987</v>
      </c>
      <c r="B449" s="26" t="s">
        <v>3477</v>
      </c>
      <c r="C449" s="26" t="s">
        <v>9</v>
      </c>
      <c r="D449" s="35" t="s">
        <v>20</v>
      </c>
      <c r="E449" s="35" t="s">
        <v>20</v>
      </c>
      <c r="F449" s="35" t="s">
        <v>20</v>
      </c>
      <c r="G449" t="b">
        <f t="shared" si="24"/>
        <v>0</v>
      </c>
      <c r="H449" t="b">
        <f t="shared" si="25"/>
        <v>0</v>
      </c>
      <c r="I449" s="29">
        <f t="shared" si="23"/>
        <v>39987</v>
      </c>
    </row>
    <row r="450" spans="1:9" ht="12.75" customHeight="1" x14ac:dyDescent="0.2">
      <c r="A450" s="28">
        <v>39987</v>
      </c>
      <c r="B450" s="26" t="s">
        <v>1981</v>
      </c>
      <c r="C450" s="26" t="s">
        <v>9</v>
      </c>
      <c r="D450" s="35" t="s">
        <v>20</v>
      </c>
      <c r="E450" s="35" t="s">
        <v>20</v>
      </c>
      <c r="F450" s="35" t="s">
        <v>20</v>
      </c>
      <c r="G450" t="b">
        <f t="shared" si="24"/>
        <v>0</v>
      </c>
      <c r="H450" t="b">
        <f t="shared" si="25"/>
        <v>0</v>
      </c>
      <c r="I450" s="29">
        <f t="shared" si="23"/>
        <v>39987</v>
      </c>
    </row>
    <row r="451" spans="1:9" ht="12.75" customHeight="1" x14ac:dyDescent="0.2">
      <c r="A451" s="28">
        <v>39987</v>
      </c>
      <c r="B451" s="26" t="s">
        <v>301</v>
      </c>
      <c r="C451" s="26" t="s">
        <v>9</v>
      </c>
      <c r="D451" s="35" t="s">
        <v>20</v>
      </c>
      <c r="E451" s="35" t="s">
        <v>20</v>
      </c>
      <c r="F451" s="35" t="s">
        <v>20</v>
      </c>
      <c r="G451" t="b">
        <f t="shared" si="24"/>
        <v>0</v>
      </c>
      <c r="H451" t="b">
        <f t="shared" si="25"/>
        <v>0</v>
      </c>
      <c r="I451" s="29">
        <f t="shared" si="23"/>
        <v>39987</v>
      </c>
    </row>
    <row r="452" spans="1:9" ht="12.75" customHeight="1" x14ac:dyDescent="0.2">
      <c r="A452" s="28">
        <v>39987</v>
      </c>
      <c r="B452" s="26" t="s">
        <v>1986</v>
      </c>
      <c r="C452" s="26" t="s">
        <v>9</v>
      </c>
      <c r="D452" s="35" t="s">
        <v>20</v>
      </c>
      <c r="E452" s="35" t="s">
        <v>20</v>
      </c>
      <c r="F452" s="35" t="s">
        <v>20</v>
      </c>
      <c r="G452" t="b">
        <f t="shared" si="24"/>
        <v>0</v>
      </c>
      <c r="H452" t="b">
        <f t="shared" si="25"/>
        <v>0</v>
      </c>
      <c r="I452" s="29">
        <f t="shared" si="23"/>
        <v>39987</v>
      </c>
    </row>
    <row r="453" spans="1:9" ht="12.75" customHeight="1" x14ac:dyDescent="0.2">
      <c r="A453" s="28">
        <v>39987</v>
      </c>
      <c r="B453" s="26" t="s">
        <v>1759</v>
      </c>
      <c r="C453" s="26" t="s">
        <v>9</v>
      </c>
      <c r="D453" s="35" t="s">
        <v>20</v>
      </c>
      <c r="E453" s="35" t="s">
        <v>20</v>
      </c>
      <c r="F453" s="35" t="s">
        <v>20</v>
      </c>
      <c r="G453" t="b">
        <f t="shared" si="24"/>
        <v>0</v>
      </c>
      <c r="H453" t="b">
        <f t="shared" si="25"/>
        <v>0</v>
      </c>
      <c r="I453" s="29">
        <f t="shared" si="23"/>
        <v>39987</v>
      </c>
    </row>
    <row r="454" spans="1:9" ht="12.75" customHeight="1" x14ac:dyDescent="0.2">
      <c r="A454" s="28">
        <v>39987</v>
      </c>
      <c r="B454" s="26" t="s">
        <v>2027</v>
      </c>
      <c r="C454" s="26" t="s">
        <v>9</v>
      </c>
      <c r="D454" s="35" t="s">
        <v>20</v>
      </c>
      <c r="E454" s="35" t="s">
        <v>20</v>
      </c>
      <c r="F454" s="35" t="s">
        <v>20</v>
      </c>
      <c r="G454" t="b">
        <f t="shared" si="24"/>
        <v>0</v>
      </c>
      <c r="H454" t="b">
        <f t="shared" si="25"/>
        <v>0</v>
      </c>
      <c r="I454" s="29">
        <f t="shared" si="23"/>
        <v>39987</v>
      </c>
    </row>
    <row r="455" spans="1:9" ht="12.75" customHeight="1" x14ac:dyDescent="0.2">
      <c r="A455" s="28">
        <v>39987</v>
      </c>
      <c r="B455" s="26" t="s">
        <v>2031</v>
      </c>
      <c r="C455" s="26" t="s">
        <v>9</v>
      </c>
      <c r="D455" s="35" t="s">
        <v>20</v>
      </c>
      <c r="E455" s="35" t="s">
        <v>20</v>
      </c>
      <c r="F455" s="35" t="s">
        <v>20</v>
      </c>
      <c r="G455" t="b">
        <f t="shared" si="24"/>
        <v>0</v>
      </c>
      <c r="H455" t="b">
        <f t="shared" si="25"/>
        <v>0</v>
      </c>
      <c r="I455" s="29">
        <f t="shared" si="23"/>
        <v>39987</v>
      </c>
    </row>
    <row r="456" spans="1:9" ht="25.5" x14ac:dyDescent="0.2">
      <c r="A456" s="28">
        <v>39988</v>
      </c>
      <c r="B456" s="26" t="s">
        <v>877</v>
      </c>
      <c r="C456" s="26" t="s">
        <v>9</v>
      </c>
      <c r="D456" s="35" t="s">
        <v>20</v>
      </c>
      <c r="E456" s="35" t="s">
        <v>20</v>
      </c>
      <c r="F456" s="35" t="s">
        <v>20</v>
      </c>
      <c r="G456" t="b">
        <f t="shared" si="24"/>
        <v>0</v>
      </c>
      <c r="H456" t="b">
        <f t="shared" si="25"/>
        <v>0</v>
      </c>
      <c r="I456" s="29">
        <f t="shared" si="23"/>
        <v>39988</v>
      </c>
    </row>
    <row r="457" spans="1:9" ht="38.25" x14ac:dyDescent="0.2">
      <c r="A457" s="28">
        <v>39988</v>
      </c>
      <c r="B457" s="26" t="s">
        <v>2104</v>
      </c>
      <c r="C457" s="26" t="s">
        <v>2168</v>
      </c>
      <c r="D457" s="35">
        <v>210000000</v>
      </c>
      <c r="E457" s="35">
        <v>402111870</v>
      </c>
      <c r="F457" s="35">
        <v>836303693</v>
      </c>
      <c r="G457" t="b">
        <f t="shared" si="24"/>
        <v>0</v>
      </c>
      <c r="H457" t="b">
        <f t="shared" si="25"/>
        <v>0</v>
      </c>
      <c r="I457" s="29">
        <f t="shared" si="23"/>
        <v>39988</v>
      </c>
    </row>
    <row r="458" spans="1:9" ht="25.5" x14ac:dyDescent="0.2">
      <c r="A458" s="28">
        <v>39990</v>
      </c>
      <c r="B458" s="26" t="s">
        <v>3194</v>
      </c>
      <c r="C458" s="26" t="s">
        <v>2160</v>
      </c>
      <c r="D458" s="35">
        <v>27500000</v>
      </c>
      <c r="E458" s="35">
        <v>49200230</v>
      </c>
      <c r="F458" s="35">
        <v>89053995</v>
      </c>
      <c r="G458" t="b">
        <f t="shared" si="24"/>
        <v>0</v>
      </c>
      <c r="H458" t="b">
        <f t="shared" si="25"/>
        <v>0</v>
      </c>
      <c r="I458" s="29">
        <f t="shared" si="23"/>
        <v>39990</v>
      </c>
    </row>
    <row r="459" spans="1:9" ht="12.75" customHeight="1" x14ac:dyDescent="0.2">
      <c r="A459" s="28">
        <v>39990</v>
      </c>
      <c r="B459" s="26" t="s">
        <v>1233</v>
      </c>
      <c r="C459" s="26" t="s">
        <v>3218</v>
      </c>
      <c r="D459" s="35">
        <v>23000000</v>
      </c>
      <c r="E459" s="35">
        <v>2715657</v>
      </c>
      <c r="F459" s="35" t="s">
        <v>20</v>
      </c>
      <c r="G459" t="b">
        <f t="shared" si="24"/>
        <v>0</v>
      </c>
      <c r="H459" t="b">
        <f t="shared" si="25"/>
        <v>0</v>
      </c>
      <c r="I459" s="29">
        <f t="shared" si="23"/>
        <v>39990</v>
      </c>
    </row>
    <row r="460" spans="1:9" ht="12.75" customHeight="1" x14ac:dyDescent="0.2">
      <c r="A460" s="28">
        <v>39990</v>
      </c>
      <c r="B460" s="26" t="s">
        <v>422</v>
      </c>
      <c r="C460" s="26" t="s">
        <v>2161</v>
      </c>
      <c r="D460" s="35" t="s">
        <v>20</v>
      </c>
      <c r="E460" s="35">
        <v>997437</v>
      </c>
      <c r="F460" s="35">
        <v>4727279</v>
      </c>
      <c r="G460" t="b">
        <f t="shared" si="24"/>
        <v>0</v>
      </c>
      <c r="H460" t="b">
        <f t="shared" si="25"/>
        <v>0</v>
      </c>
      <c r="I460" s="29">
        <f t="shared" si="23"/>
        <v>39990</v>
      </c>
    </row>
    <row r="461" spans="1:9" ht="12.75" customHeight="1" x14ac:dyDescent="0.2">
      <c r="A461" s="28">
        <v>39990</v>
      </c>
      <c r="B461" s="26" t="s">
        <v>1870</v>
      </c>
      <c r="C461" s="26" t="s">
        <v>9</v>
      </c>
      <c r="D461" s="35" t="s">
        <v>20</v>
      </c>
      <c r="E461" s="35">
        <v>102115</v>
      </c>
      <c r="F461" s="35">
        <v>112922</v>
      </c>
      <c r="G461" t="b">
        <f t="shared" si="24"/>
        <v>0</v>
      </c>
      <c r="H461" t="b">
        <f t="shared" si="25"/>
        <v>0</v>
      </c>
      <c r="I461" s="29">
        <f t="shared" si="23"/>
        <v>39990</v>
      </c>
    </row>
    <row r="462" spans="1:9" ht="25.5" x14ac:dyDescent="0.2">
      <c r="A462" s="28">
        <v>39990</v>
      </c>
      <c r="B462" s="26" t="s">
        <v>1236</v>
      </c>
      <c r="C462" s="26" t="s">
        <v>9</v>
      </c>
      <c r="D462" s="35" t="s">
        <v>20</v>
      </c>
      <c r="E462" s="35" t="s">
        <v>20</v>
      </c>
      <c r="F462" s="35" t="s">
        <v>20</v>
      </c>
      <c r="G462" t="b">
        <f t="shared" si="24"/>
        <v>0</v>
      </c>
      <c r="H462" t="b">
        <f t="shared" si="25"/>
        <v>0</v>
      </c>
      <c r="I462" s="29">
        <f t="shared" si="23"/>
        <v>39990</v>
      </c>
    </row>
    <row r="463" spans="1:9" ht="12.75" customHeight="1" x14ac:dyDescent="0.2">
      <c r="A463" s="28">
        <v>39990</v>
      </c>
      <c r="B463" s="26" t="s">
        <v>1984</v>
      </c>
      <c r="C463" s="26" t="s">
        <v>746</v>
      </c>
      <c r="D463" s="35" t="s">
        <v>20</v>
      </c>
      <c r="E463" s="35">
        <v>27349</v>
      </c>
      <c r="F463" s="35">
        <v>1099891</v>
      </c>
      <c r="G463" t="b">
        <f t="shared" si="24"/>
        <v>0</v>
      </c>
      <c r="H463" t="b">
        <f t="shared" si="25"/>
        <v>0</v>
      </c>
      <c r="I463" s="29">
        <f t="shared" si="23"/>
        <v>39990</v>
      </c>
    </row>
    <row r="464" spans="1:9" ht="25.5" x14ac:dyDescent="0.2">
      <c r="A464" s="28">
        <v>39990</v>
      </c>
      <c r="B464" s="26" t="s">
        <v>3442</v>
      </c>
      <c r="C464" s="26" t="s">
        <v>130</v>
      </c>
      <c r="D464" s="35">
        <v>15000000</v>
      </c>
      <c r="E464" s="35">
        <v>17017811</v>
      </c>
      <c r="F464" s="35">
        <v>49678776</v>
      </c>
      <c r="G464" t="b">
        <f t="shared" si="24"/>
        <v>0</v>
      </c>
      <c r="H464" t="b">
        <f t="shared" si="25"/>
        <v>0</v>
      </c>
      <c r="I464" s="29">
        <f t="shared" si="23"/>
        <v>39990</v>
      </c>
    </row>
    <row r="465" spans="1:9" ht="25.5" x14ac:dyDescent="0.2">
      <c r="A465" s="28">
        <v>39990</v>
      </c>
      <c r="B465" s="26" t="s">
        <v>2841</v>
      </c>
      <c r="C465" s="26" t="s">
        <v>2180</v>
      </c>
      <c r="D465" s="35" t="s">
        <v>20</v>
      </c>
      <c r="E465" s="35">
        <v>655871</v>
      </c>
      <c r="F465" s="35" t="s">
        <v>20</v>
      </c>
      <c r="G465" t="b">
        <f t="shared" si="24"/>
        <v>0</v>
      </c>
      <c r="H465" t="b">
        <f t="shared" si="25"/>
        <v>0</v>
      </c>
      <c r="I465" s="29">
        <f t="shared" si="23"/>
        <v>39990</v>
      </c>
    </row>
    <row r="466" spans="1:9" ht="25.5" x14ac:dyDescent="0.2">
      <c r="A466" s="28">
        <v>39994</v>
      </c>
      <c r="B466" s="26" t="s">
        <v>1395</v>
      </c>
      <c r="C466" s="26" t="s">
        <v>9</v>
      </c>
      <c r="D466" s="35" t="s">
        <v>20</v>
      </c>
      <c r="E466" s="35" t="s">
        <v>20</v>
      </c>
      <c r="F466" s="35" t="s">
        <v>20</v>
      </c>
      <c r="G466" t="b">
        <f t="shared" si="24"/>
        <v>0</v>
      </c>
      <c r="H466" t="b">
        <f t="shared" si="25"/>
        <v>0</v>
      </c>
      <c r="I466" s="29">
        <f t="shared" si="23"/>
        <v>39994</v>
      </c>
    </row>
    <row r="467" spans="1:9" ht="25.5" x14ac:dyDescent="0.2">
      <c r="A467" s="28">
        <v>39994</v>
      </c>
      <c r="B467" s="26" t="s">
        <v>1668</v>
      </c>
      <c r="C467" s="26" t="s">
        <v>9</v>
      </c>
      <c r="D467" s="35" t="s">
        <v>20</v>
      </c>
      <c r="E467" s="35" t="s">
        <v>20</v>
      </c>
      <c r="F467" s="35" t="s">
        <v>20</v>
      </c>
      <c r="G467" t="b">
        <f t="shared" si="24"/>
        <v>0</v>
      </c>
      <c r="H467" t="b">
        <f t="shared" si="25"/>
        <v>0</v>
      </c>
      <c r="I467" s="29">
        <f t="shared" si="23"/>
        <v>39994</v>
      </c>
    </row>
    <row r="468" spans="1:9" ht="12.75" customHeight="1" x14ac:dyDescent="0.2">
      <c r="A468" s="28">
        <v>39994</v>
      </c>
      <c r="B468" s="26" t="s">
        <v>3388</v>
      </c>
      <c r="C468" s="26" t="s">
        <v>9</v>
      </c>
      <c r="D468" s="35" t="s">
        <v>20</v>
      </c>
      <c r="E468" s="35" t="s">
        <v>20</v>
      </c>
      <c r="F468" s="35" t="s">
        <v>20</v>
      </c>
      <c r="G468" t="b">
        <f t="shared" si="24"/>
        <v>0</v>
      </c>
      <c r="H468" t="b">
        <f t="shared" si="25"/>
        <v>0</v>
      </c>
      <c r="I468" s="29">
        <f t="shared" si="23"/>
        <v>39994</v>
      </c>
    </row>
    <row r="469" spans="1:9" ht="12.75" customHeight="1" x14ac:dyDescent="0.2">
      <c r="A469" s="28">
        <v>39995</v>
      </c>
      <c r="B469" s="26" t="s">
        <v>874</v>
      </c>
      <c r="C469" s="26" t="s">
        <v>3096</v>
      </c>
      <c r="D469" s="35">
        <v>102500000</v>
      </c>
      <c r="E469" s="35">
        <v>97104620</v>
      </c>
      <c r="F469" s="35">
        <v>210379983</v>
      </c>
      <c r="G469" t="b">
        <f t="shared" si="24"/>
        <v>0</v>
      </c>
      <c r="H469" t="b">
        <f t="shared" si="25"/>
        <v>0</v>
      </c>
      <c r="I469" s="29">
        <f t="shared" si="23"/>
        <v>39995</v>
      </c>
    </row>
    <row r="470" spans="1:9" ht="25.5" x14ac:dyDescent="0.2">
      <c r="A470" s="28">
        <v>39995</v>
      </c>
      <c r="B470" s="26" t="s">
        <v>1132</v>
      </c>
      <c r="C470" s="26" t="s">
        <v>842</v>
      </c>
      <c r="D470" s="35" t="s">
        <v>20</v>
      </c>
      <c r="E470" s="35">
        <v>239711</v>
      </c>
      <c r="F470" s="35" t="s">
        <v>20</v>
      </c>
      <c r="G470" t="b">
        <f t="shared" si="24"/>
        <v>0</v>
      </c>
      <c r="H470" t="b">
        <f t="shared" si="25"/>
        <v>0</v>
      </c>
      <c r="I470" s="29">
        <f t="shared" si="23"/>
        <v>39995</v>
      </c>
    </row>
    <row r="471" spans="1:9" ht="25.5" x14ac:dyDescent="0.2">
      <c r="A471" s="28">
        <v>39995</v>
      </c>
      <c r="B471" s="26" t="s">
        <v>2450</v>
      </c>
      <c r="C471" s="26" t="s">
        <v>384</v>
      </c>
      <c r="D471" s="35">
        <v>90000000</v>
      </c>
      <c r="E471" s="35">
        <v>196573705</v>
      </c>
      <c r="F471" s="35">
        <v>886968695</v>
      </c>
      <c r="G471" t="b">
        <f t="shared" si="24"/>
        <v>0</v>
      </c>
      <c r="H471" t="b">
        <f t="shared" si="25"/>
        <v>0</v>
      </c>
      <c r="I471" s="29">
        <f t="shared" si="23"/>
        <v>39995</v>
      </c>
    </row>
    <row r="472" spans="1:9" ht="12.75" customHeight="1" x14ac:dyDescent="0.2">
      <c r="A472" s="28">
        <v>39996</v>
      </c>
      <c r="B472" s="26" t="s">
        <v>419</v>
      </c>
      <c r="C472" s="26" t="s">
        <v>9</v>
      </c>
      <c r="D472" s="35" t="s">
        <v>20</v>
      </c>
      <c r="E472" s="35" t="s">
        <v>20</v>
      </c>
      <c r="F472" s="35" t="s">
        <v>20</v>
      </c>
      <c r="G472" t="b">
        <f t="shared" si="24"/>
        <v>0</v>
      </c>
      <c r="H472" t="b">
        <f t="shared" si="25"/>
        <v>0</v>
      </c>
      <c r="I472" s="29">
        <f t="shared" si="23"/>
        <v>39996</v>
      </c>
    </row>
    <row r="473" spans="1:9" x14ac:dyDescent="0.2">
      <c r="A473" s="28">
        <v>39997</v>
      </c>
      <c r="B473" s="26" t="s">
        <v>1330</v>
      </c>
      <c r="C473" s="26" t="s">
        <v>9</v>
      </c>
      <c r="D473" s="35" t="s">
        <v>20</v>
      </c>
      <c r="E473" s="35">
        <v>602992</v>
      </c>
      <c r="F473" s="35">
        <v>6016441</v>
      </c>
      <c r="G473" t="b">
        <f t="shared" si="24"/>
        <v>0</v>
      </c>
      <c r="H473" t="b">
        <f t="shared" si="25"/>
        <v>0</v>
      </c>
      <c r="I473" s="29">
        <f t="shared" si="23"/>
        <v>39997</v>
      </c>
    </row>
    <row r="474" spans="1:9" ht="12.75" customHeight="1" x14ac:dyDescent="0.2">
      <c r="A474" s="28">
        <v>39997</v>
      </c>
      <c r="B474" s="26" t="s">
        <v>2235</v>
      </c>
      <c r="C474" s="26" t="s">
        <v>9</v>
      </c>
      <c r="D474" s="35" t="s">
        <v>20</v>
      </c>
      <c r="E474" s="35">
        <v>33447</v>
      </c>
      <c r="F474" s="35" t="s">
        <v>20</v>
      </c>
      <c r="G474" t="b">
        <f t="shared" si="24"/>
        <v>0</v>
      </c>
      <c r="H474" t="b">
        <f t="shared" si="25"/>
        <v>0</v>
      </c>
      <c r="I474" s="29">
        <f t="shared" si="23"/>
        <v>39997</v>
      </c>
    </row>
    <row r="475" spans="1:9" x14ac:dyDescent="0.2">
      <c r="A475" s="28">
        <v>39997</v>
      </c>
      <c r="B475" s="26" t="s">
        <v>3310</v>
      </c>
      <c r="C475" s="26" t="s">
        <v>1264</v>
      </c>
      <c r="D475" s="35" t="s">
        <v>20</v>
      </c>
      <c r="E475" s="35" t="s">
        <v>20</v>
      </c>
      <c r="F475" s="35" t="s">
        <v>20</v>
      </c>
      <c r="G475" t="b">
        <f t="shared" si="24"/>
        <v>0</v>
      </c>
      <c r="H475" t="b">
        <f t="shared" si="25"/>
        <v>0</v>
      </c>
      <c r="I475" s="29">
        <f t="shared" si="23"/>
        <v>39997</v>
      </c>
    </row>
    <row r="476" spans="1:9" ht="12.75" customHeight="1" x14ac:dyDescent="0.2">
      <c r="A476" s="28">
        <v>39997</v>
      </c>
      <c r="B476" s="26" t="s">
        <v>2299</v>
      </c>
      <c r="C476" s="26" t="s">
        <v>647</v>
      </c>
      <c r="D476" s="35" t="s">
        <v>20</v>
      </c>
      <c r="E476" s="35">
        <v>1455739</v>
      </c>
      <c r="F476" s="35">
        <v>24320181</v>
      </c>
      <c r="G476" t="b">
        <f t="shared" si="24"/>
        <v>0</v>
      </c>
      <c r="H476" t="b">
        <f t="shared" si="25"/>
        <v>0</v>
      </c>
      <c r="I476" s="29">
        <f t="shared" si="23"/>
        <v>39997</v>
      </c>
    </row>
    <row r="477" spans="1:9" ht="25.5" x14ac:dyDescent="0.2">
      <c r="A477" s="28">
        <v>39997</v>
      </c>
      <c r="B477" s="26" t="s">
        <v>2637</v>
      </c>
      <c r="C477" s="26" t="s">
        <v>9</v>
      </c>
      <c r="D477" s="35" t="s">
        <v>20</v>
      </c>
      <c r="E477" s="35">
        <v>11004</v>
      </c>
      <c r="F477" s="35" t="s">
        <v>20</v>
      </c>
      <c r="G477" t="b">
        <f t="shared" si="24"/>
        <v>0</v>
      </c>
      <c r="H477" t="b">
        <f t="shared" si="25"/>
        <v>0</v>
      </c>
      <c r="I477" s="29">
        <f t="shared" si="23"/>
        <v>39997</v>
      </c>
    </row>
    <row r="478" spans="1:9" ht="12.75" customHeight="1" x14ac:dyDescent="0.2">
      <c r="A478" s="28">
        <v>39997</v>
      </c>
      <c r="B478" s="26" t="s">
        <v>1370</v>
      </c>
      <c r="C478" s="26" t="s">
        <v>2285</v>
      </c>
      <c r="D478" s="35" t="s">
        <v>20</v>
      </c>
      <c r="E478" s="35">
        <v>14739</v>
      </c>
      <c r="F478" s="35" t="s">
        <v>20</v>
      </c>
      <c r="G478" t="b">
        <f t="shared" si="24"/>
        <v>0</v>
      </c>
      <c r="H478" t="b">
        <f t="shared" si="25"/>
        <v>0</v>
      </c>
      <c r="I478" s="29">
        <f t="shared" si="23"/>
        <v>39997</v>
      </c>
    </row>
    <row r="479" spans="1:9" ht="12.75" customHeight="1" x14ac:dyDescent="0.2">
      <c r="A479" s="28">
        <v>40001</v>
      </c>
      <c r="B479" s="26" t="s">
        <v>1974</v>
      </c>
      <c r="C479" s="26" t="s">
        <v>9</v>
      </c>
      <c r="D479" s="35" t="s">
        <v>20</v>
      </c>
      <c r="E479" s="35" t="s">
        <v>20</v>
      </c>
      <c r="F479" s="35" t="s">
        <v>20</v>
      </c>
      <c r="G479" t="b">
        <f t="shared" si="24"/>
        <v>0</v>
      </c>
      <c r="H479" t="b">
        <f t="shared" si="25"/>
        <v>0</v>
      </c>
      <c r="I479" s="29">
        <f t="shared" si="23"/>
        <v>40001</v>
      </c>
    </row>
    <row r="480" spans="1:9" ht="12.75" customHeight="1" x14ac:dyDescent="0.2">
      <c r="A480" s="28">
        <v>40001</v>
      </c>
      <c r="B480" s="26" t="s">
        <v>1348</v>
      </c>
      <c r="C480" s="26" t="s">
        <v>2310</v>
      </c>
      <c r="D480" s="35" t="s">
        <v>20</v>
      </c>
      <c r="E480" s="35" t="s">
        <v>20</v>
      </c>
      <c r="F480" s="35" t="s">
        <v>20</v>
      </c>
      <c r="G480" t="b">
        <f t="shared" si="24"/>
        <v>0</v>
      </c>
      <c r="H480" t="b">
        <f t="shared" si="25"/>
        <v>0</v>
      </c>
      <c r="I480" s="29">
        <f t="shared" si="23"/>
        <v>40001</v>
      </c>
    </row>
    <row r="481" spans="1:9" ht="12.75" customHeight="1" x14ac:dyDescent="0.2">
      <c r="A481" s="28">
        <v>40001</v>
      </c>
      <c r="B481" s="26" t="s">
        <v>2205</v>
      </c>
      <c r="C481" s="26" t="s">
        <v>9</v>
      </c>
      <c r="D481" s="35" t="s">
        <v>20</v>
      </c>
      <c r="E481" s="35" t="s">
        <v>20</v>
      </c>
      <c r="F481" s="35" t="s">
        <v>20</v>
      </c>
      <c r="G481" t="b">
        <f t="shared" si="24"/>
        <v>0</v>
      </c>
      <c r="H481" t="b">
        <f t="shared" si="25"/>
        <v>0</v>
      </c>
      <c r="I481" s="29">
        <f t="shared" si="23"/>
        <v>40001</v>
      </c>
    </row>
    <row r="482" spans="1:9" ht="12.75" customHeight="1" x14ac:dyDescent="0.2">
      <c r="A482" s="28">
        <v>40001</v>
      </c>
      <c r="B482" s="26" t="s">
        <v>1146</v>
      </c>
      <c r="C482" s="26" t="s">
        <v>9</v>
      </c>
      <c r="D482" s="35" t="s">
        <v>20</v>
      </c>
      <c r="E482" s="35" t="s">
        <v>20</v>
      </c>
      <c r="F482" s="35" t="s">
        <v>20</v>
      </c>
      <c r="G482" t="b">
        <f t="shared" si="24"/>
        <v>0</v>
      </c>
      <c r="H482" t="b">
        <f t="shared" si="25"/>
        <v>0</v>
      </c>
      <c r="I482" s="29">
        <f t="shared" si="23"/>
        <v>40001</v>
      </c>
    </row>
    <row r="483" spans="1:9" ht="12.75" customHeight="1" x14ac:dyDescent="0.2">
      <c r="A483" s="28">
        <v>40001</v>
      </c>
      <c r="B483" s="26" t="s">
        <v>2908</v>
      </c>
      <c r="C483" s="26" t="s">
        <v>9</v>
      </c>
      <c r="D483" s="35" t="s">
        <v>20</v>
      </c>
      <c r="E483" s="35" t="s">
        <v>20</v>
      </c>
      <c r="F483" s="35" t="s">
        <v>20</v>
      </c>
      <c r="G483" t="b">
        <f t="shared" si="24"/>
        <v>0</v>
      </c>
      <c r="H483" t="b">
        <f t="shared" si="25"/>
        <v>0</v>
      </c>
      <c r="I483" s="29">
        <f t="shared" si="23"/>
        <v>40001</v>
      </c>
    </row>
    <row r="484" spans="1:9" ht="12.75" customHeight="1" x14ac:dyDescent="0.2">
      <c r="A484" s="28">
        <v>40001</v>
      </c>
      <c r="B484" s="26" t="s">
        <v>2805</v>
      </c>
      <c r="C484" s="26" t="s">
        <v>9</v>
      </c>
      <c r="D484" s="35" t="s">
        <v>20</v>
      </c>
      <c r="E484" s="35" t="s">
        <v>20</v>
      </c>
      <c r="F484" s="35" t="s">
        <v>20</v>
      </c>
      <c r="G484" t="b">
        <f t="shared" si="24"/>
        <v>0</v>
      </c>
      <c r="H484" t="b">
        <f t="shared" si="25"/>
        <v>0</v>
      </c>
      <c r="I484" s="29">
        <f t="shared" si="23"/>
        <v>40001</v>
      </c>
    </row>
    <row r="485" spans="1:9" ht="12.75" customHeight="1" x14ac:dyDescent="0.2">
      <c r="A485" s="28">
        <v>40002</v>
      </c>
      <c r="B485" s="26" t="s">
        <v>1853</v>
      </c>
      <c r="C485" s="26" t="s">
        <v>1619</v>
      </c>
      <c r="D485" s="35" t="s">
        <v>20</v>
      </c>
      <c r="E485" s="35">
        <v>10644453</v>
      </c>
      <c r="F485" s="35" t="s">
        <v>20</v>
      </c>
      <c r="G485" t="b">
        <f t="shared" si="24"/>
        <v>0</v>
      </c>
      <c r="H485" t="b">
        <f t="shared" si="25"/>
        <v>0</v>
      </c>
      <c r="I485" s="29">
        <f t="shared" si="23"/>
        <v>40002</v>
      </c>
    </row>
    <row r="486" spans="1:9" ht="12.75" customHeight="1" x14ac:dyDescent="0.2">
      <c r="A486" s="28">
        <v>40004</v>
      </c>
      <c r="B486" s="26" t="s">
        <v>1251</v>
      </c>
      <c r="C486" s="26" t="s">
        <v>819</v>
      </c>
      <c r="D486" s="35" t="s">
        <v>20</v>
      </c>
      <c r="E486" s="35">
        <v>8322</v>
      </c>
      <c r="F486" s="35" t="s">
        <v>20</v>
      </c>
      <c r="G486" t="b">
        <f t="shared" si="24"/>
        <v>0</v>
      </c>
      <c r="H486" t="b">
        <f t="shared" si="25"/>
        <v>0</v>
      </c>
      <c r="I486" s="29">
        <f t="shared" si="23"/>
        <v>40004</v>
      </c>
    </row>
    <row r="487" spans="1:9" ht="25.5" x14ac:dyDescent="0.2">
      <c r="A487" s="28">
        <v>40004</v>
      </c>
      <c r="B487" s="26" t="s">
        <v>1430</v>
      </c>
      <c r="C487" s="26" t="s">
        <v>384</v>
      </c>
      <c r="D487" s="35">
        <v>18000000</v>
      </c>
      <c r="E487" s="35">
        <v>14800725</v>
      </c>
      <c r="F487" s="35">
        <v>16382538</v>
      </c>
      <c r="G487" t="b">
        <f t="shared" si="24"/>
        <v>0</v>
      </c>
      <c r="H487" t="b">
        <f t="shared" si="25"/>
        <v>0</v>
      </c>
      <c r="I487" s="29">
        <f t="shared" si="23"/>
        <v>40004</v>
      </c>
    </row>
    <row r="488" spans="1:9" ht="25.5" x14ac:dyDescent="0.2">
      <c r="A488" s="28">
        <v>40004</v>
      </c>
      <c r="B488" s="26" t="s">
        <v>275</v>
      </c>
      <c r="C488" s="26" t="s">
        <v>1760</v>
      </c>
      <c r="D488" s="35" t="s">
        <v>20</v>
      </c>
      <c r="E488" s="35">
        <v>10289</v>
      </c>
      <c r="F488" s="35" t="s">
        <v>20</v>
      </c>
      <c r="G488" t="b">
        <f t="shared" si="24"/>
        <v>0</v>
      </c>
      <c r="H488" t="b">
        <f t="shared" si="25"/>
        <v>0</v>
      </c>
      <c r="I488" s="29">
        <f t="shared" si="23"/>
        <v>40004</v>
      </c>
    </row>
    <row r="489" spans="1:9" ht="12.75" customHeight="1" x14ac:dyDescent="0.2">
      <c r="A489" s="28">
        <v>40004</v>
      </c>
      <c r="B489" s="26" t="s">
        <v>1666</v>
      </c>
      <c r="C489" s="26" t="s">
        <v>1414</v>
      </c>
      <c r="D489" s="35" t="s">
        <v>20</v>
      </c>
      <c r="E489" s="35">
        <v>5685</v>
      </c>
      <c r="F489" s="35" t="s">
        <v>20</v>
      </c>
      <c r="G489" t="b">
        <f t="shared" si="24"/>
        <v>0</v>
      </c>
      <c r="H489" t="b">
        <f t="shared" si="25"/>
        <v>0</v>
      </c>
      <c r="I489" s="29">
        <f t="shared" si="23"/>
        <v>40004</v>
      </c>
    </row>
    <row r="490" spans="1:9" ht="25.5" x14ac:dyDescent="0.2">
      <c r="A490" s="28">
        <v>40004</v>
      </c>
      <c r="B490" s="26" t="s">
        <v>2957</v>
      </c>
      <c r="C490" s="26" t="s">
        <v>730</v>
      </c>
      <c r="D490" s="35" t="s">
        <v>20</v>
      </c>
      <c r="E490" s="35">
        <v>1134623</v>
      </c>
      <c r="F490" s="35" t="s">
        <v>20</v>
      </c>
      <c r="G490" t="b">
        <f t="shared" si="24"/>
        <v>0</v>
      </c>
      <c r="H490" t="b">
        <f t="shared" si="25"/>
        <v>0</v>
      </c>
      <c r="I490" s="29">
        <f t="shared" si="23"/>
        <v>40004</v>
      </c>
    </row>
    <row r="491" spans="1:9" ht="12.75" customHeight="1" x14ac:dyDescent="0.2">
      <c r="A491" s="28">
        <v>40004</v>
      </c>
      <c r="B491" s="26" t="s">
        <v>362</v>
      </c>
      <c r="C491" s="26" t="s">
        <v>9</v>
      </c>
      <c r="D491" s="35" t="s">
        <v>20</v>
      </c>
      <c r="E491" s="35" t="s">
        <v>20</v>
      </c>
      <c r="F491" s="35">
        <v>1677146</v>
      </c>
      <c r="G491" t="b">
        <f t="shared" si="24"/>
        <v>0</v>
      </c>
      <c r="H491" t="b">
        <f t="shared" si="25"/>
        <v>0</v>
      </c>
      <c r="I491" s="29">
        <f t="shared" si="23"/>
        <v>40004</v>
      </c>
    </row>
    <row r="492" spans="1:9" ht="12.75" customHeight="1" x14ac:dyDescent="0.2">
      <c r="A492" s="28">
        <v>40004</v>
      </c>
      <c r="B492" s="26" t="s">
        <v>1641</v>
      </c>
      <c r="C492" s="26" t="s">
        <v>3096</v>
      </c>
      <c r="D492" s="35" t="s">
        <v>20</v>
      </c>
      <c r="E492" s="35">
        <v>60054530</v>
      </c>
      <c r="F492" s="35">
        <v>130788243</v>
      </c>
      <c r="G492" t="b">
        <f t="shared" si="24"/>
        <v>0</v>
      </c>
      <c r="H492" t="b">
        <f t="shared" si="25"/>
        <v>0</v>
      </c>
      <c r="I492" s="29">
        <f t="shared" si="23"/>
        <v>40004</v>
      </c>
    </row>
    <row r="493" spans="1:9" ht="12.75" customHeight="1" x14ac:dyDescent="0.2">
      <c r="A493" s="28">
        <v>40004</v>
      </c>
      <c r="B493" s="26" t="s">
        <v>448</v>
      </c>
      <c r="C493" s="26" t="s">
        <v>9</v>
      </c>
      <c r="D493" s="35" t="s">
        <v>20</v>
      </c>
      <c r="E493" s="35">
        <v>207121</v>
      </c>
      <c r="F493" s="35" t="s">
        <v>20</v>
      </c>
      <c r="G493" t="b">
        <f t="shared" si="24"/>
        <v>0</v>
      </c>
      <c r="H493" t="b">
        <f t="shared" si="25"/>
        <v>0</v>
      </c>
      <c r="I493" s="29">
        <f t="shared" si="23"/>
        <v>40004</v>
      </c>
    </row>
    <row r="494" spans="1:9" ht="12.75" customHeight="1" x14ac:dyDescent="0.2">
      <c r="A494" s="28">
        <v>40004</v>
      </c>
      <c r="B494" s="26" t="s">
        <v>2288</v>
      </c>
      <c r="C494" s="26" t="s">
        <v>9</v>
      </c>
      <c r="D494" s="35" t="s">
        <v>20</v>
      </c>
      <c r="E494" s="35">
        <v>407377</v>
      </c>
      <c r="F494" s="35" t="s">
        <v>20</v>
      </c>
      <c r="G494" t="b">
        <f t="shared" si="24"/>
        <v>0</v>
      </c>
      <c r="H494" t="b">
        <f t="shared" si="25"/>
        <v>0</v>
      </c>
      <c r="I494" s="29">
        <f t="shared" si="23"/>
        <v>40004</v>
      </c>
    </row>
    <row r="495" spans="1:9" ht="12.75" customHeight="1" x14ac:dyDescent="0.2">
      <c r="A495" s="28">
        <v>40004</v>
      </c>
      <c r="B495" s="26" t="s">
        <v>3090</v>
      </c>
      <c r="C495" s="26" t="s">
        <v>9</v>
      </c>
      <c r="D495" s="35" t="s">
        <v>20</v>
      </c>
      <c r="E495" s="35">
        <v>20915</v>
      </c>
      <c r="F495" s="35" t="s">
        <v>20</v>
      </c>
      <c r="G495" t="b">
        <f t="shared" si="24"/>
        <v>0</v>
      </c>
      <c r="H495" t="b">
        <f t="shared" si="25"/>
        <v>0</v>
      </c>
      <c r="I495" s="29">
        <f t="shared" si="23"/>
        <v>40004</v>
      </c>
    </row>
    <row r="496" spans="1:9" ht="25.5" x14ac:dyDescent="0.2">
      <c r="A496" s="28">
        <v>40004</v>
      </c>
      <c r="B496" s="26" t="s">
        <v>3003</v>
      </c>
      <c r="C496" s="26" t="s">
        <v>9</v>
      </c>
      <c r="D496" s="35" t="s">
        <v>20</v>
      </c>
      <c r="E496" s="35">
        <v>256682</v>
      </c>
      <c r="F496" s="35">
        <v>5683954</v>
      </c>
      <c r="G496" t="b">
        <f t="shared" si="24"/>
        <v>0</v>
      </c>
      <c r="H496" t="b">
        <f t="shared" si="25"/>
        <v>0</v>
      </c>
      <c r="I496" s="29">
        <f t="shared" si="23"/>
        <v>40004</v>
      </c>
    </row>
    <row r="497" spans="1:9" ht="12.75" customHeight="1" x14ac:dyDescent="0.2">
      <c r="A497" s="28">
        <v>40008</v>
      </c>
      <c r="B497" s="26" t="s">
        <v>2693</v>
      </c>
      <c r="C497" s="26" t="s">
        <v>9</v>
      </c>
      <c r="D497" s="35" t="s">
        <v>20</v>
      </c>
      <c r="E497" s="35" t="s">
        <v>20</v>
      </c>
      <c r="F497" s="35" t="s">
        <v>20</v>
      </c>
      <c r="G497" t="b">
        <f t="shared" si="24"/>
        <v>0</v>
      </c>
      <c r="H497" t="b">
        <f t="shared" si="25"/>
        <v>0</v>
      </c>
      <c r="I497" s="29">
        <f t="shared" si="23"/>
        <v>40008</v>
      </c>
    </row>
    <row r="498" spans="1:9" ht="12.75" customHeight="1" x14ac:dyDescent="0.2">
      <c r="A498" s="28">
        <v>40008</v>
      </c>
      <c r="B498" s="26" t="s">
        <v>1483</v>
      </c>
      <c r="C498" s="26" t="s">
        <v>9</v>
      </c>
      <c r="D498" s="35" t="s">
        <v>20</v>
      </c>
      <c r="E498" s="35" t="s">
        <v>20</v>
      </c>
      <c r="F498" s="35" t="s">
        <v>20</v>
      </c>
      <c r="G498" t="b">
        <f t="shared" si="24"/>
        <v>0</v>
      </c>
      <c r="H498" t="b">
        <f t="shared" si="25"/>
        <v>0</v>
      </c>
      <c r="I498" s="29">
        <f t="shared" si="23"/>
        <v>40008</v>
      </c>
    </row>
    <row r="499" spans="1:9" ht="25.5" x14ac:dyDescent="0.2">
      <c r="A499" s="28">
        <v>40008</v>
      </c>
      <c r="B499" s="26" t="s">
        <v>1535</v>
      </c>
      <c r="C499" s="26" t="s">
        <v>9</v>
      </c>
      <c r="D499" s="35" t="s">
        <v>20</v>
      </c>
      <c r="E499" s="35" t="s">
        <v>20</v>
      </c>
      <c r="F499" s="35" t="s">
        <v>20</v>
      </c>
      <c r="G499" t="b">
        <f t="shared" si="24"/>
        <v>0</v>
      </c>
      <c r="H499" t="b">
        <f t="shared" si="25"/>
        <v>0</v>
      </c>
      <c r="I499" s="29">
        <f t="shared" si="23"/>
        <v>40008</v>
      </c>
    </row>
    <row r="500" spans="1:9" ht="25.5" x14ac:dyDescent="0.2">
      <c r="A500" s="28">
        <v>40008</v>
      </c>
      <c r="B500" s="26" t="s">
        <v>293</v>
      </c>
      <c r="C500" s="26" t="s">
        <v>9</v>
      </c>
      <c r="D500" s="35" t="s">
        <v>20</v>
      </c>
      <c r="E500" s="35" t="s">
        <v>20</v>
      </c>
      <c r="F500" s="35" t="s">
        <v>20</v>
      </c>
      <c r="G500" t="b">
        <f t="shared" si="24"/>
        <v>0</v>
      </c>
      <c r="H500" t="b">
        <f t="shared" si="25"/>
        <v>0</v>
      </c>
      <c r="I500" s="29">
        <f t="shared" si="23"/>
        <v>40008</v>
      </c>
    </row>
    <row r="501" spans="1:9" ht="38.25" x14ac:dyDescent="0.2">
      <c r="A501" s="28">
        <v>40008</v>
      </c>
      <c r="B501" s="26" t="s">
        <v>2483</v>
      </c>
      <c r="C501" s="26" t="s">
        <v>9</v>
      </c>
      <c r="D501" s="35" t="s">
        <v>20</v>
      </c>
      <c r="E501" s="35" t="s">
        <v>20</v>
      </c>
      <c r="F501" s="35" t="s">
        <v>20</v>
      </c>
      <c r="G501" t="b">
        <f t="shared" si="24"/>
        <v>0</v>
      </c>
      <c r="H501" t="b">
        <f t="shared" si="25"/>
        <v>0</v>
      </c>
      <c r="I501" s="29">
        <f t="shared" si="23"/>
        <v>40008</v>
      </c>
    </row>
    <row r="502" spans="1:9" ht="12.75" customHeight="1" x14ac:dyDescent="0.2">
      <c r="A502" s="28">
        <v>40008</v>
      </c>
      <c r="B502" s="26" t="s">
        <v>1990</v>
      </c>
      <c r="C502" s="26" t="s">
        <v>9</v>
      </c>
      <c r="D502" s="35" t="s">
        <v>20</v>
      </c>
      <c r="E502" s="35" t="s">
        <v>20</v>
      </c>
      <c r="F502" s="35" t="s">
        <v>20</v>
      </c>
      <c r="G502" t="b">
        <f t="shared" si="24"/>
        <v>0</v>
      </c>
      <c r="H502" t="b">
        <f t="shared" si="25"/>
        <v>0</v>
      </c>
      <c r="I502" s="29">
        <f t="shared" si="23"/>
        <v>40008</v>
      </c>
    </row>
    <row r="503" spans="1:9" ht="38.25" x14ac:dyDescent="0.2">
      <c r="A503" s="28">
        <v>40009</v>
      </c>
      <c r="B503" s="26" t="s">
        <v>881</v>
      </c>
      <c r="C503" s="26" t="s">
        <v>3209</v>
      </c>
      <c r="D503" s="35">
        <v>250000000</v>
      </c>
      <c r="E503" s="35">
        <v>301959197</v>
      </c>
      <c r="F503" s="35">
        <v>933959197</v>
      </c>
      <c r="G503" t="b">
        <f t="shared" si="24"/>
        <v>0</v>
      </c>
      <c r="H503" t="b">
        <f t="shared" si="25"/>
        <v>0</v>
      </c>
      <c r="I503" s="29">
        <f t="shared" ref="I503:I564" si="26">DATE(2009,MONTH(A503), DAY(A503))</f>
        <v>40009</v>
      </c>
    </row>
    <row r="504" spans="1:9" ht="12.75" customHeight="1" x14ac:dyDescent="0.2">
      <c r="A504" s="28">
        <v>40011</v>
      </c>
      <c r="B504" s="26" t="s">
        <v>3381</v>
      </c>
      <c r="C504" s="26" t="s">
        <v>1414</v>
      </c>
      <c r="D504" s="35" t="s">
        <v>20</v>
      </c>
      <c r="E504" s="35">
        <v>54526</v>
      </c>
      <c r="F504" s="35" t="s">
        <v>20</v>
      </c>
      <c r="G504" t="b">
        <f t="shared" si="24"/>
        <v>0</v>
      </c>
      <c r="H504" t="b">
        <f t="shared" si="25"/>
        <v>0</v>
      </c>
      <c r="I504" s="29">
        <f t="shared" si="26"/>
        <v>40011</v>
      </c>
    </row>
    <row r="505" spans="1:9" ht="25.5" x14ac:dyDescent="0.2">
      <c r="A505" s="28">
        <v>40011</v>
      </c>
      <c r="B505" s="26" t="s">
        <v>1842</v>
      </c>
      <c r="C505" s="26" t="s">
        <v>155</v>
      </c>
      <c r="D505" s="35" t="s">
        <v>20</v>
      </c>
      <c r="E505" s="35">
        <v>32391374</v>
      </c>
      <c r="F505" s="35">
        <v>60803210</v>
      </c>
      <c r="G505" t="b">
        <f t="shared" si="24"/>
        <v>0</v>
      </c>
      <c r="H505" t="b">
        <f t="shared" si="25"/>
        <v>0</v>
      </c>
      <c r="I505" s="29">
        <f t="shared" si="26"/>
        <v>40011</v>
      </c>
    </row>
    <row r="506" spans="1:9" ht="25.5" x14ac:dyDescent="0.2">
      <c r="A506" s="28">
        <v>40011</v>
      </c>
      <c r="B506" s="26" t="s">
        <v>1866</v>
      </c>
      <c r="C506" s="26" t="s">
        <v>2123</v>
      </c>
      <c r="D506" s="35" t="s">
        <v>20</v>
      </c>
      <c r="E506" s="35">
        <v>106542</v>
      </c>
      <c r="F506" s="35" t="s">
        <v>20</v>
      </c>
      <c r="G506" t="b">
        <f t="shared" si="24"/>
        <v>0</v>
      </c>
      <c r="H506" t="b">
        <f t="shared" si="25"/>
        <v>0</v>
      </c>
      <c r="I506" s="29">
        <f t="shared" si="26"/>
        <v>40011</v>
      </c>
    </row>
    <row r="507" spans="1:9" ht="12.75" customHeight="1" x14ac:dyDescent="0.2">
      <c r="A507" s="28">
        <v>40011</v>
      </c>
      <c r="B507" s="26" t="s">
        <v>3331</v>
      </c>
      <c r="C507" s="26" t="s">
        <v>9</v>
      </c>
      <c r="D507" s="35" t="s">
        <v>20</v>
      </c>
      <c r="E507" s="35">
        <v>23412</v>
      </c>
      <c r="F507" s="35" t="s">
        <v>20</v>
      </c>
      <c r="G507" t="b">
        <f t="shared" si="24"/>
        <v>0</v>
      </c>
      <c r="H507" t="b">
        <f t="shared" si="25"/>
        <v>0</v>
      </c>
      <c r="I507" s="29">
        <f t="shared" si="26"/>
        <v>40011</v>
      </c>
    </row>
    <row r="508" spans="1:9" ht="25.5" x14ac:dyDescent="0.2">
      <c r="A508" s="28">
        <v>40011</v>
      </c>
      <c r="B508" s="26" t="s">
        <v>1767</v>
      </c>
      <c r="C508" s="26" t="s">
        <v>571</v>
      </c>
      <c r="D508" s="35" t="s">
        <v>20</v>
      </c>
      <c r="E508" s="35">
        <v>781016</v>
      </c>
      <c r="F508" s="35" t="s">
        <v>20</v>
      </c>
      <c r="G508" t="b">
        <f t="shared" si="24"/>
        <v>0</v>
      </c>
      <c r="H508" t="b">
        <f t="shared" si="25"/>
        <v>0</v>
      </c>
      <c r="I508" s="29">
        <f t="shared" si="26"/>
        <v>40011</v>
      </c>
    </row>
    <row r="509" spans="1:9" ht="12.75" customHeight="1" x14ac:dyDescent="0.2">
      <c r="A509" s="28">
        <v>40011</v>
      </c>
      <c r="B509" s="26" t="s">
        <v>653</v>
      </c>
      <c r="C509" s="26" t="s">
        <v>2786</v>
      </c>
      <c r="D509" s="35" t="s">
        <v>20</v>
      </c>
      <c r="E509" s="35" t="s">
        <v>20</v>
      </c>
      <c r="F509" s="35" t="s">
        <v>20</v>
      </c>
      <c r="G509" t="b">
        <f t="shared" si="24"/>
        <v>0</v>
      </c>
      <c r="H509" t="b">
        <f t="shared" si="25"/>
        <v>0</v>
      </c>
      <c r="I509" s="29">
        <f t="shared" si="26"/>
        <v>40011</v>
      </c>
    </row>
    <row r="510" spans="1:9" ht="25.5" x14ac:dyDescent="0.2">
      <c r="A510" s="28">
        <v>40011</v>
      </c>
      <c r="B510" s="26" t="s">
        <v>2847</v>
      </c>
      <c r="C510" s="26" t="s">
        <v>2285</v>
      </c>
      <c r="D510" s="35" t="s">
        <v>20</v>
      </c>
      <c r="E510" s="35">
        <v>294014</v>
      </c>
      <c r="F510" s="35" t="s">
        <v>20</v>
      </c>
      <c r="G510" t="b">
        <f t="shared" ref="G510:G571" si="27">ISBLANK(A510)</f>
        <v>0</v>
      </c>
      <c r="H510" t="b">
        <f t="shared" ref="H510:H571" si="28">ISTEXT(A510)</f>
        <v>0</v>
      </c>
      <c r="I510" s="29">
        <f t="shared" si="26"/>
        <v>40011</v>
      </c>
    </row>
    <row r="511" spans="1:9" ht="12.75" customHeight="1" x14ac:dyDescent="0.2">
      <c r="A511" s="28">
        <v>40012</v>
      </c>
      <c r="B511" s="26" t="s">
        <v>3454</v>
      </c>
      <c r="C511" s="26" t="s">
        <v>9</v>
      </c>
      <c r="D511" s="35" t="s">
        <v>20</v>
      </c>
      <c r="E511" s="35" t="s">
        <v>20</v>
      </c>
      <c r="F511" s="35">
        <v>40952392</v>
      </c>
      <c r="G511" t="b">
        <f t="shared" si="27"/>
        <v>0</v>
      </c>
      <c r="H511" t="b">
        <f t="shared" si="28"/>
        <v>0</v>
      </c>
      <c r="I511" s="29">
        <f t="shared" si="26"/>
        <v>40012</v>
      </c>
    </row>
    <row r="512" spans="1:9" ht="25.5" x14ac:dyDescent="0.2">
      <c r="A512" s="28">
        <v>40012</v>
      </c>
      <c r="B512" s="26" t="s">
        <v>2942</v>
      </c>
      <c r="C512" s="26" t="s">
        <v>9</v>
      </c>
      <c r="D512" s="35" t="s">
        <v>20</v>
      </c>
      <c r="E512" s="35" t="s">
        <v>20</v>
      </c>
      <c r="F512" s="35" t="s">
        <v>20</v>
      </c>
      <c r="G512" t="b">
        <f t="shared" si="27"/>
        <v>0</v>
      </c>
      <c r="H512" t="b">
        <f t="shared" si="28"/>
        <v>0</v>
      </c>
      <c r="I512" s="29">
        <f t="shared" si="26"/>
        <v>40012</v>
      </c>
    </row>
    <row r="513" spans="1:9" ht="25.5" x14ac:dyDescent="0.2">
      <c r="A513" s="28">
        <v>40015</v>
      </c>
      <c r="B513" s="26" t="s">
        <v>2900</v>
      </c>
      <c r="C513" s="26" t="s">
        <v>9</v>
      </c>
      <c r="D513" s="35" t="s">
        <v>20</v>
      </c>
      <c r="E513" s="35" t="s">
        <v>20</v>
      </c>
      <c r="F513" s="35" t="s">
        <v>20</v>
      </c>
      <c r="G513" t="b">
        <f t="shared" si="27"/>
        <v>0</v>
      </c>
      <c r="H513" t="b">
        <f t="shared" si="28"/>
        <v>0</v>
      </c>
      <c r="I513" s="29">
        <f t="shared" si="26"/>
        <v>40015</v>
      </c>
    </row>
    <row r="514" spans="1:9" ht="25.5" x14ac:dyDescent="0.2">
      <c r="A514" s="28">
        <v>40015</v>
      </c>
      <c r="B514" s="26" t="s">
        <v>1162</v>
      </c>
      <c r="C514" s="26" t="s">
        <v>9</v>
      </c>
      <c r="D514" s="35" t="s">
        <v>20</v>
      </c>
      <c r="E514" s="35" t="s">
        <v>20</v>
      </c>
      <c r="F514" s="35" t="s">
        <v>20</v>
      </c>
      <c r="G514" t="b">
        <f t="shared" si="27"/>
        <v>0</v>
      </c>
      <c r="H514" t="b">
        <f t="shared" si="28"/>
        <v>0</v>
      </c>
      <c r="I514" s="29">
        <f t="shared" si="26"/>
        <v>40015</v>
      </c>
    </row>
    <row r="515" spans="1:9" ht="12.75" customHeight="1" x14ac:dyDescent="0.2">
      <c r="A515" s="28">
        <v>40017</v>
      </c>
      <c r="B515" s="26" t="s">
        <v>1748</v>
      </c>
      <c r="C515" s="26" t="s">
        <v>9</v>
      </c>
      <c r="D515" s="35" t="s">
        <v>20</v>
      </c>
      <c r="E515" s="35" t="s">
        <v>20</v>
      </c>
      <c r="F515" s="35">
        <v>64733391</v>
      </c>
      <c r="G515" t="b">
        <f t="shared" si="27"/>
        <v>0</v>
      </c>
      <c r="H515" t="b">
        <f t="shared" si="28"/>
        <v>0</v>
      </c>
      <c r="I515" s="29">
        <f t="shared" si="26"/>
        <v>40017</v>
      </c>
    </row>
    <row r="516" spans="1:9" ht="12.75" customHeight="1" x14ac:dyDescent="0.2">
      <c r="A516" s="28">
        <v>40018</v>
      </c>
      <c r="B516" s="26" t="s">
        <v>648</v>
      </c>
      <c r="C516" s="26" t="s">
        <v>746</v>
      </c>
      <c r="D516" s="35" t="s">
        <v>20</v>
      </c>
      <c r="E516" s="35">
        <v>26676</v>
      </c>
      <c r="F516" s="35" t="s">
        <v>20</v>
      </c>
      <c r="G516" t="b">
        <f t="shared" si="27"/>
        <v>0</v>
      </c>
      <c r="H516" t="b">
        <f t="shared" si="28"/>
        <v>0</v>
      </c>
      <c r="I516" s="29">
        <f t="shared" si="26"/>
        <v>40018</v>
      </c>
    </row>
    <row r="517" spans="1:9" ht="25.5" x14ac:dyDescent="0.2">
      <c r="A517" s="28">
        <v>40018</v>
      </c>
      <c r="B517" s="26" t="s">
        <v>23</v>
      </c>
      <c r="C517" s="26" t="s">
        <v>9</v>
      </c>
      <c r="D517" s="35" t="s">
        <v>20</v>
      </c>
      <c r="E517" s="35">
        <v>899</v>
      </c>
      <c r="F517" s="35" t="s">
        <v>20</v>
      </c>
      <c r="G517" t="b">
        <f t="shared" si="27"/>
        <v>0</v>
      </c>
      <c r="H517" t="b">
        <f t="shared" si="28"/>
        <v>0</v>
      </c>
      <c r="I517" s="29">
        <f t="shared" si="26"/>
        <v>40018</v>
      </c>
    </row>
    <row r="518" spans="1:9" ht="25.5" x14ac:dyDescent="0.2">
      <c r="A518" s="28">
        <v>40018</v>
      </c>
      <c r="B518" s="26" t="s">
        <v>2010</v>
      </c>
      <c r="C518" s="26" t="s">
        <v>2180</v>
      </c>
      <c r="D518" s="35" t="s">
        <v>20</v>
      </c>
      <c r="E518" s="35">
        <v>189621</v>
      </c>
      <c r="F518" s="35" t="s">
        <v>20</v>
      </c>
      <c r="G518" t="b">
        <f t="shared" si="27"/>
        <v>0</v>
      </c>
      <c r="H518" t="b">
        <f t="shared" si="28"/>
        <v>0</v>
      </c>
      <c r="I518" s="29">
        <f t="shared" si="26"/>
        <v>40018</v>
      </c>
    </row>
    <row r="519" spans="1:9" ht="12.75" customHeight="1" x14ac:dyDescent="0.2">
      <c r="A519" s="28">
        <v>40018</v>
      </c>
      <c r="B519" s="26" t="s">
        <v>678</v>
      </c>
      <c r="C519" s="26" t="s">
        <v>3390</v>
      </c>
      <c r="D519" s="35">
        <v>82500000</v>
      </c>
      <c r="E519" s="35">
        <v>119436770</v>
      </c>
      <c r="F519" s="35">
        <v>287389685</v>
      </c>
      <c r="G519" t="b">
        <f t="shared" si="27"/>
        <v>0</v>
      </c>
      <c r="H519" t="b">
        <f t="shared" si="28"/>
        <v>0</v>
      </c>
      <c r="I519" s="29">
        <f t="shared" si="26"/>
        <v>40018</v>
      </c>
    </row>
    <row r="520" spans="1:9" ht="12.75" customHeight="1" x14ac:dyDescent="0.2">
      <c r="A520" s="28">
        <v>40018</v>
      </c>
      <c r="B520" s="26" t="s">
        <v>989</v>
      </c>
      <c r="C520" s="26" t="s">
        <v>3209</v>
      </c>
      <c r="D520" s="35" t="s">
        <v>20</v>
      </c>
      <c r="E520" s="35">
        <v>41596251</v>
      </c>
      <c r="F520" s="35">
        <v>78337373</v>
      </c>
      <c r="G520" t="b">
        <f t="shared" si="27"/>
        <v>0</v>
      </c>
      <c r="H520" t="b">
        <f t="shared" si="28"/>
        <v>0</v>
      </c>
      <c r="I520" s="29">
        <f t="shared" si="26"/>
        <v>40018</v>
      </c>
    </row>
    <row r="521" spans="1:9" ht="12.75" customHeight="1" x14ac:dyDescent="0.2">
      <c r="A521" s="28">
        <v>40018</v>
      </c>
      <c r="B521" s="26" t="s">
        <v>712</v>
      </c>
      <c r="C521" s="26" t="s">
        <v>9</v>
      </c>
      <c r="D521" s="35" t="s">
        <v>20</v>
      </c>
      <c r="E521" s="35">
        <v>8221</v>
      </c>
      <c r="F521" s="35" t="s">
        <v>20</v>
      </c>
      <c r="G521" t="b">
        <f t="shared" si="27"/>
        <v>0</v>
      </c>
      <c r="H521" t="b">
        <f t="shared" si="28"/>
        <v>0</v>
      </c>
      <c r="I521" s="29">
        <f t="shared" si="26"/>
        <v>40018</v>
      </c>
    </row>
    <row r="522" spans="1:9" ht="12.75" customHeight="1" x14ac:dyDescent="0.2">
      <c r="A522" s="28">
        <v>40018</v>
      </c>
      <c r="B522" s="26" t="s">
        <v>2111</v>
      </c>
      <c r="C522" s="26" t="s">
        <v>3466</v>
      </c>
      <c r="D522" s="35" t="s">
        <v>20</v>
      </c>
      <c r="E522" s="35">
        <v>2388804</v>
      </c>
      <c r="F522" s="35">
        <v>7788804</v>
      </c>
      <c r="G522" t="b">
        <f t="shared" si="27"/>
        <v>0</v>
      </c>
      <c r="H522" t="b">
        <f t="shared" si="28"/>
        <v>0</v>
      </c>
      <c r="I522" s="29">
        <f t="shared" si="26"/>
        <v>40018</v>
      </c>
    </row>
    <row r="523" spans="1:9" ht="12.75" customHeight="1" x14ac:dyDescent="0.2">
      <c r="A523" s="28">
        <v>40018</v>
      </c>
      <c r="B523" s="26" t="s">
        <v>692</v>
      </c>
      <c r="C523" s="26" t="s">
        <v>1760</v>
      </c>
      <c r="D523" s="35" t="s">
        <v>20</v>
      </c>
      <c r="E523" s="35">
        <v>8125</v>
      </c>
      <c r="F523" s="35" t="s">
        <v>20</v>
      </c>
      <c r="G523" t="b">
        <f t="shared" si="27"/>
        <v>0</v>
      </c>
      <c r="H523" t="b">
        <f t="shared" si="28"/>
        <v>0</v>
      </c>
      <c r="I523" s="29">
        <f t="shared" si="26"/>
        <v>40018</v>
      </c>
    </row>
    <row r="524" spans="1:9" ht="12.75" customHeight="1" x14ac:dyDescent="0.2">
      <c r="A524" s="28">
        <v>40018</v>
      </c>
      <c r="B524" s="26" t="s">
        <v>851</v>
      </c>
      <c r="C524" s="26" t="s">
        <v>2160</v>
      </c>
      <c r="D524" s="35">
        <v>38000000</v>
      </c>
      <c r="E524" s="35">
        <v>88915214</v>
      </c>
      <c r="F524" s="35">
        <v>203115214</v>
      </c>
      <c r="G524" t="b">
        <f t="shared" si="27"/>
        <v>0</v>
      </c>
      <c r="H524" t="b">
        <f t="shared" si="28"/>
        <v>0</v>
      </c>
      <c r="I524" s="29">
        <f t="shared" si="26"/>
        <v>40018</v>
      </c>
    </row>
    <row r="525" spans="1:9" ht="12.75" customHeight="1" x14ac:dyDescent="0.2">
      <c r="A525" s="28">
        <v>40022</v>
      </c>
      <c r="B525" s="26" t="s">
        <v>2211</v>
      </c>
      <c r="C525" s="26" t="s">
        <v>9</v>
      </c>
      <c r="D525" s="35" t="s">
        <v>20</v>
      </c>
      <c r="E525" s="35" t="s">
        <v>20</v>
      </c>
      <c r="F525" s="35" t="s">
        <v>20</v>
      </c>
      <c r="G525" t="b">
        <f t="shared" si="27"/>
        <v>0</v>
      </c>
      <c r="H525" t="b">
        <f t="shared" si="28"/>
        <v>0</v>
      </c>
      <c r="I525" s="29">
        <f t="shared" si="26"/>
        <v>40022</v>
      </c>
    </row>
    <row r="526" spans="1:9" ht="25.5" x14ac:dyDescent="0.2">
      <c r="A526" s="28">
        <v>40022</v>
      </c>
      <c r="B526" s="26" t="s">
        <v>831</v>
      </c>
      <c r="C526" s="26" t="s">
        <v>2776</v>
      </c>
      <c r="D526" s="35" t="s">
        <v>20</v>
      </c>
      <c r="E526" s="35" t="s">
        <v>20</v>
      </c>
      <c r="F526" s="35" t="s">
        <v>20</v>
      </c>
      <c r="G526" t="b">
        <f t="shared" si="27"/>
        <v>0</v>
      </c>
      <c r="H526" t="b">
        <f t="shared" si="28"/>
        <v>0</v>
      </c>
      <c r="I526" s="29">
        <f t="shared" si="26"/>
        <v>40022</v>
      </c>
    </row>
    <row r="527" spans="1:9" ht="25.5" x14ac:dyDescent="0.2">
      <c r="A527" s="28">
        <v>40022</v>
      </c>
      <c r="B527" s="26" t="s">
        <v>2716</v>
      </c>
      <c r="C527" s="26" t="s">
        <v>9</v>
      </c>
      <c r="D527" s="35" t="s">
        <v>20</v>
      </c>
      <c r="E527" s="35" t="s">
        <v>20</v>
      </c>
      <c r="F527" s="35" t="s">
        <v>20</v>
      </c>
      <c r="G527" t="b">
        <f t="shared" si="27"/>
        <v>0</v>
      </c>
      <c r="H527" t="b">
        <f t="shared" si="28"/>
        <v>0</v>
      </c>
      <c r="I527" s="29">
        <f t="shared" si="26"/>
        <v>40022</v>
      </c>
    </row>
    <row r="528" spans="1:9" ht="12.75" customHeight="1" x14ac:dyDescent="0.2">
      <c r="A528" s="28">
        <v>40022</v>
      </c>
      <c r="B528" s="26" t="s">
        <v>1625</v>
      </c>
      <c r="C528" s="26" t="s">
        <v>9</v>
      </c>
      <c r="D528" s="35" t="s">
        <v>20</v>
      </c>
      <c r="E528" s="35" t="s">
        <v>20</v>
      </c>
      <c r="F528" s="35" t="s">
        <v>20</v>
      </c>
      <c r="G528" t="b">
        <f t="shared" si="27"/>
        <v>0</v>
      </c>
      <c r="H528" t="b">
        <f t="shared" si="28"/>
        <v>0</v>
      </c>
      <c r="I528" s="29">
        <f t="shared" si="26"/>
        <v>40022</v>
      </c>
    </row>
    <row r="529" spans="1:9" ht="12.75" customHeight="1" x14ac:dyDescent="0.2">
      <c r="A529" s="28">
        <v>40022</v>
      </c>
      <c r="B529" s="26" t="s">
        <v>2367</v>
      </c>
      <c r="C529" s="26" t="s">
        <v>2310</v>
      </c>
      <c r="D529" s="35" t="s">
        <v>20</v>
      </c>
      <c r="E529" s="35" t="s">
        <v>20</v>
      </c>
      <c r="F529" s="35" t="s">
        <v>20</v>
      </c>
      <c r="G529" t="b">
        <f t="shared" si="27"/>
        <v>0</v>
      </c>
      <c r="H529" t="b">
        <f t="shared" si="28"/>
        <v>0</v>
      </c>
      <c r="I529" s="29">
        <f t="shared" si="26"/>
        <v>40022</v>
      </c>
    </row>
    <row r="530" spans="1:9" ht="12.75" customHeight="1" x14ac:dyDescent="0.2">
      <c r="A530" s="28">
        <v>40023</v>
      </c>
      <c r="B530" s="26" t="s">
        <v>3091</v>
      </c>
      <c r="C530" s="26" t="s">
        <v>155</v>
      </c>
      <c r="D530" s="35" t="s">
        <v>20</v>
      </c>
      <c r="E530" s="35">
        <v>2277396</v>
      </c>
      <c r="F530" s="35">
        <v>2828590</v>
      </c>
      <c r="G530" t="b">
        <f t="shared" si="27"/>
        <v>0</v>
      </c>
      <c r="H530" t="b">
        <f t="shared" si="28"/>
        <v>0</v>
      </c>
      <c r="I530" s="29">
        <f t="shared" si="26"/>
        <v>40023</v>
      </c>
    </row>
    <row r="531" spans="1:9" ht="12.75" customHeight="1" x14ac:dyDescent="0.2">
      <c r="A531" s="28">
        <v>40024</v>
      </c>
      <c r="B531" s="26" t="s">
        <v>428</v>
      </c>
      <c r="C531" s="26" t="s">
        <v>9</v>
      </c>
      <c r="D531" s="35" t="s">
        <v>20</v>
      </c>
      <c r="E531" s="35" t="s">
        <v>20</v>
      </c>
      <c r="F531" s="35">
        <v>45743246</v>
      </c>
      <c r="G531" t="b">
        <f t="shared" si="27"/>
        <v>0</v>
      </c>
      <c r="H531" t="b">
        <f t="shared" si="28"/>
        <v>0</v>
      </c>
      <c r="I531" s="29">
        <f t="shared" si="26"/>
        <v>40024</v>
      </c>
    </row>
    <row r="532" spans="1:9" ht="12.75" customHeight="1" x14ac:dyDescent="0.2">
      <c r="A532" s="28">
        <v>40025</v>
      </c>
      <c r="B532" s="26" t="s">
        <v>3335</v>
      </c>
      <c r="C532" s="26" t="s">
        <v>2964</v>
      </c>
      <c r="D532" s="35" t="s">
        <v>20</v>
      </c>
      <c r="E532" s="35">
        <v>1780</v>
      </c>
      <c r="F532" s="35" t="s">
        <v>20</v>
      </c>
      <c r="G532" t="b">
        <f t="shared" si="27"/>
        <v>0</v>
      </c>
      <c r="H532" t="b">
        <f t="shared" si="28"/>
        <v>0</v>
      </c>
      <c r="I532" s="29">
        <f t="shared" si="26"/>
        <v>40025</v>
      </c>
    </row>
    <row r="533" spans="1:9" ht="12.75" customHeight="1" x14ac:dyDescent="0.2">
      <c r="A533" s="28">
        <v>40025</v>
      </c>
      <c r="B533" s="26" t="s">
        <v>523</v>
      </c>
      <c r="C533" s="26" t="s">
        <v>3096</v>
      </c>
      <c r="D533" s="35">
        <v>70000000</v>
      </c>
      <c r="E533" s="35">
        <v>51855045</v>
      </c>
      <c r="F533" s="35">
        <v>71880305</v>
      </c>
      <c r="G533" t="b">
        <f t="shared" si="27"/>
        <v>0</v>
      </c>
      <c r="H533" t="b">
        <f t="shared" si="28"/>
        <v>0</v>
      </c>
      <c r="I533" s="29">
        <f t="shared" si="26"/>
        <v>40025</v>
      </c>
    </row>
    <row r="534" spans="1:9" ht="25.5" x14ac:dyDescent="0.2">
      <c r="A534" s="28">
        <v>40025</v>
      </c>
      <c r="B534" s="26" t="s">
        <v>2532</v>
      </c>
      <c r="C534" s="26" t="s">
        <v>9</v>
      </c>
      <c r="D534" s="35" t="s">
        <v>20</v>
      </c>
      <c r="E534" s="35" t="s">
        <v>20</v>
      </c>
      <c r="F534" s="35">
        <v>14303209</v>
      </c>
      <c r="G534" t="b">
        <f t="shared" si="27"/>
        <v>0</v>
      </c>
      <c r="H534" t="b">
        <f t="shared" si="28"/>
        <v>0</v>
      </c>
      <c r="I534" s="29">
        <f t="shared" si="26"/>
        <v>40025</v>
      </c>
    </row>
    <row r="535" spans="1:9" ht="12.75" customHeight="1" x14ac:dyDescent="0.2">
      <c r="A535" s="28">
        <v>40025</v>
      </c>
      <c r="B535" s="26" t="s">
        <v>1566</v>
      </c>
      <c r="C535" s="26" t="s">
        <v>439</v>
      </c>
      <c r="D535" s="35" t="s">
        <v>20</v>
      </c>
      <c r="E535" s="35">
        <v>25107</v>
      </c>
      <c r="F535" s="35" t="s">
        <v>20</v>
      </c>
      <c r="G535" t="b">
        <f t="shared" si="27"/>
        <v>0</v>
      </c>
      <c r="H535" t="b">
        <f t="shared" si="28"/>
        <v>0</v>
      </c>
      <c r="I535" s="29">
        <f t="shared" si="26"/>
        <v>40025</v>
      </c>
    </row>
    <row r="536" spans="1:9" ht="25.5" x14ac:dyDescent="0.2">
      <c r="A536" s="28">
        <v>40025</v>
      </c>
      <c r="B536" s="26" t="s">
        <v>429</v>
      </c>
      <c r="C536" s="26" t="s">
        <v>612</v>
      </c>
      <c r="D536" s="35" t="s">
        <v>20</v>
      </c>
      <c r="E536" s="35">
        <v>338795</v>
      </c>
      <c r="F536" s="35" t="s">
        <v>20</v>
      </c>
      <c r="G536" t="b">
        <f t="shared" si="27"/>
        <v>0</v>
      </c>
      <c r="H536" t="b">
        <f t="shared" si="28"/>
        <v>0</v>
      </c>
      <c r="I536" s="29">
        <f t="shared" si="26"/>
        <v>40025</v>
      </c>
    </row>
    <row r="537" spans="1:9" ht="12.75" customHeight="1" x14ac:dyDescent="0.2">
      <c r="A537" s="28">
        <v>40025</v>
      </c>
      <c r="B537" s="26" t="s">
        <v>805</v>
      </c>
      <c r="C537" s="26" t="s">
        <v>384</v>
      </c>
      <c r="D537" s="35" t="s">
        <v>20</v>
      </c>
      <c r="E537" s="35">
        <v>25200412</v>
      </c>
      <c r="F537" s="35">
        <v>59551283</v>
      </c>
      <c r="G537" t="b">
        <f t="shared" si="27"/>
        <v>0</v>
      </c>
      <c r="H537" t="b">
        <f t="shared" si="28"/>
        <v>0</v>
      </c>
      <c r="I537" s="29">
        <f t="shared" si="26"/>
        <v>40025</v>
      </c>
    </row>
    <row r="538" spans="1:9" ht="25.5" x14ac:dyDescent="0.2">
      <c r="A538" s="28">
        <v>40025</v>
      </c>
      <c r="B538" s="26" t="s">
        <v>2187</v>
      </c>
      <c r="C538" s="26" t="s">
        <v>9</v>
      </c>
      <c r="D538" s="35">
        <v>9000000</v>
      </c>
      <c r="E538" s="35">
        <v>148089</v>
      </c>
      <c r="F538" s="35">
        <v>1635241</v>
      </c>
      <c r="G538" t="b">
        <f t="shared" si="27"/>
        <v>0</v>
      </c>
      <c r="H538" t="b">
        <f t="shared" si="28"/>
        <v>0</v>
      </c>
      <c r="I538" s="29">
        <f t="shared" si="26"/>
        <v>40025</v>
      </c>
    </row>
    <row r="539" spans="1:9" ht="12.75" customHeight="1" x14ac:dyDescent="0.2">
      <c r="A539" s="28">
        <v>40025</v>
      </c>
      <c r="B539" s="26" t="s">
        <v>3086</v>
      </c>
      <c r="C539" s="26" t="s">
        <v>9</v>
      </c>
      <c r="D539" s="35" t="s">
        <v>20</v>
      </c>
      <c r="E539" s="35" t="s">
        <v>20</v>
      </c>
      <c r="F539" s="35">
        <v>592254</v>
      </c>
      <c r="G539" t="b">
        <f t="shared" si="27"/>
        <v>0</v>
      </c>
      <c r="H539" t="b">
        <f t="shared" si="28"/>
        <v>0</v>
      </c>
      <c r="I539" s="29">
        <f t="shared" si="26"/>
        <v>40025</v>
      </c>
    </row>
    <row r="540" spans="1:9" ht="25.5" x14ac:dyDescent="0.2">
      <c r="A540" s="28">
        <v>40025</v>
      </c>
      <c r="B540" s="26" t="s">
        <v>2195</v>
      </c>
      <c r="C540" s="26" t="s">
        <v>2180</v>
      </c>
      <c r="D540" s="35" t="s">
        <v>20</v>
      </c>
      <c r="E540" s="35">
        <v>869730</v>
      </c>
      <c r="F540" s="35">
        <v>1264619</v>
      </c>
      <c r="G540" t="b">
        <f t="shared" si="27"/>
        <v>0</v>
      </c>
      <c r="H540" t="b">
        <f t="shared" si="28"/>
        <v>0</v>
      </c>
      <c r="I540" s="29">
        <f t="shared" si="26"/>
        <v>40025</v>
      </c>
    </row>
    <row r="541" spans="1:9" ht="25.5" x14ac:dyDescent="0.2">
      <c r="A541" s="28">
        <v>40025</v>
      </c>
      <c r="B541" s="26" t="s">
        <v>2431</v>
      </c>
      <c r="C541" s="26" t="s">
        <v>9</v>
      </c>
      <c r="D541" s="35" t="s">
        <v>20</v>
      </c>
      <c r="E541" s="35">
        <v>21152</v>
      </c>
      <c r="F541" s="35" t="s">
        <v>20</v>
      </c>
      <c r="G541" t="b">
        <f t="shared" si="27"/>
        <v>0</v>
      </c>
      <c r="H541" t="b">
        <f t="shared" si="28"/>
        <v>0</v>
      </c>
      <c r="I541" s="29">
        <f t="shared" si="26"/>
        <v>40025</v>
      </c>
    </row>
    <row r="542" spans="1:9" ht="12.75" customHeight="1" x14ac:dyDescent="0.2">
      <c r="A542" s="28">
        <v>40025</v>
      </c>
      <c r="B542" s="26" t="s">
        <v>2162</v>
      </c>
      <c r="C542" s="26" t="s">
        <v>9</v>
      </c>
      <c r="D542" s="35" t="s">
        <v>20</v>
      </c>
      <c r="E542" s="35">
        <v>7712114</v>
      </c>
      <c r="F542" s="35" t="s">
        <v>20</v>
      </c>
      <c r="G542" t="b">
        <f t="shared" si="27"/>
        <v>0</v>
      </c>
      <c r="H542" t="b">
        <f t="shared" si="28"/>
        <v>0</v>
      </c>
      <c r="I542" s="29">
        <f t="shared" si="26"/>
        <v>40025</v>
      </c>
    </row>
    <row r="543" spans="1:9" ht="12.75" customHeight="1" x14ac:dyDescent="0.2">
      <c r="A543" s="28">
        <v>40025</v>
      </c>
      <c r="B543" s="26" t="s">
        <v>3179</v>
      </c>
      <c r="C543" s="26" t="s">
        <v>571</v>
      </c>
      <c r="D543" s="35" t="s">
        <v>20</v>
      </c>
      <c r="E543" s="35">
        <v>20175</v>
      </c>
      <c r="F543" s="35" t="s">
        <v>20</v>
      </c>
      <c r="G543" t="b">
        <f t="shared" si="27"/>
        <v>0</v>
      </c>
      <c r="H543" t="b">
        <f t="shared" si="28"/>
        <v>0</v>
      </c>
      <c r="I543" s="29">
        <f t="shared" si="26"/>
        <v>40025</v>
      </c>
    </row>
    <row r="544" spans="1:9" ht="12.75" customHeight="1" x14ac:dyDescent="0.2">
      <c r="A544" s="28">
        <v>40025</v>
      </c>
      <c r="B544" s="26" t="s">
        <v>2924</v>
      </c>
      <c r="C544" s="26" t="s">
        <v>2314</v>
      </c>
      <c r="D544" s="35" t="s">
        <v>20</v>
      </c>
      <c r="E544" s="35">
        <v>9955</v>
      </c>
      <c r="F544" s="35" t="s">
        <v>20</v>
      </c>
      <c r="G544" t="b">
        <f t="shared" si="27"/>
        <v>0</v>
      </c>
      <c r="H544" t="b">
        <f t="shared" si="28"/>
        <v>0</v>
      </c>
      <c r="I544" s="29">
        <f t="shared" si="26"/>
        <v>40025</v>
      </c>
    </row>
    <row r="545" spans="1:9" ht="25.5" x14ac:dyDescent="0.2">
      <c r="A545" s="28">
        <v>40025</v>
      </c>
      <c r="B545" s="26" t="s">
        <v>2372</v>
      </c>
      <c r="C545" s="26" t="s">
        <v>1619</v>
      </c>
      <c r="D545" s="35" t="s">
        <v>20</v>
      </c>
      <c r="E545" s="35">
        <v>1662485</v>
      </c>
      <c r="F545" s="35" t="s">
        <v>20</v>
      </c>
      <c r="G545" t="b">
        <f t="shared" si="27"/>
        <v>0</v>
      </c>
      <c r="H545" t="b">
        <f t="shared" si="28"/>
        <v>0</v>
      </c>
      <c r="I545" s="29">
        <f t="shared" si="26"/>
        <v>40025</v>
      </c>
    </row>
    <row r="546" spans="1:9" ht="12.75" customHeight="1" x14ac:dyDescent="0.2">
      <c r="A546" s="28">
        <v>40025</v>
      </c>
      <c r="B546" s="26" t="s">
        <v>1386</v>
      </c>
      <c r="C546" s="26" t="s">
        <v>3316</v>
      </c>
      <c r="D546" s="35" t="s">
        <v>20</v>
      </c>
      <c r="E546" s="35">
        <v>21438</v>
      </c>
      <c r="F546" s="35" t="s">
        <v>20</v>
      </c>
      <c r="G546" t="b">
        <f t="shared" si="27"/>
        <v>0</v>
      </c>
      <c r="H546" t="b">
        <f t="shared" si="28"/>
        <v>0</v>
      </c>
      <c r="I546" s="29">
        <f t="shared" si="26"/>
        <v>40025</v>
      </c>
    </row>
    <row r="547" spans="1:9" ht="12.75" customHeight="1" x14ac:dyDescent="0.2">
      <c r="A547" s="28">
        <v>40025</v>
      </c>
      <c r="B547" s="26" t="s">
        <v>1652</v>
      </c>
      <c r="C547" s="26" t="s">
        <v>698</v>
      </c>
      <c r="D547" s="35" t="s">
        <v>20</v>
      </c>
      <c r="E547" s="35">
        <v>318574</v>
      </c>
      <c r="F547" s="35">
        <v>12918574</v>
      </c>
      <c r="G547" t="b">
        <f t="shared" si="27"/>
        <v>0</v>
      </c>
      <c r="H547" t="b">
        <f t="shared" si="28"/>
        <v>0</v>
      </c>
      <c r="I547" s="29">
        <f t="shared" si="26"/>
        <v>40025</v>
      </c>
    </row>
    <row r="548" spans="1:9" ht="12.75" customHeight="1" x14ac:dyDescent="0.2">
      <c r="A548" s="28">
        <v>40025</v>
      </c>
      <c r="B548" s="26" t="s">
        <v>797</v>
      </c>
      <c r="C548" s="26" t="s">
        <v>647</v>
      </c>
      <c r="D548" s="35" t="s">
        <v>20</v>
      </c>
      <c r="E548" s="35">
        <v>2430083</v>
      </c>
      <c r="F548" s="35">
        <v>23657432</v>
      </c>
      <c r="G548" t="b">
        <f t="shared" si="27"/>
        <v>0</v>
      </c>
      <c r="H548" t="b">
        <f t="shared" si="28"/>
        <v>0</v>
      </c>
      <c r="I548" s="29">
        <f t="shared" si="26"/>
        <v>40025</v>
      </c>
    </row>
    <row r="549" spans="1:9" ht="12.75" customHeight="1" x14ac:dyDescent="0.2">
      <c r="A549" s="28">
        <v>40029</v>
      </c>
      <c r="B549" s="26" t="s">
        <v>1828</v>
      </c>
      <c r="C549" s="26" t="s">
        <v>9</v>
      </c>
      <c r="D549" s="35" t="s">
        <v>20</v>
      </c>
      <c r="E549" s="35" t="s">
        <v>20</v>
      </c>
      <c r="F549" s="35" t="s">
        <v>20</v>
      </c>
      <c r="G549" t="b">
        <f t="shared" si="27"/>
        <v>0</v>
      </c>
      <c r="H549" t="b">
        <f t="shared" si="28"/>
        <v>0</v>
      </c>
      <c r="I549" s="29">
        <f t="shared" si="26"/>
        <v>40029</v>
      </c>
    </row>
    <row r="550" spans="1:9" ht="25.5" x14ac:dyDescent="0.2">
      <c r="A550" s="28">
        <v>40029</v>
      </c>
      <c r="B550" s="26" t="s">
        <v>156</v>
      </c>
      <c r="C550" s="26" t="s">
        <v>9</v>
      </c>
      <c r="D550" s="35" t="s">
        <v>20</v>
      </c>
      <c r="E550" s="35" t="s">
        <v>20</v>
      </c>
      <c r="F550" s="35" t="s">
        <v>20</v>
      </c>
      <c r="G550" t="b">
        <f t="shared" si="27"/>
        <v>0</v>
      </c>
      <c r="H550" t="b">
        <f t="shared" si="28"/>
        <v>0</v>
      </c>
      <c r="I550" s="29">
        <f t="shared" si="26"/>
        <v>40029</v>
      </c>
    </row>
    <row r="551" spans="1:9" ht="25.5" x14ac:dyDescent="0.2">
      <c r="A551" s="28">
        <v>40029</v>
      </c>
      <c r="B551" s="26" t="s">
        <v>192</v>
      </c>
      <c r="C551" s="26" t="s">
        <v>9</v>
      </c>
      <c r="D551" s="35" t="s">
        <v>20</v>
      </c>
      <c r="E551" s="35" t="s">
        <v>20</v>
      </c>
      <c r="F551" s="35" t="s">
        <v>20</v>
      </c>
      <c r="G551" t="b">
        <f t="shared" si="27"/>
        <v>0</v>
      </c>
      <c r="H551" t="b">
        <f t="shared" si="28"/>
        <v>0</v>
      </c>
      <c r="I551" s="29">
        <f t="shared" si="26"/>
        <v>40029</v>
      </c>
    </row>
    <row r="552" spans="1:9" ht="12.75" customHeight="1" x14ac:dyDescent="0.2">
      <c r="A552" s="28">
        <v>40029</v>
      </c>
      <c r="B552" s="26" t="s">
        <v>1058</v>
      </c>
      <c r="C552" s="26" t="s">
        <v>9</v>
      </c>
      <c r="D552" s="35" t="s">
        <v>20</v>
      </c>
      <c r="E552" s="35" t="s">
        <v>20</v>
      </c>
      <c r="F552" s="35" t="s">
        <v>20</v>
      </c>
      <c r="G552" t="b">
        <f t="shared" si="27"/>
        <v>0</v>
      </c>
      <c r="H552" t="b">
        <f t="shared" si="28"/>
        <v>0</v>
      </c>
      <c r="I552" s="29">
        <f t="shared" si="26"/>
        <v>40029</v>
      </c>
    </row>
    <row r="553" spans="1:9" ht="12.75" customHeight="1" x14ac:dyDescent="0.2">
      <c r="A553" s="28">
        <v>40029</v>
      </c>
      <c r="B553" s="26" t="s">
        <v>2719</v>
      </c>
      <c r="C553" s="26" t="s">
        <v>2310</v>
      </c>
      <c r="D553" s="35" t="s">
        <v>20</v>
      </c>
      <c r="E553" s="35" t="s">
        <v>20</v>
      </c>
      <c r="F553" s="35" t="s">
        <v>20</v>
      </c>
      <c r="G553" t="b">
        <f t="shared" si="27"/>
        <v>0</v>
      </c>
      <c r="H553" t="b">
        <f t="shared" si="28"/>
        <v>0</v>
      </c>
      <c r="I553" s="29">
        <f t="shared" si="26"/>
        <v>40029</v>
      </c>
    </row>
    <row r="554" spans="1:9" ht="12.75" customHeight="1" x14ac:dyDescent="0.2">
      <c r="A554" s="28">
        <v>40029</v>
      </c>
      <c r="B554" s="26" t="s">
        <v>2513</v>
      </c>
      <c r="C554" s="26" t="s">
        <v>9</v>
      </c>
      <c r="D554" s="35" t="s">
        <v>20</v>
      </c>
      <c r="E554" s="35" t="s">
        <v>20</v>
      </c>
      <c r="F554" s="35" t="s">
        <v>20</v>
      </c>
      <c r="G554" t="b">
        <f t="shared" si="27"/>
        <v>0</v>
      </c>
      <c r="H554" t="b">
        <f t="shared" si="28"/>
        <v>0</v>
      </c>
      <c r="I554" s="29">
        <f t="shared" si="26"/>
        <v>40029</v>
      </c>
    </row>
    <row r="555" spans="1:9" ht="12.75" customHeight="1" x14ac:dyDescent="0.2">
      <c r="A555" s="28">
        <v>40029</v>
      </c>
      <c r="B555" s="26" t="s">
        <v>1102</v>
      </c>
      <c r="C555" s="26" t="s">
        <v>2160</v>
      </c>
      <c r="D555" s="35" t="s">
        <v>20</v>
      </c>
      <c r="E555" s="35" t="s">
        <v>20</v>
      </c>
      <c r="F555" s="35" t="s">
        <v>20</v>
      </c>
      <c r="G555" t="b">
        <f t="shared" si="27"/>
        <v>0</v>
      </c>
      <c r="H555" t="b">
        <f t="shared" si="28"/>
        <v>0</v>
      </c>
      <c r="I555" s="29">
        <f t="shared" si="26"/>
        <v>40029</v>
      </c>
    </row>
    <row r="556" spans="1:9" ht="12.75" customHeight="1" x14ac:dyDescent="0.2">
      <c r="A556" s="28">
        <v>40030</v>
      </c>
      <c r="B556" s="26" t="s">
        <v>1904</v>
      </c>
      <c r="C556" s="26" t="s">
        <v>9</v>
      </c>
      <c r="D556" s="35" t="s">
        <v>20</v>
      </c>
      <c r="E556" s="35" t="s">
        <v>20</v>
      </c>
      <c r="F556" s="35" t="s">
        <v>20</v>
      </c>
      <c r="G556" t="b">
        <f t="shared" si="27"/>
        <v>0</v>
      </c>
      <c r="H556" t="b">
        <f t="shared" si="28"/>
        <v>0</v>
      </c>
      <c r="I556" s="29">
        <f t="shared" si="26"/>
        <v>40030</v>
      </c>
    </row>
    <row r="557" spans="1:9" ht="12.75" customHeight="1" x14ac:dyDescent="0.2">
      <c r="A557" s="28">
        <v>40031</v>
      </c>
      <c r="B557" s="26" t="s">
        <v>89</v>
      </c>
      <c r="C557" s="26" t="s">
        <v>9</v>
      </c>
      <c r="D557" s="35" t="s">
        <v>20</v>
      </c>
      <c r="E557" s="35" t="s">
        <v>20</v>
      </c>
      <c r="F557" s="35">
        <v>1631439</v>
      </c>
      <c r="G557" t="b">
        <f t="shared" si="27"/>
        <v>0</v>
      </c>
      <c r="H557" t="b">
        <f t="shared" si="28"/>
        <v>0</v>
      </c>
      <c r="I557" s="29">
        <f t="shared" si="26"/>
        <v>40031</v>
      </c>
    </row>
    <row r="558" spans="1:9" ht="25.5" x14ac:dyDescent="0.2">
      <c r="A558" s="28">
        <v>40032</v>
      </c>
      <c r="B558" s="26" t="s">
        <v>3261</v>
      </c>
      <c r="C558" s="26" t="s">
        <v>3096</v>
      </c>
      <c r="D558" s="35">
        <v>14000000</v>
      </c>
      <c r="E558" s="35">
        <v>15515460</v>
      </c>
      <c r="F558" s="35">
        <v>20613298</v>
      </c>
      <c r="G558" t="b">
        <f t="shared" si="27"/>
        <v>0</v>
      </c>
      <c r="H558" t="b">
        <f t="shared" si="28"/>
        <v>0</v>
      </c>
      <c r="I558" s="29">
        <f t="shared" si="26"/>
        <v>40032</v>
      </c>
    </row>
    <row r="559" spans="1:9" ht="12.75" customHeight="1" x14ac:dyDescent="0.2">
      <c r="A559" s="28">
        <v>40032</v>
      </c>
      <c r="B559" s="26" t="s">
        <v>3286</v>
      </c>
      <c r="C559" s="26" t="s">
        <v>2875</v>
      </c>
      <c r="D559" s="35" t="s">
        <v>20</v>
      </c>
      <c r="E559" s="35">
        <v>553</v>
      </c>
      <c r="F559" s="35" t="s">
        <v>20</v>
      </c>
      <c r="G559" t="b">
        <f t="shared" si="27"/>
        <v>0</v>
      </c>
      <c r="H559" t="b">
        <f t="shared" si="28"/>
        <v>0</v>
      </c>
      <c r="I559" s="29">
        <f t="shared" si="26"/>
        <v>40032</v>
      </c>
    </row>
    <row r="560" spans="1:9" ht="25.5" x14ac:dyDescent="0.2">
      <c r="A560" s="28">
        <v>40032</v>
      </c>
      <c r="B560" s="26" t="s">
        <v>1778</v>
      </c>
      <c r="C560" s="26" t="s">
        <v>2875</v>
      </c>
      <c r="D560" s="35" t="s">
        <v>20</v>
      </c>
      <c r="E560" s="35">
        <v>341</v>
      </c>
      <c r="F560" s="35" t="s">
        <v>20</v>
      </c>
      <c r="G560" t="b">
        <f t="shared" si="27"/>
        <v>0</v>
      </c>
      <c r="H560" t="b">
        <f t="shared" si="28"/>
        <v>0</v>
      </c>
      <c r="I560" s="29">
        <f t="shared" si="26"/>
        <v>40032</v>
      </c>
    </row>
    <row r="561" spans="1:9" ht="12.75" customHeight="1" x14ac:dyDescent="0.2">
      <c r="A561" s="28">
        <v>40032</v>
      </c>
      <c r="B561" s="26" t="s">
        <v>3321</v>
      </c>
      <c r="C561" s="26" t="s">
        <v>2160</v>
      </c>
      <c r="D561" s="35">
        <v>40000000</v>
      </c>
      <c r="E561" s="35">
        <v>94125426</v>
      </c>
      <c r="F561" s="35">
        <v>126646119</v>
      </c>
      <c r="G561" t="b">
        <f t="shared" si="27"/>
        <v>0</v>
      </c>
      <c r="H561" t="b">
        <f t="shared" si="28"/>
        <v>0</v>
      </c>
      <c r="I561" s="29">
        <f t="shared" si="26"/>
        <v>40032</v>
      </c>
    </row>
    <row r="562" spans="1:9" ht="12.75" customHeight="1" x14ac:dyDescent="0.2">
      <c r="A562" s="28">
        <v>40032</v>
      </c>
      <c r="B562" s="26" t="s">
        <v>2817</v>
      </c>
      <c r="C562" s="26" t="s">
        <v>1227</v>
      </c>
      <c r="D562" s="35" t="s">
        <v>20</v>
      </c>
      <c r="E562" s="35">
        <v>40349</v>
      </c>
      <c r="F562" s="35" t="s">
        <v>20</v>
      </c>
      <c r="G562" t="b">
        <f t="shared" si="27"/>
        <v>0</v>
      </c>
      <c r="H562" t="b">
        <f t="shared" si="28"/>
        <v>0</v>
      </c>
      <c r="I562" s="29">
        <f t="shared" si="26"/>
        <v>40032</v>
      </c>
    </row>
    <row r="563" spans="1:9" ht="25.5" x14ac:dyDescent="0.2">
      <c r="A563" s="28">
        <v>40032</v>
      </c>
      <c r="B563" s="26" t="s">
        <v>598</v>
      </c>
      <c r="C563" s="26" t="s">
        <v>2168</v>
      </c>
      <c r="D563" s="35">
        <v>175000000</v>
      </c>
      <c r="E563" s="35">
        <v>150201498</v>
      </c>
      <c r="F563" s="35">
        <v>302469017</v>
      </c>
      <c r="G563" t="b">
        <f t="shared" si="27"/>
        <v>0</v>
      </c>
      <c r="H563" t="b">
        <f t="shared" si="28"/>
        <v>0</v>
      </c>
      <c r="I563" s="29">
        <f t="shared" si="26"/>
        <v>40032</v>
      </c>
    </row>
    <row r="564" spans="1:9" ht="12.75" customHeight="1" x14ac:dyDescent="0.2">
      <c r="A564" s="28">
        <v>40032</v>
      </c>
      <c r="B564" s="26" t="s">
        <v>1239</v>
      </c>
      <c r="C564" s="26" t="s">
        <v>9</v>
      </c>
      <c r="D564" s="35" t="s">
        <v>20</v>
      </c>
      <c r="E564" s="35">
        <v>7066</v>
      </c>
      <c r="F564" s="35" t="s">
        <v>20</v>
      </c>
      <c r="G564" t="b">
        <f t="shared" si="27"/>
        <v>0</v>
      </c>
      <c r="H564" t="b">
        <f t="shared" si="28"/>
        <v>0</v>
      </c>
      <c r="I564" s="29">
        <f t="shared" si="26"/>
        <v>40032</v>
      </c>
    </row>
    <row r="565" spans="1:9" ht="12.75" customHeight="1" x14ac:dyDescent="0.2">
      <c r="A565" s="28">
        <v>40032</v>
      </c>
      <c r="B565" s="26" t="s">
        <v>1083</v>
      </c>
      <c r="C565" s="26" t="s">
        <v>980</v>
      </c>
      <c r="D565" s="35" t="s">
        <v>20</v>
      </c>
      <c r="E565" s="35">
        <v>1274062</v>
      </c>
      <c r="F565" s="35" t="s">
        <v>20</v>
      </c>
      <c r="G565" t="b">
        <f t="shared" si="27"/>
        <v>0</v>
      </c>
      <c r="H565" t="b">
        <f t="shared" si="28"/>
        <v>0</v>
      </c>
      <c r="I565" s="29">
        <f t="shared" ref="I565:I628" si="29">DATE(2009,MONTH(A565), DAY(A565))</f>
        <v>40032</v>
      </c>
    </row>
    <row r="566" spans="1:9" ht="12.75" customHeight="1" x14ac:dyDescent="0.2">
      <c r="A566" s="28">
        <v>40032</v>
      </c>
      <c r="B566" s="26" t="s">
        <v>2199</v>
      </c>
      <c r="C566" s="26" t="s">
        <v>842</v>
      </c>
      <c r="D566" s="35" t="s">
        <v>20</v>
      </c>
      <c r="E566" s="35">
        <v>46590</v>
      </c>
      <c r="F566" s="35" t="s">
        <v>20</v>
      </c>
      <c r="G566" t="b">
        <f t="shared" si="27"/>
        <v>0</v>
      </c>
      <c r="H566" t="b">
        <f t="shared" si="28"/>
        <v>0</v>
      </c>
      <c r="I566" s="29">
        <f t="shared" si="29"/>
        <v>40032</v>
      </c>
    </row>
    <row r="567" spans="1:9" ht="12.75" customHeight="1" x14ac:dyDescent="0.2">
      <c r="A567" s="28">
        <v>40032</v>
      </c>
      <c r="B567" s="26" t="s">
        <v>996</v>
      </c>
      <c r="C567" s="26" t="s">
        <v>9</v>
      </c>
      <c r="D567" s="35" t="s">
        <v>20</v>
      </c>
      <c r="E567" s="35">
        <v>905209</v>
      </c>
      <c r="F567" s="35" t="s">
        <v>20</v>
      </c>
      <c r="G567" t="b">
        <f t="shared" si="27"/>
        <v>0</v>
      </c>
      <c r="H567" t="b">
        <f t="shared" si="28"/>
        <v>0</v>
      </c>
      <c r="I567" s="29">
        <f t="shared" si="29"/>
        <v>40032</v>
      </c>
    </row>
    <row r="568" spans="1:9" ht="12.75" customHeight="1" x14ac:dyDescent="0.2">
      <c r="A568" s="28">
        <v>40036</v>
      </c>
      <c r="B568" s="26" t="s">
        <v>3011</v>
      </c>
      <c r="C568" s="26" t="s">
        <v>9</v>
      </c>
      <c r="D568" s="35" t="s">
        <v>20</v>
      </c>
      <c r="E568" s="35" t="s">
        <v>20</v>
      </c>
      <c r="F568" s="35" t="s">
        <v>20</v>
      </c>
      <c r="G568" t="b">
        <f t="shared" si="27"/>
        <v>0</v>
      </c>
      <c r="H568" t="b">
        <f t="shared" si="28"/>
        <v>0</v>
      </c>
      <c r="I568" s="29">
        <f t="shared" si="29"/>
        <v>40036</v>
      </c>
    </row>
    <row r="569" spans="1:9" ht="25.5" x14ac:dyDescent="0.2">
      <c r="A569" s="28">
        <v>40036</v>
      </c>
      <c r="B569" s="26" t="s">
        <v>708</v>
      </c>
      <c r="C569" s="26" t="s">
        <v>9</v>
      </c>
      <c r="D569" s="35" t="s">
        <v>20</v>
      </c>
      <c r="E569" s="35" t="s">
        <v>20</v>
      </c>
      <c r="F569" s="35" t="s">
        <v>20</v>
      </c>
      <c r="G569" t="b">
        <f t="shared" si="27"/>
        <v>0</v>
      </c>
      <c r="H569" t="b">
        <f t="shared" si="28"/>
        <v>0</v>
      </c>
      <c r="I569" s="29">
        <f t="shared" si="29"/>
        <v>40036</v>
      </c>
    </row>
    <row r="570" spans="1:9" ht="25.5" x14ac:dyDescent="0.2">
      <c r="A570" s="28">
        <v>40036</v>
      </c>
      <c r="B570" s="26" t="s">
        <v>1418</v>
      </c>
      <c r="C570" s="26" t="s">
        <v>9</v>
      </c>
      <c r="D570" s="35" t="s">
        <v>20</v>
      </c>
      <c r="E570" s="35" t="s">
        <v>20</v>
      </c>
      <c r="F570" s="35" t="s">
        <v>20</v>
      </c>
      <c r="G570" t="b">
        <f t="shared" si="27"/>
        <v>0</v>
      </c>
      <c r="H570" t="b">
        <f t="shared" si="28"/>
        <v>0</v>
      </c>
      <c r="I570" s="29">
        <f t="shared" si="29"/>
        <v>40036</v>
      </c>
    </row>
    <row r="571" spans="1:9" ht="12.75" customHeight="1" x14ac:dyDescent="0.2">
      <c r="A571" s="28">
        <v>40036</v>
      </c>
      <c r="B571" s="26" t="s">
        <v>2867</v>
      </c>
      <c r="C571" s="26" t="s">
        <v>9</v>
      </c>
      <c r="D571" s="35" t="s">
        <v>20</v>
      </c>
      <c r="E571" s="35" t="s">
        <v>20</v>
      </c>
      <c r="F571" s="35" t="s">
        <v>20</v>
      </c>
      <c r="G571" t="b">
        <f t="shared" si="27"/>
        <v>0</v>
      </c>
      <c r="H571" t="b">
        <f t="shared" si="28"/>
        <v>0</v>
      </c>
      <c r="I571" s="29">
        <f t="shared" si="29"/>
        <v>40036</v>
      </c>
    </row>
    <row r="572" spans="1:9" ht="12.75" customHeight="1" x14ac:dyDescent="0.2">
      <c r="A572" s="28">
        <v>40036</v>
      </c>
      <c r="B572" s="26" t="s">
        <v>255</v>
      </c>
      <c r="C572" s="26" t="s">
        <v>9</v>
      </c>
      <c r="D572" s="35" t="s">
        <v>20</v>
      </c>
      <c r="E572" s="35" t="s">
        <v>20</v>
      </c>
      <c r="F572" s="35" t="s">
        <v>20</v>
      </c>
      <c r="G572" t="b">
        <f t="shared" ref="G572:G635" si="30">ISBLANK(A572)</f>
        <v>0</v>
      </c>
      <c r="H572" t="b">
        <f t="shared" ref="H572:H635" si="31">ISTEXT(A572)</f>
        <v>0</v>
      </c>
      <c r="I572" s="29">
        <f t="shared" si="29"/>
        <v>40036</v>
      </c>
    </row>
    <row r="573" spans="1:9" ht="12.75" customHeight="1" x14ac:dyDescent="0.2">
      <c r="A573" s="28">
        <v>40036</v>
      </c>
      <c r="B573" s="26" t="s">
        <v>2876</v>
      </c>
      <c r="C573" s="26" t="s">
        <v>9</v>
      </c>
      <c r="D573" s="35" t="s">
        <v>20</v>
      </c>
      <c r="E573" s="35" t="s">
        <v>20</v>
      </c>
      <c r="F573" s="35" t="s">
        <v>20</v>
      </c>
      <c r="G573" t="b">
        <f t="shared" si="30"/>
        <v>0</v>
      </c>
      <c r="H573" t="b">
        <f t="shared" si="31"/>
        <v>0</v>
      </c>
      <c r="I573" s="29">
        <f t="shared" si="29"/>
        <v>40036</v>
      </c>
    </row>
    <row r="574" spans="1:9" ht="25.5" x14ac:dyDescent="0.2">
      <c r="A574" s="28">
        <v>40036</v>
      </c>
      <c r="B574" s="26" t="s">
        <v>1868</v>
      </c>
      <c r="C574" s="26" t="s">
        <v>9</v>
      </c>
      <c r="D574" s="35" t="s">
        <v>20</v>
      </c>
      <c r="E574" s="35" t="s">
        <v>20</v>
      </c>
      <c r="F574" s="35" t="s">
        <v>20</v>
      </c>
      <c r="G574" t="b">
        <f t="shared" si="30"/>
        <v>0</v>
      </c>
      <c r="H574" t="b">
        <f t="shared" si="31"/>
        <v>0</v>
      </c>
      <c r="I574" s="29">
        <f t="shared" si="29"/>
        <v>40036</v>
      </c>
    </row>
    <row r="575" spans="1:9" ht="12.75" customHeight="1" x14ac:dyDescent="0.2">
      <c r="A575" s="28">
        <v>40036</v>
      </c>
      <c r="B575" s="26" t="s">
        <v>632</v>
      </c>
      <c r="C575" s="26" t="s">
        <v>9</v>
      </c>
      <c r="D575" s="35" t="s">
        <v>20</v>
      </c>
      <c r="E575" s="35" t="s">
        <v>20</v>
      </c>
      <c r="F575" s="35" t="s">
        <v>20</v>
      </c>
      <c r="G575" t="b">
        <f t="shared" si="30"/>
        <v>0</v>
      </c>
      <c r="H575" t="b">
        <f t="shared" si="31"/>
        <v>0</v>
      </c>
      <c r="I575" s="29">
        <f t="shared" si="29"/>
        <v>40036</v>
      </c>
    </row>
    <row r="576" spans="1:9" ht="12.75" customHeight="1" x14ac:dyDescent="0.2">
      <c r="A576" s="28">
        <v>40036</v>
      </c>
      <c r="B576" s="26" t="s">
        <v>2018</v>
      </c>
      <c r="C576" s="26" t="s">
        <v>2310</v>
      </c>
      <c r="D576" s="35" t="s">
        <v>20</v>
      </c>
      <c r="E576" s="35" t="s">
        <v>20</v>
      </c>
      <c r="F576" s="35" t="s">
        <v>20</v>
      </c>
      <c r="G576" t="b">
        <f t="shared" si="30"/>
        <v>0</v>
      </c>
      <c r="H576" t="b">
        <f t="shared" si="31"/>
        <v>0</v>
      </c>
      <c r="I576" s="29">
        <f t="shared" si="29"/>
        <v>40036</v>
      </c>
    </row>
    <row r="577" spans="1:9" ht="51" x14ac:dyDescent="0.2">
      <c r="A577" s="28">
        <v>40036</v>
      </c>
      <c r="B577" s="26" t="s">
        <v>709</v>
      </c>
      <c r="C577" s="26" t="s">
        <v>1364</v>
      </c>
      <c r="D577" s="35" t="s">
        <v>20</v>
      </c>
      <c r="E577" s="35" t="s">
        <v>20</v>
      </c>
      <c r="F577" s="35" t="s">
        <v>20</v>
      </c>
      <c r="G577" t="b">
        <f t="shared" si="30"/>
        <v>0</v>
      </c>
      <c r="H577" t="b">
        <f t="shared" si="31"/>
        <v>0</v>
      </c>
      <c r="I577" s="29">
        <f t="shared" si="29"/>
        <v>40036</v>
      </c>
    </row>
    <row r="578" spans="1:9" ht="12.75" customHeight="1" x14ac:dyDescent="0.2">
      <c r="A578" s="28">
        <v>40036</v>
      </c>
      <c r="B578" s="26" t="s">
        <v>3336</v>
      </c>
      <c r="C578" s="26" t="s">
        <v>9</v>
      </c>
      <c r="D578" s="35" t="s">
        <v>20</v>
      </c>
      <c r="E578" s="35" t="s">
        <v>20</v>
      </c>
      <c r="F578" s="35" t="s">
        <v>20</v>
      </c>
      <c r="G578" t="b">
        <f t="shared" si="30"/>
        <v>0</v>
      </c>
      <c r="H578" t="b">
        <f t="shared" si="31"/>
        <v>0</v>
      </c>
      <c r="I578" s="29">
        <f t="shared" si="29"/>
        <v>40036</v>
      </c>
    </row>
    <row r="579" spans="1:9" ht="25.5" x14ac:dyDescent="0.2">
      <c r="A579" s="28">
        <v>40036</v>
      </c>
      <c r="B579" s="26" t="s">
        <v>3371</v>
      </c>
      <c r="C579" s="26" t="s">
        <v>2160</v>
      </c>
      <c r="D579" s="35" t="s">
        <v>20</v>
      </c>
      <c r="E579" s="35" t="s">
        <v>20</v>
      </c>
      <c r="F579" s="35" t="s">
        <v>20</v>
      </c>
      <c r="G579" t="b">
        <f t="shared" si="30"/>
        <v>0</v>
      </c>
      <c r="H579" t="b">
        <f t="shared" si="31"/>
        <v>0</v>
      </c>
      <c r="I579" s="29">
        <f t="shared" si="29"/>
        <v>40036</v>
      </c>
    </row>
    <row r="580" spans="1:9" ht="12.75" customHeight="1" x14ac:dyDescent="0.2">
      <c r="A580" s="28">
        <v>40036</v>
      </c>
      <c r="B580" s="26" t="s">
        <v>1247</v>
      </c>
      <c r="C580" s="26" t="s">
        <v>9</v>
      </c>
      <c r="D580" s="35" t="s">
        <v>20</v>
      </c>
      <c r="E580" s="35" t="s">
        <v>20</v>
      </c>
      <c r="F580" s="35" t="s">
        <v>20</v>
      </c>
      <c r="G580" t="b">
        <f t="shared" si="30"/>
        <v>0</v>
      </c>
      <c r="H580" t="b">
        <f t="shared" si="31"/>
        <v>0</v>
      </c>
      <c r="I580" s="29">
        <f t="shared" si="29"/>
        <v>40036</v>
      </c>
    </row>
    <row r="581" spans="1:9" ht="25.5" x14ac:dyDescent="0.2">
      <c r="A581" s="28">
        <v>40039</v>
      </c>
      <c r="B581" s="26" t="s">
        <v>2084</v>
      </c>
      <c r="C581" s="26" t="s">
        <v>999</v>
      </c>
      <c r="D581" s="35">
        <v>10000000</v>
      </c>
      <c r="E581" s="35">
        <v>15122676</v>
      </c>
      <c r="F581" s="35" t="s">
        <v>20</v>
      </c>
      <c r="G581" t="b">
        <f t="shared" si="30"/>
        <v>0</v>
      </c>
      <c r="H581" t="b">
        <f t="shared" si="31"/>
        <v>0</v>
      </c>
      <c r="I581" s="29">
        <f t="shared" si="29"/>
        <v>40039</v>
      </c>
    </row>
    <row r="582" spans="1:9" ht="25.5" x14ac:dyDescent="0.2">
      <c r="A582" s="28">
        <v>40039</v>
      </c>
      <c r="B582" s="26" t="s">
        <v>1038</v>
      </c>
      <c r="C582" s="26" t="s">
        <v>3209</v>
      </c>
      <c r="D582" s="35">
        <v>39000000</v>
      </c>
      <c r="E582" s="35">
        <v>63414846</v>
      </c>
      <c r="F582" s="35">
        <v>98666635</v>
      </c>
      <c r="G582" t="b">
        <f t="shared" si="30"/>
        <v>0</v>
      </c>
      <c r="H582" t="b">
        <f t="shared" si="31"/>
        <v>0</v>
      </c>
      <c r="I582" s="29">
        <f t="shared" si="29"/>
        <v>40039</v>
      </c>
    </row>
    <row r="583" spans="1:9" ht="12.75" customHeight="1" x14ac:dyDescent="0.2">
      <c r="A583" s="28">
        <v>40039</v>
      </c>
      <c r="B583" s="26" t="s">
        <v>2533</v>
      </c>
      <c r="C583" s="26" t="s">
        <v>3056</v>
      </c>
      <c r="D583" s="35" t="s">
        <v>20</v>
      </c>
      <c r="E583" s="35">
        <v>46710</v>
      </c>
      <c r="F583" s="35" t="s">
        <v>20</v>
      </c>
      <c r="G583" t="b">
        <f t="shared" si="30"/>
        <v>0</v>
      </c>
      <c r="H583" t="b">
        <f t="shared" si="31"/>
        <v>0</v>
      </c>
      <c r="I583" s="29">
        <f t="shared" si="29"/>
        <v>40039</v>
      </c>
    </row>
    <row r="584" spans="1:9" ht="12.75" customHeight="1" x14ac:dyDescent="0.2">
      <c r="A584" s="28">
        <v>40039</v>
      </c>
      <c r="B584" s="26" t="s">
        <v>1558</v>
      </c>
      <c r="C584" s="26" t="s">
        <v>9</v>
      </c>
      <c r="D584" s="35" t="s">
        <v>20</v>
      </c>
      <c r="E584" s="35">
        <v>91330</v>
      </c>
      <c r="F584" s="35" t="s">
        <v>20</v>
      </c>
      <c r="G584" t="b">
        <f t="shared" si="30"/>
        <v>0</v>
      </c>
      <c r="H584" t="b">
        <f t="shared" si="31"/>
        <v>0</v>
      </c>
      <c r="I584" s="29">
        <f t="shared" si="29"/>
        <v>40039</v>
      </c>
    </row>
    <row r="585" spans="1:9" ht="12.75" customHeight="1" x14ac:dyDescent="0.2">
      <c r="A585" s="28">
        <v>40039</v>
      </c>
      <c r="B585" s="26" t="s">
        <v>2890</v>
      </c>
      <c r="C585" s="26" t="s">
        <v>2990</v>
      </c>
      <c r="D585" s="35" t="s">
        <v>20</v>
      </c>
      <c r="E585" s="35">
        <v>250617</v>
      </c>
      <c r="F585" s="35">
        <v>4484936</v>
      </c>
      <c r="G585" t="b">
        <f t="shared" si="30"/>
        <v>0</v>
      </c>
      <c r="H585" t="b">
        <f t="shared" si="31"/>
        <v>0</v>
      </c>
      <c r="I585" s="29">
        <f t="shared" si="29"/>
        <v>40039</v>
      </c>
    </row>
    <row r="586" spans="1:9" ht="12.75" customHeight="1" x14ac:dyDescent="0.2">
      <c r="A586" s="28">
        <v>40039</v>
      </c>
      <c r="B586" s="26" t="s">
        <v>876</v>
      </c>
      <c r="C586" s="26" t="s">
        <v>2051</v>
      </c>
      <c r="D586" s="35" t="s">
        <v>20</v>
      </c>
      <c r="E586" s="35">
        <v>11408</v>
      </c>
      <c r="F586" s="35" t="s">
        <v>20</v>
      </c>
      <c r="G586" t="b">
        <f t="shared" si="30"/>
        <v>0</v>
      </c>
      <c r="H586" t="b">
        <f t="shared" si="31"/>
        <v>0</v>
      </c>
      <c r="I586" s="29">
        <f t="shared" si="29"/>
        <v>40039</v>
      </c>
    </row>
    <row r="587" spans="1:9" ht="12.75" customHeight="1" x14ac:dyDescent="0.2">
      <c r="A587" s="28">
        <v>40039</v>
      </c>
      <c r="B587" s="26" t="s">
        <v>1379</v>
      </c>
      <c r="C587" s="26" t="s">
        <v>612</v>
      </c>
      <c r="D587" s="35" t="s">
        <v>20</v>
      </c>
      <c r="E587" s="35">
        <v>1610163</v>
      </c>
      <c r="F587" s="35" t="s">
        <v>20</v>
      </c>
      <c r="G587" t="b">
        <f t="shared" si="30"/>
        <v>0</v>
      </c>
      <c r="H587" t="b">
        <f t="shared" si="31"/>
        <v>0</v>
      </c>
      <c r="I587" s="29">
        <f t="shared" si="29"/>
        <v>40039</v>
      </c>
    </row>
    <row r="588" spans="1:9" ht="25.5" x14ac:dyDescent="0.2">
      <c r="A588" s="28">
        <v>40039</v>
      </c>
      <c r="B588" s="26" t="s">
        <v>1671</v>
      </c>
      <c r="C588" s="26" t="s">
        <v>9</v>
      </c>
      <c r="D588" s="35">
        <v>34000000</v>
      </c>
      <c r="E588" s="35">
        <v>15090399</v>
      </c>
      <c r="F588" s="35">
        <v>199090399</v>
      </c>
      <c r="G588" t="b">
        <f t="shared" si="30"/>
        <v>0</v>
      </c>
      <c r="H588" t="b">
        <f t="shared" si="31"/>
        <v>0</v>
      </c>
      <c r="I588" s="29">
        <f t="shared" si="29"/>
        <v>40039</v>
      </c>
    </row>
    <row r="589" spans="1:9" ht="12.75" customHeight="1" x14ac:dyDescent="0.2">
      <c r="A589" s="28">
        <v>40039</v>
      </c>
      <c r="B589" s="26" t="s">
        <v>3138</v>
      </c>
      <c r="C589" s="26" t="s">
        <v>2160</v>
      </c>
      <c r="D589" s="35">
        <v>30000000</v>
      </c>
      <c r="E589" s="35">
        <v>115646235</v>
      </c>
      <c r="F589" s="35">
        <v>215196627</v>
      </c>
      <c r="G589" t="b">
        <f t="shared" si="30"/>
        <v>0</v>
      </c>
      <c r="H589" t="b">
        <f t="shared" si="31"/>
        <v>0</v>
      </c>
      <c r="I589" s="29">
        <f t="shared" si="29"/>
        <v>40039</v>
      </c>
    </row>
    <row r="590" spans="1:9" ht="12.75" customHeight="1" x14ac:dyDescent="0.2">
      <c r="A590" s="28">
        <v>40039</v>
      </c>
      <c r="B590" s="26" t="s">
        <v>1033</v>
      </c>
      <c r="C590" s="26" t="s">
        <v>2990</v>
      </c>
      <c r="D590" s="35" t="s">
        <v>20</v>
      </c>
      <c r="E590" s="35">
        <v>8297</v>
      </c>
      <c r="F590" s="35" t="s">
        <v>20</v>
      </c>
      <c r="G590" t="b">
        <f t="shared" si="30"/>
        <v>0</v>
      </c>
      <c r="H590" t="b">
        <f t="shared" si="31"/>
        <v>0</v>
      </c>
      <c r="I590" s="29">
        <f t="shared" si="29"/>
        <v>40039</v>
      </c>
    </row>
    <row r="591" spans="1:9" ht="12.75" customHeight="1" x14ac:dyDescent="0.2">
      <c r="A591" s="28">
        <v>40039</v>
      </c>
      <c r="B591" s="26" t="s">
        <v>1059</v>
      </c>
      <c r="C591" s="26" t="s">
        <v>2314</v>
      </c>
      <c r="D591" s="35" t="s">
        <v>20</v>
      </c>
      <c r="E591" s="35">
        <v>26748</v>
      </c>
      <c r="F591" s="35" t="s">
        <v>20</v>
      </c>
      <c r="G591" t="b">
        <f t="shared" si="30"/>
        <v>0</v>
      </c>
      <c r="H591" t="b">
        <f t="shared" si="31"/>
        <v>0</v>
      </c>
      <c r="I591" s="29">
        <f t="shared" si="29"/>
        <v>40039</v>
      </c>
    </row>
    <row r="592" spans="1:9" ht="25.5" x14ac:dyDescent="0.2">
      <c r="A592" s="28">
        <v>40039</v>
      </c>
      <c r="B592" s="26" t="s">
        <v>181</v>
      </c>
      <c r="C592" s="26" t="s">
        <v>2393</v>
      </c>
      <c r="D592" s="35" t="s">
        <v>20</v>
      </c>
      <c r="E592" s="35">
        <v>1286143</v>
      </c>
      <c r="F592" s="35">
        <v>7249589</v>
      </c>
      <c r="G592" t="b">
        <f t="shared" si="30"/>
        <v>0</v>
      </c>
      <c r="H592" t="b">
        <f t="shared" si="31"/>
        <v>0</v>
      </c>
      <c r="I592" s="29">
        <f t="shared" si="29"/>
        <v>40039</v>
      </c>
    </row>
    <row r="593" spans="1:9" ht="12.75" customHeight="1" x14ac:dyDescent="0.2">
      <c r="A593" s="28">
        <v>40039</v>
      </c>
      <c r="B593" s="26" t="s">
        <v>962</v>
      </c>
      <c r="C593" s="26" t="s">
        <v>9</v>
      </c>
      <c r="D593" s="35" t="s">
        <v>20</v>
      </c>
      <c r="E593" s="35" t="s">
        <v>20</v>
      </c>
      <c r="F593" s="35">
        <v>19637575</v>
      </c>
      <c r="G593" t="b">
        <f t="shared" si="30"/>
        <v>0</v>
      </c>
      <c r="H593" t="b">
        <f t="shared" si="31"/>
        <v>0</v>
      </c>
      <c r="I593" s="29">
        <f t="shared" si="29"/>
        <v>40039</v>
      </c>
    </row>
    <row r="594" spans="1:9" ht="12.75" customHeight="1" x14ac:dyDescent="0.2">
      <c r="A594" s="28">
        <v>40039</v>
      </c>
      <c r="B594" s="26" t="s">
        <v>2075</v>
      </c>
      <c r="C594" s="26" t="s">
        <v>9</v>
      </c>
      <c r="D594" s="35" t="s">
        <v>20</v>
      </c>
      <c r="E594" s="35">
        <v>56299</v>
      </c>
      <c r="F594" s="35" t="s">
        <v>20</v>
      </c>
      <c r="G594" t="b">
        <f t="shared" si="30"/>
        <v>0</v>
      </c>
      <c r="H594" t="b">
        <f t="shared" si="31"/>
        <v>0</v>
      </c>
      <c r="I594" s="29">
        <f t="shared" si="29"/>
        <v>40039</v>
      </c>
    </row>
    <row r="595" spans="1:9" ht="12.75" customHeight="1" x14ac:dyDescent="0.2">
      <c r="A595" s="28">
        <v>40039</v>
      </c>
      <c r="B595" s="26" t="s">
        <v>2055</v>
      </c>
      <c r="C595" s="26" t="s">
        <v>1066</v>
      </c>
      <c r="D595" s="35" t="s">
        <v>20</v>
      </c>
      <c r="E595" s="35">
        <v>5210988</v>
      </c>
      <c r="F595" s="35" t="s">
        <v>20</v>
      </c>
      <c r="G595" t="b">
        <f t="shared" si="30"/>
        <v>0</v>
      </c>
      <c r="H595" t="b">
        <f t="shared" si="31"/>
        <v>0</v>
      </c>
      <c r="I595" s="29">
        <f t="shared" si="29"/>
        <v>40039</v>
      </c>
    </row>
    <row r="596" spans="1:9" ht="25.5" x14ac:dyDescent="0.2">
      <c r="A596" s="28">
        <v>40043</v>
      </c>
      <c r="B596" s="26" t="s">
        <v>3024</v>
      </c>
      <c r="C596" s="26" t="s">
        <v>3419</v>
      </c>
      <c r="D596" s="35" t="s">
        <v>20</v>
      </c>
      <c r="E596" s="35" t="s">
        <v>20</v>
      </c>
      <c r="F596" s="35" t="s">
        <v>20</v>
      </c>
      <c r="G596" t="b">
        <f t="shared" si="30"/>
        <v>0</v>
      </c>
      <c r="H596" t="b">
        <f t="shared" si="31"/>
        <v>0</v>
      </c>
      <c r="I596" s="29">
        <f t="shared" si="29"/>
        <v>40043</v>
      </c>
    </row>
    <row r="597" spans="1:9" ht="12.75" customHeight="1" x14ac:dyDescent="0.2">
      <c r="A597" s="28">
        <v>40043</v>
      </c>
      <c r="B597" s="26" t="s">
        <v>852</v>
      </c>
      <c r="C597" s="26" t="s">
        <v>9</v>
      </c>
      <c r="D597" s="35" t="s">
        <v>20</v>
      </c>
      <c r="E597" s="35" t="s">
        <v>20</v>
      </c>
      <c r="F597" s="35" t="s">
        <v>20</v>
      </c>
      <c r="G597" t="b">
        <f t="shared" si="30"/>
        <v>0</v>
      </c>
      <c r="H597" t="b">
        <f t="shared" si="31"/>
        <v>0</v>
      </c>
      <c r="I597" s="29">
        <f t="shared" si="29"/>
        <v>40043</v>
      </c>
    </row>
    <row r="598" spans="1:9" ht="25.5" x14ac:dyDescent="0.2">
      <c r="A598" s="28">
        <v>40043</v>
      </c>
      <c r="B598" s="26" t="s">
        <v>871</v>
      </c>
      <c r="C598" s="26" t="s">
        <v>9</v>
      </c>
      <c r="D598" s="35" t="s">
        <v>20</v>
      </c>
      <c r="E598" s="35" t="s">
        <v>20</v>
      </c>
      <c r="F598" s="35" t="s">
        <v>20</v>
      </c>
      <c r="G598" t="b">
        <f t="shared" si="30"/>
        <v>0</v>
      </c>
      <c r="H598" t="b">
        <f t="shared" si="31"/>
        <v>0</v>
      </c>
      <c r="I598" s="29">
        <f t="shared" si="29"/>
        <v>40043</v>
      </c>
    </row>
    <row r="599" spans="1:9" ht="25.5" x14ac:dyDescent="0.2">
      <c r="A599" s="28">
        <v>40043</v>
      </c>
      <c r="B599" s="26" t="s">
        <v>420</v>
      </c>
      <c r="C599" s="26" t="s">
        <v>9</v>
      </c>
      <c r="D599" s="35" t="s">
        <v>20</v>
      </c>
      <c r="E599" s="35" t="s">
        <v>20</v>
      </c>
      <c r="F599" s="35" t="s">
        <v>20</v>
      </c>
      <c r="G599" t="b">
        <f t="shared" si="30"/>
        <v>0</v>
      </c>
      <c r="H599" t="b">
        <f t="shared" si="31"/>
        <v>0</v>
      </c>
      <c r="I599" s="29">
        <f t="shared" si="29"/>
        <v>40043</v>
      </c>
    </row>
    <row r="600" spans="1:9" ht="25.5" x14ac:dyDescent="0.2">
      <c r="A600" s="28">
        <v>40044</v>
      </c>
      <c r="B600" s="26" t="s">
        <v>2</v>
      </c>
      <c r="C600" s="26" t="s">
        <v>2285</v>
      </c>
      <c r="D600" s="35" t="s">
        <v>20</v>
      </c>
      <c r="E600" s="35">
        <v>100177</v>
      </c>
      <c r="F600" s="35" t="s">
        <v>20</v>
      </c>
      <c r="G600" t="b">
        <f t="shared" si="30"/>
        <v>0</v>
      </c>
      <c r="H600" t="b">
        <f t="shared" si="31"/>
        <v>0</v>
      </c>
      <c r="I600" s="29">
        <f t="shared" si="29"/>
        <v>40044</v>
      </c>
    </row>
    <row r="601" spans="1:9" ht="12.75" customHeight="1" x14ac:dyDescent="0.2">
      <c r="A601" s="28">
        <v>40045</v>
      </c>
      <c r="B601" s="26" t="s">
        <v>693</v>
      </c>
      <c r="C601" s="26" t="s">
        <v>9</v>
      </c>
      <c r="D601" s="35" t="s">
        <v>20</v>
      </c>
      <c r="E601" s="35" t="s">
        <v>20</v>
      </c>
      <c r="F601" s="35" t="s">
        <v>20</v>
      </c>
      <c r="G601" t="b">
        <f t="shared" si="30"/>
        <v>0</v>
      </c>
      <c r="H601" t="b">
        <f t="shared" si="31"/>
        <v>0</v>
      </c>
      <c r="I601" s="29">
        <f t="shared" si="29"/>
        <v>40045</v>
      </c>
    </row>
    <row r="602" spans="1:9" ht="12.75" customHeight="1" x14ac:dyDescent="0.2">
      <c r="A602" s="28">
        <v>40046</v>
      </c>
      <c r="B602" s="26" t="s">
        <v>557</v>
      </c>
      <c r="C602" s="26" t="s">
        <v>9</v>
      </c>
      <c r="D602" s="35" t="s">
        <v>20</v>
      </c>
      <c r="E602" s="35">
        <v>6380019</v>
      </c>
      <c r="F602" s="35">
        <v>6561243</v>
      </c>
      <c r="G602" t="b">
        <f t="shared" si="30"/>
        <v>0</v>
      </c>
      <c r="H602" t="b">
        <f t="shared" si="31"/>
        <v>0</v>
      </c>
      <c r="I602" s="29">
        <f t="shared" si="29"/>
        <v>40046</v>
      </c>
    </row>
    <row r="603" spans="1:9" ht="25.5" x14ac:dyDescent="0.2">
      <c r="A603" s="28">
        <v>40046</v>
      </c>
      <c r="B603" s="26" t="s">
        <v>1667</v>
      </c>
      <c r="C603" s="26" t="s">
        <v>3466</v>
      </c>
      <c r="D603" s="35" t="s">
        <v>20</v>
      </c>
      <c r="E603" s="35">
        <v>15676</v>
      </c>
      <c r="F603" s="35" t="s">
        <v>20</v>
      </c>
      <c r="G603" t="b">
        <f t="shared" si="30"/>
        <v>0</v>
      </c>
      <c r="H603" t="b">
        <f t="shared" si="31"/>
        <v>0</v>
      </c>
      <c r="I603" s="29">
        <f t="shared" si="29"/>
        <v>40046</v>
      </c>
    </row>
    <row r="604" spans="1:9" ht="25.5" x14ac:dyDescent="0.2">
      <c r="A604" s="28">
        <v>40046</v>
      </c>
      <c r="B604" s="26" t="s">
        <v>1517</v>
      </c>
      <c r="C604" s="26" t="s">
        <v>746</v>
      </c>
      <c r="D604" s="35" t="s">
        <v>20</v>
      </c>
      <c r="E604" s="35">
        <v>221805</v>
      </c>
      <c r="F604" s="35" t="s">
        <v>20</v>
      </c>
      <c r="G604" t="b">
        <f t="shared" si="30"/>
        <v>0</v>
      </c>
      <c r="H604" t="b">
        <f t="shared" si="31"/>
        <v>0</v>
      </c>
      <c r="I604" s="29">
        <f t="shared" si="29"/>
        <v>40046</v>
      </c>
    </row>
    <row r="605" spans="1:9" ht="25.5" x14ac:dyDescent="0.2">
      <c r="A605" s="28">
        <v>40046</v>
      </c>
      <c r="B605" s="26" t="s">
        <v>486</v>
      </c>
      <c r="C605" s="26" t="s">
        <v>3390</v>
      </c>
      <c r="D605" s="35" t="s">
        <v>20</v>
      </c>
      <c r="E605" s="35">
        <v>1391434</v>
      </c>
      <c r="F605" s="35" t="s">
        <v>20</v>
      </c>
      <c r="G605" t="b">
        <f t="shared" si="30"/>
        <v>0</v>
      </c>
      <c r="H605" t="b">
        <f t="shared" si="31"/>
        <v>0</v>
      </c>
      <c r="I605" s="29">
        <f t="shared" si="29"/>
        <v>40046</v>
      </c>
    </row>
    <row r="606" spans="1:9" ht="12.75" customHeight="1" x14ac:dyDescent="0.2">
      <c r="A606" s="28">
        <v>40046</v>
      </c>
      <c r="B606" s="26" t="s">
        <v>1306</v>
      </c>
      <c r="C606" s="26" t="s">
        <v>2493</v>
      </c>
      <c r="D606" s="35" t="s">
        <v>20</v>
      </c>
      <c r="E606" s="35">
        <v>1954</v>
      </c>
      <c r="F606" s="35" t="s">
        <v>20</v>
      </c>
      <c r="G606" t="b">
        <f t="shared" si="30"/>
        <v>0</v>
      </c>
      <c r="H606" t="b">
        <f t="shared" si="31"/>
        <v>0</v>
      </c>
      <c r="I606" s="29">
        <f t="shared" si="29"/>
        <v>40046</v>
      </c>
    </row>
    <row r="607" spans="1:9" ht="25.5" x14ac:dyDescent="0.2">
      <c r="A607" s="28">
        <v>40046</v>
      </c>
      <c r="B607" s="26" t="s">
        <v>3427</v>
      </c>
      <c r="C607" s="26" t="s">
        <v>9</v>
      </c>
      <c r="D607" s="35" t="s">
        <v>20</v>
      </c>
      <c r="E607" s="35" t="s">
        <v>20</v>
      </c>
      <c r="F607" s="35" t="s">
        <v>20</v>
      </c>
      <c r="G607" t="b">
        <f t="shared" si="30"/>
        <v>0</v>
      </c>
      <c r="H607" t="b">
        <f t="shared" si="31"/>
        <v>0</v>
      </c>
      <c r="I607" s="29">
        <f t="shared" si="29"/>
        <v>40046</v>
      </c>
    </row>
    <row r="608" spans="1:9" ht="38.25" x14ac:dyDescent="0.2">
      <c r="A608" s="28">
        <v>40046</v>
      </c>
      <c r="B608" s="26" t="s">
        <v>2728</v>
      </c>
      <c r="C608" s="26" t="s">
        <v>9</v>
      </c>
      <c r="D608" s="35" t="s">
        <v>20</v>
      </c>
      <c r="E608" s="35">
        <v>2310</v>
      </c>
      <c r="F608" s="35" t="s">
        <v>20</v>
      </c>
      <c r="G608" t="b">
        <f t="shared" si="30"/>
        <v>0</v>
      </c>
      <c r="H608" t="b">
        <f t="shared" si="31"/>
        <v>0</v>
      </c>
      <c r="I608" s="29">
        <f t="shared" si="29"/>
        <v>40046</v>
      </c>
    </row>
    <row r="609" spans="1:9" ht="12.75" customHeight="1" x14ac:dyDescent="0.2">
      <c r="A609" s="28">
        <v>40046</v>
      </c>
      <c r="B609" s="26" t="s">
        <v>3084</v>
      </c>
      <c r="C609" s="26" t="s">
        <v>9</v>
      </c>
      <c r="D609" s="35" t="s">
        <v>20</v>
      </c>
      <c r="E609" s="35" t="s">
        <v>20</v>
      </c>
      <c r="F609" s="35" t="s">
        <v>20</v>
      </c>
      <c r="G609" t="b">
        <f t="shared" si="30"/>
        <v>0</v>
      </c>
      <c r="H609" t="b">
        <f t="shared" si="31"/>
        <v>0</v>
      </c>
      <c r="I609" s="29">
        <f t="shared" si="29"/>
        <v>40046</v>
      </c>
    </row>
    <row r="610" spans="1:9" ht="25.5" x14ac:dyDescent="0.2">
      <c r="A610" s="28">
        <v>40046</v>
      </c>
      <c r="B610" s="26" t="s">
        <v>1541</v>
      </c>
      <c r="C610" s="26" t="s">
        <v>999</v>
      </c>
      <c r="D610" s="35" t="s">
        <v>20</v>
      </c>
      <c r="E610" s="35">
        <v>4033</v>
      </c>
      <c r="F610" s="35" t="s">
        <v>20</v>
      </c>
      <c r="G610" t="b">
        <f t="shared" si="30"/>
        <v>0</v>
      </c>
      <c r="H610" t="b">
        <f t="shared" si="31"/>
        <v>0</v>
      </c>
      <c r="I610" s="29">
        <f t="shared" si="29"/>
        <v>40046</v>
      </c>
    </row>
    <row r="611" spans="1:9" ht="12.75" customHeight="1" x14ac:dyDescent="0.2">
      <c r="A611" s="28">
        <v>40046</v>
      </c>
      <c r="B611" s="26" t="s">
        <v>580</v>
      </c>
      <c r="C611" s="26" t="s">
        <v>1940</v>
      </c>
      <c r="D611" s="35" t="s">
        <v>20</v>
      </c>
      <c r="E611" s="35">
        <v>139418</v>
      </c>
      <c r="F611" s="35" t="s">
        <v>20</v>
      </c>
      <c r="G611" t="b">
        <f t="shared" si="30"/>
        <v>0</v>
      </c>
      <c r="H611" t="b">
        <f t="shared" si="31"/>
        <v>0</v>
      </c>
      <c r="I611" s="29">
        <f t="shared" si="29"/>
        <v>40046</v>
      </c>
    </row>
    <row r="612" spans="1:9" ht="25.5" x14ac:dyDescent="0.2">
      <c r="A612" s="28">
        <v>40046</v>
      </c>
      <c r="B612" s="26" t="s">
        <v>922</v>
      </c>
      <c r="C612" s="26" t="s">
        <v>150</v>
      </c>
      <c r="D612" s="35" t="s">
        <v>20</v>
      </c>
      <c r="E612" s="35">
        <v>2556558</v>
      </c>
      <c r="F612" s="35" t="s">
        <v>20</v>
      </c>
      <c r="G612" t="b">
        <f t="shared" si="30"/>
        <v>0</v>
      </c>
      <c r="H612" t="b">
        <f t="shared" si="31"/>
        <v>0</v>
      </c>
      <c r="I612" s="29">
        <f t="shared" si="29"/>
        <v>40046</v>
      </c>
    </row>
    <row r="613" spans="1:9" ht="12.75" customHeight="1" x14ac:dyDescent="0.2">
      <c r="A613" s="28">
        <v>40046</v>
      </c>
      <c r="B613" s="26" t="s">
        <v>3198</v>
      </c>
      <c r="C613" s="26" t="s">
        <v>1258</v>
      </c>
      <c r="D613" s="35" t="s">
        <v>20</v>
      </c>
      <c r="E613" s="35">
        <v>11581</v>
      </c>
      <c r="F613" s="35" t="s">
        <v>20</v>
      </c>
      <c r="G613" t="b">
        <f t="shared" si="30"/>
        <v>0</v>
      </c>
      <c r="H613" t="b">
        <f t="shared" si="31"/>
        <v>0</v>
      </c>
      <c r="I613" s="29">
        <f t="shared" si="29"/>
        <v>40046</v>
      </c>
    </row>
    <row r="614" spans="1:9" ht="12.75" customHeight="1" x14ac:dyDescent="0.2">
      <c r="A614" s="28">
        <v>40046</v>
      </c>
      <c r="B614" s="26" t="s">
        <v>2350</v>
      </c>
      <c r="C614" s="26" t="s">
        <v>3209</v>
      </c>
      <c r="D614" s="35" t="s">
        <v>20</v>
      </c>
      <c r="E614" s="35">
        <v>20919166</v>
      </c>
      <c r="F614" s="35">
        <v>29019166</v>
      </c>
      <c r="G614" t="b">
        <f t="shared" si="30"/>
        <v>0</v>
      </c>
      <c r="H614" t="b">
        <f t="shared" si="31"/>
        <v>0</v>
      </c>
      <c r="I614" s="29">
        <f t="shared" si="29"/>
        <v>40046</v>
      </c>
    </row>
    <row r="615" spans="1:9" ht="25.5" x14ac:dyDescent="0.2">
      <c r="A615" s="28">
        <v>40046</v>
      </c>
      <c r="B615" s="26" t="s">
        <v>1139</v>
      </c>
      <c r="C615" s="26" t="s">
        <v>9</v>
      </c>
      <c r="D615" s="35" t="s">
        <v>20</v>
      </c>
      <c r="E615" s="35" t="s">
        <v>20</v>
      </c>
      <c r="F615" s="35">
        <v>9692564</v>
      </c>
      <c r="G615" t="b">
        <f t="shared" si="30"/>
        <v>0</v>
      </c>
      <c r="H615" t="b">
        <f t="shared" si="31"/>
        <v>0</v>
      </c>
      <c r="I615" s="29">
        <f t="shared" si="29"/>
        <v>40046</v>
      </c>
    </row>
    <row r="616" spans="1:9" ht="25.5" x14ac:dyDescent="0.2">
      <c r="A616" s="28">
        <v>40046</v>
      </c>
      <c r="B616" s="26" t="s">
        <v>3050</v>
      </c>
      <c r="C616" s="26" t="s">
        <v>9</v>
      </c>
      <c r="D616" s="35">
        <v>19700000</v>
      </c>
      <c r="E616" s="35">
        <v>476270</v>
      </c>
      <c r="F616" s="35">
        <v>16498827</v>
      </c>
      <c r="G616" t="b">
        <f t="shared" si="30"/>
        <v>0</v>
      </c>
      <c r="H616" t="b">
        <f t="shared" si="31"/>
        <v>0</v>
      </c>
      <c r="I616" s="29">
        <f t="shared" si="29"/>
        <v>40046</v>
      </c>
    </row>
    <row r="617" spans="1:9" ht="25.5" x14ac:dyDescent="0.2">
      <c r="A617" s="28">
        <v>40046</v>
      </c>
      <c r="B617" s="26" t="s">
        <v>2329</v>
      </c>
      <c r="C617" s="26" t="s">
        <v>49</v>
      </c>
      <c r="D617" s="35">
        <v>70000000</v>
      </c>
      <c r="E617" s="35">
        <v>120831050</v>
      </c>
      <c r="F617" s="35">
        <v>320389438</v>
      </c>
      <c r="G617" t="b">
        <f t="shared" si="30"/>
        <v>0</v>
      </c>
      <c r="H617" t="b">
        <f t="shared" si="31"/>
        <v>0</v>
      </c>
      <c r="I617" s="29">
        <f t="shared" si="29"/>
        <v>40046</v>
      </c>
    </row>
    <row r="618" spans="1:9" ht="25.5" x14ac:dyDescent="0.2">
      <c r="A618" s="28">
        <v>40046</v>
      </c>
      <c r="B618" s="26" t="s">
        <v>1835</v>
      </c>
      <c r="C618" s="26" t="s">
        <v>45</v>
      </c>
      <c r="D618" s="35" t="s">
        <v>20</v>
      </c>
      <c r="E618" s="35">
        <v>46612</v>
      </c>
      <c r="F618" s="35" t="s">
        <v>20</v>
      </c>
      <c r="G618" t="b">
        <f t="shared" si="30"/>
        <v>0</v>
      </c>
      <c r="H618" t="b">
        <f t="shared" si="31"/>
        <v>0</v>
      </c>
      <c r="I618" s="29">
        <f t="shared" si="29"/>
        <v>40046</v>
      </c>
    </row>
    <row r="619" spans="1:9" ht="12.75" customHeight="1" x14ac:dyDescent="0.2">
      <c r="A619" s="28">
        <v>40050</v>
      </c>
      <c r="B619" s="26" t="s">
        <v>3093</v>
      </c>
      <c r="C619" s="26" t="s">
        <v>9</v>
      </c>
      <c r="D619" s="35" t="s">
        <v>20</v>
      </c>
      <c r="E619" s="35" t="s">
        <v>20</v>
      </c>
      <c r="F619" s="35" t="s">
        <v>20</v>
      </c>
      <c r="G619" t="b">
        <f t="shared" si="30"/>
        <v>0</v>
      </c>
      <c r="H619" t="b">
        <f t="shared" si="31"/>
        <v>0</v>
      </c>
      <c r="I619" s="29">
        <f t="shared" si="29"/>
        <v>40050</v>
      </c>
    </row>
    <row r="620" spans="1:9" ht="12.75" customHeight="1" x14ac:dyDescent="0.2">
      <c r="A620" s="28">
        <v>40050</v>
      </c>
      <c r="B620" s="26" t="s">
        <v>779</v>
      </c>
      <c r="C620" s="26" t="s">
        <v>2779</v>
      </c>
      <c r="D620" s="35" t="s">
        <v>20</v>
      </c>
      <c r="E620" s="35" t="s">
        <v>20</v>
      </c>
      <c r="F620" s="35" t="s">
        <v>20</v>
      </c>
      <c r="G620" t="b">
        <f t="shared" si="30"/>
        <v>0</v>
      </c>
      <c r="H620" t="b">
        <f t="shared" si="31"/>
        <v>0</v>
      </c>
      <c r="I620" s="29">
        <f t="shared" si="29"/>
        <v>40050</v>
      </c>
    </row>
    <row r="621" spans="1:9" ht="12.75" customHeight="1" x14ac:dyDescent="0.2">
      <c r="A621" s="28">
        <v>40050</v>
      </c>
      <c r="B621" s="26" t="s">
        <v>1267</v>
      </c>
      <c r="C621" s="26" t="s">
        <v>9</v>
      </c>
      <c r="D621" s="35" t="s">
        <v>20</v>
      </c>
      <c r="E621" s="35" t="s">
        <v>20</v>
      </c>
      <c r="F621" s="35" t="s">
        <v>20</v>
      </c>
      <c r="G621" t="b">
        <f t="shared" si="30"/>
        <v>0</v>
      </c>
      <c r="H621" t="b">
        <f t="shared" si="31"/>
        <v>0</v>
      </c>
      <c r="I621" s="29">
        <f t="shared" si="29"/>
        <v>40050</v>
      </c>
    </row>
    <row r="622" spans="1:9" ht="25.5" x14ac:dyDescent="0.2">
      <c r="A622" s="28">
        <v>40050</v>
      </c>
      <c r="B622" s="26" t="s">
        <v>602</v>
      </c>
      <c r="C622" s="26" t="s">
        <v>9</v>
      </c>
      <c r="D622" s="35" t="s">
        <v>20</v>
      </c>
      <c r="E622" s="35" t="s">
        <v>20</v>
      </c>
      <c r="F622" s="35">
        <v>17686092</v>
      </c>
      <c r="G622" t="b">
        <f t="shared" si="30"/>
        <v>0</v>
      </c>
      <c r="H622" t="b">
        <f t="shared" si="31"/>
        <v>0</v>
      </c>
      <c r="I622" s="29">
        <f t="shared" si="29"/>
        <v>40050</v>
      </c>
    </row>
    <row r="623" spans="1:9" ht="12.75" customHeight="1" x14ac:dyDescent="0.2">
      <c r="A623" s="28">
        <v>40050</v>
      </c>
      <c r="B623" s="26" t="s">
        <v>696</v>
      </c>
      <c r="C623" s="26" t="s">
        <v>9</v>
      </c>
      <c r="D623" s="35" t="s">
        <v>20</v>
      </c>
      <c r="E623" s="35" t="s">
        <v>20</v>
      </c>
      <c r="F623" s="35" t="s">
        <v>20</v>
      </c>
      <c r="G623" t="b">
        <f t="shared" si="30"/>
        <v>0</v>
      </c>
      <c r="H623" t="b">
        <f t="shared" si="31"/>
        <v>0</v>
      </c>
      <c r="I623" s="29">
        <f t="shared" si="29"/>
        <v>40050</v>
      </c>
    </row>
    <row r="624" spans="1:9" ht="12.75" customHeight="1" x14ac:dyDescent="0.2">
      <c r="A624" s="28">
        <v>40050</v>
      </c>
      <c r="B624" s="26" t="s">
        <v>3109</v>
      </c>
      <c r="C624" s="26" t="s">
        <v>9</v>
      </c>
      <c r="D624" s="35" t="s">
        <v>20</v>
      </c>
      <c r="E624" s="35" t="s">
        <v>20</v>
      </c>
      <c r="F624" s="35" t="s">
        <v>20</v>
      </c>
      <c r="G624" t="b">
        <f t="shared" si="30"/>
        <v>0</v>
      </c>
      <c r="H624" t="b">
        <f t="shared" si="31"/>
        <v>0</v>
      </c>
      <c r="I624" s="29">
        <f t="shared" si="29"/>
        <v>40050</v>
      </c>
    </row>
    <row r="625" spans="1:9" ht="12.75" customHeight="1" x14ac:dyDescent="0.2">
      <c r="A625" s="28">
        <v>40050</v>
      </c>
      <c r="B625" s="26" t="s">
        <v>353</v>
      </c>
      <c r="C625" s="26" t="s">
        <v>9</v>
      </c>
      <c r="D625" s="35" t="s">
        <v>20</v>
      </c>
      <c r="E625" s="35" t="s">
        <v>20</v>
      </c>
      <c r="F625" s="35">
        <v>17679082</v>
      </c>
      <c r="G625" t="b">
        <f t="shared" si="30"/>
        <v>0</v>
      </c>
      <c r="H625" t="b">
        <f t="shared" si="31"/>
        <v>0</v>
      </c>
      <c r="I625" s="29">
        <f t="shared" si="29"/>
        <v>40050</v>
      </c>
    </row>
    <row r="626" spans="1:9" ht="12.75" customHeight="1" x14ac:dyDescent="0.2">
      <c r="A626" s="28">
        <v>40053</v>
      </c>
      <c r="B626" s="26" t="s">
        <v>2126</v>
      </c>
      <c r="C626" s="26" t="s">
        <v>2990</v>
      </c>
      <c r="D626" s="35" t="s">
        <v>20</v>
      </c>
      <c r="E626" s="35">
        <v>19716</v>
      </c>
      <c r="F626" s="35" t="s">
        <v>20</v>
      </c>
      <c r="G626" t="b">
        <f t="shared" si="30"/>
        <v>0</v>
      </c>
      <c r="H626" t="b">
        <f t="shared" si="31"/>
        <v>0</v>
      </c>
      <c r="I626" s="29">
        <f t="shared" si="29"/>
        <v>40053</v>
      </c>
    </row>
    <row r="627" spans="1:9" ht="25.5" x14ac:dyDescent="0.2">
      <c r="A627" s="28">
        <v>40053</v>
      </c>
      <c r="B627" s="26" t="s">
        <v>1960</v>
      </c>
      <c r="C627" s="26" t="s">
        <v>2180</v>
      </c>
      <c r="D627" s="35" t="s">
        <v>20</v>
      </c>
      <c r="E627" s="35">
        <v>89442</v>
      </c>
      <c r="F627" s="35" t="s">
        <v>20</v>
      </c>
      <c r="G627" t="b">
        <f t="shared" si="30"/>
        <v>0</v>
      </c>
      <c r="H627" t="b">
        <f t="shared" si="31"/>
        <v>0</v>
      </c>
      <c r="I627" s="29">
        <f t="shared" si="29"/>
        <v>40053</v>
      </c>
    </row>
    <row r="628" spans="1:9" ht="12.75" customHeight="1" x14ac:dyDescent="0.2">
      <c r="A628" s="28">
        <v>40053</v>
      </c>
      <c r="B628" s="26" t="s">
        <v>1168</v>
      </c>
      <c r="C628" s="26" t="s">
        <v>2493</v>
      </c>
      <c r="D628" s="35" t="s">
        <v>20</v>
      </c>
      <c r="E628" s="35">
        <v>14319</v>
      </c>
      <c r="F628" s="35" t="s">
        <v>20</v>
      </c>
      <c r="G628" t="b">
        <f t="shared" si="30"/>
        <v>0</v>
      </c>
      <c r="H628" t="b">
        <f t="shared" si="31"/>
        <v>0</v>
      </c>
      <c r="I628" s="29">
        <f t="shared" si="29"/>
        <v>40053</v>
      </c>
    </row>
    <row r="629" spans="1:9" ht="25.5" x14ac:dyDescent="0.2">
      <c r="A629" s="28">
        <v>40053</v>
      </c>
      <c r="B629" s="26" t="s">
        <v>1658</v>
      </c>
      <c r="C629" s="26" t="s">
        <v>3209</v>
      </c>
      <c r="D629" s="35">
        <v>40000000</v>
      </c>
      <c r="E629" s="35">
        <v>66477700</v>
      </c>
      <c r="F629" s="35">
        <v>185777700</v>
      </c>
      <c r="G629" t="b">
        <f t="shared" si="30"/>
        <v>0</v>
      </c>
      <c r="H629" t="b">
        <f t="shared" si="31"/>
        <v>0</v>
      </c>
      <c r="I629" s="29">
        <f t="shared" ref="I629:I690" si="32">DATE(2009,MONTH(A629), DAY(A629))</f>
        <v>40053</v>
      </c>
    </row>
    <row r="630" spans="1:9" ht="25.5" x14ac:dyDescent="0.2">
      <c r="A630" s="28">
        <v>40053</v>
      </c>
      <c r="B630" s="26" t="s">
        <v>3112</v>
      </c>
      <c r="C630" s="26" t="s">
        <v>1287</v>
      </c>
      <c r="D630" s="35">
        <v>15000000</v>
      </c>
      <c r="E630" s="35">
        <v>33392973</v>
      </c>
      <c r="F630" s="35">
        <v>38512850</v>
      </c>
      <c r="G630" t="b">
        <f t="shared" si="30"/>
        <v>0</v>
      </c>
      <c r="H630" t="b">
        <f t="shared" si="31"/>
        <v>0</v>
      </c>
      <c r="I630" s="29">
        <f t="shared" si="32"/>
        <v>40053</v>
      </c>
    </row>
    <row r="631" spans="1:9" ht="25.5" x14ac:dyDescent="0.2">
      <c r="A631" s="28">
        <v>40053</v>
      </c>
      <c r="B631" s="26" t="s">
        <v>307</v>
      </c>
      <c r="C631" s="26" t="s">
        <v>1542</v>
      </c>
      <c r="D631" s="35" t="s">
        <v>20</v>
      </c>
      <c r="E631" s="35">
        <v>234540</v>
      </c>
      <c r="F631" s="35" t="s">
        <v>20</v>
      </c>
      <c r="G631" t="b">
        <f t="shared" si="30"/>
        <v>0</v>
      </c>
      <c r="H631" t="b">
        <f t="shared" si="31"/>
        <v>0</v>
      </c>
      <c r="I631" s="29">
        <f t="shared" si="32"/>
        <v>40053</v>
      </c>
    </row>
    <row r="632" spans="1:9" ht="12.75" customHeight="1" x14ac:dyDescent="0.2">
      <c r="A632" s="28">
        <v>40053</v>
      </c>
      <c r="B632" s="26" t="s">
        <v>1716</v>
      </c>
      <c r="C632" s="26" t="s">
        <v>9</v>
      </c>
      <c r="D632" s="35" t="s">
        <v>20</v>
      </c>
      <c r="E632" s="35" t="s">
        <v>20</v>
      </c>
      <c r="F632" s="35">
        <v>2486194</v>
      </c>
      <c r="G632" t="b">
        <f t="shared" si="30"/>
        <v>0</v>
      </c>
      <c r="H632" t="b">
        <f t="shared" si="31"/>
        <v>0</v>
      </c>
      <c r="I632" s="29">
        <f t="shared" si="32"/>
        <v>40053</v>
      </c>
    </row>
    <row r="633" spans="1:9" ht="12.75" customHeight="1" x14ac:dyDescent="0.2">
      <c r="A633" s="28">
        <v>40053</v>
      </c>
      <c r="B633" s="26" t="s">
        <v>108</v>
      </c>
      <c r="C633" s="26" t="s">
        <v>3466</v>
      </c>
      <c r="D633" s="35" t="s">
        <v>20</v>
      </c>
      <c r="E633" s="35">
        <v>167047</v>
      </c>
      <c r="F633" s="35" t="s">
        <v>20</v>
      </c>
      <c r="G633" t="b">
        <f t="shared" si="30"/>
        <v>0</v>
      </c>
      <c r="H633" t="b">
        <f t="shared" si="31"/>
        <v>0</v>
      </c>
      <c r="I633" s="29">
        <f t="shared" si="32"/>
        <v>40053</v>
      </c>
    </row>
    <row r="634" spans="1:9" ht="12.75" customHeight="1" x14ac:dyDescent="0.2">
      <c r="A634" s="28">
        <v>40053</v>
      </c>
      <c r="B634" s="26" t="s">
        <v>2165</v>
      </c>
      <c r="C634" s="26" t="s">
        <v>9</v>
      </c>
      <c r="D634" s="35" t="s">
        <v>20</v>
      </c>
      <c r="E634" s="35">
        <v>97457</v>
      </c>
      <c r="F634" s="35" t="s">
        <v>20</v>
      </c>
      <c r="G634" t="b">
        <f t="shared" si="30"/>
        <v>0</v>
      </c>
      <c r="H634" t="b">
        <f t="shared" si="31"/>
        <v>0</v>
      </c>
      <c r="I634" s="29">
        <f t="shared" si="32"/>
        <v>40053</v>
      </c>
    </row>
    <row r="635" spans="1:9" ht="25.5" x14ac:dyDescent="0.2">
      <c r="A635" s="28">
        <v>40053</v>
      </c>
      <c r="B635" s="26" t="s">
        <v>1189</v>
      </c>
      <c r="C635" s="26" t="s">
        <v>2180</v>
      </c>
      <c r="D635" s="35" t="s">
        <v>20</v>
      </c>
      <c r="E635" s="35">
        <v>3820700</v>
      </c>
      <c r="F635" s="35">
        <v>3988523</v>
      </c>
      <c r="G635" t="b">
        <f t="shared" si="30"/>
        <v>0</v>
      </c>
      <c r="H635" t="b">
        <f t="shared" si="31"/>
        <v>0</v>
      </c>
      <c r="I635" s="29">
        <f t="shared" si="32"/>
        <v>40053</v>
      </c>
    </row>
    <row r="636" spans="1:9" ht="25.5" x14ac:dyDescent="0.2">
      <c r="A636" s="28">
        <v>40053</v>
      </c>
      <c r="B636" s="26" t="s">
        <v>938</v>
      </c>
      <c r="C636" s="26" t="s">
        <v>359</v>
      </c>
      <c r="D636" s="35" t="s">
        <v>20</v>
      </c>
      <c r="E636" s="35">
        <v>44344</v>
      </c>
      <c r="F636" s="35" t="s">
        <v>20</v>
      </c>
      <c r="G636" t="b">
        <f t="shared" ref="G636:G697" si="33">ISBLANK(A636)</f>
        <v>0</v>
      </c>
      <c r="H636" t="b">
        <f t="shared" ref="H636:H697" si="34">ISTEXT(A636)</f>
        <v>0</v>
      </c>
      <c r="I636" s="29">
        <f t="shared" si="32"/>
        <v>40053</v>
      </c>
    </row>
    <row r="637" spans="1:9" x14ac:dyDescent="0.2">
      <c r="A637" s="28">
        <v>40053</v>
      </c>
      <c r="B637" s="26" t="s">
        <v>976</v>
      </c>
      <c r="C637" s="26" t="s">
        <v>698</v>
      </c>
      <c r="D637" s="35">
        <v>29000000</v>
      </c>
      <c r="E637" s="35">
        <v>7460204</v>
      </c>
      <c r="F637" s="35">
        <v>10066366</v>
      </c>
      <c r="G637" t="b">
        <f t="shared" si="33"/>
        <v>0</v>
      </c>
      <c r="H637" t="b">
        <f t="shared" si="34"/>
        <v>0</v>
      </c>
      <c r="I637" s="29">
        <f t="shared" si="32"/>
        <v>40053</v>
      </c>
    </row>
    <row r="638" spans="1:9" ht="25.5" x14ac:dyDescent="0.2">
      <c r="A638" s="28">
        <v>40057</v>
      </c>
      <c r="B638" s="26" t="s">
        <v>3153</v>
      </c>
      <c r="C638" s="26" t="s">
        <v>9</v>
      </c>
      <c r="D638" s="35" t="s">
        <v>20</v>
      </c>
      <c r="E638" s="35" t="s">
        <v>20</v>
      </c>
      <c r="F638" s="35" t="s">
        <v>20</v>
      </c>
      <c r="G638" t="b">
        <f t="shared" si="33"/>
        <v>0</v>
      </c>
      <c r="H638" t="b">
        <f t="shared" si="34"/>
        <v>0</v>
      </c>
      <c r="I638" s="29">
        <f t="shared" si="32"/>
        <v>40057</v>
      </c>
    </row>
    <row r="639" spans="1:9" ht="12.75" customHeight="1" x14ac:dyDescent="0.2">
      <c r="A639" s="28">
        <v>40057</v>
      </c>
      <c r="B639" s="26" t="s">
        <v>3180</v>
      </c>
      <c r="C639" s="26" t="s">
        <v>9</v>
      </c>
      <c r="D639" s="35" t="s">
        <v>20</v>
      </c>
      <c r="E639" s="35" t="s">
        <v>20</v>
      </c>
      <c r="F639" s="35" t="s">
        <v>20</v>
      </c>
      <c r="G639" t="b">
        <f t="shared" si="33"/>
        <v>0</v>
      </c>
      <c r="H639" t="b">
        <f t="shared" si="34"/>
        <v>0</v>
      </c>
      <c r="I639" s="29">
        <f t="shared" si="32"/>
        <v>40057</v>
      </c>
    </row>
    <row r="640" spans="1:9" ht="25.5" x14ac:dyDescent="0.2">
      <c r="A640" s="28">
        <v>40057</v>
      </c>
      <c r="B640" s="26" t="s">
        <v>2766</v>
      </c>
      <c r="C640" s="26" t="s">
        <v>9</v>
      </c>
      <c r="D640" s="35" t="s">
        <v>20</v>
      </c>
      <c r="E640" s="35" t="s">
        <v>20</v>
      </c>
      <c r="F640" s="35" t="s">
        <v>20</v>
      </c>
      <c r="G640" t="b">
        <f t="shared" si="33"/>
        <v>0</v>
      </c>
      <c r="H640" t="b">
        <f t="shared" si="34"/>
        <v>0</v>
      </c>
      <c r="I640" s="29">
        <f t="shared" si="32"/>
        <v>40057</v>
      </c>
    </row>
    <row r="641" spans="1:9" ht="25.5" x14ac:dyDescent="0.2">
      <c r="A641" s="28">
        <v>40057</v>
      </c>
      <c r="B641" s="26" t="s">
        <v>3416</v>
      </c>
      <c r="C641" s="26" t="s">
        <v>1144</v>
      </c>
      <c r="D641" s="35" t="s">
        <v>20</v>
      </c>
      <c r="E641" s="35" t="s">
        <v>20</v>
      </c>
      <c r="F641" s="35" t="s">
        <v>20</v>
      </c>
      <c r="G641" t="b">
        <f t="shared" si="33"/>
        <v>0</v>
      </c>
      <c r="H641" t="b">
        <f t="shared" si="34"/>
        <v>0</v>
      </c>
      <c r="I641" s="29">
        <f t="shared" si="32"/>
        <v>40057</v>
      </c>
    </row>
    <row r="642" spans="1:9" ht="12.75" customHeight="1" x14ac:dyDescent="0.2">
      <c r="A642" s="28">
        <v>40060</v>
      </c>
      <c r="B642" s="26" t="s">
        <v>2263</v>
      </c>
      <c r="C642" s="26" t="s">
        <v>2310</v>
      </c>
      <c r="D642" s="35" t="s">
        <v>20</v>
      </c>
      <c r="E642" s="35">
        <v>20534907</v>
      </c>
      <c r="F642" s="35">
        <v>35062683</v>
      </c>
      <c r="G642" t="b">
        <f t="shared" si="33"/>
        <v>0</v>
      </c>
      <c r="H642" t="b">
        <f t="shared" si="34"/>
        <v>0</v>
      </c>
      <c r="I642" s="29">
        <f t="shared" si="32"/>
        <v>40060</v>
      </c>
    </row>
    <row r="643" spans="1:9" ht="12.75" customHeight="1" x14ac:dyDescent="0.2">
      <c r="A643" s="28">
        <v>40060</v>
      </c>
      <c r="B643" s="26" t="s">
        <v>3080</v>
      </c>
      <c r="C643" s="26" t="s">
        <v>384</v>
      </c>
      <c r="D643" s="35" t="s">
        <v>20</v>
      </c>
      <c r="E643" s="35">
        <v>33862903</v>
      </c>
      <c r="F643" s="35">
        <v>40127259</v>
      </c>
      <c r="G643" t="b">
        <f t="shared" si="33"/>
        <v>0</v>
      </c>
      <c r="H643" t="b">
        <f t="shared" si="34"/>
        <v>0</v>
      </c>
      <c r="I643" s="29">
        <f t="shared" si="32"/>
        <v>40060</v>
      </c>
    </row>
    <row r="644" spans="1:9" ht="12.75" customHeight="1" x14ac:dyDescent="0.2">
      <c r="A644" s="28">
        <v>40060</v>
      </c>
      <c r="B644" s="26" t="s">
        <v>948</v>
      </c>
      <c r="C644" s="26" t="s">
        <v>3218</v>
      </c>
      <c r="D644" s="35">
        <v>7500000</v>
      </c>
      <c r="E644" s="35">
        <v>10823158</v>
      </c>
      <c r="F644" s="35">
        <v>10849158</v>
      </c>
      <c r="G644" t="b">
        <f t="shared" si="33"/>
        <v>0</v>
      </c>
      <c r="H644" t="b">
        <f t="shared" si="34"/>
        <v>0</v>
      </c>
      <c r="I644" s="29">
        <f t="shared" si="32"/>
        <v>40060</v>
      </c>
    </row>
    <row r="645" spans="1:9" ht="12.75" customHeight="1" x14ac:dyDescent="0.2">
      <c r="A645" s="28">
        <v>40060</v>
      </c>
      <c r="B645" s="26">
        <v>1981</v>
      </c>
      <c r="C645" s="26" t="s">
        <v>9</v>
      </c>
      <c r="D645" s="35" t="s">
        <v>20</v>
      </c>
      <c r="E645" s="35">
        <v>753197</v>
      </c>
      <c r="F645" s="35" t="s">
        <v>20</v>
      </c>
      <c r="G645" t="b">
        <f t="shared" si="33"/>
        <v>0</v>
      </c>
      <c r="H645" t="b">
        <f t="shared" si="34"/>
        <v>0</v>
      </c>
      <c r="I645" s="29">
        <f t="shared" si="32"/>
        <v>40060</v>
      </c>
    </row>
    <row r="646" spans="1:9" ht="25.5" x14ac:dyDescent="0.2">
      <c r="A646" s="28">
        <v>40060</v>
      </c>
      <c r="B646" s="26" t="s">
        <v>3139</v>
      </c>
      <c r="C646" s="26" t="s">
        <v>999</v>
      </c>
      <c r="D646" s="35" t="s">
        <v>20</v>
      </c>
      <c r="E646" s="35">
        <v>104352</v>
      </c>
      <c r="F646" s="35">
        <v>5604352</v>
      </c>
      <c r="G646" t="b">
        <f t="shared" si="33"/>
        <v>0</v>
      </c>
      <c r="H646" t="b">
        <f t="shared" si="34"/>
        <v>0</v>
      </c>
      <c r="I646" s="29">
        <f t="shared" si="32"/>
        <v>40060</v>
      </c>
    </row>
    <row r="647" spans="1:9" ht="12.75" customHeight="1" x14ac:dyDescent="0.2">
      <c r="A647" s="28">
        <v>40060</v>
      </c>
      <c r="B647" s="26" t="s">
        <v>1372</v>
      </c>
      <c r="C647" s="26" t="s">
        <v>3426</v>
      </c>
      <c r="D647" s="35" t="s">
        <v>20</v>
      </c>
      <c r="E647" s="35" t="s">
        <v>20</v>
      </c>
      <c r="F647" s="35" t="s">
        <v>20</v>
      </c>
      <c r="G647" t="b">
        <f t="shared" si="33"/>
        <v>0</v>
      </c>
      <c r="H647" t="b">
        <f t="shared" si="34"/>
        <v>0</v>
      </c>
      <c r="I647" s="29">
        <f t="shared" si="32"/>
        <v>40060</v>
      </c>
    </row>
    <row r="648" spans="1:9" ht="25.5" x14ac:dyDescent="0.2">
      <c r="A648" s="28">
        <v>40060</v>
      </c>
      <c r="B648" s="26" t="s">
        <v>3154</v>
      </c>
      <c r="C648" s="26" t="s">
        <v>102</v>
      </c>
      <c r="D648" s="35" t="s">
        <v>20</v>
      </c>
      <c r="E648" s="35">
        <v>627436</v>
      </c>
      <c r="F648" s="35" t="s">
        <v>20</v>
      </c>
      <c r="G648" t="b">
        <f t="shared" si="33"/>
        <v>0</v>
      </c>
      <c r="H648" t="b">
        <f t="shared" si="34"/>
        <v>0</v>
      </c>
      <c r="I648" s="29">
        <f t="shared" si="32"/>
        <v>40060</v>
      </c>
    </row>
    <row r="649" spans="1:9" ht="12.75" customHeight="1" x14ac:dyDescent="0.2">
      <c r="A649" s="28">
        <v>40060</v>
      </c>
      <c r="B649" s="26" t="s">
        <v>2135</v>
      </c>
      <c r="C649" s="26" t="s">
        <v>9</v>
      </c>
      <c r="D649" s="35" t="s">
        <v>20</v>
      </c>
      <c r="E649" s="35">
        <v>3444</v>
      </c>
      <c r="F649" s="35" t="s">
        <v>20</v>
      </c>
      <c r="G649" t="b">
        <f t="shared" si="33"/>
        <v>0</v>
      </c>
      <c r="H649" t="b">
        <f t="shared" si="34"/>
        <v>0</v>
      </c>
      <c r="I649" s="29">
        <f t="shared" si="32"/>
        <v>40060</v>
      </c>
    </row>
    <row r="650" spans="1:9" ht="25.5" x14ac:dyDescent="0.2">
      <c r="A650" s="28">
        <v>40064</v>
      </c>
      <c r="B650" s="26" t="s">
        <v>2534</v>
      </c>
      <c r="C650" s="26" t="s">
        <v>9</v>
      </c>
      <c r="D650" s="35" t="s">
        <v>20</v>
      </c>
      <c r="E650" s="35" t="s">
        <v>20</v>
      </c>
      <c r="F650" s="35" t="s">
        <v>20</v>
      </c>
      <c r="G650" t="b">
        <f t="shared" si="33"/>
        <v>0</v>
      </c>
      <c r="H650" t="b">
        <f t="shared" si="34"/>
        <v>0</v>
      </c>
      <c r="I650" s="29">
        <f t="shared" si="32"/>
        <v>40064</v>
      </c>
    </row>
    <row r="651" spans="1:9" ht="63.75" x14ac:dyDescent="0.2">
      <c r="A651" s="28">
        <v>40064</v>
      </c>
      <c r="B651" s="26" t="s">
        <v>470</v>
      </c>
      <c r="C651" s="26" t="s">
        <v>2752</v>
      </c>
      <c r="D651" s="35" t="s">
        <v>20</v>
      </c>
      <c r="E651" s="35" t="s">
        <v>20</v>
      </c>
      <c r="F651" s="35" t="s">
        <v>20</v>
      </c>
      <c r="G651" t="b">
        <f t="shared" si="33"/>
        <v>0</v>
      </c>
      <c r="H651" t="b">
        <f t="shared" si="34"/>
        <v>0</v>
      </c>
      <c r="I651" s="29">
        <f t="shared" si="32"/>
        <v>40064</v>
      </c>
    </row>
    <row r="652" spans="1:9" ht="12.75" customHeight="1" x14ac:dyDescent="0.2">
      <c r="A652" s="28">
        <v>40064</v>
      </c>
      <c r="B652" s="26" t="s">
        <v>1472</v>
      </c>
      <c r="C652" s="26" t="s">
        <v>9</v>
      </c>
      <c r="D652" s="35" t="s">
        <v>20</v>
      </c>
      <c r="E652" s="35" t="s">
        <v>20</v>
      </c>
      <c r="F652" s="35" t="s">
        <v>20</v>
      </c>
      <c r="G652" t="b">
        <f t="shared" si="33"/>
        <v>0</v>
      </c>
      <c r="H652" t="b">
        <f t="shared" si="34"/>
        <v>0</v>
      </c>
      <c r="I652" s="29">
        <f t="shared" si="32"/>
        <v>40064</v>
      </c>
    </row>
    <row r="653" spans="1:9" ht="38.25" x14ac:dyDescent="0.2">
      <c r="A653" s="28">
        <v>40064</v>
      </c>
      <c r="B653" s="26" t="s">
        <v>2519</v>
      </c>
      <c r="C653" s="26" t="s">
        <v>2310</v>
      </c>
      <c r="D653" s="35" t="s">
        <v>20</v>
      </c>
      <c r="E653" s="35" t="s">
        <v>20</v>
      </c>
      <c r="F653" s="35" t="s">
        <v>20</v>
      </c>
      <c r="G653" t="b">
        <f t="shared" si="33"/>
        <v>0</v>
      </c>
      <c r="H653" t="b">
        <f t="shared" si="34"/>
        <v>0</v>
      </c>
      <c r="I653" s="29">
        <f t="shared" si="32"/>
        <v>40064</v>
      </c>
    </row>
    <row r="654" spans="1:9" ht="12.75" customHeight="1" x14ac:dyDescent="0.2">
      <c r="A654" s="28">
        <v>40065</v>
      </c>
      <c r="B654" s="26" t="s">
        <v>1266</v>
      </c>
      <c r="C654" s="26" t="s">
        <v>9</v>
      </c>
      <c r="D654" s="35" t="s">
        <v>20</v>
      </c>
      <c r="E654" s="35" t="s">
        <v>20</v>
      </c>
      <c r="F654" s="35" t="s">
        <v>20</v>
      </c>
      <c r="G654" t="b">
        <f t="shared" si="33"/>
        <v>0</v>
      </c>
      <c r="H654" t="b">
        <f t="shared" si="34"/>
        <v>0</v>
      </c>
      <c r="I654" s="29">
        <f t="shared" si="32"/>
        <v>40065</v>
      </c>
    </row>
    <row r="655" spans="1:9" ht="12.75" customHeight="1" x14ac:dyDescent="0.2">
      <c r="A655" s="28">
        <v>40065</v>
      </c>
      <c r="B655" s="26">
        <v>9</v>
      </c>
      <c r="C655" s="26" t="s">
        <v>698</v>
      </c>
      <c r="D655" s="35">
        <v>30000000</v>
      </c>
      <c r="E655" s="35">
        <v>31749894</v>
      </c>
      <c r="F655" s="35">
        <v>46603791</v>
      </c>
      <c r="G655" t="b">
        <f t="shared" si="33"/>
        <v>0</v>
      </c>
      <c r="H655" t="b">
        <f t="shared" si="34"/>
        <v>0</v>
      </c>
      <c r="I655" s="29">
        <f t="shared" si="32"/>
        <v>40065</v>
      </c>
    </row>
    <row r="656" spans="1:9" ht="25.5" x14ac:dyDescent="0.2">
      <c r="A656" s="28">
        <v>40065</v>
      </c>
      <c r="B656" s="26" t="s">
        <v>2361</v>
      </c>
      <c r="C656" s="26" t="s">
        <v>9</v>
      </c>
      <c r="D656" s="35" t="s">
        <v>20</v>
      </c>
      <c r="E656" s="35" t="s">
        <v>20</v>
      </c>
      <c r="F656" s="35">
        <v>53049987</v>
      </c>
      <c r="G656" t="b">
        <f t="shared" si="33"/>
        <v>0</v>
      </c>
      <c r="H656" t="b">
        <f t="shared" si="34"/>
        <v>0</v>
      </c>
      <c r="I656" s="29">
        <f t="shared" si="32"/>
        <v>40065</v>
      </c>
    </row>
    <row r="657" spans="1:9" ht="38.25" x14ac:dyDescent="0.2">
      <c r="A657" s="28">
        <v>40065</v>
      </c>
      <c r="B657" s="26" t="s">
        <v>1212</v>
      </c>
      <c r="C657" s="26" t="s">
        <v>2775</v>
      </c>
      <c r="D657" s="35" t="s">
        <v>20</v>
      </c>
      <c r="E657" s="35" t="s">
        <v>20</v>
      </c>
      <c r="F657" s="35" t="s">
        <v>20</v>
      </c>
      <c r="G657" t="b">
        <f t="shared" si="33"/>
        <v>0</v>
      </c>
      <c r="H657" t="b">
        <f t="shared" si="34"/>
        <v>0</v>
      </c>
      <c r="I657" s="29">
        <f t="shared" si="32"/>
        <v>40065</v>
      </c>
    </row>
    <row r="658" spans="1:9" ht="25.5" x14ac:dyDescent="0.2">
      <c r="A658" s="28">
        <v>40067</v>
      </c>
      <c r="B658" s="26" t="s">
        <v>3104</v>
      </c>
      <c r="C658" s="26" t="s">
        <v>2310</v>
      </c>
      <c r="D658" s="35">
        <v>19000000</v>
      </c>
      <c r="E658" s="35">
        <v>51733921</v>
      </c>
      <c r="F658" s="35" t="s">
        <v>20</v>
      </c>
      <c r="G658" t="b">
        <f t="shared" si="33"/>
        <v>0</v>
      </c>
      <c r="H658" t="b">
        <f t="shared" si="34"/>
        <v>0</v>
      </c>
      <c r="I658" s="29">
        <f t="shared" si="32"/>
        <v>40067</v>
      </c>
    </row>
    <row r="659" spans="1:9" ht="12.75" customHeight="1" x14ac:dyDescent="0.2">
      <c r="A659" s="28">
        <v>40067</v>
      </c>
      <c r="B659" s="26" t="s">
        <v>1133</v>
      </c>
      <c r="C659" s="26" t="s">
        <v>1812</v>
      </c>
      <c r="D659" s="35" t="s">
        <v>20</v>
      </c>
      <c r="E659" s="35">
        <v>170295</v>
      </c>
      <c r="F659" s="35">
        <v>185881</v>
      </c>
      <c r="G659" t="b">
        <f t="shared" si="33"/>
        <v>0</v>
      </c>
      <c r="H659" t="b">
        <f t="shared" si="34"/>
        <v>0</v>
      </c>
      <c r="I659" s="29">
        <f t="shared" si="32"/>
        <v>40067</v>
      </c>
    </row>
    <row r="660" spans="1:9" ht="25.5" x14ac:dyDescent="0.2">
      <c r="A660" s="28">
        <v>40067</v>
      </c>
      <c r="B660" s="26" t="s">
        <v>735</v>
      </c>
      <c r="C660" s="26" t="s">
        <v>2990</v>
      </c>
      <c r="D660" s="35" t="s">
        <v>20</v>
      </c>
      <c r="E660" s="35">
        <v>32917</v>
      </c>
      <c r="F660" s="35">
        <v>1461624</v>
      </c>
      <c r="G660" t="b">
        <f t="shared" si="33"/>
        <v>0</v>
      </c>
      <c r="H660" t="b">
        <f t="shared" si="34"/>
        <v>0</v>
      </c>
      <c r="I660" s="29">
        <f t="shared" si="32"/>
        <v>40067</v>
      </c>
    </row>
    <row r="661" spans="1:9" ht="12.75" customHeight="1" x14ac:dyDescent="0.2">
      <c r="A661" s="28">
        <v>40067</v>
      </c>
      <c r="B661" s="26" t="s">
        <v>2434</v>
      </c>
      <c r="C661" s="26" t="s">
        <v>322</v>
      </c>
      <c r="D661" s="35" t="s">
        <v>20</v>
      </c>
      <c r="E661" s="35">
        <v>100028</v>
      </c>
      <c r="F661" s="35" t="s">
        <v>20</v>
      </c>
      <c r="G661" t="b">
        <f t="shared" si="33"/>
        <v>0</v>
      </c>
      <c r="H661" t="b">
        <f t="shared" si="34"/>
        <v>0</v>
      </c>
      <c r="I661" s="29">
        <f t="shared" si="32"/>
        <v>40067</v>
      </c>
    </row>
    <row r="662" spans="1:9" x14ac:dyDescent="0.2">
      <c r="A662" s="28">
        <v>40067</v>
      </c>
      <c r="B662" s="26" t="s">
        <v>751</v>
      </c>
      <c r="C662" s="26" t="s">
        <v>2285</v>
      </c>
      <c r="D662" s="35" t="s">
        <v>20</v>
      </c>
      <c r="E662" s="35">
        <v>2434</v>
      </c>
      <c r="F662" s="35" t="s">
        <v>20</v>
      </c>
      <c r="G662" t="b">
        <f t="shared" si="33"/>
        <v>0</v>
      </c>
      <c r="H662" t="b">
        <f t="shared" si="34"/>
        <v>0</v>
      </c>
      <c r="I662" s="29">
        <f t="shared" si="32"/>
        <v>40067</v>
      </c>
    </row>
    <row r="663" spans="1:9" ht="12.75" customHeight="1" x14ac:dyDescent="0.2">
      <c r="A663" s="28">
        <v>40067</v>
      </c>
      <c r="B663" s="26" t="s">
        <v>1927</v>
      </c>
      <c r="C663" s="26" t="s">
        <v>3209</v>
      </c>
      <c r="D663" s="35">
        <v>35000000</v>
      </c>
      <c r="E663" s="35">
        <v>10275638</v>
      </c>
      <c r="F663" s="35">
        <v>12254746</v>
      </c>
      <c r="G663" t="b">
        <f t="shared" si="33"/>
        <v>0</v>
      </c>
      <c r="H663" t="b">
        <f t="shared" si="34"/>
        <v>0</v>
      </c>
      <c r="I663" s="29">
        <f t="shared" si="32"/>
        <v>40067</v>
      </c>
    </row>
    <row r="664" spans="1:9" ht="12.75" customHeight="1" x14ac:dyDescent="0.2">
      <c r="A664" s="28">
        <v>40067</v>
      </c>
      <c r="B664" s="26" t="s">
        <v>1216</v>
      </c>
      <c r="C664" s="26" t="s">
        <v>9</v>
      </c>
      <c r="D664" s="35" t="s">
        <v>20</v>
      </c>
      <c r="E664" s="35">
        <v>50076</v>
      </c>
      <c r="F664" s="35" t="s">
        <v>20</v>
      </c>
      <c r="G664" t="b">
        <f t="shared" si="33"/>
        <v>0</v>
      </c>
      <c r="H664" t="b">
        <f t="shared" si="34"/>
        <v>0</v>
      </c>
      <c r="I664" s="29">
        <f t="shared" si="32"/>
        <v>40067</v>
      </c>
    </row>
    <row r="665" spans="1:9" ht="12.75" customHeight="1" x14ac:dyDescent="0.2">
      <c r="A665" s="28">
        <v>40067</v>
      </c>
      <c r="B665" s="26" t="s">
        <v>2003</v>
      </c>
      <c r="C665" s="26" t="s">
        <v>9</v>
      </c>
      <c r="D665" s="35" t="s">
        <v>20</v>
      </c>
      <c r="E665" s="35">
        <v>223455</v>
      </c>
      <c r="F665" s="35" t="s">
        <v>20</v>
      </c>
      <c r="G665" t="b">
        <f t="shared" si="33"/>
        <v>0</v>
      </c>
      <c r="H665" t="b">
        <f t="shared" si="34"/>
        <v>0</v>
      </c>
      <c r="I665" s="29">
        <f t="shared" si="32"/>
        <v>40067</v>
      </c>
    </row>
    <row r="666" spans="1:9" ht="12.75" customHeight="1" x14ac:dyDescent="0.2">
      <c r="A666" s="28">
        <v>40067</v>
      </c>
      <c r="B666" s="26" t="s">
        <v>437</v>
      </c>
      <c r="C666" s="26" t="s">
        <v>9</v>
      </c>
      <c r="D666" s="35" t="s">
        <v>20</v>
      </c>
      <c r="E666" s="35">
        <v>20521</v>
      </c>
      <c r="F666" s="35" t="s">
        <v>20</v>
      </c>
      <c r="G666" t="b">
        <f t="shared" si="33"/>
        <v>0</v>
      </c>
      <c r="H666" t="b">
        <f t="shared" si="34"/>
        <v>0</v>
      </c>
      <c r="I666" s="29">
        <f t="shared" si="32"/>
        <v>40067</v>
      </c>
    </row>
    <row r="667" spans="1:9" ht="12.75" customHeight="1" x14ac:dyDescent="0.2">
      <c r="A667" s="28">
        <v>40067</v>
      </c>
      <c r="B667" s="26" t="s">
        <v>1076</v>
      </c>
      <c r="C667" s="26" t="s">
        <v>2314</v>
      </c>
      <c r="D667" s="35" t="s">
        <v>20</v>
      </c>
      <c r="E667" s="35">
        <v>156612</v>
      </c>
      <c r="F667" s="35" t="s">
        <v>20</v>
      </c>
      <c r="G667" t="b">
        <f t="shared" si="33"/>
        <v>0</v>
      </c>
      <c r="H667" t="b">
        <f t="shared" si="34"/>
        <v>0</v>
      </c>
      <c r="I667" s="29">
        <f t="shared" si="32"/>
        <v>40067</v>
      </c>
    </row>
    <row r="668" spans="1:9" ht="25.5" x14ac:dyDescent="0.2">
      <c r="A668" s="28">
        <v>40067</v>
      </c>
      <c r="B668" s="26" t="s">
        <v>2021</v>
      </c>
      <c r="C668" s="26" t="s">
        <v>9</v>
      </c>
      <c r="D668" s="35" t="s">
        <v>20</v>
      </c>
      <c r="E668" s="35">
        <v>5532</v>
      </c>
      <c r="F668" s="35" t="s">
        <v>20</v>
      </c>
      <c r="G668" t="b">
        <f t="shared" si="33"/>
        <v>0</v>
      </c>
      <c r="H668" t="b">
        <f t="shared" si="34"/>
        <v>0</v>
      </c>
      <c r="I668" s="29">
        <f t="shared" si="32"/>
        <v>40067</v>
      </c>
    </row>
    <row r="669" spans="1:9" ht="12.75" customHeight="1" x14ac:dyDescent="0.2">
      <c r="A669" s="28">
        <v>40067</v>
      </c>
      <c r="B669" s="26" t="s">
        <v>3053</v>
      </c>
      <c r="C669" s="26" t="s">
        <v>1144</v>
      </c>
      <c r="D669" s="35" t="s">
        <v>20</v>
      </c>
      <c r="E669" s="35">
        <v>149530</v>
      </c>
      <c r="F669" s="35" t="s">
        <v>20</v>
      </c>
      <c r="G669" t="b">
        <f t="shared" si="33"/>
        <v>0</v>
      </c>
      <c r="H669" t="b">
        <f t="shared" si="34"/>
        <v>0</v>
      </c>
      <c r="I669" s="29">
        <f t="shared" si="32"/>
        <v>40067</v>
      </c>
    </row>
    <row r="670" spans="1:9" ht="25.5" x14ac:dyDescent="0.2">
      <c r="A670" s="28">
        <v>40067</v>
      </c>
      <c r="B670" s="26" t="s">
        <v>1761</v>
      </c>
      <c r="C670" s="26" t="s">
        <v>130</v>
      </c>
      <c r="D670" s="35">
        <v>12500000</v>
      </c>
      <c r="E670" s="35">
        <v>11965282</v>
      </c>
      <c r="F670" s="35">
        <v>26735797</v>
      </c>
      <c r="G670" t="b">
        <f t="shared" si="33"/>
        <v>0</v>
      </c>
      <c r="H670" t="b">
        <f t="shared" si="34"/>
        <v>0</v>
      </c>
      <c r="I670" s="29">
        <f t="shared" si="32"/>
        <v>40067</v>
      </c>
    </row>
    <row r="671" spans="1:9" ht="12.75" customHeight="1" x14ac:dyDescent="0.2">
      <c r="A671" s="28">
        <v>40067</v>
      </c>
      <c r="B671" s="26" t="s">
        <v>821</v>
      </c>
      <c r="C671" s="26" t="s">
        <v>9</v>
      </c>
      <c r="D671" s="35" t="s">
        <v>20</v>
      </c>
      <c r="E671" s="35">
        <v>69171</v>
      </c>
      <c r="F671" s="35" t="s">
        <v>20</v>
      </c>
      <c r="G671" t="b">
        <f t="shared" si="33"/>
        <v>0</v>
      </c>
      <c r="H671" t="b">
        <f t="shared" si="34"/>
        <v>0</v>
      </c>
      <c r="I671" s="29">
        <f t="shared" si="32"/>
        <v>40067</v>
      </c>
    </row>
    <row r="672" spans="1:9" ht="12.75" customHeight="1" x14ac:dyDescent="0.2">
      <c r="A672" s="28">
        <v>40071</v>
      </c>
      <c r="B672" s="26" t="s">
        <v>3182</v>
      </c>
      <c r="C672" s="26" t="s">
        <v>9</v>
      </c>
      <c r="D672" s="35" t="s">
        <v>20</v>
      </c>
      <c r="E672" s="35" t="s">
        <v>20</v>
      </c>
      <c r="F672" s="35" t="s">
        <v>20</v>
      </c>
      <c r="G672" t="b">
        <f t="shared" si="33"/>
        <v>0</v>
      </c>
      <c r="H672" t="b">
        <f t="shared" si="34"/>
        <v>0</v>
      </c>
      <c r="I672" s="29">
        <f t="shared" si="32"/>
        <v>40071</v>
      </c>
    </row>
    <row r="673" spans="1:9" ht="25.5" x14ac:dyDescent="0.2">
      <c r="A673" s="28">
        <v>40071</v>
      </c>
      <c r="B673" s="26" t="s">
        <v>2951</v>
      </c>
      <c r="C673" s="26" t="s">
        <v>9</v>
      </c>
      <c r="D673" s="35" t="s">
        <v>20</v>
      </c>
      <c r="E673" s="35" t="s">
        <v>20</v>
      </c>
      <c r="F673" s="35" t="s">
        <v>20</v>
      </c>
      <c r="G673" t="b">
        <f t="shared" si="33"/>
        <v>0</v>
      </c>
      <c r="H673" t="b">
        <f t="shared" si="34"/>
        <v>0</v>
      </c>
      <c r="I673" s="29">
        <f t="shared" si="32"/>
        <v>40071</v>
      </c>
    </row>
    <row r="674" spans="1:9" ht="38.25" x14ac:dyDescent="0.2">
      <c r="A674" s="28">
        <v>40071</v>
      </c>
      <c r="B674" s="26" t="s">
        <v>2739</v>
      </c>
      <c r="C674" s="26" t="s">
        <v>9</v>
      </c>
      <c r="D674" s="35" t="s">
        <v>20</v>
      </c>
      <c r="E674" s="35" t="s">
        <v>20</v>
      </c>
      <c r="F674" s="35" t="s">
        <v>20</v>
      </c>
      <c r="G674" t="b">
        <f t="shared" si="33"/>
        <v>0</v>
      </c>
      <c r="H674" t="b">
        <f t="shared" si="34"/>
        <v>0</v>
      </c>
      <c r="I674" s="29">
        <f t="shared" si="32"/>
        <v>40071</v>
      </c>
    </row>
    <row r="675" spans="1:9" ht="12.75" customHeight="1" x14ac:dyDescent="0.2">
      <c r="A675" s="28">
        <v>40071</v>
      </c>
      <c r="B675" s="26" t="s">
        <v>2114</v>
      </c>
      <c r="C675" s="26" t="s">
        <v>9</v>
      </c>
      <c r="D675" s="35" t="s">
        <v>20</v>
      </c>
      <c r="E675" s="35" t="s">
        <v>20</v>
      </c>
      <c r="F675" s="35" t="s">
        <v>20</v>
      </c>
      <c r="G675" t="b">
        <f t="shared" si="33"/>
        <v>0</v>
      </c>
      <c r="H675" t="b">
        <f t="shared" si="34"/>
        <v>0</v>
      </c>
      <c r="I675" s="29">
        <f t="shared" si="32"/>
        <v>40071</v>
      </c>
    </row>
    <row r="676" spans="1:9" ht="12.75" customHeight="1" x14ac:dyDescent="0.2">
      <c r="A676" s="28">
        <v>40071</v>
      </c>
      <c r="B676" s="26" t="s">
        <v>1933</v>
      </c>
      <c r="C676" s="26" t="s">
        <v>9</v>
      </c>
      <c r="D676" s="35" t="s">
        <v>20</v>
      </c>
      <c r="E676" s="35" t="s">
        <v>20</v>
      </c>
      <c r="F676" s="35" t="s">
        <v>20</v>
      </c>
      <c r="G676" t="b">
        <f t="shared" si="33"/>
        <v>0</v>
      </c>
      <c r="H676" t="b">
        <f t="shared" si="34"/>
        <v>0</v>
      </c>
      <c r="I676" s="29">
        <f t="shared" si="32"/>
        <v>40071</v>
      </c>
    </row>
    <row r="677" spans="1:9" ht="12.75" customHeight="1" x14ac:dyDescent="0.2">
      <c r="A677" s="28">
        <v>40071</v>
      </c>
      <c r="B677" s="26" t="s">
        <v>2740</v>
      </c>
      <c r="C677" s="26" t="s">
        <v>9</v>
      </c>
      <c r="D677" s="35" t="s">
        <v>20</v>
      </c>
      <c r="E677" s="35" t="s">
        <v>20</v>
      </c>
      <c r="F677" s="35" t="s">
        <v>20</v>
      </c>
      <c r="G677" t="b">
        <f t="shared" si="33"/>
        <v>0</v>
      </c>
      <c r="H677" t="b">
        <f t="shared" si="34"/>
        <v>0</v>
      </c>
      <c r="I677" s="29">
        <f t="shared" si="32"/>
        <v>40071</v>
      </c>
    </row>
    <row r="678" spans="1:9" ht="25.5" x14ac:dyDescent="0.2">
      <c r="A678" s="28">
        <v>40071</v>
      </c>
      <c r="B678" s="26" t="s">
        <v>1768</v>
      </c>
      <c r="C678" s="26" t="s">
        <v>9</v>
      </c>
      <c r="D678" s="35" t="s">
        <v>20</v>
      </c>
      <c r="E678" s="35" t="s">
        <v>20</v>
      </c>
      <c r="F678" s="35" t="s">
        <v>20</v>
      </c>
      <c r="G678" t="b">
        <f t="shared" si="33"/>
        <v>0</v>
      </c>
      <c r="H678" t="b">
        <f t="shared" si="34"/>
        <v>0</v>
      </c>
      <c r="I678" s="29">
        <f t="shared" si="32"/>
        <v>40071</v>
      </c>
    </row>
    <row r="679" spans="1:9" ht="12.75" customHeight="1" x14ac:dyDescent="0.2">
      <c r="A679" s="28">
        <v>40071</v>
      </c>
      <c r="B679" s="26" t="s">
        <v>1182</v>
      </c>
      <c r="C679" s="26" t="s">
        <v>9</v>
      </c>
      <c r="D679" s="35" t="s">
        <v>20</v>
      </c>
      <c r="E679" s="35" t="s">
        <v>20</v>
      </c>
      <c r="F679" s="35" t="s">
        <v>20</v>
      </c>
      <c r="G679" t="b">
        <f t="shared" si="33"/>
        <v>0</v>
      </c>
      <c r="H679" t="b">
        <f t="shared" si="34"/>
        <v>0</v>
      </c>
      <c r="I679" s="29">
        <f t="shared" si="32"/>
        <v>40071</v>
      </c>
    </row>
    <row r="680" spans="1:9" ht="25.5" x14ac:dyDescent="0.2">
      <c r="A680" s="28">
        <v>40071</v>
      </c>
      <c r="B680" s="26" t="s">
        <v>1328</v>
      </c>
      <c r="C680" s="26" t="s">
        <v>9</v>
      </c>
      <c r="D680" s="35" t="s">
        <v>20</v>
      </c>
      <c r="E680" s="35" t="s">
        <v>20</v>
      </c>
      <c r="F680" s="35" t="s">
        <v>20</v>
      </c>
      <c r="G680" t="b">
        <f t="shared" si="33"/>
        <v>0</v>
      </c>
      <c r="H680" t="b">
        <f t="shared" si="34"/>
        <v>0</v>
      </c>
      <c r="I680" s="29">
        <f t="shared" si="32"/>
        <v>40071</v>
      </c>
    </row>
    <row r="681" spans="1:9" ht="12.75" customHeight="1" x14ac:dyDescent="0.2">
      <c r="A681" s="28">
        <v>40073</v>
      </c>
      <c r="B681" s="26" t="s">
        <v>42</v>
      </c>
      <c r="C681" s="26" t="s">
        <v>9</v>
      </c>
      <c r="D681" s="35" t="s">
        <v>20</v>
      </c>
      <c r="E681" s="35" t="s">
        <v>20</v>
      </c>
      <c r="F681" s="35">
        <v>62995096</v>
      </c>
      <c r="G681" t="b">
        <f t="shared" si="33"/>
        <v>0</v>
      </c>
      <c r="H681" t="b">
        <f t="shared" si="34"/>
        <v>0</v>
      </c>
      <c r="I681" s="29">
        <f t="shared" si="32"/>
        <v>40073</v>
      </c>
    </row>
    <row r="682" spans="1:9" ht="12.75" customHeight="1" x14ac:dyDescent="0.2">
      <c r="A682" s="28">
        <v>40073</v>
      </c>
      <c r="B682" s="26" t="s">
        <v>2632</v>
      </c>
      <c r="C682" s="26" t="s">
        <v>9</v>
      </c>
      <c r="D682" s="35" t="s">
        <v>20</v>
      </c>
      <c r="E682" s="35" t="s">
        <v>20</v>
      </c>
      <c r="F682" s="35">
        <v>6730513</v>
      </c>
      <c r="G682" t="b">
        <f t="shared" si="33"/>
        <v>0</v>
      </c>
      <c r="H682" t="b">
        <f t="shared" si="34"/>
        <v>0</v>
      </c>
      <c r="I682" s="29">
        <f t="shared" si="32"/>
        <v>40073</v>
      </c>
    </row>
    <row r="683" spans="1:9" ht="25.5" x14ac:dyDescent="0.2">
      <c r="A683" s="28">
        <v>40073</v>
      </c>
      <c r="B683" s="26" t="s">
        <v>1028</v>
      </c>
      <c r="C683" s="26" t="s">
        <v>9</v>
      </c>
      <c r="D683" s="35" t="s">
        <v>20</v>
      </c>
      <c r="E683" s="35" t="s">
        <v>20</v>
      </c>
      <c r="F683" s="35" t="s">
        <v>20</v>
      </c>
      <c r="G683" t="b">
        <f t="shared" si="33"/>
        <v>0</v>
      </c>
      <c r="H683" t="b">
        <f t="shared" si="34"/>
        <v>0</v>
      </c>
      <c r="I683" s="29">
        <f t="shared" si="32"/>
        <v>40073</v>
      </c>
    </row>
    <row r="684" spans="1:9" ht="12.75" customHeight="1" x14ac:dyDescent="0.2">
      <c r="A684" s="28">
        <v>40074</v>
      </c>
      <c r="B684" s="26" t="s">
        <v>2022</v>
      </c>
      <c r="C684" s="26" t="s">
        <v>9</v>
      </c>
      <c r="D684" s="35" t="s">
        <v>20</v>
      </c>
      <c r="E684" s="35">
        <v>1010194</v>
      </c>
      <c r="F684" s="35">
        <v>22850194</v>
      </c>
      <c r="G684" t="b">
        <f t="shared" si="33"/>
        <v>0</v>
      </c>
      <c r="H684" t="b">
        <f t="shared" si="34"/>
        <v>0</v>
      </c>
      <c r="I684" s="29">
        <f t="shared" si="32"/>
        <v>40074</v>
      </c>
    </row>
    <row r="685" spans="1:9" ht="38.25" x14ac:dyDescent="0.2">
      <c r="A685" s="28">
        <v>40074</v>
      </c>
      <c r="B685" s="26" t="s">
        <v>1731</v>
      </c>
      <c r="C685" s="26" t="s">
        <v>2160</v>
      </c>
      <c r="D685" s="35">
        <v>100000000</v>
      </c>
      <c r="E685" s="35">
        <v>124870275</v>
      </c>
      <c r="F685" s="35">
        <v>139525862</v>
      </c>
      <c r="G685" t="b">
        <f t="shared" si="33"/>
        <v>0</v>
      </c>
      <c r="H685" t="b">
        <f t="shared" si="34"/>
        <v>0</v>
      </c>
      <c r="I685" s="29">
        <f t="shared" si="32"/>
        <v>40074</v>
      </c>
    </row>
    <row r="686" spans="1:9" ht="12.75" customHeight="1" x14ac:dyDescent="0.2">
      <c r="A686" s="28">
        <v>40074</v>
      </c>
      <c r="B686" s="26" t="s">
        <v>482</v>
      </c>
      <c r="C686" s="26" t="s">
        <v>647</v>
      </c>
      <c r="D686" s="35" t="s">
        <v>20</v>
      </c>
      <c r="E686" s="35">
        <v>349637</v>
      </c>
      <c r="F686" s="35">
        <v>13753723</v>
      </c>
      <c r="G686" t="b">
        <f t="shared" si="33"/>
        <v>0</v>
      </c>
      <c r="H686" t="b">
        <f t="shared" si="34"/>
        <v>0</v>
      </c>
      <c r="I686" s="29">
        <f t="shared" si="32"/>
        <v>40074</v>
      </c>
    </row>
    <row r="687" spans="1:9" ht="12.75" customHeight="1" x14ac:dyDescent="0.2">
      <c r="A687" s="28">
        <v>40074</v>
      </c>
      <c r="B687" s="26" t="s">
        <v>994</v>
      </c>
      <c r="C687" s="26" t="s">
        <v>9</v>
      </c>
      <c r="D687" s="35" t="s">
        <v>20</v>
      </c>
      <c r="E687" s="35">
        <v>30071</v>
      </c>
      <c r="F687" s="35" t="s">
        <v>20</v>
      </c>
      <c r="G687" t="b">
        <f t="shared" si="33"/>
        <v>0</v>
      </c>
      <c r="H687" t="b">
        <f t="shared" si="34"/>
        <v>0</v>
      </c>
      <c r="I687" s="29">
        <f t="shared" si="32"/>
        <v>40074</v>
      </c>
    </row>
    <row r="688" spans="1:9" ht="12.75" customHeight="1" x14ac:dyDescent="0.2">
      <c r="A688" s="28">
        <v>40074</v>
      </c>
      <c r="B688" s="26" t="s">
        <v>2871</v>
      </c>
      <c r="C688" s="26" t="s">
        <v>384</v>
      </c>
      <c r="D688" s="35">
        <v>16000000</v>
      </c>
      <c r="E688" s="35">
        <v>16204793</v>
      </c>
      <c r="F688" s="35">
        <v>32832166</v>
      </c>
      <c r="G688" t="b">
        <f t="shared" si="33"/>
        <v>0</v>
      </c>
      <c r="H688" t="b">
        <f t="shared" si="34"/>
        <v>0</v>
      </c>
      <c r="I688" s="29">
        <f t="shared" si="32"/>
        <v>40074</v>
      </c>
    </row>
    <row r="689" spans="1:9" ht="25.5" x14ac:dyDescent="0.2">
      <c r="A689" s="28">
        <v>40074</v>
      </c>
      <c r="B689" s="26" t="s">
        <v>1977</v>
      </c>
      <c r="C689" s="26" t="s">
        <v>9</v>
      </c>
      <c r="D689" s="35" t="s">
        <v>20</v>
      </c>
      <c r="E689" s="35" t="s">
        <v>20</v>
      </c>
      <c r="F689" s="35" t="s">
        <v>20</v>
      </c>
      <c r="G689" t="b">
        <f t="shared" si="33"/>
        <v>0</v>
      </c>
      <c r="H689" t="b">
        <f t="shared" si="34"/>
        <v>0</v>
      </c>
      <c r="I689" s="29">
        <f t="shared" si="32"/>
        <v>40074</v>
      </c>
    </row>
    <row r="690" spans="1:9" ht="12.75" customHeight="1" x14ac:dyDescent="0.2">
      <c r="A690" s="28">
        <v>40074</v>
      </c>
      <c r="B690" s="26" t="s">
        <v>2242</v>
      </c>
      <c r="C690" s="26" t="s">
        <v>9</v>
      </c>
      <c r="D690" s="35" t="s">
        <v>20</v>
      </c>
      <c r="E690" s="35">
        <v>177511</v>
      </c>
      <c r="F690" s="35" t="s">
        <v>20</v>
      </c>
      <c r="G690" t="b">
        <f t="shared" si="33"/>
        <v>0</v>
      </c>
      <c r="H690" t="b">
        <f t="shared" si="34"/>
        <v>0</v>
      </c>
      <c r="I690" s="29">
        <f t="shared" si="32"/>
        <v>40074</v>
      </c>
    </row>
    <row r="691" spans="1:9" ht="12.75" customHeight="1" x14ac:dyDescent="0.2">
      <c r="A691" s="28">
        <v>40074</v>
      </c>
      <c r="B691" s="26" t="s">
        <v>1628</v>
      </c>
      <c r="C691" s="26" t="s">
        <v>2860</v>
      </c>
      <c r="D691" s="35">
        <v>8500000</v>
      </c>
      <c r="E691" s="35">
        <v>4444637</v>
      </c>
      <c r="F691" s="35">
        <v>9469105</v>
      </c>
      <c r="G691" t="b">
        <f t="shared" si="33"/>
        <v>0</v>
      </c>
      <c r="H691" t="b">
        <f t="shared" si="34"/>
        <v>0</v>
      </c>
      <c r="I691" s="29">
        <f t="shared" ref="I691:I752" si="35">DATE(2009,MONTH(A691), DAY(A691))</f>
        <v>40074</v>
      </c>
    </row>
    <row r="692" spans="1:9" ht="12.75" customHeight="1" x14ac:dyDescent="0.2">
      <c r="A692" s="28">
        <v>40074</v>
      </c>
      <c r="B692" s="26" t="s">
        <v>2510</v>
      </c>
      <c r="C692" s="26" t="s">
        <v>125</v>
      </c>
      <c r="D692" s="35" t="s">
        <v>20</v>
      </c>
      <c r="E692" s="35">
        <v>69705</v>
      </c>
      <c r="F692" s="35" t="s">
        <v>20</v>
      </c>
      <c r="G692" t="b">
        <f t="shared" si="33"/>
        <v>0</v>
      </c>
      <c r="H692" t="b">
        <f t="shared" si="34"/>
        <v>0</v>
      </c>
      <c r="I692" s="29">
        <f t="shared" si="35"/>
        <v>40074</v>
      </c>
    </row>
    <row r="693" spans="1:9" ht="12.75" customHeight="1" x14ac:dyDescent="0.2">
      <c r="A693" s="28">
        <v>40074</v>
      </c>
      <c r="B693" s="26" t="s">
        <v>3118</v>
      </c>
      <c r="C693" s="26" t="s">
        <v>9</v>
      </c>
      <c r="D693" s="35" t="s">
        <v>20</v>
      </c>
      <c r="E693" s="35">
        <v>200730</v>
      </c>
      <c r="F693" s="35">
        <v>1167092</v>
      </c>
      <c r="G693" t="b">
        <f t="shared" si="33"/>
        <v>0</v>
      </c>
      <c r="H693" t="b">
        <f t="shared" si="34"/>
        <v>0</v>
      </c>
      <c r="I693" s="29">
        <f t="shared" si="35"/>
        <v>40074</v>
      </c>
    </row>
    <row r="694" spans="1:9" ht="12.75" customHeight="1" x14ac:dyDescent="0.2">
      <c r="A694" s="28">
        <v>40074</v>
      </c>
      <c r="B694" s="26" t="s">
        <v>1779</v>
      </c>
      <c r="C694" s="26" t="s">
        <v>9</v>
      </c>
      <c r="D694" s="35" t="s">
        <v>20</v>
      </c>
      <c r="E694" s="35" t="s">
        <v>20</v>
      </c>
      <c r="F694" s="35" t="s">
        <v>20</v>
      </c>
      <c r="G694" t="b">
        <f t="shared" si="33"/>
        <v>0</v>
      </c>
      <c r="H694" t="b">
        <f t="shared" si="34"/>
        <v>0</v>
      </c>
      <c r="I694" s="29">
        <f t="shared" si="35"/>
        <v>40074</v>
      </c>
    </row>
    <row r="695" spans="1:9" ht="12.75" customHeight="1" x14ac:dyDescent="0.2">
      <c r="A695" s="28">
        <v>40074</v>
      </c>
      <c r="B695" s="26" t="s">
        <v>1290</v>
      </c>
      <c r="C695" s="26" t="s">
        <v>3096</v>
      </c>
      <c r="D695" s="35">
        <v>18000000</v>
      </c>
      <c r="E695" s="35">
        <v>22965110</v>
      </c>
      <c r="F695" s="35">
        <v>30206355</v>
      </c>
      <c r="G695" t="b">
        <f t="shared" si="33"/>
        <v>0</v>
      </c>
      <c r="H695" t="b">
        <f t="shared" si="34"/>
        <v>0</v>
      </c>
      <c r="I695" s="29">
        <f t="shared" si="35"/>
        <v>40074</v>
      </c>
    </row>
    <row r="696" spans="1:9" ht="25.5" x14ac:dyDescent="0.2">
      <c r="A696" s="28">
        <v>40074</v>
      </c>
      <c r="B696" s="26" t="s">
        <v>2130</v>
      </c>
      <c r="C696" s="26" t="s">
        <v>9</v>
      </c>
      <c r="D696" s="35" t="s">
        <v>20</v>
      </c>
      <c r="E696" s="35">
        <v>1355079</v>
      </c>
      <c r="F696" s="35" t="s">
        <v>20</v>
      </c>
      <c r="G696" t="b">
        <f t="shared" si="33"/>
        <v>0</v>
      </c>
      <c r="H696" t="b">
        <f t="shared" si="34"/>
        <v>0</v>
      </c>
      <c r="I696" s="29">
        <f t="shared" si="35"/>
        <v>40074</v>
      </c>
    </row>
    <row r="697" spans="1:9" ht="12.75" customHeight="1" x14ac:dyDescent="0.2">
      <c r="A697" s="28">
        <v>40074</v>
      </c>
      <c r="B697" s="26" t="s">
        <v>3206</v>
      </c>
      <c r="C697" s="26" t="s">
        <v>3209</v>
      </c>
      <c r="D697" s="35">
        <v>22000000</v>
      </c>
      <c r="E697" s="35">
        <v>33316821</v>
      </c>
      <c r="F697" s="35">
        <v>41771168</v>
      </c>
      <c r="G697" t="b">
        <f t="shared" si="33"/>
        <v>0</v>
      </c>
      <c r="H697" t="b">
        <f t="shared" si="34"/>
        <v>0</v>
      </c>
      <c r="I697" s="29">
        <f t="shared" si="35"/>
        <v>40074</v>
      </c>
    </row>
    <row r="698" spans="1:9" x14ac:dyDescent="0.2">
      <c r="A698" s="28">
        <v>40074</v>
      </c>
      <c r="B698" s="26" t="s">
        <v>1963</v>
      </c>
      <c r="C698" s="26" t="s">
        <v>1561</v>
      </c>
      <c r="D698" s="35" t="s">
        <v>20</v>
      </c>
      <c r="E698" s="35">
        <v>3244</v>
      </c>
      <c r="F698" s="35" t="s">
        <v>20</v>
      </c>
      <c r="G698" t="b">
        <f t="shared" ref="G698:G759" si="36">ISBLANK(A698)</f>
        <v>0</v>
      </c>
      <c r="H698" t="b">
        <f t="shared" ref="H698:H759" si="37">ISTEXT(A698)</f>
        <v>0</v>
      </c>
      <c r="I698" s="29">
        <f t="shared" si="35"/>
        <v>40074</v>
      </c>
    </row>
    <row r="699" spans="1:9" ht="12.75" customHeight="1" x14ac:dyDescent="0.2">
      <c r="A699" s="28">
        <v>40074</v>
      </c>
      <c r="B699" s="26" t="s">
        <v>2710</v>
      </c>
      <c r="C699" s="26" t="s">
        <v>2161</v>
      </c>
      <c r="D699" s="35" t="s">
        <v>20</v>
      </c>
      <c r="E699" s="35">
        <v>351457</v>
      </c>
      <c r="F699" s="35">
        <v>6296020</v>
      </c>
      <c r="G699" t="b">
        <f t="shared" si="36"/>
        <v>0</v>
      </c>
      <c r="H699" t="b">
        <f t="shared" si="37"/>
        <v>0</v>
      </c>
      <c r="I699" s="29">
        <f t="shared" si="35"/>
        <v>40074</v>
      </c>
    </row>
    <row r="700" spans="1:9" ht="12.75" customHeight="1" x14ac:dyDescent="0.2">
      <c r="A700" s="28">
        <v>40075</v>
      </c>
      <c r="B700" s="26" t="s">
        <v>1893</v>
      </c>
      <c r="C700" s="26" t="s">
        <v>9</v>
      </c>
      <c r="D700" s="35" t="s">
        <v>20</v>
      </c>
      <c r="E700" s="35" t="s">
        <v>20</v>
      </c>
      <c r="F700" s="35" t="s">
        <v>20</v>
      </c>
      <c r="G700" t="b">
        <f t="shared" si="36"/>
        <v>0</v>
      </c>
      <c r="H700" t="b">
        <f t="shared" si="37"/>
        <v>0</v>
      </c>
      <c r="I700" s="29">
        <f t="shared" si="35"/>
        <v>40075</v>
      </c>
    </row>
    <row r="701" spans="1:9" ht="25.5" x14ac:dyDescent="0.2">
      <c r="A701" s="28">
        <v>40077</v>
      </c>
      <c r="B701" s="26" t="s">
        <v>1263</v>
      </c>
      <c r="C701" s="26" t="s">
        <v>9</v>
      </c>
      <c r="D701" s="35" t="s">
        <v>20</v>
      </c>
      <c r="E701" s="35" t="s">
        <v>20</v>
      </c>
      <c r="F701" s="35" t="s">
        <v>20</v>
      </c>
      <c r="G701" t="b">
        <f t="shared" si="36"/>
        <v>0</v>
      </c>
      <c r="H701" t="b">
        <f t="shared" si="37"/>
        <v>0</v>
      </c>
      <c r="I701" s="29">
        <f t="shared" si="35"/>
        <v>40077</v>
      </c>
    </row>
    <row r="702" spans="1:9" ht="12.75" customHeight="1" x14ac:dyDescent="0.2">
      <c r="A702" s="28">
        <v>40077</v>
      </c>
      <c r="B702" s="26" t="s">
        <v>2819</v>
      </c>
      <c r="C702" s="26" t="s">
        <v>9</v>
      </c>
      <c r="D702" s="35" t="s">
        <v>20</v>
      </c>
      <c r="E702" s="35" t="s">
        <v>20</v>
      </c>
      <c r="F702" s="35" t="s">
        <v>20</v>
      </c>
      <c r="G702" t="b">
        <f t="shared" si="36"/>
        <v>0</v>
      </c>
      <c r="H702" t="b">
        <f t="shared" si="37"/>
        <v>0</v>
      </c>
      <c r="I702" s="29">
        <f t="shared" si="35"/>
        <v>40077</v>
      </c>
    </row>
    <row r="703" spans="1:9" ht="12.75" customHeight="1" x14ac:dyDescent="0.2">
      <c r="A703" s="28">
        <v>40078</v>
      </c>
      <c r="B703" s="26" t="s">
        <v>1277</v>
      </c>
      <c r="C703" s="26" t="s">
        <v>9</v>
      </c>
      <c r="D703" s="35" t="s">
        <v>20</v>
      </c>
      <c r="E703" s="35" t="s">
        <v>20</v>
      </c>
      <c r="F703" s="35" t="s">
        <v>20</v>
      </c>
      <c r="G703" t="b">
        <f t="shared" si="36"/>
        <v>0</v>
      </c>
      <c r="H703" t="b">
        <f t="shared" si="37"/>
        <v>0</v>
      </c>
      <c r="I703" s="29">
        <f t="shared" si="35"/>
        <v>40078</v>
      </c>
    </row>
    <row r="704" spans="1:9" ht="51" x14ac:dyDescent="0.2">
      <c r="A704" s="28">
        <v>40078</v>
      </c>
      <c r="B704" s="26" t="s">
        <v>3211</v>
      </c>
      <c r="C704" s="26" t="s">
        <v>9</v>
      </c>
      <c r="D704" s="35" t="s">
        <v>20</v>
      </c>
      <c r="E704" s="35" t="s">
        <v>20</v>
      </c>
      <c r="F704" s="35" t="s">
        <v>20</v>
      </c>
      <c r="G704" t="b">
        <f t="shared" si="36"/>
        <v>0</v>
      </c>
      <c r="H704" t="b">
        <f t="shared" si="37"/>
        <v>0</v>
      </c>
      <c r="I704" s="29">
        <f t="shared" si="35"/>
        <v>40078</v>
      </c>
    </row>
    <row r="705" spans="1:9" ht="12.75" customHeight="1" x14ac:dyDescent="0.2">
      <c r="A705" s="28">
        <v>40078</v>
      </c>
      <c r="B705" s="26" t="s">
        <v>845</v>
      </c>
      <c r="C705" s="26" t="s">
        <v>9</v>
      </c>
      <c r="D705" s="35" t="s">
        <v>20</v>
      </c>
      <c r="E705" s="35" t="s">
        <v>20</v>
      </c>
      <c r="F705" s="35" t="s">
        <v>20</v>
      </c>
      <c r="G705" t="b">
        <f t="shared" si="36"/>
        <v>0</v>
      </c>
      <c r="H705" t="b">
        <f t="shared" si="37"/>
        <v>0</v>
      </c>
      <c r="I705" s="29">
        <f t="shared" si="35"/>
        <v>40078</v>
      </c>
    </row>
    <row r="706" spans="1:9" ht="12.75" customHeight="1" x14ac:dyDescent="0.2">
      <c r="A706" s="28">
        <v>40078</v>
      </c>
      <c r="B706" s="26" t="s">
        <v>3449</v>
      </c>
      <c r="C706" s="26" t="s">
        <v>9</v>
      </c>
      <c r="D706" s="35" t="s">
        <v>20</v>
      </c>
      <c r="E706" s="35" t="s">
        <v>20</v>
      </c>
      <c r="F706" s="35" t="s">
        <v>20</v>
      </c>
      <c r="G706" t="b">
        <f t="shared" si="36"/>
        <v>0</v>
      </c>
      <c r="H706" t="b">
        <f t="shared" si="37"/>
        <v>0</v>
      </c>
      <c r="I706" s="29">
        <f t="shared" si="35"/>
        <v>40078</v>
      </c>
    </row>
    <row r="707" spans="1:9" ht="38.25" x14ac:dyDescent="0.2">
      <c r="A707" s="28">
        <v>40078</v>
      </c>
      <c r="B707" s="26" t="s">
        <v>2664</v>
      </c>
      <c r="C707" s="26" t="s">
        <v>9</v>
      </c>
      <c r="D707" s="35" t="s">
        <v>20</v>
      </c>
      <c r="E707" s="35" t="s">
        <v>20</v>
      </c>
      <c r="F707" s="35" t="s">
        <v>20</v>
      </c>
      <c r="G707" t="b">
        <f t="shared" si="36"/>
        <v>0</v>
      </c>
      <c r="H707" t="b">
        <f t="shared" si="37"/>
        <v>0</v>
      </c>
      <c r="I707" s="29">
        <f t="shared" si="35"/>
        <v>40078</v>
      </c>
    </row>
    <row r="708" spans="1:9" ht="25.5" x14ac:dyDescent="0.2">
      <c r="A708" s="28">
        <v>40078</v>
      </c>
      <c r="B708" s="26" t="s">
        <v>1086</v>
      </c>
      <c r="C708" s="26" t="s">
        <v>9</v>
      </c>
      <c r="D708" s="35" t="s">
        <v>20</v>
      </c>
      <c r="E708" s="35" t="s">
        <v>20</v>
      </c>
      <c r="F708" s="35" t="s">
        <v>20</v>
      </c>
      <c r="G708" t="b">
        <f t="shared" si="36"/>
        <v>0</v>
      </c>
      <c r="H708" t="b">
        <f t="shared" si="37"/>
        <v>0</v>
      </c>
      <c r="I708" s="29">
        <f t="shared" si="35"/>
        <v>40078</v>
      </c>
    </row>
    <row r="709" spans="1:9" ht="25.5" x14ac:dyDescent="0.2">
      <c r="A709" s="28">
        <v>40079</v>
      </c>
      <c r="B709" s="26" t="s">
        <v>862</v>
      </c>
      <c r="C709" s="26" t="s">
        <v>980</v>
      </c>
      <c r="D709" s="35">
        <v>20000000</v>
      </c>
      <c r="E709" s="35">
        <v>14363397</v>
      </c>
      <c r="F709" s="35">
        <v>14678228</v>
      </c>
      <c r="G709" t="b">
        <f t="shared" si="36"/>
        <v>0</v>
      </c>
      <c r="H709" t="b">
        <f t="shared" si="37"/>
        <v>0</v>
      </c>
      <c r="I709" s="29">
        <f t="shared" si="35"/>
        <v>40079</v>
      </c>
    </row>
    <row r="710" spans="1:9" ht="25.5" x14ac:dyDescent="0.2">
      <c r="A710" s="28">
        <v>40080</v>
      </c>
      <c r="B710" s="26" t="s">
        <v>2545</v>
      </c>
      <c r="C710" s="26" t="s">
        <v>9</v>
      </c>
      <c r="D710" s="35" t="s">
        <v>20</v>
      </c>
      <c r="E710" s="35" t="s">
        <v>20</v>
      </c>
      <c r="F710" s="35">
        <v>2786388</v>
      </c>
      <c r="G710" t="b">
        <f t="shared" si="36"/>
        <v>0</v>
      </c>
      <c r="H710" t="b">
        <f t="shared" si="37"/>
        <v>0</v>
      </c>
      <c r="I710" s="29">
        <f t="shared" si="35"/>
        <v>40080</v>
      </c>
    </row>
    <row r="711" spans="1:9" ht="12.75" customHeight="1" x14ac:dyDescent="0.2">
      <c r="A711" s="28">
        <v>40080</v>
      </c>
      <c r="B711" s="26" t="s">
        <v>1354</v>
      </c>
      <c r="C711" s="26" t="s">
        <v>9</v>
      </c>
      <c r="D711" s="35" t="s">
        <v>20</v>
      </c>
      <c r="E711" s="35" t="s">
        <v>20</v>
      </c>
      <c r="F711" s="35">
        <v>11701551</v>
      </c>
      <c r="G711" t="b">
        <f t="shared" si="36"/>
        <v>0</v>
      </c>
      <c r="H711" t="b">
        <f t="shared" si="37"/>
        <v>0</v>
      </c>
      <c r="I711" s="29">
        <f t="shared" si="35"/>
        <v>40080</v>
      </c>
    </row>
    <row r="712" spans="1:9" ht="12.75" customHeight="1" x14ac:dyDescent="0.2">
      <c r="A712" s="28">
        <v>40080</v>
      </c>
      <c r="B712" s="26" t="s">
        <v>3148</v>
      </c>
      <c r="C712" s="26" t="s">
        <v>9</v>
      </c>
      <c r="D712" s="35" t="s">
        <v>20</v>
      </c>
      <c r="E712" s="35" t="s">
        <v>20</v>
      </c>
      <c r="F712" s="35" t="s">
        <v>20</v>
      </c>
      <c r="G712" t="b">
        <f t="shared" si="36"/>
        <v>0</v>
      </c>
      <c r="H712" t="b">
        <f t="shared" si="37"/>
        <v>0</v>
      </c>
      <c r="I712" s="29">
        <f t="shared" si="35"/>
        <v>40080</v>
      </c>
    </row>
    <row r="713" spans="1:9" ht="12.75" customHeight="1" x14ac:dyDescent="0.2">
      <c r="A713" s="28">
        <v>40080</v>
      </c>
      <c r="B713" s="26" t="s">
        <v>2586</v>
      </c>
      <c r="C713" s="26" t="s">
        <v>9</v>
      </c>
      <c r="D713" s="35" t="s">
        <v>20</v>
      </c>
      <c r="E713" s="35" t="s">
        <v>20</v>
      </c>
      <c r="F713" s="35">
        <v>10042267</v>
      </c>
      <c r="G713" t="b">
        <f t="shared" si="36"/>
        <v>0</v>
      </c>
      <c r="H713" t="b">
        <f t="shared" si="37"/>
        <v>0</v>
      </c>
      <c r="I713" s="29">
        <f t="shared" si="35"/>
        <v>40080</v>
      </c>
    </row>
    <row r="714" spans="1:9" ht="25.5" x14ac:dyDescent="0.2">
      <c r="A714" s="28">
        <v>40080</v>
      </c>
      <c r="B714" s="26" t="s">
        <v>776</v>
      </c>
      <c r="C714" s="26" t="s">
        <v>9</v>
      </c>
      <c r="D714" s="35" t="s">
        <v>20</v>
      </c>
      <c r="E714" s="35" t="s">
        <v>20</v>
      </c>
      <c r="F714" s="35" t="s">
        <v>20</v>
      </c>
      <c r="G714" t="b">
        <f t="shared" si="36"/>
        <v>0</v>
      </c>
      <c r="H714" t="b">
        <f t="shared" si="37"/>
        <v>0</v>
      </c>
      <c r="I714" s="29">
        <f t="shared" si="35"/>
        <v>40080</v>
      </c>
    </row>
    <row r="715" spans="1:9" ht="25.5" x14ac:dyDescent="0.2">
      <c r="A715" s="28">
        <v>40081</v>
      </c>
      <c r="B715" s="26" t="s">
        <v>909</v>
      </c>
      <c r="C715" s="26" t="s">
        <v>9</v>
      </c>
      <c r="D715" s="35" t="s">
        <v>20</v>
      </c>
      <c r="E715" s="35">
        <v>257868</v>
      </c>
      <c r="F715" s="35">
        <v>2232500</v>
      </c>
      <c r="G715" t="b">
        <f t="shared" si="36"/>
        <v>0</v>
      </c>
      <c r="H715" t="b">
        <f t="shared" si="37"/>
        <v>0</v>
      </c>
      <c r="I715" s="29">
        <f t="shared" si="35"/>
        <v>40081</v>
      </c>
    </row>
    <row r="716" spans="1:9" ht="25.5" x14ac:dyDescent="0.2">
      <c r="A716" s="28">
        <v>40081</v>
      </c>
      <c r="B716" s="26" t="s">
        <v>73</v>
      </c>
      <c r="C716" s="26" t="s">
        <v>1503</v>
      </c>
      <c r="D716" s="35" t="s">
        <v>20</v>
      </c>
      <c r="E716" s="35">
        <v>1429299</v>
      </c>
      <c r="F716" s="35" t="s">
        <v>20</v>
      </c>
      <c r="G716" t="b">
        <f t="shared" si="36"/>
        <v>0</v>
      </c>
      <c r="H716" t="b">
        <f t="shared" si="37"/>
        <v>0</v>
      </c>
      <c r="I716" s="29">
        <f t="shared" si="35"/>
        <v>40081</v>
      </c>
    </row>
    <row r="717" spans="1:9" ht="25.5" x14ac:dyDescent="0.2">
      <c r="A717" s="28">
        <v>40081</v>
      </c>
      <c r="B717" s="26" t="s">
        <v>2412</v>
      </c>
      <c r="C717" s="26" t="s">
        <v>9</v>
      </c>
      <c r="D717" s="35">
        <v>15000</v>
      </c>
      <c r="E717" s="35">
        <v>107918810</v>
      </c>
      <c r="F717" s="35">
        <v>196681656</v>
      </c>
      <c r="G717" t="b">
        <f t="shared" si="36"/>
        <v>0</v>
      </c>
      <c r="H717" t="b">
        <f t="shared" si="37"/>
        <v>0</v>
      </c>
      <c r="I717" s="29">
        <f t="shared" si="35"/>
        <v>40081</v>
      </c>
    </row>
    <row r="718" spans="1:9" ht="38.25" x14ac:dyDescent="0.2">
      <c r="A718" s="28">
        <v>40081</v>
      </c>
      <c r="B718" s="26" t="s">
        <v>2300</v>
      </c>
      <c r="C718" s="26" t="s">
        <v>9</v>
      </c>
      <c r="D718" s="35" t="s">
        <v>20</v>
      </c>
      <c r="E718" s="35">
        <v>3012677</v>
      </c>
      <c r="F718" s="35" t="s">
        <v>20</v>
      </c>
      <c r="G718" t="b">
        <f t="shared" si="36"/>
        <v>0</v>
      </c>
      <c r="H718" t="b">
        <f t="shared" si="37"/>
        <v>0</v>
      </c>
      <c r="I718" s="29">
        <f t="shared" si="35"/>
        <v>40081</v>
      </c>
    </row>
    <row r="719" spans="1:9" ht="12.75" customHeight="1" x14ac:dyDescent="0.2">
      <c r="A719" s="28">
        <v>40081</v>
      </c>
      <c r="B719" s="26" t="s">
        <v>1539</v>
      </c>
      <c r="C719" s="26" t="s">
        <v>9</v>
      </c>
      <c r="D719" s="35" t="s">
        <v>20</v>
      </c>
      <c r="E719" s="35" t="s">
        <v>20</v>
      </c>
      <c r="F719" s="35">
        <v>14924887</v>
      </c>
      <c r="G719" t="b">
        <f t="shared" si="36"/>
        <v>0</v>
      </c>
      <c r="H719" t="b">
        <f t="shared" si="37"/>
        <v>0</v>
      </c>
      <c r="I719" s="29">
        <f t="shared" si="35"/>
        <v>40081</v>
      </c>
    </row>
    <row r="720" spans="1:9" ht="25.5" x14ac:dyDescent="0.2">
      <c r="A720" s="28">
        <v>40081</v>
      </c>
      <c r="B720" s="26" t="s">
        <v>3042</v>
      </c>
      <c r="C720" s="26" t="s">
        <v>9</v>
      </c>
      <c r="D720" s="35" t="s">
        <v>20</v>
      </c>
      <c r="E720" s="35">
        <v>62500</v>
      </c>
      <c r="F720" s="35" t="s">
        <v>20</v>
      </c>
      <c r="G720" t="b">
        <f t="shared" si="36"/>
        <v>0</v>
      </c>
      <c r="H720" t="b">
        <f t="shared" si="37"/>
        <v>0</v>
      </c>
      <c r="I720" s="29">
        <f t="shared" si="35"/>
        <v>40081</v>
      </c>
    </row>
    <row r="721" spans="1:9" ht="12.75" customHeight="1" x14ac:dyDescent="0.2">
      <c r="A721" s="28">
        <v>40081</v>
      </c>
      <c r="B721" s="26" t="s">
        <v>1713</v>
      </c>
      <c r="C721" s="26" t="s">
        <v>2779</v>
      </c>
      <c r="D721" s="35">
        <v>18000000</v>
      </c>
      <c r="E721" s="35">
        <v>22455510</v>
      </c>
      <c r="F721" s="35">
        <v>77956957</v>
      </c>
      <c r="G721" t="b">
        <f t="shared" si="36"/>
        <v>0</v>
      </c>
      <c r="H721" t="b">
        <f t="shared" si="37"/>
        <v>0</v>
      </c>
      <c r="I721" s="29">
        <f t="shared" si="35"/>
        <v>40081</v>
      </c>
    </row>
    <row r="722" spans="1:9" ht="12.75" customHeight="1" x14ac:dyDescent="0.2">
      <c r="A722" s="28">
        <v>40081</v>
      </c>
      <c r="B722" s="26" t="s">
        <v>1677</v>
      </c>
      <c r="C722" s="26" t="s">
        <v>9</v>
      </c>
      <c r="D722" s="35" t="s">
        <v>20</v>
      </c>
      <c r="E722" s="35">
        <v>8449</v>
      </c>
      <c r="F722" s="35" t="s">
        <v>20</v>
      </c>
      <c r="G722" t="b">
        <f t="shared" si="36"/>
        <v>0</v>
      </c>
      <c r="H722" t="b">
        <f t="shared" si="37"/>
        <v>0</v>
      </c>
      <c r="I722" s="29">
        <f t="shared" si="35"/>
        <v>40081</v>
      </c>
    </row>
    <row r="723" spans="1:9" x14ac:dyDescent="0.2">
      <c r="A723" s="28">
        <v>40081</v>
      </c>
      <c r="B723" s="26" t="s">
        <v>35</v>
      </c>
      <c r="C723" s="26" t="s">
        <v>1095</v>
      </c>
      <c r="D723" s="35" t="s">
        <v>20</v>
      </c>
      <c r="E723" s="35">
        <v>79340</v>
      </c>
      <c r="F723" s="35" t="s">
        <v>20</v>
      </c>
      <c r="G723" t="b">
        <f t="shared" si="36"/>
        <v>0</v>
      </c>
      <c r="H723" t="b">
        <f t="shared" si="37"/>
        <v>0</v>
      </c>
      <c r="I723" s="29">
        <f t="shared" si="35"/>
        <v>40081</v>
      </c>
    </row>
    <row r="724" spans="1:9" ht="25.5" x14ac:dyDescent="0.2">
      <c r="A724" s="28">
        <v>40081</v>
      </c>
      <c r="B724" s="26" t="s">
        <v>3332</v>
      </c>
      <c r="C724" s="26" t="s">
        <v>3218</v>
      </c>
      <c r="D724" s="35" t="s">
        <v>20</v>
      </c>
      <c r="E724" s="35">
        <v>809752</v>
      </c>
      <c r="F724" s="35" t="s">
        <v>20</v>
      </c>
      <c r="G724" t="b">
        <f t="shared" si="36"/>
        <v>0</v>
      </c>
      <c r="H724" t="b">
        <f t="shared" si="37"/>
        <v>0</v>
      </c>
      <c r="I724" s="29">
        <f t="shared" si="35"/>
        <v>40081</v>
      </c>
    </row>
    <row r="725" spans="1:9" ht="25.5" x14ac:dyDescent="0.2">
      <c r="A725" s="28">
        <v>40081</v>
      </c>
      <c r="B725" s="26" t="s">
        <v>84</v>
      </c>
      <c r="C725" s="26" t="s">
        <v>9</v>
      </c>
      <c r="D725" s="35" t="s">
        <v>20</v>
      </c>
      <c r="E725" s="35">
        <v>33745</v>
      </c>
      <c r="F725" s="35" t="s">
        <v>20</v>
      </c>
      <c r="G725" t="b">
        <f t="shared" si="36"/>
        <v>0</v>
      </c>
      <c r="H725" t="b">
        <f t="shared" si="37"/>
        <v>0</v>
      </c>
      <c r="I725" s="29">
        <f t="shared" si="35"/>
        <v>40081</v>
      </c>
    </row>
    <row r="726" spans="1:9" ht="12.75" customHeight="1" x14ac:dyDescent="0.2">
      <c r="A726" s="28">
        <v>40081</v>
      </c>
      <c r="B726" s="26" t="s">
        <v>3387</v>
      </c>
      <c r="C726" s="26" t="s">
        <v>3390</v>
      </c>
      <c r="D726" s="35">
        <v>80000000</v>
      </c>
      <c r="E726" s="35">
        <v>38577772</v>
      </c>
      <c r="F726" s="35">
        <v>119668350</v>
      </c>
      <c r="G726" t="b">
        <f t="shared" si="36"/>
        <v>0</v>
      </c>
      <c r="H726" t="b">
        <f t="shared" si="37"/>
        <v>0</v>
      </c>
      <c r="I726" s="29">
        <f t="shared" si="35"/>
        <v>40081</v>
      </c>
    </row>
    <row r="727" spans="1:9" ht="12.75" customHeight="1" x14ac:dyDescent="0.2">
      <c r="A727" s="28">
        <v>40081</v>
      </c>
      <c r="B727" s="26" t="s">
        <v>579</v>
      </c>
      <c r="C727" s="26" t="s">
        <v>9</v>
      </c>
      <c r="D727" s="35">
        <v>40000000</v>
      </c>
      <c r="E727" s="35">
        <v>10330853</v>
      </c>
      <c r="F727" s="35">
        <v>17033431</v>
      </c>
      <c r="G727" t="b">
        <f t="shared" si="36"/>
        <v>0</v>
      </c>
      <c r="H727" t="b">
        <f t="shared" si="37"/>
        <v>0</v>
      </c>
      <c r="I727" s="29">
        <f t="shared" si="35"/>
        <v>40081</v>
      </c>
    </row>
    <row r="728" spans="1:9" x14ac:dyDescent="0.2">
      <c r="A728" s="28">
        <v>40081</v>
      </c>
      <c r="B728" s="26" t="s">
        <v>374</v>
      </c>
      <c r="C728" s="26" t="s">
        <v>612</v>
      </c>
      <c r="D728" s="35">
        <v>23000000</v>
      </c>
      <c r="E728" s="35">
        <v>6113834</v>
      </c>
      <c r="F728" s="35">
        <v>48846765</v>
      </c>
      <c r="G728" t="b">
        <f t="shared" si="36"/>
        <v>0</v>
      </c>
      <c r="H728" t="b">
        <f t="shared" si="37"/>
        <v>0</v>
      </c>
      <c r="I728" s="29">
        <f t="shared" si="35"/>
        <v>40081</v>
      </c>
    </row>
    <row r="729" spans="1:9" ht="25.5" x14ac:dyDescent="0.2">
      <c r="A729" s="28">
        <v>40081</v>
      </c>
      <c r="B729" s="26" t="s">
        <v>2742</v>
      </c>
      <c r="C729" s="26" t="s">
        <v>2775</v>
      </c>
      <c r="D729" s="35" t="s">
        <v>20</v>
      </c>
      <c r="E729" s="35">
        <v>2762</v>
      </c>
      <c r="F729" s="35" t="s">
        <v>20</v>
      </c>
      <c r="G729" t="b">
        <f t="shared" si="36"/>
        <v>0</v>
      </c>
      <c r="H729" t="b">
        <f t="shared" si="37"/>
        <v>0</v>
      </c>
      <c r="I729" s="29">
        <f t="shared" si="35"/>
        <v>40081</v>
      </c>
    </row>
    <row r="730" spans="1:9" ht="38.25" x14ac:dyDescent="0.2">
      <c r="A730" s="28">
        <v>40085</v>
      </c>
      <c r="B730" s="26" t="s">
        <v>3425</v>
      </c>
      <c r="C730" s="26" t="s">
        <v>9</v>
      </c>
      <c r="D730" s="35" t="s">
        <v>20</v>
      </c>
      <c r="E730" s="35" t="s">
        <v>20</v>
      </c>
      <c r="F730" s="35" t="s">
        <v>20</v>
      </c>
      <c r="G730" t="b">
        <f t="shared" si="36"/>
        <v>0</v>
      </c>
      <c r="H730" t="b">
        <f t="shared" si="37"/>
        <v>0</v>
      </c>
      <c r="I730" s="29">
        <f t="shared" si="35"/>
        <v>40085</v>
      </c>
    </row>
    <row r="731" spans="1:9" ht="25.5" x14ac:dyDescent="0.2">
      <c r="A731" s="28">
        <v>40085</v>
      </c>
      <c r="B731" s="26" t="s">
        <v>2002</v>
      </c>
      <c r="C731" s="26" t="s">
        <v>9</v>
      </c>
      <c r="D731" s="35" t="s">
        <v>20</v>
      </c>
      <c r="E731" s="35" t="s">
        <v>20</v>
      </c>
      <c r="F731" s="35" t="s">
        <v>20</v>
      </c>
      <c r="G731" t="b">
        <f t="shared" si="36"/>
        <v>0</v>
      </c>
      <c r="H731" t="b">
        <f t="shared" si="37"/>
        <v>0</v>
      </c>
      <c r="I731" s="29">
        <f t="shared" si="35"/>
        <v>40085</v>
      </c>
    </row>
    <row r="732" spans="1:9" ht="12.75" customHeight="1" x14ac:dyDescent="0.2">
      <c r="A732" s="28">
        <v>40085</v>
      </c>
      <c r="B732" s="26" t="s">
        <v>2623</v>
      </c>
      <c r="C732" s="26" t="s">
        <v>9</v>
      </c>
      <c r="D732" s="35" t="s">
        <v>20</v>
      </c>
      <c r="E732" s="35" t="s">
        <v>20</v>
      </c>
      <c r="F732" s="35" t="s">
        <v>20</v>
      </c>
      <c r="G732" t="b">
        <f t="shared" si="36"/>
        <v>0</v>
      </c>
      <c r="H732" t="b">
        <f t="shared" si="37"/>
        <v>0</v>
      </c>
      <c r="I732" s="29">
        <f t="shared" si="35"/>
        <v>40085</v>
      </c>
    </row>
    <row r="733" spans="1:9" ht="25.5" x14ac:dyDescent="0.2">
      <c r="A733" s="28">
        <v>40085</v>
      </c>
      <c r="B733" s="26" t="s">
        <v>2273</v>
      </c>
      <c r="C733" s="26" t="s">
        <v>9</v>
      </c>
      <c r="D733" s="35" t="s">
        <v>20</v>
      </c>
      <c r="E733" s="35" t="s">
        <v>20</v>
      </c>
      <c r="F733" s="35" t="s">
        <v>20</v>
      </c>
      <c r="G733" t="b">
        <f t="shared" si="36"/>
        <v>0</v>
      </c>
      <c r="H733" t="b">
        <f t="shared" si="37"/>
        <v>0</v>
      </c>
      <c r="I733" s="29">
        <f t="shared" si="35"/>
        <v>40085</v>
      </c>
    </row>
    <row r="734" spans="1:9" ht="12.75" customHeight="1" x14ac:dyDescent="0.2">
      <c r="A734" s="28">
        <v>40085</v>
      </c>
      <c r="B734" s="26" t="s">
        <v>2455</v>
      </c>
      <c r="C734" s="26" t="s">
        <v>9</v>
      </c>
      <c r="D734" s="35" t="s">
        <v>20</v>
      </c>
      <c r="E734" s="35" t="s">
        <v>20</v>
      </c>
      <c r="F734" s="35" t="s">
        <v>20</v>
      </c>
      <c r="G734" t="b">
        <f t="shared" si="36"/>
        <v>0</v>
      </c>
      <c r="H734" t="b">
        <f t="shared" si="37"/>
        <v>0</v>
      </c>
      <c r="I734" s="29">
        <f t="shared" si="35"/>
        <v>40085</v>
      </c>
    </row>
    <row r="735" spans="1:9" ht="12.75" customHeight="1" x14ac:dyDescent="0.2">
      <c r="A735" s="28">
        <v>40085</v>
      </c>
      <c r="B735" s="26" t="s">
        <v>1465</v>
      </c>
      <c r="C735" s="26" t="s">
        <v>9</v>
      </c>
      <c r="D735" s="35" t="s">
        <v>20</v>
      </c>
      <c r="E735" s="35" t="s">
        <v>20</v>
      </c>
      <c r="F735" s="35" t="s">
        <v>20</v>
      </c>
      <c r="G735" t="b">
        <f t="shared" si="36"/>
        <v>0</v>
      </c>
      <c r="H735" t="b">
        <f t="shared" si="37"/>
        <v>0</v>
      </c>
      <c r="I735" s="29">
        <f t="shared" si="35"/>
        <v>40085</v>
      </c>
    </row>
    <row r="736" spans="1:9" ht="25.5" x14ac:dyDescent="0.2">
      <c r="A736" s="28">
        <v>40085</v>
      </c>
      <c r="B736" s="26" t="s">
        <v>1410</v>
      </c>
      <c r="C736" s="26" t="s">
        <v>9</v>
      </c>
      <c r="D736" s="35" t="s">
        <v>20</v>
      </c>
      <c r="E736" s="35" t="s">
        <v>20</v>
      </c>
      <c r="F736" s="35" t="s">
        <v>20</v>
      </c>
      <c r="G736" t="b">
        <f t="shared" si="36"/>
        <v>0</v>
      </c>
      <c r="H736" t="b">
        <f t="shared" si="37"/>
        <v>0</v>
      </c>
      <c r="I736" s="29">
        <f t="shared" si="35"/>
        <v>40085</v>
      </c>
    </row>
    <row r="737" spans="1:9" ht="25.5" x14ac:dyDescent="0.2">
      <c r="A737" s="28">
        <v>40087</v>
      </c>
      <c r="B737" s="26" t="s">
        <v>1411</v>
      </c>
      <c r="C737" s="26" t="s">
        <v>9</v>
      </c>
      <c r="D737" s="35" t="s">
        <v>20</v>
      </c>
      <c r="E737" s="35" t="s">
        <v>20</v>
      </c>
      <c r="F737" s="35" t="s">
        <v>20</v>
      </c>
      <c r="G737" t="b">
        <f t="shared" si="36"/>
        <v>0</v>
      </c>
      <c r="H737" t="b">
        <f t="shared" si="37"/>
        <v>0</v>
      </c>
      <c r="I737" s="29">
        <f t="shared" si="35"/>
        <v>40087</v>
      </c>
    </row>
    <row r="738" spans="1:9" ht="25.5" x14ac:dyDescent="0.2">
      <c r="A738" s="28">
        <v>40088</v>
      </c>
      <c r="B738" s="26" t="s">
        <v>1204</v>
      </c>
      <c r="C738" s="26" t="s">
        <v>2393</v>
      </c>
      <c r="D738" s="35" t="s">
        <v>20</v>
      </c>
      <c r="E738" s="35">
        <v>718766</v>
      </c>
      <c r="F738" s="35">
        <v>7691919</v>
      </c>
      <c r="G738" t="b">
        <f t="shared" si="36"/>
        <v>0</v>
      </c>
      <c r="H738" t="b">
        <f t="shared" si="37"/>
        <v>0</v>
      </c>
      <c r="I738" s="29">
        <f t="shared" si="35"/>
        <v>40088</v>
      </c>
    </row>
    <row r="739" spans="1:9" ht="12.75" customHeight="1" x14ac:dyDescent="0.2">
      <c r="A739" s="28">
        <v>40088</v>
      </c>
      <c r="B739" s="26" t="s">
        <v>47</v>
      </c>
      <c r="C739" s="26" t="s">
        <v>9</v>
      </c>
      <c r="D739" s="35">
        <v>15000000</v>
      </c>
      <c r="E739" s="35">
        <v>13043363</v>
      </c>
      <c r="F739" s="35" t="s">
        <v>20</v>
      </c>
      <c r="G739" t="b">
        <f t="shared" si="36"/>
        <v>0</v>
      </c>
      <c r="H739" t="b">
        <f t="shared" si="37"/>
        <v>0</v>
      </c>
      <c r="I739" s="29">
        <f t="shared" si="35"/>
        <v>40088</v>
      </c>
    </row>
    <row r="740" spans="1:9" ht="12.75" customHeight="1" x14ac:dyDescent="0.2">
      <c r="A740" s="28">
        <v>40088</v>
      </c>
      <c r="B740" s="26" t="s">
        <v>783</v>
      </c>
      <c r="C740" s="26" t="s">
        <v>3466</v>
      </c>
      <c r="D740" s="35" t="s">
        <v>20</v>
      </c>
      <c r="E740" s="35">
        <v>3911</v>
      </c>
      <c r="F740" s="35" t="s">
        <v>20</v>
      </c>
      <c r="G740" t="b">
        <f t="shared" si="36"/>
        <v>0</v>
      </c>
      <c r="H740" t="b">
        <f t="shared" si="37"/>
        <v>0</v>
      </c>
      <c r="I740" s="29">
        <f t="shared" si="35"/>
        <v>40088</v>
      </c>
    </row>
    <row r="741" spans="1:9" ht="25.5" x14ac:dyDescent="0.2">
      <c r="A741" s="28">
        <v>40088</v>
      </c>
      <c r="B741" s="26" t="s">
        <v>1387</v>
      </c>
      <c r="C741" s="26" t="s">
        <v>158</v>
      </c>
      <c r="D741" s="35" t="s">
        <v>20</v>
      </c>
      <c r="E741" s="35">
        <v>8868</v>
      </c>
      <c r="F741" s="35" t="s">
        <v>20</v>
      </c>
      <c r="G741" t="b">
        <f t="shared" si="36"/>
        <v>0</v>
      </c>
      <c r="H741" t="b">
        <f t="shared" si="37"/>
        <v>0</v>
      </c>
      <c r="I741" s="29">
        <f t="shared" si="35"/>
        <v>40088</v>
      </c>
    </row>
    <row r="742" spans="1:9" ht="25.5" x14ac:dyDescent="0.2">
      <c r="A742" s="28">
        <v>40088</v>
      </c>
      <c r="B742" s="26" t="s">
        <v>1326</v>
      </c>
      <c r="C742" s="26" t="s">
        <v>9</v>
      </c>
      <c r="D742" s="35" t="s">
        <v>20</v>
      </c>
      <c r="E742" s="35">
        <v>11799</v>
      </c>
      <c r="F742" s="35" t="s">
        <v>20</v>
      </c>
      <c r="G742" t="b">
        <f t="shared" si="36"/>
        <v>0</v>
      </c>
      <c r="H742" t="b">
        <f t="shared" si="37"/>
        <v>0</v>
      </c>
      <c r="I742" s="29">
        <f t="shared" si="35"/>
        <v>40088</v>
      </c>
    </row>
    <row r="743" spans="1:9" ht="12.75" customHeight="1" x14ac:dyDescent="0.2">
      <c r="A743" s="28">
        <v>40088</v>
      </c>
      <c r="B743" s="26" t="s">
        <v>1198</v>
      </c>
      <c r="C743" s="26" t="s">
        <v>2493</v>
      </c>
      <c r="D743" s="35" t="s">
        <v>20</v>
      </c>
      <c r="E743" s="35">
        <v>213525</v>
      </c>
      <c r="F743" s="35">
        <v>6173384</v>
      </c>
      <c r="G743" t="b">
        <f t="shared" si="36"/>
        <v>0</v>
      </c>
      <c r="H743" t="b">
        <f t="shared" si="37"/>
        <v>0</v>
      </c>
      <c r="I743" s="29">
        <f t="shared" si="35"/>
        <v>40088</v>
      </c>
    </row>
    <row r="744" spans="1:9" ht="25.5" x14ac:dyDescent="0.2">
      <c r="A744" s="28">
        <v>40088</v>
      </c>
      <c r="B744" s="26" t="s">
        <v>134</v>
      </c>
      <c r="C744" s="26" t="s">
        <v>2752</v>
      </c>
      <c r="D744" s="35" t="s">
        <v>20</v>
      </c>
      <c r="E744" s="35">
        <v>30702446</v>
      </c>
      <c r="F744" s="35">
        <v>35868069</v>
      </c>
      <c r="G744" t="b">
        <f t="shared" si="36"/>
        <v>0</v>
      </c>
      <c r="H744" t="b">
        <f t="shared" si="37"/>
        <v>0</v>
      </c>
      <c r="I744" s="29">
        <f t="shared" si="35"/>
        <v>40088</v>
      </c>
    </row>
    <row r="745" spans="1:9" ht="38.25" x14ac:dyDescent="0.2">
      <c r="A745" s="28">
        <v>40088</v>
      </c>
      <c r="B745" s="26" t="s">
        <v>1820</v>
      </c>
      <c r="C745" s="26" t="s">
        <v>571</v>
      </c>
      <c r="D745" s="35" t="s">
        <v>20</v>
      </c>
      <c r="E745" s="35">
        <v>14144</v>
      </c>
      <c r="F745" s="35" t="s">
        <v>20</v>
      </c>
      <c r="G745" t="b">
        <f t="shared" si="36"/>
        <v>0</v>
      </c>
      <c r="H745" t="b">
        <f t="shared" si="37"/>
        <v>0</v>
      </c>
      <c r="I745" s="29">
        <f t="shared" si="35"/>
        <v>40088</v>
      </c>
    </row>
    <row r="746" spans="1:9" ht="12.75" customHeight="1" x14ac:dyDescent="0.2">
      <c r="A746" s="28">
        <v>40088</v>
      </c>
      <c r="B746" s="26" t="s">
        <v>441</v>
      </c>
      <c r="C746" s="26" t="s">
        <v>698</v>
      </c>
      <c r="D746" s="35">
        <v>7000000</v>
      </c>
      <c r="E746" s="35">
        <v>9228788</v>
      </c>
      <c r="F746" s="35">
        <v>30710147</v>
      </c>
      <c r="G746" t="b">
        <f t="shared" si="36"/>
        <v>0</v>
      </c>
      <c r="H746" t="b">
        <f t="shared" si="37"/>
        <v>0</v>
      </c>
      <c r="I746" s="29">
        <f t="shared" si="35"/>
        <v>40088</v>
      </c>
    </row>
    <row r="747" spans="1:9" ht="25.5" x14ac:dyDescent="0.2">
      <c r="A747" s="28">
        <v>40088</v>
      </c>
      <c r="B747" s="26" t="s">
        <v>2721</v>
      </c>
      <c r="C747" s="26" t="s">
        <v>9</v>
      </c>
      <c r="D747" s="35">
        <v>18500000</v>
      </c>
      <c r="E747" s="35">
        <v>18451251</v>
      </c>
      <c r="F747" s="35">
        <v>32679264</v>
      </c>
      <c r="G747" t="b">
        <f t="shared" si="36"/>
        <v>0</v>
      </c>
      <c r="H747" t="b">
        <f t="shared" si="37"/>
        <v>0</v>
      </c>
      <c r="I747" s="29">
        <f t="shared" si="35"/>
        <v>40088</v>
      </c>
    </row>
    <row r="748" spans="1:9" ht="25.5" x14ac:dyDescent="0.2">
      <c r="A748" s="28">
        <v>40088</v>
      </c>
      <c r="B748" s="26" t="s">
        <v>1389</v>
      </c>
      <c r="C748" s="26" t="s">
        <v>2310</v>
      </c>
      <c r="D748" s="35" t="s">
        <v>20</v>
      </c>
      <c r="E748" s="35">
        <v>950675</v>
      </c>
      <c r="F748" s="35" t="s">
        <v>20</v>
      </c>
      <c r="G748" t="b">
        <f t="shared" si="36"/>
        <v>0</v>
      </c>
      <c r="H748" t="b">
        <f t="shared" si="37"/>
        <v>0</v>
      </c>
      <c r="I748" s="29">
        <f t="shared" si="35"/>
        <v>40088</v>
      </c>
    </row>
    <row r="749" spans="1:9" ht="12.75" customHeight="1" x14ac:dyDescent="0.2">
      <c r="A749" s="28">
        <v>40088</v>
      </c>
      <c r="B749" s="26" t="s">
        <v>568</v>
      </c>
      <c r="C749" s="26" t="s">
        <v>2160</v>
      </c>
      <c r="D749" s="35">
        <v>23600000</v>
      </c>
      <c r="E749" s="35">
        <v>75590286</v>
      </c>
      <c r="F749" s="35">
        <v>98690286</v>
      </c>
      <c r="G749" t="b">
        <f t="shared" si="36"/>
        <v>0</v>
      </c>
      <c r="H749" t="b">
        <f t="shared" si="37"/>
        <v>0</v>
      </c>
      <c r="I749" s="29">
        <f t="shared" si="35"/>
        <v>40088</v>
      </c>
    </row>
    <row r="750" spans="1:9" ht="12.75" customHeight="1" x14ac:dyDescent="0.2">
      <c r="A750" s="28">
        <v>40088</v>
      </c>
      <c r="B750" s="26" t="s">
        <v>98</v>
      </c>
      <c r="C750" s="26" t="s">
        <v>9</v>
      </c>
      <c r="D750" s="35" t="s">
        <v>20</v>
      </c>
      <c r="E750" s="35" t="s">
        <v>20</v>
      </c>
      <c r="F750" s="35">
        <v>32977948</v>
      </c>
      <c r="G750" t="b">
        <f t="shared" si="36"/>
        <v>0</v>
      </c>
      <c r="H750" t="b">
        <f t="shared" si="37"/>
        <v>0</v>
      </c>
      <c r="I750" s="29">
        <f t="shared" si="35"/>
        <v>40088</v>
      </c>
    </row>
    <row r="751" spans="1:9" ht="12.75" customHeight="1" x14ac:dyDescent="0.2">
      <c r="A751" s="28">
        <v>40092</v>
      </c>
      <c r="B751" s="26" t="s">
        <v>2902</v>
      </c>
      <c r="C751" s="26" t="s">
        <v>9</v>
      </c>
      <c r="D751" s="35" t="s">
        <v>20</v>
      </c>
      <c r="E751" s="35" t="s">
        <v>20</v>
      </c>
      <c r="F751" s="35" t="s">
        <v>20</v>
      </c>
      <c r="G751" t="b">
        <f t="shared" si="36"/>
        <v>0</v>
      </c>
      <c r="H751" t="b">
        <f t="shared" si="37"/>
        <v>0</v>
      </c>
      <c r="I751" s="29">
        <f t="shared" si="35"/>
        <v>40092</v>
      </c>
    </row>
    <row r="752" spans="1:9" ht="25.5" x14ac:dyDescent="0.2">
      <c r="A752" s="28">
        <v>40092</v>
      </c>
      <c r="B752" s="26" t="s">
        <v>2039</v>
      </c>
      <c r="C752" s="26" t="s">
        <v>9</v>
      </c>
      <c r="D752" s="35" t="s">
        <v>20</v>
      </c>
      <c r="E752" s="35" t="s">
        <v>20</v>
      </c>
      <c r="F752" s="35" t="s">
        <v>20</v>
      </c>
      <c r="G752" t="b">
        <f t="shared" si="36"/>
        <v>0</v>
      </c>
      <c r="H752" t="b">
        <f t="shared" si="37"/>
        <v>0</v>
      </c>
      <c r="I752" s="29">
        <f t="shared" si="35"/>
        <v>40092</v>
      </c>
    </row>
    <row r="753" spans="1:9" ht="38.25" x14ac:dyDescent="0.2">
      <c r="A753" s="28">
        <v>40092</v>
      </c>
      <c r="B753" s="26" t="s">
        <v>1954</v>
      </c>
      <c r="C753" s="26" t="s">
        <v>1051</v>
      </c>
      <c r="D753" s="35" t="s">
        <v>20</v>
      </c>
      <c r="E753" s="35" t="s">
        <v>20</v>
      </c>
      <c r="F753" s="35" t="s">
        <v>20</v>
      </c>
      <c r="G753" t="b">
        <f t="shared" si="36"/>
        <v>0</v>
      </c>
      <c r="H753" t="b">
        <f t="shared" si="37"/>
        <v>0</v>
      </c>
      <c r="I753" s="29">
        <f t="shared" ref="I753:I816" si="38">DATE(2009,MONTH(A753), DAY(A753))</f>
        <v>40092</v>
      </c>
    </row>
    <row r="754" spans="1:9" ht="25.5" x14ac:dyDescent="0.2">
      <c r="A754" s="28">
        <v>40092</v>
      </c>
      <c r="B754" s="26" t="s">
        <v>1085</v>
      </c>
      <c r="C754" s="26" t="s">
        <v>9</v>
      </c>
      <c r="D754" s="35" t="s">
        <v>20</v>
      </c>
      <c r="E754" s="35" t="s">
        <v>20</v>
      </c>
      <c r="F754" s="35" t="s">
        <v>20</v>
      </c>
      <c r="G754" t="b">
        <f t="shared" si="36"/>
        <v>0</v>
      </c>
      <c r="H754" t="b">
        <f t="shared" si="37"/>
        <v>0</v>
      </c>
      <c r="I754" s="29">
        <f t="shared" si="38"/>
        <v>40092</v>
      </c>
    </row>
    <row r="755" spans="1:9" ht="12.75" customHeight="1" x14ac:dyDescent="0.2">
      <c r="A755" s="28">
        <v>40092</v>
      </c>
      <c r="B755" s="26" t="s">
        <v>2284</v>
      </c>
      <c r="C755" s="26" t="s">
        <v>9</v>
      </c>
      <c r="D755" s="35" t="s">
        <v>20</v>
      </c>
      <c r="E755" s="35" t="s">
        <v>20</v>
      </c>
      <c r="F755" s="35" t="s">
        <v>20</v>
      </c>
      <c r="G755" t="b">
        <f t="shared" si="36"/>
        <v>0</v>
      </c>
      <c r="H755" t="b">
        <f t="shared" si="37"/>
        <v>0</v>
      </c>
      <c r="I755" s="29">
        <f t="shared" si="38"/>
        <v>40092</v>
      </c>
    </row>
    <row r="756" spans="1:9" ht="12.75" customHeight="1" x14ac:dyDescent="0.2">
      <c r="A756" s="28">
        <v>40092</v>
      </c>
      <c r="B756" s="26" t="s">
        <v>2386</v>
      </c>
      <c r="C756" s="26" t="s">
        <v>9</v>
      </c>
      <c r="D756" s="35" t="s">
        <v>20</v>
      </c>
      <c r="E756" s="35" t="s">
        <v>20</v>
      </c>
      <c r="F756" s="35" t="s">
        <v>20</v>
      </c>
      <c r="G756" t="b">
        <f t="shared" si="36"/>
        <v>0</v>
      </c>
      <c r="H756" t="b">
        <f t="shared" si="37"/>
        <v>0</v>
      </c>
      <c r="I756" s="29">
        <f t="shared" si="38"/>
        <v>40092</v>
      </c>
    </row>
    <row r="757" spans="1:9" ht="12.75" customHeight="1" x14ac:dyDescent="0.2">
      <c r="A757" s="28">
        <v>40092</v>
      </c>
      <c r="B757" s="26" t="s">
        <v>1052</v>
      </c>
      <c r="C757" s="26" t="s">
        <v>9</v>
      </c>
      <c r="D757" s="35" t="s">
        <v>20</v>
      </c>
      <c r="E757" s="35" t="s">
        <v>20</v>
      </c>
      <c r="F757" s="35" t="s">
        <v>20</v>
      </c>
      <c r="G757" t="b">
        <f t="shared" si="36"/>
        <v>0</v>
      </c>
      <c r="H757" t="b">
        <f t="shared" si="37"/>
        <v>0</v>
      </c>
      <c r="I757" s="29">
        <f t="shared" si="38"/>
        <v>40092</v>
      </c>
    </row>
    <row r="758" spans="1:9" ht="12.75" customHeight="1" x14ac:dyDescent="0.2">
      <c r="A758" s="28">
        <v>40092</v>
      </c>
      <c r="B758" s="26" t="s">
        <v>2840</v>
      </c>
      <c r="C758" s="26" t="s">
        <v>3209</v>
      </c>
      <c r="D758" s="35" t="s">
        <v>20</v>
      </c>
      <c r="E758" s="35" t="s">
        <v>20</v>
      </c>
      <c r="F758" s="35" t="s">
        <v>20</v>
      </c>
      <c r="G758" t="b">
        <f t="shared" si="36"/>
        <v>0</v>
      </c>
      <c r="H758" t="b">
        <f t="shared" si="37"/>
        <v>0</v>
      </c>
      <c r="I758" s="29">
        <f t="shared" si="38"/>
        <v>40092</v>
      </c>
    </row>
    <row r="759" spans="1:9" ht="12.75" customHeight="1" x14ac:dyDescent="0.2">
      <c r="A759" s="28">
        <v>40092</v>
      </c>
      <c r="B759" s="26" t="s">
        <v>700</v>
      </c>
      <c r="C759" s="26" t="s">
        <v>9</v>
      </c>
      <c r="D759" s="35" t="s">
        <v>20</v>
      </c>
      <c r="E759" s="35" t="s">
        <v>20</v>
      </c>
      <c r="F759" s="35" t="s">
        <v>20</v>
      </c>
      <c r="G759" t="b">
        <f t="shared" si="36"/>
        <v>0</v>
      </c>
      <c r="H759" t="b">
        <f t="shared" si="37"/>
        <v>0</v>
      </c>
      <c r="I759" s="29">
        <f t="shared" si="38"/>
        <v>40092</v>
      </c>
    </row>
    <row r="760" spans="1:9" ht="12.75" customHeight="1" x14ac:dyDescent="0.2">
      <c r="A760" s="28">
        <v>40092</v>
      </c>
      <c r="B760" s="26" t="s">
        <v>3127</v>
      </c>
      <c r="C760" s="26" t="s">
        <v>9</v>
      </c>
      <c r="D760" s="35" t="s">
        <v>20</v>
      </c>
      <c r="E760" s="35" t="s">
        <v>20</v>
      </c>
      <c r="F760" s="35" t="s">
        <v>20</v>
      </c>
      <c r="G760" t="b">
        <f t="shared" ref="G760:G823" si="39">ISBLANK(A760)</f>
        <v>0</v>
      </c>
      <c r="H760" t="b">
        <f t="shared" ref="H760:H823" si="40">ISTEXT(A760)</f>
        <v>0</v>
      </c>
      <c r="I760" s="29">
        <f t="shared" si="38"/>
        <v>40092</v>
      </c>
    </row>
    <row r="761" spans="1:9" ht="12.75" customHeight="1" x14ac:dyDescent="0.2">
      <c r="A761" s="28">
        <v>40092</v>
      </c>
      <c r="B761" s="26" t="s">
        <v>1504</v>
      </c>
      <c r="C761" s="26" t="s">
        <v>9</v>
      </c>
      <c r="D761" s="35" t="s">
        <v>20</v>
      </c>
      <c r="E761" s="35" t="s">
        <v>20</v>
      </c>
      <c r="F761" s="35" t="s">
        <v>20</v>
      </c>
      <c r="G761" t="b">
        <f t="shared" si="39"/>
        <v>0</v>
      </c>
      <c r="H761" t="b">
        <f t="shared" si="40"/>
        <v>0</v>
      </c>
      <c r="I761" s="29">
        <f t="shared" si="38"/>
        <v>40092</v>
      </c>
    </row>
    <row r="762" spans="1:9" ht="12.75" customHeight="1" x14ac:dyDescent="0.2">
      <c r="A762" s="28">
        <v>40092</v>
      </c>
      <c r="B762" s="26" t="s">
        <v>262</v>
      </c>
      <c r="C762" s="26" t="s">
        <v>9</v>
      </c>
      <c r="D762" s="35" t="s">
        <v>20</v>
      </c>
      <c r="E762" s="35" t="s">
        <v>20</v>
      </c>
      <c r="F762" s="35" t="s">
        <v>20</v>
      </c>
      <c r="G762" t="b">
        <f t="shared" si="39"/>
        <v>0</v>
      </c>
      <c r="H762" t="b">
        <f t="shared" si="40"/>
        <v>0</v>
      </c>
      <c r="I762" s="29">
        <f t="shared" si="38"/>
        <v>40092</v>
      </c>
    </row>
    <row r="763" spans="1:9" ht="12.75" customHeight="1" x14ac:dyDescent="0.2">
      <c r="A763" s="28">
        <v>40092</v>
      </c>
      <c r="B763" s="26" t="s">
        <v>984</v>
      </c>
      <c r="C763" s="26" t="s">
        <v>9</v>
      </c>
      <c r="D763" s="35" t="s">
        <v>20</v>
      </c>
      <c r="E763" s="35" t="s">
        <v>20</v>
      </c>
      <c r="F763" s="35" t="s">
        <v>20</v>
      </c>
      <c r="G763" t="b">
        <f t="shared" si="39"/>
        <v>0</v>
      </c>
      <c r="H763" t="b">
        <f t="shared" si="40"/>
        <v>0</v>
      </c>
      <c r="I763" s="29">
        <f t="shared" si="38"/>
        <v>40092</v>
      </c>
    </row>
    <row r="764" spans="1:9" ht="25.5" x14ac:dyDescent="0.2">
      <c r="A764" s="28">
        <v>40093</v>
      </c>
      <c r="B764" s="26" t="s">
        <v>2697</v>
      </c>
      <c r="C764" s="26" t="s">
        <v>9</v>
      </c>
      <c r="D764" s="35" t="s">
        <v>20</v>
      </c>
      <c r="E764" s="35">
        <v>195037</v>
      </c>
      <c r="F764" s="35" t="s">
        <v>20</v>
      </c>
      <c r="G764" t="b">
        <f t="shared" si="39"/>
        <v>0</v>
      </c>
      <c r="H764" t="b">
        <f t="shared" si="40"/>
        <v>0</v>
      </c>
      <c r="I764" s="29">
        <f t="shared" si="38"/>
        <v>40093</v>
      </c>
    </row>
    <row r="765" spans="1:9" ht="25.5" x14ac:dyDescent="0.2">
      <c r="A765" s="28">
        <v>40094</v>
      </c>
      <c r="B765" s="26" t="s">
        <v>1069</v>
      </c>
      <c r="C765" s="26" t="s">
        <v>9</v>
      </c>
      <c r="D765" s="35" t="s">
        <v>20</v>
      </c>
      <c r="E765" s="35" t="s">
        <v>20</v>
      </c>
      <c r="F765" s="35" t="s">
        <v>20</v>
      </c>
      <c r="G765" t="b">
        <f t="shared" si="39"/>
        <v>0</v>
      </c>
      <c r="H765" t="b">
        <f t="shared" si="40"/>
        <v>0</v>
      </c>
      <c r="I765" s="29">
        <f t="shared" si="38"/>
        <v>40094</v>
      </c>
    </row>
    <row r="766" spans="1:9" ht="12.75" customHeight="1" x14ac:dyDescent="0.2">
      <c r="A766" s="28">
        <v>40094</v>
      </c>
      <c r="B766" s="26" t="s">
        <v>2429</v>
      </c>
      <c r="C766" s="26" t="s">
        <v>9</v>
      </c>
      <c r="D766" s="35" t="s">
        <v>20</v>
      </c>
      <c r="E766" s="35" t="s">
        <v>20</v>
      </c>
      <c r="F766" s="35" t="s">
        <v>20</v>
      </c>
      <c r="G766" t="b">
        <f t="shared" si="39"/>
        <v>0</v>
      </c>
      <c r="H766" t="b">
        <f t="shared" si="40"/>
        <v>0</v>
      </c>
      <c r="I766" s="29">
        <f t="shared" si="38"/>
        <v>40094</v>
      </c>
    </row>
    <row r="767" spans="1:9" ht="25.5" x14ac:dyDescent="0.2">
      <c r="A767" s="28">
        <v>40095</v>
      </c>
      <c r="B767" s="26" t="s">
        <v>2792</v>
      </c>
      <c r="C767" s="26" t="s">
        <v>2180</v>
      </c>
      <c r="D767" s="35" t="s">
        <v>20</v>
      </c>
      <c r="E767" s="35">
        <v>4157223</v>
      </c>
      <c r="F767" s="35" t="s">
        <v>20</v>
      </c>
      <c r="G767" t="b">
        <f t="shared" si="39"/>
        <v>0</v>
      </c>
      <c r="H767" t="b">
        <f t="shared" si="40"/>
        <v>0</v>
      </c>
      <c r="I767" s="29">
        <f t="shared" si="38"/>
        <v>40095</v>
      </c>
    </row>
    <row r="768" spans="1:9" ht="12.75" customHeight="1" x14ac:dyDescent="0.2">
      <c r="A768" s="28">
        <v>40095</v>
      </c>
      <c r="B768" s="26" t="s">
        <v>1478</v>
      </c>
      <c r="C768" s="26" t="s">
        <v>1319</v>
      </c>
      <c r="D768" s="35" t="s">
        <v>20</v>
      </c>
      <c r="E768" s="35">
        <v>141108</v>
      </c>
      <c r="F768" s="35" t="s">
        <v>20</v>
      </c>
      <c r="G768" t="b">
        <f t="shared" si="39"/>
        <v>0</v>
      </c>
      <c r="H768" t="b">
        <f t="shared" si="40"/>
        <v>0</v>
      </c>
      <c r="I768" s="29">
        <f t="shared" si="38"/>
        <v>40095</v>
      </c>
    </row>
    <row r="769" spans="1:9" ht="25.5" x14ac:dyDescent="0.2">
      <c r="A769" s="28">
        <v>40095</v>
      </c>
      <c r="B769" s="26" t="s">
        <v>1186</v>
      </c>
      <c r="C769" s="26" t="s">
        <v>9</v>
      </c>
      <c r="D769" s="35" t="s">
        <v>20</v>
      </c>
      <c r="E769" s="35">
        <v>1053966</v>
      </c>
      <c r="F769" s="35" t="s">
        <v>20</v>
      </c>
      <c r="G769" t="b">
        <f t="shared" si="39"/>
        <v>0</v>
      </c>
      <c r="H769" t="b">
        <f t="shared" si="40"/>
        <v>0</v>
      </c>
      <c r="I769" s="29">
        <f t="shared" si="38"/>
        <v>40095</v>
      </c>
    </row>
    <row r="770" spans="1:9" ht="25.5" x14ac:dyDescent="0.2">
      <c r="A770" s="28">
        <v>40095</v>
      </c>
      <c r="B770" s="26" t="s">
        <v>145</v>
      </c>
      <c r="C770" s="26" t="s">
        <v>2958</v>
      </c>
      <c r="D770" s="35" t="s">
        <v>20</v>
      </c>
      <c r="E770" s="35">
        <v>17738</v>
      </c>
      <c r="F770" s="35" t="s">
        <v>20</v>
      </c>
      <c r="G770" t="b">
        <f t="shared" si="39"/>
        <v>0</v>
      </c>
      <c r="H770" t="b">
        <f t="shared" si="40"/>
        <v>0</v>
      </c>
      <c r="I770" s="29">
        <f t="shared" si="38"/>
        <v>40095</v>
      </c>
    </row>
    <row r="771" spans="1:9" ht="25.5" x14ac:dyDescent="0.2">
      <c r="A771" s="28">
        <v>40095</v>
      </c>
      <c r="B771" s="26" t="s">
        <v>1461</v>
      </c>
      <c r="C771" s="26" t="s">
        <v>2285</v>
      </c>
      <c r="D771" s="35" t="s">
        <v>20</v>
      </c>
      <c r="E771" s="35">
        <v>31160</v>
      </c>
      <c r="F771" s="35" t="s">
        <v>20</v>
      </c>
      <c r="G771" t="b">
        <f t="shared" si="39"/>
        <v>0</v>
      </c>
      <c r="H771" t="b">
        <f t="shared" si="40"/>
        <v>0</v>
      </c>
      <c r="I771" s="29">
        <f t="shared" si="38"/>
        <v>40095</v>
      </c>
    </row>
    <row r="772" spans="1:9" ht="12.75" customHeight="1" x14ac:dyDescent="0.2">
      <c r="A772" s="28">
        <v>40095</v>
      </c>
      <c r="B772" s="26" t="s">
        <v>1720</v>
      </c>
      <c r="C772" s="26" t="s">
        <v>2285</v>
      </c>
      <c r="D772" s="35" t="s">
        <v>20</v>
      </c>
      <c r="E772" s="35">
        <v>11495</v>
      </c>
      <c r="F772" s="35" t="s">
        <v>20</v>
      </c>
      <c r="G772" t="b">
        <f t="shared" si="39"/>
        <v>0</v>
      </c>
      <c r="H772" t="b">
        <f t="shared" si="40"/>
        <v>0</v>
      </c>
      <c r="I772" s="29">
        <f t="shared" si="38"/>
        <v>40095</v>
      </c>
    </row>
    <row r="773" spans="1:9" ht="12.75" customHeight="1" x14ac:dyDescent="0.2">
      <c r="A773" s="28">
        <v>40095</v>
      </c>
      <c r="B773" s="26" t="s">
        <v>1452</v>
      </c>
      <c r="C773" s="26" t="s">
        <v>9</v>
      </c>
      <c r="D773" s="35">
        <v>60000000</v>
      </c>
      <c r="E773" s="35">
        <v>109205660</v>
      </c>
      <c r="F773" s="35">
        <v>172450423</v>
      </c>
      <c r="G773" t="b">
        <f t="shared" si="39"/>
        <v>0</v>
      </c>
      <c r="H773" t="b">
        <f t="shared" si="40"/>
        <v>0</v>
      </c>
      <c r="I773" s="29">
        <f t="shared" si="38"/>
        <v>40095</v>
      </c>
    </row>
    <row r="774" spans="1:9" ht="25.5" x14ac:dyDescent="0.2">
      <c r="A774" s="28">
        <v>40095</v>
      </c>
      <c r="B774" s="26" t="s">
        <v>2337</v>
      </c>
      <c r="C774" s="26" t="s">
        <v>2180</v>
      </c>
      <c r="D774" s="35" t="s">
        <v>20</v>
      </c>
      <c r="E774" s="35">
        <v>548787</v>
      </c>
      <c r="F774" s="35" t="s">
        <v>20</v>
      </c>
      <c r="G774" t="b">
        <f t="shared" si="39"/>
        <v>0</v>
      </c>
      <c r="H774" t="b">
        <f t="shared" si="40"/>
        <v>0</v>
      </c>
      <c r="I774" s="29">
        <f t="shared" si="38"/>
        <v>40095</v>
      </c>
    </row>
    <row r="775" spans="1:9" ht="12.75" customHeight="1" x14ac:dyDescent="0.2">
      <c r="A775" s="28">
        <v>40095</v>
      </c>
      <c r="B775" s="26" t="s">
        <v>967</v>
      </c>
      <c r="C775" s="26" t="s">
        <v>9</v>
      </c>
      <c r="D775" s="35" t="s">
        <v>20</v>
      </c>
      <c r="E775" s="35">
        <v>104979</v>
      </c>
      <c r="F775" s="35" t="s">
        <v>20</v>
      </c>
      <c r="G775" t="b">
        <f t="shared" si="39"/>
        <v>0</v>
      </c>
      <c r="H775" t="b">
        <f t="shared" si="40"/>
        <v>0</v>
      </c>
      <c r="I775" s="29">
        <f t="shared" si="38"/>
        <v>40095</v>
      </c>
    </row>
    <row r="776" spans="1:9" ht="12.75" customHeight="1" x14ac:dyDescent="0.2">
      <c r="A776" s="28">
        <v>40095</v>
      </c>
      <c r="B776" s="26" t="s">
        <v>3174</v>
      </c>
      <c r="C776" s="26" t="s">
        <v>2958</v>
      </c>
      <c r="D776" s="35" t="s">
        <v>20</v>
      </c>
      <c r="E776" s="35">
        <v>173828</v>
      </c>
      <c r="F776" s="35" t="s">
        <v>20</v>
      </c>
      <c r="G776" t="b">
        <f t="shared" si="39"/>
        <v>0</v>
      </c>
      <c r="H776" t="b">
        <f t="shared" si="40"/>
        <v>0</v>
      </c>
      <c r="I776" s="29">
        <f t="shared" si="38"/>
        <v>40095</v>
      </c>
    </row>
    <row r="777" spans="1:9" ht="12.75" customHeight="1" x14ac:dyDescent="0.2">
      <c r="A777" s="28">
        <v>40095</v>
      </c>
      <c r="B777" s="26" t="s">
        <v>2446</v>
      </c>
      <c r="C777" s="26" t="s">
        <v>2313</v>
      </c>
      <c r="D777" s="35" t="s">
        <v>20</v>
      </c>
      <c r="E777" s="35">
        <v>52429</v>
      </c>
      <c r="F777" s="35" t="s">
        <v>20</v>
      </c>
      <c r="G777" t="b">
        <f t="shared" si="39"/>
        <v>0</v>
      </c>
      <c r="H777" t="b">
        <f t="shared" si="40"/>
        <v>0</v>
      </c>
      <c r="I777" s="29">
        <f t="shared" si="38"/>
        <v>40095</v>
      </c>
    </row>
    <row r="778" spans="1:9" ht="12.75" customHeight="1" x14ac:dyDescent="0.2">
      <c r="A778" s="28">
        <v>40095</v>
      </c>
      <c r="B778" s="26" t="s">
        <v>1084</v>
      </c>
      <c r="C778" s="26" t="s">
        <v>9</v>
      </c>
      <c r="D778" s="35" t="s">
        <v>20</v>
      </c>
      <c r="E778" s="35">
        <v>15000</v>
      </c>
      <c r="F778" s="35">
        <v>22446568</v>
      </c>
      <c r="G778" t="b">
        <f t="shared" si="39"/>
        <v>0</v>
      </c>
      <c r="H778" t="b">
        <f t="shared" si="40"/>
        <v>0</v>
      </c>
      <c r="I778" s="29">
        <f t="shared" si="38"/>
        <v>40095</v>
      </c>
    </row>
    <row r="779" spans="1:9" ht="12.75" customHeight="1" x14ac:dyDescent="0.2">
      <c r="A779" s="28">
        <v>40095</v>
      </c>
      <c r="B779" s="26" t="s">
        <v>1123</v>
      </c>
      <c r="C779" s="26" t="s">
        <v>9</v>
      </c>
      <c r="D779" s="35">
        <v>7500000</v>
      </c>
      <c r="E779" s="35">
        <v>12574914</v>
      </c>
      <c r="F779" s="35">
        <v>14134502</v>
      </c>
      <c r="G779" t="b">
        <f t="shared" si="39"/>
        <v>0</v>
      </c>
      <c r="H779" t="b">
        <f t="shared" si="40"/>
        <v>0</v>
      </c>
      <c r="I779" s="29">
        <f t="shared" si="38"/>
        <v>40095</v>
      </c>
    </row>
    <row r="780" spans="1:9" ht="12.75" customHeight="1" x14ac:dyDescent="0.2">
      <c r="A780" s="28">
        <v>40095</v>
      </c>
      <c r="B780" s="26" t="s">
        <v>2243</v>
      </c>
      <c r="C780" s="26" t="s">
        <v>1115</v>
      </c>
      <c r="D780" s="35" t="s">
        <v>20</v>
      </c>
      <c r="E780" s="35">
        <v>102463</v>
      </c>
      <c r="F780" s="35" t="s">
        <v>20</v>
      </c>
      <c r="G780" t="b">
        <f t="shared" si="39"/>
        <v>0</v>
      </c>
      <c r="H780" t="b">
        <f t="shared" si="40"/>
        <v>0</v>
      </c>
      <c r="I780" s="29">
        <f t="shared" si="38"/>
        <v>40095</v>
      </c>
    </row>
    <row r="781" spans="1:9" ht="25.5" x14ac:dyDescent="0.2">
      <c r="A781" s="28">
        <v>40095</v>
      </c>
      <c r="B781" s="26" t="s">
        <v>1344</v>
      </c>
      <c r="C781" s="26" t="s">
        <v>9</v>
      </c>
      <c r="D781" s="35">
        <v>6400000</v>
      </c>
      <c r="E781" s="35">
        <v>449865</v>
      </c>
      <c r="F781" s="35">
        <v>4054204</v>
      </c>
      <c r="G781" t="b">
        <f t="shared" si="39"/>
        <v>0</v>
      </c>
      <c r="H781" t="b">
        <f t="shared" si="40"/>
        <v>0</v>
      </c>
      <c r="I781" s="29">
        <f t="shared" si="38"/>
        <v>40095</v>
      </c>
    </row>
    <row r="782" spans="1:9" ht="12.75" customHeight="1" x14ac:dyDescent="0.2">
      <c r="A782" s="28">
        <v>40099</v>
      </c>
      <c r="B782" s="26" t="s">
        <v>2000</v>
      </c>
      <c r="C782" s="26" t="s">
        <v>9</v>
      </c>
      <c r="D782" s="35" t="s">
        <v>20</v>
      </c>
      <c r="E782" s="35" t="s">
        <v>20</v>
      </c>
      <c r="F782" s="35" t="s">
        <v>20</v>
      </c>
      <c r="G782" t="b">
        <f t="shared" si="39"/>
        <v>0</v>
      </c>
      <c r="H782" t="b">
        <f t="shared" si="40"/>
        <v>0</v>
      </c>
      <c r="I782" s="29">
        <f t="shared" si="38"/>
        <v>40099</v>
      </c>
    </row>
    <row r="783" spans="1:9" ht="12.75" customHeight="1" x14ac:dyDescent="0.2">
      <c r="A783" s="28">
        <v>40099</v>
      </c>
      <c r="B783" s="26" t="s">
        <v>1176</v>
      </c>
      <c r="C783" s="26" t="s">
        <v>9</v>
      </c>
      <c r="D783" s="35" t="s">
        <v>20</v>
      </c>
      <c r="E783" s="35" t="s">
        <v>20</v>
      </c>
      <c r="F783" s="35" t="s">
        <v>20</v>
      </c>
      <c r="G783" t="b">
        <f t="shared" si="39"/>
        <v>0</v>
      </c>
      <c r="H783" t="b">
        <f t="shared" si="40"/>
        <v>0</v>
      </c>
      <c r="I783" s="29">
        <f t="shared" si="38"/>
        <v>40099</v>
      </c>
    </row>
    <row r="784" spans="1:9" ht="12.75" customHeight="1" x14ac:dyDescent="0.2">
      <c r="A784" s="28">
        <v>40099</v>
      </c>
      <c r="B784" s="26" t="s">
        <v>1359</v>
      </c>
      <c r="C784" s="26" t="s">
        <v>9</v>
      </c>
      <c r="D784" s="35" t="s">
        <v>20</v>
      </c>
      <c r="E784" s="35" t="s">
        <v>20</v>
      </c>
      <c r="F784" s="35" t="s">
        <v>20</v>
      </c>
      <c r="G784" t="b">
        <f t="shared" si="39"/>
        <v>0</v>
      </c>
      <c r="H784" t="b">
        <f t="shared" si="40"/>
        <v>0</v>
      </c>
      <c r="I784" s="29">
        <f t="shared" si="38"/>
        <v>40099</v>
      </c>
    </row>
    <row r="785" spans="1:9" ht="25.5" x14ac:dyDescent="0.2">
      <c r="A785" s="28">
        <v>40099</v>
      </c>
      <c r="B785" s="26" t="s">
        <v>2662</v>
      </c>
      <c r="C785" s="26" t="s">
        <v>9</v>
      </c>
      <c r="D785" s="35" t="s">
        <v>20</v>
      </c>
      <c r="E785" s="35" t="s">
        <v>20</v>
      </c>
      <c r="F785" s="35" t="s">
        <v>20</v>
      </c>
      <c r="G785" t="b">
        <f t="shared" si="39"/>
        <v>0</v>
      </c>
      <c r="H785" t="b">
        <f t="shared" si="40"/>
        <v>0</v>
      </c>
      <c r="I785" s="29">
        <f t="shared" si="38"/>
        <v>40099</v>
      </c>
    </row>
    <row r="786" spans="1:9" ht="12.75" customHeight="1" x14ac:dyDescent="0.2">
      <c r="A786" s="28">
        <v>40099</v>
      </c>
      <c r="B786" s="26" t="s">
        <v>1562</v>
      </c>
      <c r="C786" s="26" t="s">
        <v>9</v>
      </c>
      <c r="D786" s="35" t="s">
        <v>20</v>
      </c>
      <c r="E786" s="35" t="s">
        <v>20</v>
      </c>
      <c r="F786" s="35" t="s">
        <v>20</v>
      </c>
      <c r="G786" t="b">
        <f t="shared" si="39"/>
        <v>0</v>
      </c>
      <c r="H786" t="b">
        <f t="shared" si="40"/>
        <v>0</v>
      </c>
      <c r="I786" s="29">
        <f t="shared" si="38"/>
        <v>40099</v>
      </c>
    </row>
    <row r="787" spans="1:9" ht="25.5" x14ac:dyDescent="0.2">
      <c r="A787" s="28">
        <v>40099</v>
      </c>
      <c r="B787" s="26" t="s">
        <v>369</v>
      </c>
      <c r="C787" s="26" t="s">
        <v>9</v>
      </c>
      <c r="D787" s="35" t="s">
        <v>20</v>
      </c>
      <c r="E787" s="35" t="s">
        <v>20</v>
      </c>
      <c r="F787" s="35" t="s">
        <v>20</v>
      </c>
      <c r="G787" t="b">
        <f t="shared" si="39"/>
        <v>0</v>
      </c>
      <c r="H787" t="b">
        <f t="shared" si="40"/>
        <v>0</v>
      </c>
      <c r="I787" s="29">
        <f t="shared" si="38"/>
        <v>40099</v>
      </c>
    </row>
    <row r="788" spans="1:9" ht="25.5" x14ac:dyDescent="0.2">
      <c r="A788" s="28">
        <v>40099</v>
      </c>
      <c r="B788" s="26" t="s">
        <v>2344</v>
      </c>
      <c r="C788" s="26" t="s">
        <v>9</v>
      </c>
      <c r="D788" s="35" t="s">
        <v>20</v>
      </c>
      <c r="E788" s="35" t="s">
        <v>20</v>
      </c>
      <c r="F788" s="35" t="s">
        <v>20</v>
      </c>
      <c r="G788" t="b">
        <f t="shared" si="39"/>
        <v>0</v>
      </c>
      <c r="H788" t="b">
        <f t="shared" si="40"/>
        <v>0</v>
      </c>
      <c r="I788" s="29">
        <f t="shared" si="38"/>
        <v>40099</v>
      </c>
    </row>
    <row r="789" spans="1:9" ht="12.75" customHeight="1" x14ac:dyDescent="0.2">
      <c r="A789" s="28">
        <v>40099</v>
      </c>
      <c r="B789" s="26" t="s">
        <v>311</v>
      </c>
      <c r="C789" s="26" t="s">
        <v>9</v>
      </c>
      <c r="D789" s="35" t="s">
        <v>20</v>
      </c>
      <c r="E789" s="35" t="s">
        <v>20</v>
      </c>
      <c r="F789" s="35" t="s">
        <v>20</v>
      </c>
      <c r="G789" t="b">
        <f t="shared" si="39"/>
        <v>0</v>
      </c>
      <c r="H789" t="b">
        <f t="shared" si="40"/>
        <v>0</v>
      </c>
      <c r="I789" s="29">
        <f t="shared" si="38"/>
        <v>40099</v>
      </c>
    </row>
    <row r="790" spans="1:9" ht="38.25" x14ac:dyDescent="0.2">
      <c r="A790" s="28">
        <v>40099</v>
      </c>
      <c r="B790" s="26" t="s">
        <v>3444</v>
      </c>
      <c r="C790" s="26" t="s">
        <v>9</v>
      </c>
      <c r="D790" s="35" t="s">
        <v>20</v>
      </c>
      <c r="E790" s="35" t="s">
        <v>20</v>
      </c>
      <c r="F790" s="35" t="s">
        <v>20</v>
      </c>
      <c r="G790" t="b">
        <f t="shared" si="39"/>
        <v>0</v>
      </c>
      <c r="H790" t="b">
        <f t="shared" si="40"/>
        <v>0</v>
      </c>
      <c r="I790" s="29">
        <f t="shared" si="38"/>
        <v>40099</v>
      </c>
    </row>
    <row r="791" spans="1:9" ht="25.5" x14ac:dyDescent="0.2">
      <c r="A791" s="28">
        <v>40102</v>
      </c>
      <c r="B791" s="26" t="s">
        <v>3114</v>
      </c>
      <c r="C791" s="26" t="s">
        <v>9</v>
      </c>
      <c r="D791" s="35">
        <v>53000000</v>
      </c>
      <c r="E791" s="35">
        <v>73357727</v>
      </c>
      <c r="F791" s="35">
        <v>118673196</v>
      </c>
      <c r="G791" t="b">
        <f t="shared" si="39"/>
        <v>0</v>
      </c>
      <c r="H791" t="b">
        <f t="shared" si="40"/>
        <v>0</v>
      </c>
      <c r="I791" s="29">
        <f t="shared" si="38"/>
        <v>40102</v>
      </c>
    </row>
    <row r="792" spans="1:9" ht="12.75" customHeight="1" x14ac:dyDescent="0.2">
      <c r="A792" s="28">
        <v>40102</v>
      </c>
      <c r="B792" s="26" t="s">
        <v>2718</v>
      </c>
      <c r="C792" s="26" t="s">
        <v>2775</v>
      </c>
      <c r="D792" s="35" t="s">
        <v>20</v>
      </c>
      <c r="E792" s="35">
        <v>386856</v>
      </c>
      <c r="F792" s="35" t="s">
        <v>20</v>
      </c>
      <c r="G792" t="b">
        <f t="shared" si="39"/>
        <v>0</v>
      </c>
      <c r="H792" t="b">
        <f t="shared" si="40"/>
        <v>0</v>
      </c>
      <c r="I792" s="29">
        <f t="shared" si="38"/>
        <v>40102</v>
      </c>
    </row>
    <row r="793" spans="1:9" ht="12.75" customHeight="1" x14ac:dyDescent="0.2">
      <c r="A793" s="28">
        <v>40102</v>
      </c>
      <c r="B793" s="26" t="s">
        <v>2988</v>
      </c>
      <c r="C793" s="26" t="s">
        <v>9</v>
      </c>
      <c r="D793" s="35" t="s">
        <v>20</v>
      </c>
      <c r="E793" s="35">
        <v>576610</v>
      </c>
      <c r="F793" s="35" t="s">
        <v>20</v>
      </c>
      <c r="G793" t="b">
        <f t="shared" si="39"/>
        <v>0</v>
      </c>
      <c r="H793" t="b">
        <f t="shared" si="40"/>
        <v>0</v>
      </c>
      <c r="I793" s="29">
        <f t="shared" si="38"/>
        <v>40102</v>
      </c>
    </row>
    <row r="794" spans="1:9" ht="12.75" customHeight="1" x14ac:dyDescent="0.2">
      <c r="A794" s="28">
        <v>40102</v>
      </c>
      <c r="B794" s="26" t="s">
        <v>248</v>
      </c>
      <c r="C794" s="26" t="s">
        <v>9</v>
      </c>
      <c r="D794" s="35" t="s">
        <v>20</v>
      </c>
      <c r="E794" s="35">
        <v>1181</v>
      </c>
      <c r="F794" s="35" t="s">
        <v>20</v>
      </c>
      <c r="G794" t="b">
        <f t="shared" si="39"/>
        <v>0</v>
      </c>
      <c r="H794" t="b">
        <f t="shared" si="40"/>
        <v>0</v>
      </c>
      <c r="I794" s="29">
        <f t="shared" si="38"/>
        <v>40102</v>
      </c>
    </row>
    <row r="795" spans="1:9" ht="25.5" x14ac:dyDescent="0.2">
      <c r="A795" s="28">
        <v>40102</v>
      </c>
      <c r="B795" s="26" t="s">
        <v>1616</v>
      </c>
      <c r="C795" s="26" t="s">
        <v>2161</v>
      </c>
      <c r="D795" s="35" t="s">
        <v>20</v>
      </c>
      <c r="E795" s="35">
        <v>120713</v>
      </c>
      <c r="F795" s="35">
        <v>7925046</v>
      </c>
      <c r="G795" t="b">
        <f t="shared" si="39"/>
        <v>0</v>
      </c>
      <c r="H795" t="b">
        <f t="shared" si="40"/>
        <v>0</v>
      </c>
      <c r="I795" s="29">
        <f t="shared" si="38"/>
        <v>40102</v>
      </c>
    </row>
    <row r="796" spans="1:9" ht="12.75" customHeight="1" x14ac:dyDescent="0.2">
      <c r="A796" s="28">
        <v>40102</v>
      </c>
      <c r="B796" s="26" t="s">
        <v>2553</v>
      </c>
      <c r="C796" s="26" t="s">
        <v>2530</v>
      </c>
      <c r="D796" s="35" t="s">
        <v>20</v>
      </c>
      <c r="E796" s="35">
        <v>4447</v>
      </c>
      <c r="F796" s="35" t="s">
        <v>20</v>
      </c>
      <c r="G796" t="b">
        <f t="shared" si="39"/>
        <v>0</v>
      </c>
      <c r="H796" t="b">
        <f t="shared" si="40"/>
        <v>0</v>
      </c>
      <c r="I796" s="29">
        <f t="shared" si="38"/>
        <v>40102</v>
      </c>
    </row>
    <row r="797" spans="1:9" ht="25.5" x14ac:dyDescent="0.2">
      <c r="A797" s="28">
        <v>40102</v>
      </c>
      <c r="B797" s="26" t="s">
        <v>2761</v>
      </c>
      <c r="C797" s="26" t="s">
        <v>3096</v>
      </c>
      <c r="D797" s="35">
        <v>100000000</v>
      </c>
      <c r="E797" s="35">
        <v>77233467</v>
      </c>
      <c r="F797" s="35">
        <v>99123656</v>
      </c>
      <c r="G797" t="b">
        <f t="shared" si="39"/>
        <v>0</v>
      </c>
      <c r="H797" t="b">
        <f t="shared" si="40"/>
        <v>0</v>
      </c>
      <c r="I797" s="29">
        <f t="shared" si="38"/>
        <v>40102</v>
      </c>
    </row>
    <row r="798" spans="1:9" ht="25.5" x14ac:dyDescent="0.2">
      <c r="A798" s="28">
        <v>40102</v>
      </c>
      <c r="B798" s="26" t="s">
        <v>340</v>
      </c>
      <c r="C798" s="26" t="s">
        <v>9</v>
      </c>
      <c r="D798" s="35" t="s">
        <v>20</v>
      </c>
      <c r="E798" s="35">
        <v>197183</v>
      </c>
      <c r="F798" s="35">
        <v>1289846</v>
      </c>
      <c r="G798" t="b">
        <f t="shared" si="39"/>
        <v>0</v>
      </c>
      <c r="H798" t="b">
        <f t="shared" si="40"/>
        <v>0</v>
      </c>
      <c r="I798" s="29">
        <f t="shared" si="38"/>
        <v>40102</v>
      </c>
    </row>
    <row r="799" spans="1:9" ht="12.75" customHeight="1" x14ac:dyDescent="0.2">
      <c r="A799" s="28">
        <v>40102</v>
      </c>
      <c r="B799" s="26" t="s">
        <v>3392</v>
      </c>
      <c r="C799" s="26" t="s">
        <v>2860</v>
      </c>
      <c r="D799" s="35" t="s">
        <v>20</v>
      </c>
      <c r="E799" s="35">
        <v>242578</v>
      </c>
      <c r="F799" s="35" t="s">
        <v>20</v>
      </c>
      <c r="G799" t="b">
        <f t="shared" si="39"/>
        <v>0</v>
      </c>
      <c r="H799" t="b">
        <f t="shared" si="40"/>
        <v>0</v>
      </c>
      <c r="I799" s="29">
        <f t="shared" si="38"/>
        <v>40102</v>
      </c>
    </row>
    <row r="800" spans="1:9" ht="12.75" customHeight="1" x14ac:dyDescent="0.2">
      <c r="A800" s="28">
        <v>40102</v>
      </c>
      <c r="B800" s="26" t="s">
        <v>1838</v>
      </c>
      <c r="C800" s="26" t="s">
        <v>3215</v>
      </c>
      <c r="D800" s="35" t="s">
        <v>20</v>
      </c>
      <c r="E800" s="35">
        <v>9069</v>
      </c>
      <c r="F800" s="35" t="s">
        <v>20</v>
      </c>
      <c r="G800" t="b">
        <f t="shared" si="39"/>
        <v>0</v>
      </c>
      <c r="H800" t="b">
        <f t="shared" si="40"/>
        <v>0</v>
      </c>
      <c r="I800" s="29">
        <f t="shared" si="38"/>
        <v>40102</v>
      </c>
    </row>
    <row r="801" spans="1:9" ht="12.75" customHeight="1" x14ac:dyDescent="0.2">
      <c r="A801" s="28">
        <v>40102</v>
      </c>
      <c r="B801" s="26" t="s">
        <v>1615</v>
      </c>
      <c r="C801" s="26" t="s">
        <v>2160</v>
      </c>
      <c r="D801" s="35">
        <v>20000000</v>
      </c>
      <c r="E801" s="35">
        <v>29062561</v>
      </c>
      <c r="F801" s="35">
        <v>29227561</v>
      </c>
      <c r="G801" t="b">
        <f t="shared" si="39"/>
        <v>0</v>
      </c>
      <c r="H801" t="b">
        <f t="shared" si="40"/>
        <v>0</v>
      </c>
      <c r="I801" s="29">
        <f t="shared" si="38"/>
        <v>40102</v>
      </c>
    </row>
    <row r="802" spans="1:9" x14ac:dyDescent="0.2">
      <c r="A802" s="28">
        <v>40102</v>
      </c>
      <c r="B802" s="26" t="s">
        <v>245</v>
      </c>
      <c r="C802" s="26" t="s">
        <v>3318</v>
      </c>
      <c r="D802" s="35" t="s">
        <v>20</v>
      </c>
      <c r="E802" s="35">
        <v>321640</v>
      </c>
      <c r="F802" s="35">
        <v>8125973</v>
      </c>
      <c r="G802" t="b">
        <f t="shared" si="39"/>
        <v>0</v>
      </c>
      <c r="H802" t="b">
        <f t="shared" si="40"/>
        <v>0</v>
      </c>
      <c r="I802" s="29">
        <f t="shared" si="38"/>
        <v>40102</v>
      </c>
    </row>
    <row r="803" spans="1:9" ht="12.75" customHeight="1" x14ac:dyDescent="0.2">
      <c r="A803" s="28">
        <v>40102</v>
      </c>
      <c r="B803" s="26" t="s">
        <v>1651</v>
      </c>
      <c r="C803" s="26" t="s">
        <v>9</v>
      </c>
      <c r="D803" s="35" t="s">
        <v>20</v>
      </c>
      <c r="E803" s="35">
        <v>55000</v>
      </c>
      <c r="F803" s="35" t="s">
        <v>20</v>
      </c>
      <c r="G803" t="b">
        <f t="shared" si="39"/>
        <v>0</v>
      </c>
      <c r="H803" t="b">
        <f t="shared" si="40"/>
        <v>0</v>
      </c>
      <c r="I803" s="29">
        <f t="shared" si="38"/>
        <v>40102</v>
      </c>
    </row>
    <row r="804" spans="1:9" ht="25.5" x14ac:dyDescent="0.2">
      <c r="A804" s="28">
        <v>40102</v>
      </c>
      <c r="B804" s="26" t="s">
        <v>3158</v>
      </c>
      <c r="C804" s="26" t="s">
        <v>2853</v>
      </c>
      <c r="D804" s="35" t="s">
        <v>20</v>
      </c>
      <c r="E804" s="35">
        <v>1588087</v>
      </c>
      <c r="F804" s="35">
        <v>2670887</v>
      </c>
      <c r="G804" t="b">
        <f t="shared" si="39"/>
        <v>0</v>
      </c>
      <c r="H804" t="b">
        <f t="shared" si="40"/>
        <v>0</v>
      </c>
      <c r="I804" s="29">
        <f t="shared" si="38"/>
        <v>40102</v>
      </c>
    </row>
    <row r="805" spans="1:9" ht="25.5" x14ac:dyDescent="0.2">
      <c r="A805" s="28">
        <v>40106</v>
      </c>
      <c r="B805" s="26" t="s">
        <v>1170</v>
      </c>
      <c r="C805" s="26" t="s">
        <v>384</v>
      </c>
      <c r="D805" s="35" t="s">
        <v>20</v>
      </c>
      <c r="E805" s="35" t="s">
        <v>20</v>
      </c>
      <c r="F805" s="35" t="s">
        <v>20</v>
      </c>
      <c r="G805" t="b">
        <f t="shared" si="39"/>
        <v>0</v>
      </c>
      <c r="H805" t="b">
        <f t="shared" si="40"/>
        <v>0</v>
      </c>
      <c r="I805" s="29">
        <f t="shared" si="38"/>
        <v>40106</v>
      </c>
    </row>
    <row r="806" spans="1:9" ht="12.75" customHeight="1" x14ac:dyDescent="0.2">
      <c r="A806" s="28">
        <v>40106</v>
      </c>
      <c r="B806" s="26" t="s">
        <v>1997</v>
      </c>
      <c r="C806" s="26" t="s">
        <v>9</v>
      </c>
      <c r="D806" s="35" t="s">
        <v>20</v>
      </c>
      <c r="E806" s="35" t="s">
        <v>20</v>
      </c>
      <c r="F806" s="35" t="s">
        <v>20</v>
      </c>
      <c r="G806" t="b">
        <f t="shared" si="39"/>
        <v>0</v>
      </c>
      <c r="H806" t="b">
        <f t="shared" si="40"/>
        <v>0</v>
      </c>
      <c r="I806" s="29">
        <f t="shared" si="38"/>
        <v>40106</v>
      </c>
    </row>
    <row r="807" spans="1:9" ht="12.75" customHeight="1" x14ac:dyDescent="0.2">
      <c r="A807" s="28">
        <v>40108</v>
      </c>
      <c r="B807" s="26" t="s">
        <v>85</v>
      </c>
      <c r="C807" s="26" t="s">
        <v>9</v>
      </c>
      <c r="D807" s="35" t="s">
        <v>20</v>
      </c>
      <c r="E807" s="35" t="s">
        <v>20</v>
      </c>
      <c r="F807" s="35" t="s">
        <v>20</v>
      </c>
      <c r="G807" t="b">
        <f t="shared" si="39"/>
        <v>0</v>
      </c>
      <c r="H807" t="b">
        <f t="shared" si="40"/>
        <v>0</v>
      </c>
      <c r="I807" s="29">
        <f t="shared" si="38"/>
        <v>40108</v>
      </c>
    </row>
    <row r="808" spans="1:9" ht="12.75" customHeight="1" x14ac:dyDescent="0.2">
      <c r="A808" s="28">
        <v>40108</v>
      </c>
      <c r="B808" s="26" t="s">
        <v>2408</v>
      </c>
      <c r="C808" s="26" t="s">
        <v>9</v>
      </c>
      <c r="D808" s="35" t="s">
        <v>20</v>
      </c>
      <c r="E808" s="35" t="s">
        <v>20</v>
      </c>
      <c r="F808" s="35" t="s">
        <v>20</v>
      </c>
      <c r="G808" t="b">
        <f t="shared" si="39"/>
        <v>0</v>
      </c>
      <c r="H808" t="b">
        <f t="shared" si="40"/>
        <v>0</v>
      </c>
      <c r="I808" s="29">
        <f t="shared" si="38"/>
        <v>40108</v>
      </c>
    </row>
    <row r="809" spans="1:9" ht="25.5" x14ac:dyDescent="0.2">
      <c r="A809" s="28">
        <v>40108</v>
      </c>
      <c r="B809" s="26" t="s">
        <v>317</v>
      </c>
      <c r="C809" s="26" t="s">
        <v>9</v>
      </c>
      <c r="D809" s="35" t="s">
        <v>20</v>
      </c>
      <c r="E809" s="35">
        <v>7160</v>
      </c>
      <c r="F809" s="35" t="s">
        <v>20</v>
      </c>
      <c r="G809" t="b">
        <f t="shared" si="39"/>
        <v>0</v>
      </c>
      <c r="H809" t="b">
        <f t="shared" si="40"/>
        <v>0</v>
      </c>
      <c r="I809" s="29">
        <f t="shared" si="38"/>
        <v>40108</v>
      </c>
    </row>
    <row r="810" spans="1:9" ht="12.75" customHeight="1" x14ac:dyDescent="0.2">
      <c r="A810" s="28">
        <v>40109</v>
      </c>
      <c r="B810" s="26" t="s">
        <v>410</v>
      </c>
      <c r="C810" s="26" t="s">
        <v>3466</v>
      </c>
      <c r="D810" s="35" t="s">
        <v>20</v>
      </c>
      <c r="E810" s="35">
        <v>404122</v>
      </c>
      <c r="F810" s="35">
        <v>2492704</v>
      </c>
      <c r="G810" t="b">
        <f t="shared" si="39"/>
        <v>0</v>
      </c>
      <c r="H810" t="b">
        <f t="shared" si="40"/>
        <v>0</v>
      </c>
      <c r="I810" s="29">
        <f t="shared" si="38"/>
        <v>40109</v>
      </c>
    </row>
    <row r="811" spans="1:9" ht="12.75" customHeight="1" x14ac:dyDescent="0.2">
      <c r="A811" s="28">
        <v>40109</v>
      </c>
      <c r="B811" s="26" t="s">
        <v>1440</v>
      </c>
      <c r="C811" s="26" t="s">
        <v>1319</v>
      </c>
      <c r="D811" s="35" t="s">
        <v>20</v>
      </c>
      <c r="E811" s="35">
        <v>230600</v>
      </c>
      <c r="F811" s="35" t="s">
        <v>20</v>
      </c>
      <c r="G811" t="b">
        <f t="shared" si="39"/>
        <v>0</v>
      </c>
      <c r="H811" t="b">
        <f t="shared" si="40"/>
        <v>0</v>
      </c>
      <c r="I811" s="29">
        <f t="shared" si="38"/>
        <v>40109</v>
      </c>
    </row>
    <row r="812" spans="1:9" ht="12.75" customHeight="1" x14ac:dyDescent="0.2">
      <c r="A812" s="28">
        <v>40109</v>
      </c>
      <c r="B812" s="26" t="s">
        <v>1405</v>
      </c>
      <c r="C812" s="26" t="s">
        <v>3419</v>
      </c>
      <c r="D812" s="35">
        <v>11000000</v>
      </c>
      <c r="E812" s="35">
        <v>27693292</v>
      </c>
      <c r="F812" s="35">
        <v>61259697</v>
      </c>
      <c r="G812" t="b">
        <f t="shared" si="39"/>
        <v>0</v>
      </c>
      <c r="H812" t="b">
        <f t="shared" si="40"/>
        <v>0</v>
      </c>
      <c r="I812" s="29">
        <f t="shared" si="38"/>
        <v>40109</v>
      </c>
    </row>
    <row r="813" spans="1:9" ht="12.75" customHeight="1" x14ac:dyDescent="0.2">
      <c r="A813" s="28">
        <v>40109</v>
      </c>
      <c r="B813" s="26" t="s">
        <v>1001</v>
      </c>
      <c r="C813" s="26" t="s">
        <v>9</v>
      </c>
      <c r="D813" s="35" t="s">
        <v>20</v>
      </c>
      <c r="E813" s="35">
        <v>112313</v>
      </c>
      <c r="F813" s="35" t="s">
        <v>20</v>
      </c>
      <c r="G813" t="b">
        <f t="shared" si="39"/>
        <v>0</v>
      </c>
      <c r="H813" t="b">
        <f t="shared" si="40"/>
        <v>0</v>
      </c>
      <c r="I813" s="29">
        <f t="shared" si="38"/>
        <v>40109</v>
      </c>
    </row>
    <row r="814" spans="1:9" ht="12.75" customHeight="1" x14ac:dyDescent="0.2">
      <c r="A814" s="28">
        <v>40109</v>
      </c>
      <c r="B814" s="26" t="s">
        <v>860</v>
      </c>
      <c r="C814" s="26" t="s">
        <v>9</v>
      </c>
      <c r="D814" s="35">
        <v>15000000</v>
      </c>
      <c r="E814" s="35">
        <v>102458</v>
      </c>
      <c r="F814" s="35">
        <v>7583050</v>
      </c>
      <c r="G814" t="b">
        <f t="shared" si="39"/>
        <v>0</v>
      </c>
      <c r="H814" t="b">
        <f t="shared" si="40"/>
        <v>0</v>
      </c>
      <c r="I814" s="29">
        <f t="shared" si="38"/>
        <v>40109</v>
      </c>
    </row>
    <row r="815" spans="1:9" ht="12.75" customHeight="1" x14ac:dyDescent="0.2">
      <c r="A815" s="28">
        <v>40109</v>
      </c>
      <c r="B815" s="26" t="s">
        <v>492</v>
      </c>
      <c r="C815" s="26" t="s">
        <v>2776</v>
      </c>
      <c r="D815" s="35" t="s">
        <v>20</v>
      </c>
      <c r="E815" s="35">
        <v>93388</v>
      </c>
      <c r="F815" s="35" t="s">
        <v>20</v>
      </c>
      <c r="G815" t="b">
        <f t="shared" si="39"/>
        <v>0</v>
      </c>
      <c r="H815" t="b">
        <f t="shared" si="40"/>
        <v>0</v>
      </c>
      <c r="I815" s="29">
        <f t="shared" si="38"/>
        <v>40109</v>
      </c>
    </row>
    <row r="816" spans="1:9" ht="12.75" customHeight="1" x14ac:dyDescent="0.2">
      <c r="A816" s="28">
        <v>40109</v>
      </c>
      <c r="B816" s="26" t="s">
        <v>820</v>
      </c>
      <c r="C816" s="26" t="s">
        <v>1066</v>
      </c>
      <c r="D816" s="35">
        <v>65000000</v>
      </c>
      <c r="E816" s="35">
        <v>19551067</v>
      </c>
      <c r="F816" s="35">
        <v>44093014</v>
      </c>
      <c r="G816" t="b">
        <f t="shared" si="39"/>
        <v>0</v>
      </c>
      <c r="H816" t="b">
        <f t="shared" si="40"/>
        <v>0</v>
      </c>
      <c r="I816" s="29">
        <f t="shared" si="38"/>
        <v>40109</v>
      </c>
    </row>
    <row r="817" spans="1:9" ht="12.75" customHeight="1" x14ac:dyDescent="0.2">
      <c r="A817" s="28">
        <v>40109</v>
      </c>
      <c r="B817" s="26" t="s">
        <v>654</v>
      </c>
      <c r="C817" s="26" t="s">
        <v>9</v>
      </c>
      <c r="D817" s="35">
        <v>40000000</v>
      </c>
      <c r="E817" s="35">
        <v>14279575</v>
      </c>
      <c r="F817" s="35">
        <v>19756077</v>
      </c>
      <c r="G817" t="b">
        <f t="shared" si="39"/>
        <v>0</v>
      </c>
      <c r="H817" t="b">
        <f t="shared" si="40"/>
        <v>0</v>
      </c>
      <c r="I817" s="29">
        <f t="shared" ref="I817:I878" si="41">DATE(2009,MONTH(A817), DAY(A817))</f>
        <v>40109</v>
      </c>
    </row>
    <row r="818" spans="1:9" ht="12.75" customHeight="1" x14ac:dyDescent="0.2">
      <c r="A818" s="28">
        <v>40109</v>
      </c>
      <c r="B818" s="26" t="s">
        <v>396</v>
      </c>
      <c r="C818" s="26" t="s">
        <v>9</v>
      </c>
      <c r="D818" s="35" t="s">
        <v>20</v>
      </c>
      <c r="E818" s="35" t="s">
        <v>20</v>
      </c>
      <c r="F818" s="35">
        <v>4752036</v>
      </c>
      <c r="G818" t="b">
        <f t="shared" si="39"/>
        <v>0</v>
      </c>
      <c r="H818" t="b">
        <f t="shared" si="40"/>
        <v>0</v>
      </c>
      <c r="I818" s="29">
        <f t="shared" si="41"/>
        <v>40109</v>
      </c>
    </row>
    <row r="819" spans="1:9" ht="38.25" x14ac:dyDescent="0.2">
      <c r="A819" s="28">
        <v>40109</v>
      </c>
      <c r="B819" s="26" t="s">
        <v>846</v>
      </c>
      <c r="C819" s="26" t="s">
        <v>3096</v>
      </c>
      <c r="D819" s="35">
        <v>40000000</v>
      </c>
      <c r="E819" s="35">
        <v>14046595</v>
      </c>
      <c r="F819" s="35">
        <v>34372469</v>
      </c>
      <c r="G819" t="b">
        <f t="shared" si="39"/>
        <v>0</v>
      </c>
      <c r="H819" t="b">
        <f t="shared" si="40"/>
        <v>0</v>
      </c>
      <c r="I819" s="29">
        <f t="shared" si="41"/>
        <v>40109</v>
      </c>
    </row>
    <row r="820" spans="1:9" ht="12.75" customHeight="1" x14ac:dyDescent="0.2">
      <c r="A820" s="28">
        <v>40109</v>
      </c>
      <c r="B820" s="26" t="s">
        <v>1859</v>
      </c>
      <c r="C820" s="26" t="s">
        <v>9</v>
      </c>
      <c r="D820" s="35" t="s">
        <v>20</v>
      </c>
      <c r="E820" s="35">
        <v>1785</v>
      </c>
      <c r="F820" s="35" t="s">
        <v>20</v>
      </c>
      <c r="G820" t="b">
        <f t="shared" si="39"/>
        <v>0</v>
      </c>
      <c r="H820" t="b">
        <f t="shared" si="40"/>
        <v>0</v>
      </c>
      <c r="I820" s="29">
        <f t="shared" si="41"/>
        <v>40109</v>
      </c>
    </row>
    <row r="821" spans="1:9" ht="25.5" x14ac:dyDescent="0.2">
      <c r="A821" s="28">
        <v>40113</v>
      </c>
      <c r="B821" s="26" t="s">
        <v>2146</v>
      </c>
      <c r="C821" s="26" t="s">
        <v>9</v>
      </c>
      <c r="D821" s="35" t="s">
        <v>20</v>
      </c>
      <c r="E821" s="35" t="s">
        <v>20</v>
      </c>
      <c r="F821" s="35" t="s">
        <v>20</v>
      </c>
      <c r="G821" t="b">
        <f t="shared" si="39"/>
        <v>0</v>
      </c>
      <c r="H821" t="b">
        <f t="shared" si="40"/>
        <v>0</v>
      </c>
      <c r="I821" s="29">
        <f t="shared" si="41"/>
        <v>40113</v>
      </c>
    </row>
    <row r="822" spans="1:9" ht="12.75" customHeight="1" x14ac:dyDescent="0.2">
      <c r="A822" s="28">
        <v>40113</v>
      </c>
      <c r="B822" s="26" t="s">
        <v>2647</v>
      </c>
      <c r="C822" s="26" t="s">
        <v>9</v>
      </c>
      <c r="D822" s="35" t="s">
        <v>20</v>
      </c>
      <c r="E822" s="35" t="s">
        <v>20</v>
      </c>
      <c r="F822" s="35" t="s">
        <v>20</v>
      </c>
      <c r="G822" t="b">
        <f t="shared" si="39"/>
        <v>0</v>
      </c>
      <c r="H822" t="b">
        <f t="shared" si="40"/>
        <v>0</v>
      </c>
      <c r="I822" s="29">
        <f t="shared" si="41"/>
        <v>40113</v>
      </c>
    </row>
    <row r="823" spans="1:9" ht="25.5" x14ac:dyDescent="0.2">
      <c r="A823" s="28">
        <v>40113</v>
      </c>
      <c r="B823" s="26" t="s">
        <v>266</v>
      </c>
      <c r="C823" s="26" t="s">
        <v>9</v>
      </c>
      <c r="D823" s="35" t="s">
        <v>20</v>
      </c>
      <c r="E823" s="35" t="s">
        <v>20</v>
      </c>
      <c r="F823" s="35" t="s">
        <v>20</v>
      </c>
      <c r="G823" t="b">
        <f t="shared" si="39"/>
        <v>0</v>
      </c>
      <c r="H823" t="b">
        <f t="shared" si="40"/>
        <v>0</v>
      </c>
      <c r="I823" s="29">
        <f t="shared" si="41"/>
        <v>40113</v>
      </c>
    </row>
    <row r="824" spans="1:9" ht="25.5" x14ac:dyDescent="0.2">
      <c r="A824" s="28">
        <v>40113</v>
      </c>
      <c r="B824" s="26" t="s">
        <v>1015</v>
      </c>
      <c r="C824" s="26" t="s">
        <v>9</v>
      </c>
      <c r="D824" s="35" t="s">
        <v>20</v>
      </c>
      <c r="E824" s="35" t="s">
        <v>20</v>
      </c>
      <c r="F824" s="35" t="s">
        <v>20</v>
      </c>
      <c r="G824" t="b">
        <f t="shared" ref="G824:G885" si="42">ISBLANK(A824)</f>
        <v>0</v>
      </c>
      <c r="H824" t="b">
        <f t="shared" ref="H824:H885" si="43">ISTEXT(A824)</f>
        <v>0</v>
      </c>
      <c r="I824" s="29">
        <f t="shared" si="41"/>
        <v>40113</v>
      </c>
    </row>
    <row r="825" spans="1:9" ht="25.5" x14ac:dyDescent="0.2">
      <c r="A825" s="28">
        <v>40113</v>
      </c>
      <c r="B825" s="26" t="s">
        <v>1114</v>
      </c>
      <c r="C825" s="26" t="s">
        <v>9</v>
      </c>
      <c r="D825" s="35" t="s">
        <v>20</v>
      </c>
      <c r="E825" s="35" t="s">
        <v>20</v>
      </c>
      <c r="F825" s="35" t="s">
        <v>20</v>
      </c>
      <c r="G825" t="b">
        <f t="shared" si="42"/>
        <v>0</v>
      </c>
      <c r="H825" t="b">
        <f t="shared" si="43"/>
        <v>0</v>
      </c>
      <c r="I825" s="29">
        <f t="shared" si="41"/>
        <v>40113</v>
      </c>
    </row>
    <row r="826" spans="1:9" ht="25.5" x14ac:dyDescent="0.2">
      <c r="A826" s="28">
        <v>40114</v>
      </c>
      <c r="B826" s="26" t="s">
        <v>3121</v>
      </c>
      <c r="C826" s="26" t="s">
        <v>2160</v>
      </c>
      <c r="D826" s="35" t="s">
        <v>20</v>
      </c>
      <c r="E826" s="35">
        <v>72091016</v>
      </c>
      <c r="F826" s="35">
        <v>252091016</v>
      </c>
      <c r="G826" t="b">
        <f t="shared" si="42"/>
        <v>0</v>
      </c>
      <c r="H826" t="b">
        <f t="shared" si="43"/>
        <v>0</v>
      </c>
      <c r="I826" s="29">
        <f t="shared" si="41"/>
        <v>40114</v>
      </c>
    </row>
    <row r="827" spans="1:9" ht="12.75" customHeight="1" x14ac:dyDescent="0.2">
      <c r="A827" s="28">
        <v>40116</v>
      </c>
      <c r="B827" s="26" t="s">
        <v>1717</v>
      </c>
      <c r="C827" s="26" t="s">
        <v>2582</v>
      </c>
      <c r="D827" s="35" t="s">
        <v>20</v>
      </c>
      <c r="E827" s="35">
        <v>300293</v>
      </c>
      <c r="F827" s="35">
        <v>7418282</v>
      </c>
      <c r="G827" t="b">
        <f t="shared" si="42"/>
        <v>0</v>
      </c>
      <c r="H827" t="b">
        <f t="shared" si="43"/>
        <v>0</v>
      </c>
      <c r="I827" s="29">
        <f t="shared" si="41"/>
        <v>40116</v>
      </c>
    </row>
    <row r="828" spans="1:9" ht="25.5" x14ac:dyDescent="0.2">
      <c r="A828" s="28">
        <v>40116</v>
      </c>
      <c r="B828" s="26" t="s">
        <v>2291</v>
      </c>
      <c r="C828" s="26" t="s">
        <v>9</v>
      </c>
      <c r="D828" s="35" t="s">
        <v>20</v>
      </c>
      <c r="E828" s="35">
        <v>101215</v>
      </c>
      <c r="F828" s="35" t="s">
        <v>20</v>
      </c>
      <c r="G828" t="b">
        <f t="shared" si="42"/>
        <v>0</v>
      </c>
      <c r="H828" t="b">
        <f t="shared" si="43"/>
        <v>0</v>
      </c>
      <c r="I828" s="29">
        <f t="shared" si="41"/>
        <v>40116</v>
      </c>
    </row>
    <row r="829" spans="1:9" ht="38.25" x14ac:dyDescent="0.2">
      <c r="A829" s="28">
        <v>40116</v>
      </c>
      <c r="B829" s="26" t="s">
        <v>2007</v>
      </c>
      <c r="C829" s="26" t="s">
        <v>2860</v>
      </c>
      <c r="D829" s="35" t="s">
        <v>20</v>
      </c>
      <c r="E829" s="35">
        <v>10273187</v>
      </c>
      <c r="F829" s="35" t="s">
        <v>20</v>
      </c>
      <c r="G829" t="b">
        <f t="shared" si="42"/>
        <v>0</v>
      </c>
      <c r="H829" t="b">
        <f t="shared" si="43"/>
        <v>0</v>
      </c>
      <c r="I829" s="29">
        <f t="shared" si="41"/>
        <v>40116</v>
      </c>
    </row>
    <row r="830" spans="1:9" ht="25.5" x14ac:dyDescent="0.2">
      <c r="A830" s="28">
        <v>40116</v>
      </c>
      <c r="B830" s="26" t="s">
        <v>809</v>
      </c>
      <c r="C830" s="26" t="s">
        <v>9</v>
      </c>
      <c r="D830" s="35" t="s">
        <v>20</v>
      </c>
      <c r="E830" s="35">
        <v>7246</v>
      </c>
      <c r="F830" s="35" t="s">
        <v>20</v>
      </c>
      <c r="G830" t="b">
        <f t="shared" si="42"/>
        <v>0</v>
      </c>
      <c r="H830" t="b">
        <f t="shared" si="43"/>
        <v>0</v>
      </c>
      <c r="I830" s="29">
        <f t="shared" si="41"/>
        <v>40116</v>
      </c>
    </row>
    <row r="831" spans="1:9" ht="12.75" customHeight="1" x14ac:dyDescent="0.2">
      <c r="A831" s="28">
        <v>40116</v>
      </c>
      <c r="B831" s="26" t="s">
        <v>1577</v>
      </c>
      <c r="C831" s="26" t="s">
        <v>9</v>
      </c>
      <c r="D831" s="35" t="s">
        <v>20</v>
      </c>
      <c r="E831" s="35">
        <v>6767</v>
      </c>
      <c r="F831" s="35" t="s">
        <v>20</v>
      </c>
      <c r="G831" t="b">
        <f t="shared" si="42"/>
        <v>0</v>
      </c>
      <c r="H831" t="b">
        <f t="shared" si="43"/>
        <v>0</v>
      </c>
      <c r="I831" s="29">
        <f t="shared" si="41"/>
        <v>40116</v>
      </c>
    </row>
    <row r="832" spans="1:9" ht="12.75" customHeight="1" x14ac:dyDescent="0.2">
      <c r="A832" s="28">
        <v>40116</v>
      </c>
      <c r="B832" s="26" t="s">
        <v>716</v>
      </c>
      <c r="C832" s="26" t="s">
        <v>9</v>
      </c>
      <c r="D832" s="35" t="s">
        <v>20</v>
      </c>
      <c r="E832" s="35">
        <v>203305</v>
      </c>
      <c r="F832" s="35" t="s">
        <v>20</v>
      </c>
      <c r="G832" t="b">
        <f t="shared" si="42"/>
        <v>0</v>
      </c>
      <c r="H832" t="b">
        <f t="shared" si="43"/>
        <v>0</v>
      </c>
      <c r="I832" s="29">
        <f t="shared" si="41"/>
        <v>40116</v>
      </c>
    </row>
    <row r="833" spans="1:9" ht="12.75" customHeight="1" x14ac:dyDescent="0.2">
      <c r="A833" s="28">
        <v>40116</v>
      </c>
      <c r="B833" s="26" t="s">
        <v>318</v>
      </c>
      <c r="C833" s="26" t="s">
        <v>1414</v>
      </c>
      <c r="D833" s="35" t="s">
        <v>20</v>
      </c>
      <c r="E833" s="35">
        <v>22165</v>
      </c>
      <c r="F833" s="35" t="s">
        <v>20</v>
      </c>
      <c r="G833" t="b">
        <f t="shared" si="42"/>
        <v>0</v>
      </c>
      <c r="H833" t="b">
        <f t="shared" si="43"/>
        <v>0</v>
      </c>
      <c r="I833" s="29">
        <f t="shared" si="41"/>
        <v>40116</v>
      </c>
    </row>
    <row r="834" spans="1:9" ht="25.5" x14ac:dyDescent="0.2">
      <c r="A834" s="28">
        <v>40116</v>
      </c>
      <c r="B834" s="26" t="s">
        <v>1374</v>
      </c>
      <c r="C834" s="26" t="s">
        <v>9</v>
      </c>
      <c r="D834" s="35" t="s">
        <v>20</v>
      </c>
      <c r="E834" s="35">
        <v>113682</v>
      </c>
      <c r="F834" s="35" t="s">
        <v>20</v>
      </c>
      <c r="G834" t="b">
        <f t="shared" si="42"/>
        <v>0</v>
      </c>
      <c r="H834" t="b">
        <f t="shared" si="43"/>
        <v>0</v>
      </c>
      <c r="I834" s="29">
        <f t="shared" si="41"/>
        <v>40116</v>
      </c>
    </row>
    <row r="835" spans="1:9" ht="12.75" customHeight="1" x14ac:dyDescent="0.2">
      <c r="A835" s="28">
        <v>40119</v>
      </c>
      <c r="B835" s="26" t="s">
        <v>261</v>
      </c>
      <c r="C835" s="26" t="s">
        <v>9</v>
      </c>
      <c r="D835" s="35" t="s">
        <v>20</v>
      </c>
      <c r="E835" s="35" t="s">
        <v>20</v>
      </c>
      <c r="F835" s="35" t="s">
        <v>20</v>
      </c>
      <c r="G835" t="b">
        <f t="shared" si="42"/>
        <v>0</v>
      </c>
      <c r="H835" t="b">
        <f t="shared" si="43"/>
        <v>0</v>
      </c>
      <c r="I835" s="29">
        <f t="shared" si="41"/>
        <v>40119</v>
      </c>
    </row>
    <row r="836" spans="1:9" ht="12.75" customHeight="1" x14ac:dyDescent="0.2">
      <c r="A836" s="28">
        <v>40120</v>
      </c>
      <c r="B836" s="26" t="s">
        <v>3030</v>
      </c>
      <c r="C836" s="26" t="s">
        <v>9</v>
      </c>
      <c r="D836" s="35" t="s">
        <v>20</v>
      </c>
      <c r="E836" s="35" t="s">
        <v>20</v>
      </c>
      <c r="F836" s="35" t="s">
        <v>20</v>
      </c>
      <c r="G836" t="b">
        <f t="shared" si="42"/>
        <v>0</v>
      </c>
      <c r="H836" t="b">
        <f t="shared" si="43"/>
        <v>0</v>
      </c>
      <c r="I836" s="29">
        <f t="shared" si="41"/>
        <v>40120</v>
      </c>
    </row>
    <row r="837" spans="1:9" ht="25.5" x14ac:dyDescent="0.2">
      <c r="A837" s="28">
        <v>40120</v>
      </c>
      <c r="B837" s="26" t="s">
        <v>289</v>
      </c>
      <c r="C837" s="26" t="s">
        <v>9</v>
      </c>
      <c r="D837" s="35" t="s">
        <v>20</v>
      </c>
      <c r="E837" s="35" t="s">
        <v>20</v>
      </c>
      <c r="F837" s="35" t="s">
        <v>20</v>
      </c>
      <c r="G837" t="b">
        <f t="shared" si="42"/>
        <v>0</v>
      </c>
      <c r="H837" t="b">
        <f t="shared" si="43"/>
        <v>0</v>
      </c>
      <c r="I837" s="29">
        <f t="shared" si="41"/>
        <v>40120</v>
      </c>
    </row>
    <row r="838" spans="1:9" ht="12.75" customHeight="1" x14ac:dyDescent="0.2">
      <c r="A838" s="28">
        <v>40120</v>
      </c>
      <c r="B838" s="26" t="s">
        <v>1721</v>
      </c>
      <c r="C838" s="26" t="s">
        <v>9</v>
      </c>
      <c r="D838" s="35" t="s">
        <v>20</v>
      </c>
      <c r="E838" s="35" t="s">
        <v>20</v>
      </c>
      <c r="F838" s="35" t="s">
        <v>20</v>
      </c>
      <c r="G838" t="b">
        <f t="shared" si="42"/>
        <v>0</v>
      </c>
      <c r="H838" t="b">
        <f t="shared" si="43"/>
        <v>0</v>
      </c>
      <c r="I838" s="29">
        <f t="shared" si="41"/>
        <v>40120</v>
      </c>
    </row>
    <row r="839" spans="1:9" ht="12.75" customHeight="1" x14ac:dyDescent="0.2">
      <c r="A839" s="28">
        <v>40120</v>
      </c>
      <c r="B839" s="26" t="s">
        <v>2541</v>
      </c>
      <c r="C839" s="26" t="s">
        <v>9</v>
      </c>
      <c r="D839" s="35" t="s">
        <v>20</v>
      </c>
      <c r="E839" s="35" t="s">
        <v>20</v>
      </c>
      <c r="F839" s="35" t="s">
        <v>20</v>
      </c>
      <c r="G839" t="b">
        <f t="shared" si="42"/>
        <v>0</v>
      </c>
      <c r="H839" t="b">
        <f t="shared" si="43"/>
        <v>0</v>
      </c>
      <c r="I839" s="29">
        <f t="shared" si="41"/>
        <v>40120</v>
      </c>
    </row>
    <row r="840" spans="1:9" ht="25.5" x14ac:dyDescent="0.2">
      <c r="A840" s="28">
        <v>40120</v>
      </c>
      <c r="B840" s="26" t="s">
        <v>1308</v>
      </c>
      <c r="C840" s="26" t="s">
        <v>1016</v>
      </c>
      <c r="D840" s="35" t="s">
        <v>20</v>
      </c>
      <c r="E840" s="35" t="s">
        <v>20</v>
      </c>
      <c r="F840" s="35" t="s">
        <v>20</v>
      </c>
      <c r="G840" t="b">
        <f t="shared" si="42"/>
        <v>0</v>
      </c>
      <c r="H840" t="b">
        <f t="shared" si="43"/>
        <v>0</v>
      </c>
      <c r="I840" s="29">
        <f t="shared" si="41"/>
        <v>40120</v>
      </c>
    </row>
    <row r="841" spans="1:9" ht="12.75" customHeight="1" x14ac:dyDescent="0.2">
      <c r="A841" s="28">
        <v>40121</v>
      </c>
      <c r="B841" s="26" t="s">
        <v>1337</v>
      </c>
      <c r="C841" s="26" t="s">
        <v>1510</v>
      </c>
      <c r="D841" s="35" t="s">
        <v>20</v>
      </c>
      <c r="E841" s="35">
        <v>567493</v>
      </c>
      <c r="F841" s="35" t="s">
        <v>20</v>
      </c>
      <c r="G841" t="b">
        <f t="shared" si="42"/>
        <v>0</v>
      </c>
      <c r="H841" t="b">
        <f t="shared" si="43"/>
        <v>0</v>
      </c>
      <c r="I841" s="29">
        <f t="shared" si="41"/>
        <v>40121</v>
      </c>
    </row>
    <row r="842" spans="1:9" ht="12.75" customHeight="1" x14ac:dyDescent="0.2">
      <c r="A842" s="28">
        <v>40123</v>
      </c>
      <c r="B842" s="26" t="s">
        <v>1636</v>
      </c>
      <c r="C842" s="26" t="s">
        <v>9</v>
      </c>
      <c r="D842" s="35" t="s">
        <v>20</v>
      </c>
      <c r="E842" s="35">
        <v>3359</v>
      </c>
      <c r="F842" s="35" t="s">
        <v>20</v>
      </c>
      <c r="G842" t="b">
        <f t="shared" si="42"/>
        <v>0</v>
      </c>
      <c r="H842" t="b">
        <f t="shared" si="43"/>
        <v>0</v>
      </c>
      <c r="I842" s="29">
        <f t="shared" si="41"/>
        <v>40123</v>
      </c>
    </row>
    <row r="843" spans="1:9" ht="12.75" customHeight="1" x14ac:dyDescent="0.2">
      <c r="A843" s="28">
        <v>40123</v>
      </c>
      <c r="B843" s="26" t="s">
        <v>736</v>
      </c>
      <c r="C843" s="26" t="s">
        <v>9</v>
      </c>
      <c r="D843" s="35" t="s">
        <v>20</v>
      </c>
      <c r="E843" s="35">
        <v>281350</v>
      </c>
      <c r="F843" s="35" t="s">
        <v>20</v>
      </c>
      <c r="G843" t="b">
        <f t="shared" si="42"/>
        <v>0</v>
      </c>
      <c r="H843" t="b">
        <f t="shared" si="43"/>
        <v>0</v>
      </c>
      <c r="I843" s="29">
        <f t="shared" si="41"/>
        <v>40123</v>
      </c>
    </row>
    <row r="844" spans="1:9" ht="12.75" customHeight="1" x14ac:dyDescent="0.2">
      <c r="A844" s="28">
        <v>40123</v>
      </c>
      <c r="B844" s="26" t="s">
        <v>2528</v>
      </c>
      <c r="C844" s="26" t="s">
        <v>9</v>
      </c>
      <c r="D844" s="35" t="s">
        <v>20</v>
      </c>
      <c r="E844" s="35" t="s">
        <v>20</v>
      </c>
      <c r="F844" s="35" t="s">
        <v>20</v>
      </c>
      <c r="G844" t="b">
        <f t="shared" si="42"/>
        <v>0</v>
      </c>
      <c r="H844" t="b">
        <f t="shared" si="43"/>
        <v>0</v>
      </c>
      <c r="I844" s="29">
        <f t="shared" si="41"/>
        <v>40123</v>
      </c>
    </row>
    <row r="845" spans="1:9" ht="12.75" customHeight="1" x14ac:dyDescent="0.2">
      <c r="A845" s="28">
        <v>40123</v>
      </c>
      <c r="B845" s="26" t="s">
        <v>3446</v>
      </c>
      <c r="C845" s="26" t="s">
        <v>125</v>
      </c>
      <c r="D845" s="35" t="s">
        <v>20</v>
      </c>
      <c r="E845" s="35">
        <v>16392</v>
      </c>
      <c r="F845" s="35" t="s">
        <v>20</v>
      </c>
      <c r="G845" t="b">
        <f t="shared" si="42"/>
        <v>0</v>
      </c>
      <c r="H845" t="b">
        <f t="shared" si="43"/>
        <v>0</v>
      </c>
      <c r="I845" s="29">
        <f t="shared" si="41"/>
        <v>40123</v>
      </c>
    </row>
    <row r="846" spans="1:9" ht="12.75" customHeight="1" x14ac:dyDescent="0.2">
      <c r="A846" s="28">
        <v>40123</v>
      </c>
      <c r="B846" s="26" t="s">
        <v>1199</v>
      </c>
      <c r="C846" s="26" t="s">
        <v>9</v>
      </c>
      <c r="D846" s="35" t="s">
        <v>20</v>
      </c>
      <c r="E846" s="35" t="s">
        <v>20</v>
      </c>
      <c r="F846" s="35">
        <v>15200000</v>
      </c>
      <c r="G846" t="b">
        <f t="shared" si="42"/>
        <v>0</v>
      </c>
      <c r="H846" t="b">
        <f t="shared" si="43"/>
        <v>0</v>
      </c>
      <c r="I846" s="29">
        <f t="shared" si="41"/>
        <v>40123</v>
      </c>
    </row>
    <row r="847" spans="1:9" ht="38.25" x14ac:dyDescent="0.2">
      <c r="A847" s="28">
        <v>40123</v>
      </c>
      <c r="B847" s="26" t="s">
        <v>1055</v>
      </c>
      <c r="C847" s="26" t="s">
        <v>9</v>
      </c>
      <c r="D847" s="35">
        <v>10000000</v>
      </c>
      <c r="E847" s="35">
        <v>47566524</v>
      </c>
      <c r="F847" s="35">
        <v>63471431</v>
      </c>
      <c r="G847" t="b">
        <f t="shared" si="42"/>
        <v>0</v>
      </c>
      <c r="H847" t="b">
        <f t="shared" si="43"/>
        <v>0</v>
      </c>
      <c r="I847" s="29">
        <f t="shared" si="41"/>
        <v>40123</v>
      </c>
    </row>
    <row r="848" spans="1:9" ht="12.75" customHeight="1" x14ac:dyDescent="0.2">
      <c r="A848" s="28">
        <v>40123</v>
      </c>
      <c r="B848" s="26" t="s">
        <v>2591</v>
      </c>
      <c r="C848" s="26" t="s">
        <v>3209</v>
      </c>
      <c r="D848" s="35">
        <v>25000000</v>
      </c>
      <c r="E848" s="35">
        <v>15051977</v>
      </c>
      <c r="F848" s="35">
        <v>26341896</v>
      </c>
      <c r="G848" t="b">
        <f t="shared" si="42"/>
        <v>0</v>
      </c>
      <c r="H848" t="b">
        <f t="shared" si="43"/>
        <v>0</v>
      </c>
      <c r="I848" s="29">
        <f t="shared" si="41"/>
        <v>40123</v>
      </c>
    </row>
    <row r="849" spans="1:9" ht="25.5" x14ac:dyDescent="0.2">
      <c r="A849" s="28">
        <v>40123</v>
      </c>
      <c r="B849" s="26" t="s">
        <v>2522</v>
      </c>
      <c r="C849" s="26" t="s">
        <v>980</v>
      </c>
      <c r="D849" s="35">
        <v>24000000</v>
      </c>
      <c r="E849" s="35">
        <v>32428195</v>
      </c>
      <c r="F849" s="35">
        <v>67348218</v>
      </c>
      <c r="G849" t="b">
        <f t="shared" si="42"/>
        <v>0</v>
      </c>
      <c r="H849" t="b">
        <f t="shared" si="43"/>
        <v>0</v>
      </c>
      <c r="I849" s="29">
        <f t="shared" si="41"/>
        <v>40123</v>
      </c>
    </row>
    <row r="850" spans="1:9" ht="12.75" customHeight="1" x14ac:dyDescent="0.2">
      <c r="A850" s="28">
        <v>40123</v>
      </c>
      <c r="B850" s="26" t="s">
        <v>1288</v>
      </c>
      <c r="C850" s="26" t="s">
        <v>3096</v>
      </c>
      <c r="D850" s="35">
        <v>10000000</v>
      </c>
      <c r="E850" s="35">
        <v>25486040</v>
      </c>
      <c r="F850" s="35">
        <v>48756658</v>
      </c>
      <c r="G850" t="b">
        <f t="shared" si="42"/>
        <v>0</v>
      </c>
      <c r="H850" t="b">
        <f t="shared" si="43"/>
        <v>0</v>
      </c>
      <c r="I850" s="29">
        <f t="shared" si="41"/>
        <v>40123</v>
      </c>
    </row>
    <row r="851" spans="1:9" ht="25.5" x14ac:dyDescent="0.2">
      <c r="A851" s="28">
        <v>40123</v>
      </c>
      <c r="B851" s="26" t="s">
        <v>3265</v>
      </c>
      <c r="C851" s="26" t="s">
        <v>3390</v>
      </c>
      <c r="D851" s="35">
        <v>190000000</v>
      </c>
      <c r="E851" s="35">
        <v>137855863</v>
      </c>
      <c r="F851" s="35">
        <v>323743744</v>
      </c>
      <c r="G851" t="b">
        <f t="shared" si="42"/>
        <v>0</v>
      </c>
      <c r="H851" t="b">
        <f t="shared" si="43"/>
        <v>0</v>
      </c>
      <c r="I851" s="29">
        <f t="shared" si="41"/>
        <v>40123</v>
      </c>
    </row>
    <row r="852" spans="1:9" ht="25.5" x14ac:dyDescent="0.2">
      <c r="A852" s="28">
        <v>40123</v>
      </c>
      <c r="B852" s="26" t="s">
        <v>1008</v>
      </c>
      <c r="C852" s="26" t="s">
        <v>9</v>
      </c>
      <c r="D852" s="35" t="s">
        <v>20</v>
      </c>
      <c r="E852" s="35">
        <v>741238</v>
      </c>
      <c r="F852" s="35">
        <v>15906411</v>
      </c>
      <c r="G852" t="b">
        <f t="shared" si="42"/>
        <v>0</v>
      </c>
      <c r="H852" t="b">
        <f t="shared" si="43"/>
        <v>0</v>
      </c>
      <c r="I852" s="29">
        <f t="shared" si="41"/>
        <v>40123</v>
      </c>
    </row>
    <row r="853" spans="1:9" ht="12.75" customHeight="1" x14ac:dyDescent="0.2">
      <c r="A853" s="28">
        <v>40123</v>
      </c>
      <c r="B853" s="26" t="s">
        <v>393</v>
      </c>
      <c r="C853" s="26" t="s">
        <v>9</v>
      </c>
      <c r="D853" s="35" t="s">
        <v>20</v>
      </c>
      <c r="E853" s="35">
        <v>9645</v>
      </c>
      <c r="F853" s="35" t="s">
        <v>20</v>
      </c>
      <c r="G853" t="b">
        <f t="shared" si="42"/>
        <v>0</v>
      </c>
      <c r="H853" t="b">
        <f t="shared" si="43"/>
        <v>0</v>
      </c>
      <c r="I853" s="29">
        <f t="shared" si="41"/>
        <v>40123</v>
      </c>
    </row>
    <row r="854" spans="1:9" ht="12.75" customHeight="1" x14ac:dyDescent="0.2">
      <c r="A854" s="28">
        <v>40123</v>
      </c>
      <c r="B854" s="26" t="s">
        <v>59</v>
      </c>
      <c r="C854" s="26" t="s">
        <v>1310</v>
      </c>
      <c r="D854" s="35" t="s">
        <v>20</v>
      </c>
      <c r="E854" s="35">
        <v>56436</v>
      </c>
      <c r="F854" s="35" t="s">
        <v>20</v>
      </c>
      <c r="G854" t="b">
        <f t="shared" si="42"/>
        <v>0</v>
      </c>
      <c r="H854" t="b">
        <f t="shared" si="43"/>
        <v>0</v>
      </c>
      <c r="I854" s="29">
        <f t="shared" si="41"/>
        <v>40123</v>
      </c>
    </row>
    <row r="855" spans="1:9" ht="12.75" customHeight="1" x14ac:dyDescent="0.2">
      <c r="A855" s="28">
        <v>40127</v>
      </c>
      <c r="B855" s="26" t="s">
        <v>2482</v>
      </c>
      <c r="C855" s="26" t="s">
        <v>1016</v>
      </c>
      <c r="D855" s="35" t="s">
        <v>20</v>
      </c>
      <c r="E855" s="35" t="s">
        <v>20</v>
      </c>
      <c r="F855" s="35" t="s">
        <v>20</v>
      </c>
      <c r="G855" t="b">
        <f t="shared" si="42"/>
        <v>0</v>
      </c>
      <c r="H855" t="b">
        <f t="shared" si="43"/>
        <v>0</v>
      </c>
      <c r="I855" s="29">
        <f t="shared" si="41"/>
        <v>40127</v>
      </c>
    </row>
    <row r="856" spans="1:9" ht="25.5" x14ac:dyDescent="0.2">
      <c r="A856" s="28">
        <v>40127</v>
      </c>
      <c r="B856" s="26" t="s">
        <v>2400</v>
      </c>
      <c r="C856" s="26" t="s">
        <v>2160</v>
      </c>
      <c r="D856" s="35" t="s">
        <v>20</v>
      </c>
      <c r="E856" s="35" t="s">
        <v>20</v>
      </c>
      <c r="F856" s="35">
        <v>10484999</v>
      </c>
      <c r="G856" t="b">
        <f t="shared" si="42"/>
        <v>0</v>
      </c>
      <c r="H856" t="b">
        <f t="shared" si="43"/>
        <v>0</v>
      </c>
      <c r="I856" s="29">
        <f t="shared" si="41"/>
        <v>40127</v>
      </c>
    </row>
    <row r="857" spans="1:9" ht="12.75" customHeight="1" x14ac:dyDescent="0.2">
      <c r="A857" s="28">
        <v>40127</v>
      </c>
      <c r="B857" s="26" t="s">
        <v>2102</v>
      </c>
      <c r="C857" s="26" t="s">
        <v>9</v>
      </c>
      <c r="D857" s="35" t="s">
        <v>20</v>
      </c>
      <c r="E857" s="35" t="s">
        <v>20</v>
      </c>
      <c r="F857" s="35" t="s">
        <v>20</v>
      </c>
      <c r="G857" t="b">
        <f t="shared" si="42"/>
        <v>0</v>
      </c>
      <c r="H857" t="b">
        <f t="shared" si="43"/>
        <v>0</v>
      </c>
      <c r="I857" s="29">
        <f t="shared" si="41"/>
        <v>40127</v>
      </c>
    </row>
    <row r="858" spans="1:9" ht="12.75" customHeight="1" x14ac:dyDescent="0.2">
      <c r="A858" s="28">
        <v>40127</v>
      </c>
      <c r="B858" s="26" t="s">
        <v>2707</v>
      </c>
      <c r="C858" s="26" t="s">
        <v>9</v>
      </c>
      <c r="D858" s="35" t="s">
        <v>20</v>
      </c>
      <c r="E858" s="35" t="s">
        <v>20</v>
      </c>
      <c r="F858" s="35" t="s">
        <v>20</v>
      </c>
      <c r="G858" t="b">
        <f t="shared" si="42"/>
        <v>0</v>
      </c>
      <c r="H858" t="b">
        <f t="shared" si="43"/>
        <v>0</v>
      </c>
      <c r="I858" s="29">
        <f t="shared" si="41"/>
        <v>40127</v>
      </c>
    </row>
    <row r="859" spans="1:9" ht="12.75" customHeight="1" x14ac:dyDescent="0.2">
      <c r="A859" s="28">
        <v>40127</v>
      </c>
      <c r="B859" s="26" t="s">
        <v>1159</v>
      </c>
      <c r="C859" s="26" t="s">
        <v>9</v>
      </c>
      <c r="D859" s="35" t="s">
        <v>20</v>
      </c>
      <c r="E859" s="35" t="s">
        <v>20</v>
      </c>
      <c r="F859" s="35" t="s">
        <v>20</v>
      </c>
      <c r="G859" t="b">
        <f t="shared" si="42"/>
        <v>0</v>
      </c>
      <c r="H859" t="b">
        <f t="shared" si="43"/>
        <v>0</v>
      </c>
      <c r="I859" s="29">
        <f t="shared" si="41"/>
        <v>40127</v>
      </c>
    </row>
    <row r="860" spans="1:9" ht="12.75" customHeight="1" x14ac:dyDescent="0.2">
      <c r="A860" s="28">
        <v>40127</v>
      </c>
      <c r="B860" s="26" t="s">
        <v>2643</v>
      </c>
      <c r="C860" s="26" t="s">
        <v>9</v>
      </c>
      <c r="D860" s="35" t="s">
        <v>20</v>
      </c>
      <c r="E860" s="35" t="s">
        <v>20</v>
      </c>
      <c r="F860" s="35" t="s">
        <v>20</v>
      </c>
      <c r="G860" t="b">
        <f t="shared" si="42"/>
        <v>0</v>
      </c>
      <c r="H860" t="b">
        <f t="shared" si="43"/>
        <v>0</v>
      </c>
      <c r="I860" s="29">
        <f t="shared" si="41"/>
        <v>40127</v>
      </c>
    </row>
    <row r="861" spans="1:9" ht="25.5" x14ac:dyDescent="0.2">
      <c r="A861" s="28">
        <v>40127</v>
      </c>
      <c r="B861" s="26" t="s">
        <v>1563</v>
      </c>
      <c r="C861" s="26" t="s">
        <v>9</v>
      </c>
      <c r="D861" s="35" t="s">
        <v>20</v>
      </c>
      <c r="E861" s="35" t="s">
        <v>20</v>
      </c>
      <c r="F861" s="35" t="s">
        <v>20</v>
      </c>
      <c r="G861" t="b">
        <f t="shared" si="42"/>
        <v>0</v>
      </c>
      <c r="H861" t="b">
        <f t="shared" si="43"/>
        <v>0</v>
      </c>
      <c r="I861" s="29">
        <f t="shared" si="41"/>
        <v>40127</v>
      </c>
    </row>
    <row r="862" spans="1:9" ht="12.75" customHeight="1" x14ac:dyDescent="0.2">
      <c r="A862" s="28">
        <v>40127</v>
      </c>
      <c r="B862" s="26" t="s">
        <v>659</v>
      </c>
      <c r="C862" s="26" t="s">
        <v>9</v>
      </c>
      <c r="D862" s="35" t="s">
        <v>20</v>
      </c>
      <c r="E862" s="35" t="s">
        <v>20</v>
      </c>
      <c r="F862" s="35" t="s">
        <v>20</v>
      </c>
      <c r="G862" t="b">
        <f t="shared" si="42"/>
        <v>0</v>
      </c>
      <c r="H862" t="b">
        <f t="shared" si="43"/>
        <v>0</v>
      </c>
      <c r="I862" s="29">
        <f t="shared" si="41"/>
        <v>40127</v>
      </c>
    </row>
    <row r="863" spans="1:9" ht="12.75" customHeight="1" x14ac:dyDescent="0.2">
      <c r="A863" s="28">
        <v>40127</v>
      </c>
      <c r="B863" s="26" t="s">
        <v>2382</v>
      </c>
      <c r="C863" s="26" t="s">
        <v>9</v>
      </c>
      <c r="D863" s="35" t="s">
        <v>20</v>
      </c>
      <c r="E863" s="35" t="s">
        <v>20</v>
      </c>
      <c r="F863" s="35" t="s">
        <v>20</v>
      </c>
      <c r="G863" t="b">
        <f t="shared" si="42"/>
        <v>0</v>
      </c>
      <c r="H863" t="b">
        <f t="shared" si="43"/>
        <v>0</v>
      </c>
      <c r="I863" s="29">
        <f t="shared" si="41"/>
        <v>40127</v>
      </c>
    </row>
    <row r="864" spans="1:9" ht="12.75" customHeight="1" x14ac:dyDescent="0.2">
      <c r="A864" s="28">
        <v>40127</v>
      </c>
      <c r="B864" s="26" t="s">
        <v>2019</v>
      </c>
      <c r="C864" s="26" t="s">
        <v>9</v>
      </c>
      <c r="D864" s="35" t="s">
        <v>20</v>
      </c>
      <c r="E864" s="35" t="s">
        <v>20</v>
      </c>
      <c r="F864" s="35" t="s">
        <v>20</v>
      </c>
      <c r="G864" t="b">
        <f t="shared" si="42"/>
        <v>0</v>
      </c>
      <c r="H864" t="b">
        <f t="shared" si="43"/>
        <v>0</v>
      </c>
      <c r="I864" s="29">
        <f t="shared" si="41"/>
        <v>40127</v>
      </c>
    </row>
    <row r="865" spans="1:9" ht="25.5" x14ac:dyDescent="0.2">
      <c r="A865" s="28">
        <v>40127</v>
      </c>
      <c r="B865" s="26" t="s">
        <v>2580</v>
      </c>
      <c r="C865" s="26" t="s">
        <v>9</v>
      </c>
      <c r="D865" s="35" t="s">
        <v>20</v>
      </c>
      <c r="E865" s="35" t="s">
        <v>20</v>
      </c>
      <c r="F865" s="35" t="s">
        <v>20</v>
      </c>
      <c r="G865" t="b">
        <f t="shared" si="42"/>
        <v>0</v>
      </c>
      <c r="H865" t="b">
        <f t="shared" si="43"/>
        <v>0</v>
      </c>
      <c r="I865" s="29">
        <f t="shared" si="41"/>
        <v>40127</v>
      </c>
    </row>
    <row r="866" spans="1:9" ht="12.75" customHeight="1" x14ac:dyDescent="0.2">
      <c r="A866" s="28">
        <v>40127</v>
      </c>
      <c r="B866" s="26" t="s">
        <v>502</v>
      </c>
      <c r="C866" s="26" t="s">
        <v>9</v>
      </c>
      <c r="D866" s="35" t="s">
        <v>20</v>
      </c>
      <c r="E866" s="35">
        <v>142403</v>
      </c>
      <c r="F866" s="35" t="s">
        <v>20</v>
      </c>
      <c r="G866" t="b">
        <f t="shared" si="42"/>
        <v>0</v>
      </c>
      <c r="H866" t="b">
        <f t="shared" si="43"/>
        <v>0</v>
      </c>
      <c r="I866" s="29">
        <f t="shared" si="41"/>
        <v>40127</v>
      </c>
    </row>
    <row r="867" spans="1:9" ht="12.75" customHeight="1" x14ac:dyDescent="0.2">
      <c r="A867" s="28">
        <v>40128</v>
      </c>
      <c r="B867" s="26" t="s">
        <v>395</v>
      </c>
      <c r="C867" s="26" t="s">
        <v>9</v>
      </c>
      <c r="D867" s="35" t="s">
        <v>20</v>
      </c>
      <c r="E867" s="35">
        <v>6000</v>
      </c>
      <c r="F867" s="35" t="s">
        <v>20</v>
      </c>
      <c r="G867" t="b">
        <f t="shared" si="42"/>
        <v>0</v>
      </c>
      <c r="H867" t="b">
        <f t="shared" si="43"/>
        <v>0</v>
      </c>
      <c r="I867" s="29">
        <f t="shared" si="41"/>
        <v>40128</v>
      </c>
    </row>
    <row r="868" spans="1:9" ht="25.5" x14ac:dyDescent="0.2">
      <c r="A868" s="28">
        <v>40128</v>
      </c>
      <c r="B868" s="26" t="s">
        <v>2063</v>
      </c>
      <c r="C868" s="26" t="s">
        <v>2964</v>
      </c>
      <c r="D868" s="35" t="s">
        <v>20</v>
      </c>
      <c r="E868" s="35">
        <v>58334</v>
      </c>
      <c r="F868" s="35" t="s">
        <v>20</v>
      </c>
      <c r="G868" t="b">
        <f t="shared" si="42"/>
        <v>0</v>
      </c>
      <c r="H868" t="b">
        <f t="shared" si="43"/>
        <v>0</v>
      </c>
      <c r="I868" s="29">
        <f t="shared" si="41"/>
        <v>40128</v>
      </c>
    </row>
    <row r="869" spans="1:9" ht="12.75" customHeight="1" x14ac:dyDescent="0.2">
      <c r="A869" s="28">
        <v>40130</v>
      </c>
      <c r="B869" s="26">
        <v>2012</v>
      </c>
      <c r="C869" s="26" t="s">
        <v>2160</v>
      </c>
      <c r="D869" s="35">
        <v>200000000</v>
      </c>
      <c r="E869" s="35">
        <v>166112167</v>
      </c>
      <c r="F869" s="35">
        <v>766812167</v>
      </c>
      <c r="G869" t="b">
        <f t="shared" si="42"/>
        <v>0</v>
      </c>
      <c r="H869" t="b">
        <f t="shared" si="43"/>
        <v>0</v>
      </c>
      <c r="I869" s="29">
        <f t="shared" si="41"/>
        <v>40130</v>
      </c>
    </row>
    <row r="870" spans="1:9" ht="12.75" customHeight="1" x14ac:dyDescent="0.2">
      <c r="A870" s="28">
        <v>40130</v>
      </c>
      <c r="B870" s="26" t="s">
        <v>1175</v>
      </c>
      <c r="C870" s="26" t="s">
        <v>322</v>
      </c>
      <c r="D870" s="35">
        <v>6500000</v>
      </c>
      <c r="E870" s="35">
        <v>1109660</v>
      </c>
      <c r="F870" s="35">
        <v>1409660</v>
      </c>
      <c r="G870" t="b">
        <f t="shared" si="42"/>
        <v>0</v>
      </c>
      <c r="H870" t="b">
        <f t="shared" si="43"/>
        <v>0</v>
      </c>
      <c r="I870" s="29">
        <f t="shared" si="41"/>
        <v>40130</v>
      </c>
    </row>
    <row r="871" spans="1:9" ht="25.5" x14ac:dyDescent="0.2">
      <c r="A871" s="28">
        <v>40130</v>
      </c>
      <c r="B871" s="26" t="s">
        <v>756</v>
      </c>
      <c r="C871" s="26" t="s">
        <v>3096</v>
      </c>
      <c r="D871" s="35">
        <v>50000000</v>
      </c>
      <c r="E871" s="35">
        <v>8017467</v>
      </c>
      <c r="F871" s="35">
        <v>37472651</v>
      </c>
      <c r="G871" t="b">
        <f t="shared" si="42"/>
        <v>0</v>
      </c>
      <c r="H871" t="b">
        <f t="shared" si="43"/>
        <v>0</v>
      </c>
      <c r="I871" s="29">
        <f t="shared" si="41"/>
        <v>40130</v>
      </c>
    </row>
    <row r="872" spans="1:9" ht="12.75" customHeight="1" x14ac:dyDescent="0.2">
      <c r="A872" s="28">
        <v>40130</v>
      </c>
      <c r="B872" s="26" t="s">
        <v>913</v>
      </c>
      <c r="C872" s="26" t="s">
        <v>647</v>
      </c>
      <c r="D872" s="35" t="s">
        <v>20</v>
      </c>
      <c r="E872" s="35" t="s">
        <v>20</v>
      </c>
      <c r="F872" s="35" t="s">
        <v>20</v>
      </c>
      <c r="G872" t="b">
        <f t="shared" si="42"/>
        <v>0</v>
      </c>
      <c r="H872" t="b">
        <f t="shared" si="43"/>
        <v>0</v>
      </c>
      <c r="I872" s="29">
        <f t="shared" si="41"/>
        <v>40130</v>
      </c>
    </row>
    <row r="873" spans="1:9" ht="12.75" customHeight="1" x14ac:dyDescent="0.2">
      <c r="A873" s="28">
        <v>40130</v>
      </c>
      <c r="B873" s="26" t="s">
        <v>2547</v>
      </c>
      <c r="C873" s="26" t="s">
        <v>439</v>
      </c>
      <c r="D873" s="35" t="s">
        <v>20</v>
      </c>
      <c r="E873" s="35">
        <v>38245</v>
      </c>
      <c r="F873" s="35" t="s">
        <v>20</v>
      </c>
      <c r="G873" t="b">
        <f t="shared" si="42"/>
        <v>0</v>
      </c>
      <c r="H873" t="b">
        <f t="shared" si="43"/>
        <v>0</v>
      </c>
      <c r="I873" s="29">
        <f t="shared" si="41"/>
        <v>40130</v>
      </c>
    </row>
    <row r="874" spans="1:9" x14ac:dyDescent="0.2">
      <c r="A874" s="28">
        <v>40130</v>
      </c>
      <c r="B874" s="26" t="s">
        <v>2347</v>
      </c>
      <c r="C874" s="26" t="s">
        <v>729</v>
      </c>
      <c r="D874" s="35" t="s">
        <v>20</v>
      </c>
      <c r="E874" s="35">
        <v>18521</v>
      </c>
      <c r="F874" s="35" t="s">
        <v>20</v>
      </c>
      <c r="G874" t="b">
        <f t="shared" si="42"/>
        <v>0</v>
      </c>
      <c r="H874" t="b">
        <f t="shared" si="43"/>
        <v>0</v>
      </c>
      <c r="I874" s="29">
        <f t="shared" si="41"/>
        <v>40130</v>
      </c>
    </row>
    <row r="875" spans="1:9" ht="12.75" customHeight="1" x14ac:dyDescent="0.2">
      <c r="A875" s="28">
        <v>40130</v>
      </c>
      <c r="B875" s="26" t="s">
        <v>152</v>
      </c>
      <c r="C875" s="26" t="s">
        <v>9</v>
      </c>
      <c r="D875" s="35" t="s">
        <v>20</v>
      </c>
      <c r="E875" s="35">
        <v>13937</v>
      </c>
      <c r="F875" s="35" t="s">
        <v>20</v>
      </c>
      <c r="G875" t="b">
        <f t="shared" si="42"/>
        <v>0</v>
      </c>
      <c r="H875" t="b">
        <f t="shared" si="43"/>
        <v>0</v>
      </c>
      <c r="I875" s="29">
        <f t="shared" si="41"/>
        <v>40130</v>
      </c>
    </row>
    <row r="876" spans="1:9" ht="38.25" x14ac:dyDescent="0.2">
      <c r="A876" s="28">
        <v>40130</v>
      </c>
      <c r="B876" s="26" t="s">
        <v>1538</v>
      </c>
      <c r="C876" s="26" t="s">
        <v>9</v>
      </c>
      <c r="D876" s="35" t="s">
        <v>20</v>
      </c>
      <c r="E876" s="35">
        <v>57769</v>
      </c>
      <c r="F876" s="35" t="s">
        <v>20</v>
      </c>
      <c r="G876" t="b">
        <f t="shared" si="42"/>
        <v>0</v>
      </c>
      <c r="H876" t="b">
        <f t="shared" si="43"/>
        <v>0</v>
      </c>
      <c r="I876" s="29">
        <f t="shared" si="41"/>
        <v>40130</v>
      </c>
    </row>
    <row r="877" spans="1:9" ht="12.75" customHeight="1" x14ac:dyDescent="0.2">
      <c r="A877" s="28">
        <v>40130</v>
      </c>
      <c r="B877" s="26" t="s">
        <v>389</v>
      </c>
      <c r="C877" s="26" t="s">
        <v>3466</v>
      </c>
      <c r="D877" s="35" t="s">
        <v>20</v>
      </c>
      <c r="E877" s="35">
        <v>36689</v>
      </c>
      <c r="F877" s="35" t="s">
        <v>20</v>
      </c>
      <c r="G877" t="b">
        <f t="shared" si="42"/>
        <v>0</v>
      </c>
      <c r="H877" t="b">
        <f t="shared" si="43"/>
        <v>0</v>
      </c>
      <c r="I877" s="29">
        <f t="shared" si="41"/>
        <v>40130</v>
      </c>
    </row>
    <row r="878" spans="1:9" ht="12.75" customHeight="1" x14ac:dyDescent="0.2">
      <c r="A878" s="28">
        <v>40130</v>
      </c>
      <c r="B878" s="26" t="s">
        <v>3464</v>
      </c>
      <c r="C878" s="26" t="s">
        <v>9</v>
      </c>
      <c r="D878" s="35" t="s">
        <v>20</v>
      </c>
      <c r="E878" s="35">
        <v>18087</v>
      </c>
      <c r="F878" s="35" t="s">
        <v>20</v>
      </c>
      <c r="G878" t="b">
        <f t="shared" si="42"/>
        <v>0</v>
      </c>
      <c r="H878" t="b">
        <f t="shared" si="43"/>
        <v>0</v>
      </c>
      <c r="I878" s="29">
        <f t="shared" si="41"/>
        <v>40130</v>
      </c>
    </row>
    <row r="879" spans="1:9" ht="25.5" x14ac:dyDescent="0.2">
      <c r="A879" s="28">
        <v>40130</v>
      </c>
      <c r="B879" s="26" t="s">
        <v>668</v>
      </c>
      <c r="C879" s="26" t="s">
        <v>384</v>
      </c>
      <c r="D879" s="35">
        <v>40000000</v>
      </c>
      <c r="E879" s="35">
        <v>21002919</v>
      </c>
      <c r="F879" s="35">
        <v>46498922</v>
      </c>
      <c r="G879" t="b">
        <f t="shared" si="42"/>
        <v>0</v>
      </c>
      <c r="H879" t="b">
        <f t="shared" si="43"/>
        <v>0</v>
      </c>
      <c r="I879" s="29">
        <f t="shared" ref="I879:I940" si="44">DATE(2009,MONTH(A879), DAY(A879))</f>
        <v>40130</v>
      </c>
    </row>
    <row r="880" spans="1:9" ht="25.5" x14ac:dyDescent="0.2">
      <c r="A880" s="28">
        <v>40130</v>
      </c>
      <c r="B880" s="26" t="s">
        <v>2881</v>
      </c>
      <c r="C880" s="26" t="s">
        <v>1074</v>
      </c>
      <c r="D880" s="35" t="s">
        <v>20</v>
      </c>
      <c r="E880" s="35">
        <v>57324</v>
      </c>
      <c r="F880" s="35" t="s">
        <v>20</v>
      </c>
      <c r="G880" t="b">
        <f t="shared" si="42"/>
        <v>0</v>
      </c>
      <c r="H880" t="b">
        <f t="shared" si="43"/>
        <v>0</v>
      </c>
      <c r="I880" s="29">
        <f t="shared" si="44"/>
        <v>40130</v>
      </c>
    </row>
    <row r="881" spans="1:9" ht="12.75" customHeight="1" x14ac:dyDescent="0.2">
      <c r="A881" s="28">
        <v>40131</v>
      </c>
      <c r="B881" s="26" t="s">
        <v>1574</v>
      </c>
      <c r="C881" s="26" t="s">
        <v>9</v>
      </c>
      <c r="D881" s="35" t="s">
        <v>20</v>
      </c>
      <c r="E881" s="35" t="s">
        <v>20</v>
      </c>
      <c r="F881" s="35" t="s">
        <v>20</v>
      </c>
      <c r="G881" t="b">
        <f t="shared" si="42"/>
        <v>0</v>
      </c>
      <c r="H881" t="b">
        <f t="shared" si="43"/>
        <v>0</v>
      </c>
      <c r="I881" s="29">
        <f t="shared" si="44"/>
        <v>40131</v>
      </c>
    </row>
    <row r="882" spans="1:9" ht="25.5" x14ac:dyDescent="0.2">
      <c r="A882" s="28">
        <v>40134</v>
      </c>
      <c r="B882" s="26" t="s">
        <v>1081</v>
      </c>
      <c r="C882" s="26" t="s">
        <v>1016</v>
      </c>
      <c r="D882" s="35" t="s">
        <v>20</v>
      </c>
      <c r="E882" s="35" t="s">
        <v>20</v>
      </c>
      <c r="F882" s="35" t="s">
        <v>20</v>
      </c>
      <c r="G882" t="b">
        <f t="shared" si="42"/>
        <v>0</v>
      </c>
      <c r="H882" t="b">
        <f t="shared" si="43"/>
        <v>0</v>
      </c>
      <c r="I882" s="29">
        <f t="shared" si="44"/>
        <v>40134</v>
      </c>
    </row>
    <row r="883" spans="1:9" ht="12.75" customHeight="1" x14ac:dyDescent="0.2">
      <c r="A883" s="28">
        <v>40134</v>
      </c>
      <c r="B883" s="26" t="s">
        <v>1420</v>
      </c>
      <c r="C883" s="26" t="s">
        <v>9</v>
      </c>
      <c r="D883" s="35" t="s">
        <v>20</v>
      </c>
      <c r="E883" s="35" t="s">
        <v>20</v>
      </c>
      <c r="F883" s="35" t="s">
        <v>20</v>
      </c>
      <c r="G883" t="b">
        <f t="shared" si="42"/>
        <v>0</v>
      </c>
      <c r="H883" t="b">
        <f t="shared" si="43"/>
        <v>0</v>
      </c>
      <c r="I883" s="29">
        <f t="shared" si="44"/>
        <v>40134</v>
      </c>
    </row>
    <row r="884" spans="1:9" ht="12.75" customHeight="1" x14ac:dyDescent="0.2">
      <c r="A884" s="28">
        <v>40134</v>
      </c>
      <c r="B884" s="26" t="s">
        <v>2944</v>
      </c>
      <c r="C884" s="26" t="s">
        <v>3096</v>
      </c>
      <c r="D884" s="35" t="s">
        <v>20</v>
      </c>
      <c r="E884" s="35" t="s">
        <v>20</v>
      </c>
      <c r="F884" s="35">
        <v>21618331</v>
      </c>
      <c r="G884" t="b">
        <f t="shared" si="42"/>
        <v>0</v>
      </c>
      <c r="H884" t="b">
        <f t="shared" si="43"/>
        <v>0</v>
      </c>
      <c r="I884" s="29">
        <f t="shared" si="44"/>
        <v>40134</v>
      </c>
    </row>
    <row r="885" spans="1:9" ht="12.75" customHeight="1" x14ac:dyDescent="0.2">
      <c r="A885" s="28">
        <v>40134</v>
      </c>
      <c r="B885" s="26" t="s">
        <v>2053</v>
      </c>
      <c r="C885" s="26" t="s">
        <v>9</v>
      </c>
      <c r="D885" s="35" t="s">
        <v>20</v>
      </c>
      <c r="E885" s="35" t="s">
        <v>20</v>
      </c>
      <c r="F885" s="35" t="s">
        <v>20</v>
      </c>
      <c r="G885" t="b">
        <f t="shared" si="42"/>
        <v>0</v>
      </c>
      <c r="H885" t="b">
        <f t="shared" si="43"/>
        <v>0</v>
      </c>
      <c r="I885" s="29">
        <f t="shared" si="44"/>
        <v>40134</v>
      </c>
    </row>
    <row r="886" spans="1:9" ht="12.75" customHeight="1" x14ac:dyDescent="0.2">
      <c r="A886" s="28">
        <v>40134</v>
      </c>
      <c r="B886" s="26" t="s">
        <v>2620</v>
      </c>
      <c r="C886" s="26" t="s">
        <v>9</v>
      </c>
      <c r="D886" s="35" t="s">
        <v>20</v>
      </c>
      <c r="E886" s="35" t="s">
        <v>20</v>
      </c>
      <c r="F886" s="35" t="s">
        <v>20</v>
      </c>
      <c r="G886" t="b">
        <f t="shared" ref="G886:G947" si="45">ISBLANK(A886)</f>
        <v>0</v>
      </c>
      <c r="H886" t="b">
        <f t="shared" ref="H886:H947" si="46">ISTEXT(A886)</f>
        <v>0</v>
      </c>
      <c r="I886" s="29">
        <f t="shared" si="44"/>
        <v>40134</v>
      </c>
    </row>
    <row r="887" spans="1:9" ht="12.75" customHeight="1" x14ac:dyDescent="0.2">
      <c r="A887" s="28">
        <v>40134</v>
      </c>
      <c r="B887" s="26" t="s">
        <v>3377</v>
      </c>
      <c r="C887" s="26" t="s">
        <v>9</v>
      </c>
      <c r="D887" s="35" t="s">
        <v>20</v>
      </c>
      <c r="E887" s="35" t="s">
        <v>20</v>
      </c>
      <c r="F887" s="35" t="s">
        <v>20</v>
      </c>
      <c r="G887" t="b">
        <f t="shared" si="45"/>
        <v>0</v>
      </c>
      <c r="H887" t="b">
        <f t="shared" si="46"/>
        <v>0</v>
      </c>
      <c r="I887" s="29">
        <f t="shared" si="44"/>
        <v>40134</v>
      </c>
    </row>
    <row r="888" spans="1:9" ht="25.5" x14ac:dyDescent="0.2">
      <c r="A888" s="28">
        <v>40134</v>
      </c>
      <c r="B888" s="26" t="s">
        <v>964</v>
      </c>
      <c r="C888" s="26" t="s">
        <v>9</v>
      </c>
      <c r="D888" s="35" t="s">
        <v>20</v>
      </c>
      <c r="E888" s="35" t="s">
        <v>20</v>
      </c>
      <c r="F888" s="35" t="s">
        <v>20</v>
      </c>
      <c r="G888" t="b">
        <f t="shared" si="45"/>
        <v>0</v>
      </c>
      <c r="H888" t="b">
        <f t="shared" si="46"/>
        <v>0</v>
      </c>
      <c r="I888" s="29">
        <f t="shared" si="44"/>
        <v>40134</v>
      </c>
    </row>
    <row r="889" spans="1:9" ht="12.75" customHeight="1" x14ac:dyDescent="0.2">
      <c r="A889" s="28">
        <v>40135</v>
      </c>
      <c r="B889" s="26" t="s">
        <v>2254</v>
      </c>
      <c r="C889" s="26" t="s">
        <v>158</v>
      </c>
      <c r="D889" s="35" t="s">
        <v>20</v>
      </c>
      <c r="E889" s="35">
        <v>77303</v>
      </c>
      <c r="F889" s="35" t="s">
        <v>20</v>
      </c>
      <c r="G889" t="b">
        <f t="shared" si="45"/>
        <v>0</v>
      </c>
      <c r="H889" t="b">
        <f t="shared" si="46"/>
        <v>0</v>
      </c>
      <c r="I889" s="29">
        <f t="shared" si="44"/>
        <v>40135</v>
      </c>
    </row>
    <row r="890" spans="1:9" ht="12.75" customHeight="1" x14ac:dyDescent="0.2">
      <c r="A890" s="28">
        <v>40137</v>
      </c>
      <c r="B890" s="26" t="s">
        <v>1368</v>
      </c>
      <c r="C890" s="26" t="s">
        <v>2160</v>
      </c>
      <c r="D890" s="35">
        <v>50000000</v>
      </c>
      <c r="E890" s="35">
        <v>42194060</v>
      </c>
      <c r="F890" s="35">
        <v>108005745</v>
      </c>
      <c r="G890" t="b">
        <f t="shared" si="45"/>
        <v>0</v>
      </c>
      <c r="H890" t="b">
        <f t="shared" si="46"/>
        <v>0</v>
      </c>
      <c r="I890" s="29">
        <f t="shared" si="44"/>
        <v>40137</v>
      </c>
    </row>
    <row r="891" spans="1:9" ht="25.5" x14ac:dyDescent="0.2">
      <c r="A891" s="28">
        <v>40137</v>
      </c>
      <c r="B891" s="26" t="s">
        <v>837</v>
      </c>
      <c r="C891" s="26" t="s">
        <v>2958</v>
      </c>
      <c r="D891" s="35" t="s">
        <v>20</v>
      </c>
      <c r="E891" s="35">
        <v>130441</v>
      </c>
      <c r="F891" s="35" t="s">
        <v>20</v>
      </c>
      <c r="G891" t="b">
        <f t="shared" si="45"/>
        <v>0</v>
      </c>
      <c r="H891" t="b">
        <f t="shared" si="46"/>
        <v>0</v>
      </c>
      <c r="I891" s="29">
        <f t="shared" si="44"/>
        <v>40137</v>
      </c>
    </row>
    <row r="892" spans="1:9" ht="12.75" customHeight="1" x14ac:dyDescent="0.2">
      <c r="A892" s="28">
        <v>40137</v>
      </c>
      <c r="B892" s="26" t="s">
        <v>633</v>
      </c>
      <c r="C892" s="26" t="s">
        <v>2964</v>
      </c>
      <c r="D892" s="35" t="s">
        <v>20</v>
      </c>
      <c r="E892" s="35">
        <v>12038</v>
      </c>
      <c r="F892" s="35" t="s">
        <v>20</v>
      </c>
      <c r="G892" t="b">
        <f t="shared" si="45"/>
        <v>0</v>
      </c>
      <c r="H892" t="b">
        <f t="shared" si="46"/>
        <v>0</v>
      </c>
      <c r="I892" s="29">
        <f t="shared" si="44"/>
        <v>40137</v>
      </c>
    </row>
    <row r="893" spans="1:9" ht="25.5" x14ac:dyDescent="0.2">
      <c r="A893" s="28">
        <v>40137</v>
      </c>
      <c r="B893" s="26" t="s">
        <v>2829</v>
      </c>
      <c r="C893" s="26" t="s">
        <v>9</v>
      </c>
      <c r="D893" s="35">
        <v>50000000</v>
      </c>
      <c r="E893" s="35">
        <v>296623634</v>
      </c>
      <c r="F893" s="35">
        <v>712623634</v>
      </c>
      <c r="G893" t="b">
        <f t="shared" si="45"/>
        <v>0</v>
      </c>
      <c r="H893" t="b">
        <f t="shared" si="46"/>
        <v>0</v>
      </c>
      <c r="I893" s="29">
        <f t="shared" si="44"/>
        <v>40137</v>
      </c>
    </row>
    <row r="894" spans="1:9" ht="12.75" customHeight="1" x14ac:dyDescent="0.2">
      <c r="A894" s="28">
        <v>40137</v>
      </c>
      <c r="B894" s="26" t="s">
        <v>2861</v>
      </c>
      <c r="C894" s="26" t="s">
        <v>9</v>
      </c>
      <c r="D894" s="35" t="s">
        <v>20</v>
      </c>
      <c r="E894" s="35">
        <v>9890</v>
      </c>
      <c r="F894" s="35" t="s">
        <v>20</v>
      </c>
      <c r="G894" t="b">
        <f t="shared" si="45"/>
        <v>0</v>
      </c>
      <c r="H894" t="b">
        <f t="shared" si="46"/>
        <v>0</v>
      </c>
      <c r="I894" s="29">
        <f t="shared" si="44"/>
        <v>40137</v>
      </c>
    </row>
    <row r="895" spans="1:9" ht="12.75" customHeight="1" x14ac:dyDescent="0.2">
      <c r="A895" s="28">
        <v>40137</v>
      </c>
      <c r="B895" s="26" t="s">
        <v>2949</v>
      </c>
      <c r="C895" s="26" t="s">
        <v>3209</v>
      </c>
      <c r="D895" s="35">
        <v>35000000</v>
      </c>
      <c r="E895" s="35">
        <v>255959475</v>
      </c>
      <c r="F895" s="35">
        <v>308159475</v>
      </c>
      <c r="G895" t="b">
        <f t="shared" si="45"/>
        <v>0</v>
      </c>
      <c r="H895" t="b">
        <f t="shared" si="46"/>
        <v>0</v>
      </c>
      <c r="I895" s="29">
        <f t="shared" si="44"/>
        <v>40137</v>
      </c>
    </row>
    <row r="896" spans="1:9" ht="38.25" x14ac:dyDescent="0.2">
      <c r="A896" s="28">
        <v>40137</v>
      </c>
      <c r="B896" s="26" t="s">
        <v>1795</v>
      </c>
      <c r="C896" s="26" t="s">
        <v>9</v>
      </c>
      <c r="D896" s="35">
        <v>25000000</v>
      </c>
      <c r="E896" s="35">
        <v>1702112</v>
      </c>
      <c r="F896" s="35">
        <v>8162545</v>
      </c>
      <c r="G896" t="b">
        <f t="shared" si="45"/>
        <v>0</v>
      </c>
      <c r="H896" t="b">
        <f t="shared" si="46"/>
        <v>0</v>
      </c>
      <c r="I896" s="29">
        <f t="shared" si="44"/>
        <v>40137</v>
      </c>
    </row>
    <row r="897" spans="1:9" ht="25.5" x14ac:dyDescent="0.2">
      <c r="A897" s="28">
        <v>40137</v>
      </c>
      <c r="B897" s="26" t="s">
        <v>946</v>
      </c>
      <c r="C897" s="26" t="s">
        <v>9</v>
      </c>
      <c r="D897" s="35">
        <v>2000000</v>
      </c>
      <c r="E897" s="35">
        <v>17896</v>
      </c>
      <c r="F897" s="35" t="s">
        <v>20</v>
      </c>
      <c r="G897" t="b">
        <f t="shared" si="45"/>
        <v>0</v>
      </c>
      <c r="H897" t="b">
        <f t="shared" si="46"/>
        <v>0</v>
      </c>
      <c r="I897" s="29">
        <f t="shared" si="44"/>
        <v>40137</v>
      </c>
    </row>
    <row r="898" spans="1:9" ht="12.75" customHeight="1" x14ac:dyDescent="0.2">
      <c r="A898" s="28">
        <v>40137</v>
      </c>
      <c r="B898" s="26" t="s">
        <v>440</v>
      </c>
      <c r="C898" s="26" t="s">
        <v>3426</v>
      </c>
      <c r="D898" s="35" t="s">
        <v>20</v>
      </c>
      <c r="E898" s="35">
        <v>754269</v>
      </c>
      <c r="F898" s="35">
        <v>7938155</v>
      </c>
      <c r="G898" t="b">
        <f t="shared" si="45"/>
        <v>0</v>
      </c>
      <c r="H898" t="b">
        <f t="shared" si="46"/>
        <v>0</v>
      </c>
      <c r="I898" s="29">
        <f t="shared" si="44"/>
        <v>40137</v>
      </c>
    </row>
    <row r="899" spans="1:9" ht="12.75" customHeight="1" x14ac:dyDescent="0.2">
      <c r="A899" s="28">
        <v>40137</v>
      </c>
      <c r="B899" s="26" t="s">
        <v>1210</v>
      </c>
      <c r="C899" s="26" t="s">
        <v>3466</v>
      </c>
      <c r="D899" s="35" t="s">
        <v>20</v>
      </c>
      <c r="E899" s="35">
        <v>9580</v>
      </c>
      <c r="F899" s="35" t="s">
        <v>20</v>
      </c>
      <c r="G899" t="b">
        <f t="shared" si="45"/>
        <v>0</v>
      </c>
      <c r="H899" t="b">
        <f t="shared" si="46"/>
        <v>0</v>
      </c>
      <c r="I899" s="29">
        <f t="shared" si="44"/>
        <v>40137</v>
      </c>
    </row>
    <row r="900" spans="1:9" ht="12.75" customHeight="1" x14ac:dyDescent="0.2">
      <c r="A900" s="28">
        <v>40137</v>
      </c>
      <c r="B900" s="26" t="s">
        <v>2709</v>
      </c>
      <c r="C900" s="26" t="s">
        <v>746</v>
      </c>
      <c r="D900" s="35">
        <v>40000000</v>
      </c>
      <c r="E900" s="35">
        <v>627047</v>
      </c>
      <c r="F900" s="35">
        <v>119627047</v>
      </c>
      <c r="G900" t="b">
        <f t="shared" si="45"/>
        <v>0</v>
      </c>
      <c r="H900" t="b">
        <f t="shared" si="46"/>
        <v>0</v>
      </c>
      <c r="I900" s="29">
        <f t="shared" si="44"/>
        <v>40137</v>
      </c>
    </row>
    <row r="901" spans="1:9" x14ac:dyDescent="0.2">
      <c r="A901" s="28">
        <v>40137</v>
      </c>
      <c r="B901" s="26" t="s">
        <v>1995</v>
      </c>
      <c r="C901" s="26" t="s">
        <v>9</v>
      </c>
      <c r="D901" s="35" t="s">
        <v>20</v>
      </c>
      <c r="E901" s="35">
        <v>5014305</v>
      </c>
      <c r="F901" s="35">
        <v>8237734</v>
      </c>
      <c r="G901" t="b">
        <f t="shared" si="45"/>
        <v>0</v>
      </c>
      <c r="H901" t="b">
        <f t="shared" si="46"/>
        <v>0</v>
      </c>
      <c r="I901" s="29">
        <f t="shared" si="44"/>
        <v>40137</v>
      </c>
    </row>
    <row r="902" spans="1:9" ht="12.75" customHeight="1" x14ac:dyDescent="0.2">
      <c r="A902" s="28">
        <v>40141</v>
      </c>
      <c r="B902" s="26" t="s">
        <v>617</v>
      </c>
      <c r="C902" s="26" t="s">
        <v>9</v>
      </c>
      <c r="D902" s="35" t="s">
        <v>20</v>
      </c>
      <c r="E902" s="35" t="s">
        <v>20</v>
      </c>
      <c r="F902" s="35" t="s">
        <v>20</v>
      </c>
      <c r="G902" t="b">
        <f t="shared" si="45"/>
        <v>0</v>
      </c>
      <c r="H902" t="b">
        <f t="shared" si="46"/>
        <v>0</v>
      </c>
      <c r="I902" s="29">
        <f t="shared" si="44"/>
        <v>40141</v>
      </c>
    </row>
    <row r="903" spans="1:9" ht="25.5" x14ac:dyDescent="0.2">
      <c r="A903" s="28">
        <v>40141</v>
      </c>
      <c r="B903" s="26" t="s">
        <v>488</v>
      </c>
      <c r="C903" s="26" t="s">
        <v>9</v>
      </c>
      <c r="D903" s="35" t="s">
        <v>20</v>
      </c>
      <c r="E903" s="35" t="s">
        <v>20</v>
      </c>
      <c r="F903" s="35" t="s">
        <v>20</v>
      </c>
      <c r="G903" t="b">
        <f t="shared" si="45"/>
        <v>0</v>
      </c>
      <c r="H903" t="b">
        <f t="shared" si="46"/>
        <v>0</v>
      </c>
      <c r="I903" s="29">
        <f t="shared" si="44"/>
        <v>40141</v>
      </c>
    </row>
    <row r="904" spans="1:9" ht="25.5" x14ac:dyDescent="0.2">
      <c r="A904" s="28">
        <v>40141</v>
      </c>
      <c r="B904" s="26" t="s">
        <v>2435</v>
      </c>
      <c r="C904" s="26" t="s">
        <v>9</v>
      </c>
      <c r="D904" s="35" t="s">
        <v>20</v>
      </c>
      <c r="E904" s="35" t="s">
        <v>20</v>
      </c>
      <c r="F904" s="35" t="s">
        <v>20</v>
      </c>
      <c r="G904" t="b">
        <f t="shared" si="45"/>
        <v>0</v>
      </c>
      <c r="H904" t="b">
        <f t="shared" si="46"/>
        <v>0</v>
      </c>
      <c r="I904" s="29">
        <f t="shared" si="44"/>
        <v>40141</v>
      </c>
    </row>
    <row r="905" spans="1:9" ht="12.75" customHeight="1" x14ac:dyDescent="0.2">
      <c r="A905" s="28">
        <v>40141</v>
      </c>
      <c r="B905" s="26" t="s">
        <v>2753</v>
      </c>
      <c r="C905" s="26" t="s">
        <v>9</v>
      </c>
      <c r="D905" s="35" t="s">
        <v>20</v>
      </c>
      <c r="E905" s="35" t="s">
        <v>20</v>
      </c>
      <c r="F905" s="35" t="s">
        <v>20</v>
      </c>
      <c r="G905" t="b">
        <f t="shared" si="45"/>
        <v>0</v>
      </c>
      <c r="H905" t="b">
        <f t="shared" si="46"/>
        <v>0</v>
      </c>
      <c r="I905" s="29">
        <f t="shared" si="44"/>
        <v>40141</v>
      </c>
    </row>
    <row r="906" spans="1:9" ht="12.75" customHeight="1" x14ac:dyDescent="0.2">
      <c r="A906" s="28">
        <v>40141</v>
      </c>
      <c r="B906" s="26" t="s">
        <v>90</v>
      </c>
      <c r="C906" s="26" t="s">
        <v>9</v>
      </c>
      <c r="D906" s="35" t="s">
        <v>20</v>
      </c>
      <c r="E906" s="35" t="s">
        <v>20</v>
      </c>
      <c r="F906" s="35" t="s">
        <v>20</v>
      </c>
      <c r="G906" t="b">
        <f t="shared" si="45"/>
        <v>0</v>
      </c>
      <c r="H906" t="b">
        <f t="shared" si="46"/>
        <v>0</v>
      </c>
      <c r="I906" s="29">
        <f t="shared" si="44"/>
        <v>40141</v>
      </c>
    </row>
    <row r="907" spans="1:9" ht="25.5" x14ac:dyDescent="0.2">
      <c r="A907" s="28">
        <v>40141</v>
      </c>
      <c r="B907" s="26" t="s">
        <v>898</v>
      </c>
      <c r="C907" s="26" t="s">
        <v>9</v>
      </c>
      <c r="D907" s="35" t="s">
        <v>20</v>
      </c>
      <c r="E907" s="35" t="s">
        <v>20</v>
      </c>
      <c r="F907" s="35" t="s">
        <v>20</v>
      </c>
      <c r="G907" t="b">
        <f t="shared" si="45"/>
        <v>0</v>
      </c>
      <c r="H907" t="b">
        <f t="shared" si="46"/>
        <v>0</v>
      </c>
      <c r="I907" s="29">
        <f t="shared" si="44"/>
        <v>40141</v>
      </c>
    </row>
    <row r="908" spans="1:9" ht="12.75" customHeight="1" x14ac:dyDescent="0.2">
      <c r="A908" s="28">
        <v>40141</v>
      </c>
      <c r="B908" s="26" t="s">
        <v>2517</v>
      </c>
      <c r="C908" s="26" t="s">
        <v>9</v>
      </c>
      <c r="D908" s="35" t="s">
        <v>20</v>
      </c>
      <c r="E908" s="35" t="s">
        <v>20</v>
      </c>
      <c r="F908" s="35" t="s">
        <v>20</v>
      </c>
      <c r="G908" t="b">
        <f t="shared" si="45"/>
        <v>0</v>
      </c>
      <c r="H908" t="b">
        <f t="shared" si="46"/>
        <v>0</v>
      </c>
      <c r="I908" s="29">
        <f t="shared" si="44"/>
        <v>40141</v>
      </c>
    </row>
    <row r="909" spans="1:9" ht="12.75" customHeight="1" x14ac:dyDescent="0.2">
      <c r="A909" s="28">
        <v>40142</v>
      </c>
      <c r="B909" s="26" t="s">
        <v>1054</v>
      </c>
      <c r="C909" s="26" t="s">
        <v>3209</v>
      </c>
      <c r="D909" s="35">
        <v>50000000</v>
      </c>
      <c r="E909" s="35">
        <v>38122883</v>
      </c>
      <c r="F909" s="35">
        <v>57422883</v>
      </c>
      <c r="G909" t="b">
        <f t="shared" si="45"/>
        <v>0</v>
      </c>
      <c r="H909" t="b">
        <f t="shared" si="46"/>
        <v>0</v>
      </c>
      <c r="I909" s="29">
        <f t="shared" si="44"/>
        <v>40142</v>
      </c>
    </row>
    <row r="910" spans="1:9" ht="12.75" customHeight="1" x14ac:dyDescent="0.2">
      <c r="A910" s="28">
        <v>40142</v>
      </c>
      <c r="B910" s="26" t="s">
        <v>405</v>
      </c>
      <c r="C910" s="26" t="s">
        <v>3390</v>
      </c>
      <c r="D910" s="35" t="s">
        <v>20</v>
      </c>
      <c r="E910" s="35">
        <v>49474048</v>
      </c>
      <c r="F910" s="35">
        <v>90648337</v>
      </c>
      <c r="G910" t="b">
        <f t="shared" si="45"/>
        <v>0</v>
      </c>
      <c r="H910" t="b">
        <f t="shared" si="46"/>
        <v>0</v>
      </c>
      <c r="I910" s="29">
        <f t="shared" si="44"/>
        <v>40142</v>
      </c>
    </row>
    <row r="911" spans="1:9" ht="25.5" x14ac:dyDescent="0.2">
      <c r="A911" s="28">
        <v>40142</v>
      </c>
      <c r="B911" s="26" t="s">
        <v>1108</v>
      </c>
      <c r="C911" s="26" t="s">
        <v>9</v>
      </c>
      <c r="D911" s="35">
        <v>25000000</v>
      </c>
      <c r="E911" s="35">
        <v>1190003</v>
      </c>
      <c r="F911" s="35" t="s">
        <v>20</v>
      </c>
      <c r="G911" t="b">
        <f t="shared" si="45"/>
        <v>0</v>
      </c>
      <c r="H911" t="b">
        <f t="shared" si="46"/>
        <v>0</v>
      </c>
      <c r="I911" s="29">
        <f t="shared" si="44"/>
        <v>40142</v>
      </c>
    </row>
    <row r="912" spans="1:9" ht="12.75" customHeight="1" x14ac:dyDescent="0.2">
      <c r="A912" s="28">
        <v>40142</v>
      </c>
      <c r="B912" s="26" t="s">
        <v>147</v>
      </c>
      <c r="C912" s="26" t="s">
        <v>49</v>
      </c>
      <c r="D912" s="35">
        <v>25000000</v>
      </c>
      <c r="E912" s="35">
        <v>8114270</v>
      </c>
      <c r="F912" s="35">
        <v>27614270</v>
      </c>
      <c r="G912" t="b">
        <f t="shared" si="45"/>
        <v>0</v>
      </c>
      <c r="H912" t="b">
        <f t="shared" si="46"/>
        <v>0</v>
      </c>
      <c r="I912" s="29">
        <f t="shared" si="44"/>
        <v>40142</v>
      </c>
    </row>
    <row r="913" spans="1:9" ht="25.5" x14ac:dyDescent="0.2">
      <c r="A913" s="28">
        <v>40142</v>
      </c>
      <c r="B913" s="26" t="s">
        <v>1800</v>
      </c>
      <c r="C913" s="26" t="s">
        <v>3390</v>
      </c>
      <c r="D913" s="35">
        <v>105000000</v>
      </c>
      <c r="E913" s="35">
        <v>104374107</v>
      </c>
      <c r="F913" s="35">
        <v>263467382</v>
      </c>
      <c r="G913" t="b">
        <f t="shared" si="45"/>
        <v>0</v>
      </c>
      <c r="H913" t="b">
        <f t="shared" si="46"/>
        <v>0</v>
      </c>
      <c r="I913" s="29">
        <f t="shared" si="44"/>
        <v>40142</v>
      </c>
    </row>
    <row r="914" spans="1:9" ht="25.5" x14ac:dyDescent="0.2">
      <c r="A914" s="28">
        <v>40144</v>
      </c>
      <c r="B914" s="26" t="s">
        <v>2882</v>
      </c>
      <c r="C914" s="26" t="s">
        <v>729</v>
      </c>
      <c r="D914" s="35" t="s">
        <v>20</v>
      </c>
      <c r="E914" s="35">
        <v>337356</v>
      </c>
      <c r="F914" s="35" t="s">
        <v>20</v>
      </c>
      <c r="G914" t="b">
        <f t="shared" si="45"/>
        <v>0</v>
      </c>
      <c r="H914" t="b">
        <f t="shared" si="46"/>
        <v>0</v>
      </c>
      <c r="I914" s="29">
        <f t="shared" si="44"/>
        <v>40144</v>
      </c>
    </row>
    <row r="915" spans="1:9" ht="12.75" customHeight="1" x14ac:dyDescent="0.2">
      <c r="A915" s="28">
        <v>40144</v>
      </c>
      <c r="B915" s="26" t="s">
        <v>998</v>
      </c>
      <c r="C915" s="26" t="s">
        <v>9</v>
      </c>
      <c r="D915" s="35" t="s">
        <v>20</v>
      </c>
      <c r="E915" s="35">
        <v>944979</v>
      </c>
      <c r="F915" s="35">
        <v>11998249</v>
      </c>
      <c r="G915" t="b">
        <f t="shared" si="45"/>
        <v>0</v>
      </c>
      <c r="H915" t="b">
        <f t="shared" si="46"/>
        <v>0</v>
      </c>
      <c r="I915" s="29">
        <f t="shared" si="44"/>
        <v>40144</v>
      </c>
    </row>
    <row r="916" spans="1:9" ht="25.5" x14ac:dyDescent="0.2">
      <c r="A916" s="28">
        <v>40144</v>
      </c>
      <c r="B916" s="26" t="s">
        <v>759</v>
      </c>
      <c r="C916" s="26" t="s">
        <v>9</v>
      </c>
      <c r="D916" s="35" t="s">
        <v>20</v>
      </c>
      <c r="E916" s="35">
        <v>521544</v>
      </c>
      <c r="F916" s="35" t="s">
        <v>20</v>
      </c>
      <c r="G916" t="b">
        <f t="shared" si="45"/>
        <v>0</v>
      </c>
      <c r="H916" t="b">
        <f t="shared" si="46"/>
        <v>0</v>
      </c>
      <c r="I916" s="29">
        <f t="shared" si="44"/>
        <v>40144</v>
      </c>
    </row>
    <row r="917" spans="1:9" ht="12.75" customHeight="1" x14ac:dyDescent="0.2">
      <c r="A917" s="28">
        <v>40144</v>
      </c>
      <c r="B917" s="26" t="s">
        <v>2843</v>
      </c>
      <c r="C917" s="26" t="s">
        <v>679</v>
      </c>
      <c r="D917" s="35" t="s">
        <v>20</v>
      </c>
      <c r="E917" s="35">
        <v>15677</v>
      </c>
      <c r="F917" s="35" t="s">
        <v>20</v>
      </c>
      <c r="G917" t="b">
        <f t="shared" si="45"/>
        <v>0</v>
      </c>
      <c r="H917" t="b">
        <f t="shared" si="46"/>
        <v>0</v>
      </c>
      <c r="I917" s="29">
        <f t="shared" si="44"/>
        <v>40144</v>
      </c>
    </row>
    <row r="918" spans="1:9" x14ac:dyDescent="0.2">
      <c r="A918" s="28">
        <v>40144</v>
      </c>
      <c r="B918" s="26" t="s">
        <v>2302</v>
      </c>
      <c r="C918" s="26" t="s">
        <v>9</v>
      </c>
      <c r="D918" s="35">
        <v>11500000</v>
      </c>
      <c r="E918" s="35" t="s">
        <v>20</v>
      </c>
      <c r="F918" s="35" t="s">
        <v>20</v>
      </c>
      <c r="G918" t="b">
        <f t="shared" si="45"/>
        <v>0</v>
      </c>
      <c r="H918" t="b">
        <f t="shared" si="46"/>
        <v>0</v>
      </c>
      <c r="I918" s="29">
        <f t="shared" si="44"/>
        <v>40144</v>
      </c>
    </row>
    <row r="919" spans="1:9" ht="25.5" x14ac:dyDescent="0.2">
      <c r="A919" s="28">
        <v>40144</v>
      </c>
      <c r="B919" s="26" t="s">
        <v>737</v>
      </c>
      <c r="C919" s="26" t="s">
        <v>9</v>
      </c>
      <c r="D919" s="35" t="s">
        <v>20</v>
      </c>
      <c r="E919" s="35" t="s">
        <v>20</v>
      </c>
      <c r="F919" s="35">
        <v>765958</v>
      </c>
      <c r="G919" t="b">
        <f t="shared" si="45"/>
        <v>0</v>
      </c>
      <c r="H919" t="b">
        <f t="shared" si="46"/>
        <v>0</v>
      </c>
      <c r="I919" s="29">
        <f t="shared" si="44"/>
        <v>40144</v>
      </c>
    </row>
    <row r="920" spans="1:9" ht="12.75" customHeight="1" x14ac:dyDescent="0.2">
      <c r="A920" s="28">
        <v>40148</v>
      </c>
      <c r="B920" s="26" t="s">
        <v>3251</v>
      </c>
      <c r="C920" s="26" t="s">
        <v>9</v>
      </c>
      <c r="D920" s="35" t="s">
        <v>20</v>
      </c>
      <c r="E920" s="35" t="s">
        <v>20</v>
      </c>
      <c r="F920" s="35" t="s">
        <v>20</v>
      </c>
      <c r="G920" t="b">
        <f t="shared" si="45"/>
        <v>0</v>
      </c>
      <c r="H920" t="b">
        <f t="shared" si="46"/>
        <v>0</v>
      </c>
      <c r="I920" s="29">
        <f t="shared" si="44"/>
        <v>40148</v>
      </c>
    </row>
    <row r="921" spans="1:9" ht="12.75" customHeight="1" x14ac:dyDescent="0.2">
      <c r="A921" s="28">
        <v>40148</v>
      </c>
      <c r="B921" s="26" t="s">
        <v>697</v>
      </c>
      <c r="C921" s="26" t="s">
        <v>9</v>
      </c>
      <c r="D921" s="35" t="s">
        <v>20</v>
      </c>
      <c r="E921" s="35" t="s">
        <v>20</v>
      </c>
      <c r="F921" s="35" t="s">
        <v>20</v>
      </c>
      <c r="G921" t="b">
        <f t="shared" si="45"/>
        <v>0</v>
      </c>
      <c r="H921" t="b">
        <f t="shared" si="46"/>
        <v>0</v>
      </c>
      <c r="I921" s="29">
        <f t="shared" si="44"/>
        <v>40148</v>
      </c>
    </row>
    <row r="922" spans="1:9" x14ac:dyDescent="0.2">
      <c r="A922" s="28">
        <v>40148</v>
      </c>
      <c r="B922" s="26" t="s">
        <v>424</v>
      </c>
      <c r="C922" s="26" t="s">
        <v>9</v>
      </c>
      <c r="D922" s="35" t="s">
        <v>20</v>
      </c>
      <c r="E922" s="35" t="s">
        <v>20</v>
      </c>
      <c r="F922" s="35" t="s">
        <v>20</v>
      </c>
      <c r="G922" t="b">
        <f t="shared" si="45"/>
        <v>0</v>
      </c>
      <c r="H922" t="b">
        <f t="shared" si="46"/>
        <v>0</v>
      </c>
      <c r="I922" s="29">
        <f t="shared" si="44"/>
        <v>40148</v>
      </c>
    </row>
    <row r="923" spans="1:9" ht="12.75" customHeight="1" x14ac:dyDescent="0.2">
      <c r="A923" s="28">
        <v>40148</v>
      </c>
      <c r="B923" s="26" t="s">
        <v>2893</v>
      </c>
      <c r="C923" s="26" t="s">
        <v>9</v>
      </c>
      <c r="D923" s="35" t="s">
        <v>20</v>
      </c>
      <c r="E923" s="35" t="s">
        <v>20</v>
      </c>
      <c r="F923" s="35" t="s">
        <v>20</v>
      </c>
      <c r="G923" t="b">
        <f t="shared" si="45"/>
        <v>0</v>
      </c>
      <c r="H923" t="b">
        <f t="shared" si="46"/>
        <v>0</v>
      </c>
      <c r="I923" s="29">
        <f t="shared" si="44"/>
        <v>40148</v>
      </c>
    </row>
    <row r="924" spans="1:9" ht="12.75" customHeight="1" x14ac:dyDescent="0.2">
      <c r="A924" s="28">
        <v>40148</v>
      </c>
      <c r="B924" s="26" t="s">
        <v>356</v>
      </c>
      <c r="C924" s="26" t="s">
        <v>9</v>
      </c>
      <c r="D924" s="35" t="s">
        <v>20</v>
      </c>
      <c r="E924" s="35" t="s">
        <v>20</v>
      </c>
      <c r="F924" s="35" t="s">
        <v>20</v>
      </c>
      <c r="G924" t="b">
        <f t="shared" si="45"/>
        <v>0</v>
      </c>
      <c r="H924" t="b">
        <f t="shared" si="46"/>
        <v>0</v>
      </c>
      <c r="I924" s="29">
        <f t="shared" si="44"/>
        <v>40148</v>
      </c>
    </row>
    <row r="925" spans="1:9" ht="12.75" customHeight="1" x14ac:dyDescent="0.2">
      <c r="A925" s="28">
        <v>40148</v>
      </c>
      <c r="B925" s="26" t="s">
        <v>1245</v>
      </c>
      <c r="C925" s="26" t="s">
        <v>9</v>
      </c>
      <c r="D925" s="35" t="s">
        <v>20</v>
      </c>
      <c r="E925" s="35" t="s">
        <v>20</v>
      </c>
      <c r="F925" s="35" t="s">
        <v>20</v>
      </c>
      <c r="G925" t="b">
        <f t="shared" si="45"/>
        <v>0</v>
      </c>
      <c r="H925" t="b">
        <f t="shared" si="46"/>
        <v>0</v>
      </c>
      <c r="I925" s="29">
        <f t="shared" si="44"/>
        <v>40148</v>
      </c>
    </row>
    <row r="926" spans="1:9" ht="25.5" x14ac:dyDescent="0.2">
      <c r="A926" s="28">
        <v>40148</v>
      </c>
      <c r="B926" s="26" t="s">
        <v>895</v>
      </c>
      <c r="C926" s="26" t="s">
        <v>9</v>
      </c>
      <c r="D926" s="35" t="s">
        <v>20</v>
      </c>
      <c r="E926" s="35" t="s">
        <v>20</v>
      </c>
      <c r="F926" s="35" t="s">
        <v>20</v>
      </c>
      <c r="G926" t="b">
        <f t="shared" si="45"/>
        <v>0</v>
      </c>
      <c r="H926" t="b">
        <f t="shared" si="46"/>
        <v>0</v>
      </c>
      <c r="I926" s="29">
        <f t="shared" si="44"/>
        <v>40148</v>
      </c>
    </row>
    <row r="927" spans="1:9" ht="25.5" x14ac:dyDescent="0.2">
      <c r="A927" s="28">
        <v>40149</v>
      </c>
      <c r="B927" s="26" t="s">
        <v>3117</v>
      </c>
      <c r="C927" s="26" t="s">
        <v>3466</v>
      </c>
      <c r="D927" s="35" t="s">
        <v>20</v>
      </c>
      <c r="E927" s="35" t="s">
        <v>20</v>
      </c>
      <c r="F927" s="35" t="s">
        <v>20</v>
      </c>
      <c r="G927" t="b">
        <f t="shared" si="45"/>
        <v>0</v>
      </c>
      <c r="H927" t="b">
        <f t="shared" si="46"/>
        <v>0</v>
      </c>
      <c r="I927" s="29">
        <f t="shared" si="44"/>
        <v>40149</v>
      </c>
    </row>
    <row r="928" spans="1:9" ht="25.5" x14ac:dyDescent="0.2">
      <c r="A928" s="28">
        <v>40151</v>
      </c>
      <c r="B928" s="26" t="s">
        <v>3350</v>
      </c>
      <c r="C928" s="26" t="s">
        <v>2313</v>
      </c>
      <c r="D928" s="35" t="s">
        <v>20</v>
      </c>
      <c r="E928" s="35">
        <v>11698</v>
      </c>
      <c r="F928" s="35" t="s">
        <v>20</v>
      </c>
      <c r="G928" t="b">
        <f t="shared" si="45"/>
        <v>0</v>
      </c>
      <c r="H928" t="b">
        <f t="shared" si="46"/>
        <v>0</v>
      </c>
      <c r="I928" s="29">
        <f t="shared" si="44"/>
        <v>40151</v>
      </c>
    </row>
    <row r="929" spans="1:9" ht="12.75" customHeight="1" x14ac:dyDescent="0.2">
      <c r="A929" s="28">
        <v>40151</v>
      </c>
      <c r="B929" s="26" t="s">
        <v>1493</v>
      </c>
      <c r="C929" s="26" t="s">
        <v>9</v>
      </c>
      <c r="D929" s="35" t="s">
        <v>20</v>
      </c>
      <c r="E929" s="35">
        <v>5107</v>
      </c>
      <c r="F929" s="35" t="s">
        <v>20</v>
      </c>
      <c r="G929" t="b">
        <f t="shared" si="45"/>
        <v>0</v>
      </c>
      <c r="H929" t="b">
        <f t="shared" si="46"/>
        <v>0</v>
      </c>
      <c r="I929" s="29">
        <f t="shared" si="44"/>
        <v>40151</v>
      </c>
    </row>
    <row r="930" spans="1:9" ht="12.75" customHeight="1" x14ac:dyDescent="0.2">
      <c r="A930" s="28">
        <v>40151</v>
      </c>
      <c r="B930" s="26" t="s">
        <v>2343</v>
      </c>
      <c r="C930" s="26" t="s">
        <v>2160</v>
      </c>
      <c r="D930" s="35" t="s">
        <v>20</v>
      </c>
      <c r="E930" s="35">
        <v>15988876</v>
      </c>
      <c r="F930" s="35">
        <v>16034376</v>
      </c>
      <c r="G930" t="b">
        <f t="shared" si="45"/>
        <v>0</v>
      </c>
      <c r="H930" t="b">
        <f t="shared" si="46"/>
        <v>0</v>
      </c>
      <c r="I930" s="29">
        <f t="shared" si="44"/>
        <v>40151</v>
      </c>
    </row>
    <row r="931" spans="1:9" ht="12.75" customHeight="1" x14ac:dyDescent="0.2">
      <c r="A931" s="28">
        <v>40151</v>
      </c>
      <c r="B931" s="26" t="s">
        <v>792</v>
      </c>
      <c r="C931" s="26" t="s">
        <v>2493</v>
      </c>
      <c r="D931" s="35">
        <v>4300000</v>
      </c>
      <c r="E931" s="35">
        <v>199228</v>
      </c>
      <c r="F931" s="35">
        <v>9791282</v>
      </c>
      <c r="G931" t="b">
        <f t="shared" si="45"/>
        <v>0</v>
      </c>
      <c r="H931" t="b">
        <f t="shared" si="46"/>
        <v>0</v>
      </c>
      <c r="I931" s="29">
        <f t="shared" si="44"/>
        <v>40151</v>
      </c>
    </row>
    <row r="932" spans="1:9" ht="12.75" customHeight="1" x14ac:dyDescent="0.2">
      <c r="A932" s="28">
        <v>40151</v>
      </c>
      <c r="B932" s="26" t="s">
        <v>2209</v>
      </c>
      <c r="C932" s="26" t="s">
        <v>9</v>
      </c>
      <c r="D932" s="35" t="s">
        <v>20</v>
      </c>
      <c r="E932" s="35" t="s">
        <v>20</v>
      </c>
      <c r="F932" s="35">
        <v>11305452</v>
      </c>
      <c r="G932" t="b">
        <f t="shared" si="45"/>
        <v>0</v>
      </c>
      <c r="H932" t="b">
        <f t="shared" si="46"/>
        <v>0</v>
      </c>
      <c r="I932" s="29">
        <f t="shared" si="44"/>
        <v>40151</v>
      </c>
    </row>
    <row r="933" spans="1:9" ht="12.75" customHeight="1" x14ac:dyDescent="0.2">
      <c r="A933" s="28">
        <v>40151</v>
      </c>
      <c r="B933" s="26" t="s">
        <v>2573</v>
      </c>
      <c r="C933" s="26" t="s">
        <v>2310</v>
      </c>
      <c r="D933" s="35">
        <v>26000000</v>
      </c>
      <c r="E933" s="35">
        <v>28544157</v>
      </c>
      <c r="F933" s="35">
        <v>36836544</v>
      </c>
      <c r="G933" t="b">
        <f t="shared" si="45"/>
        <v>0</v>
      </c>
      <c r="H933" t="b">
        <f t="shared" si="46"/>
        <v>0</v>
      </c>
      <c r="I933" s="29">
        <f t="shared" si="44"/>
        <v>40151</v>
      </c>
    </row>
    <row r="934" spans="1:9" ht="25.5" x14ac:dyDescent="0.2">
      <c r="A934" s="28">
        <v>40151</v>
      </c>
      <c r="B934" s="26" t="s">
        <v>2090</v>
      </c>
      <c r="C934" s="26" t="s">
        <v>3167</v>
      </c>
      <c r="D934" s="35" t="s">
        <v>20</v>
      </c>
      <c r="E934" s="35" t="s">
        <v>20</v>
      </c>
      <c r="F934" s="35" t="s">
        <v>20</v>
      </c>
      <c r="G934" t="b">
        <f t="shared" si="45"/>
        <v>0</v>
      </c>
      <c r="H934" t="b">
        <f t="shared" si="46"/>
        <v>0</v>
      </c>
      <c r="I934" s="29">
        <f t="shared" si="44"/>
        <v>40151</v>
      </c>
    </row>
    <row r="935" spans="1:9" ht="12.75" customHeight="1" x14ac:dyDescent="0.2">
      <c r="A935" s="28">
        <v>40151</v>
      </c>
      <c r="B935" s="26" t="s">
        <v>549</v>
      </c>
      <c r="C935" s="26" t="s">
        <v>3218</v>
      </c>
      <c r="D935" s="35" t="s">
        <v>20</v>
      </c>
      <c r="E935" s="35">
        <v>9208876</v>
      </c>
      <c r="F935" s="35" t="s">
        <v>20</v>
      </c>
      <c r="G935" t="b">
        <f t="shared" si="45"/>
        <v>0</v>
      </c>
      <c r="H935" t="b">
        <f t="shared" si="46"/>
        <v>0</v>
      </c>
      <c r="I935" s="29">
        <f t="shared" si="44"/>
        <v>40151</v>
      </c>
    </row>
    <row r="936" spans="1:9" ht="25.5" x14ac:dyDescent="0.2">
      <c r="A936" s="28">
        <v>40151</v>
      </c>
      <c r="B936" s="26" t="s">
        <v>459</v>
      </c>
      <c r="C936" s="26" t="s">
        <v>2168</v>
      </c>
      <c r="D936" s="35">
        <v>30000000</v>
      </c>
      <c r="E936" s="35">
        <v>83823381</v>
      </c>
      <c r="F936" s="35">
        <v>166777950</v>
      </c>
      <c r="G936" t="b">
        <f t="shared" si="45"/>
        <v>0</v>
      </c>
      <c r="H936" t="b">
        <f t="shared" si="46"/>
        <v>0</v>
      </c>
      <c r="I936" s="29">
        <f t="shared" si="44"/>
        <v>40151</v>
      </c>
    </row>
    <row r="937" spans="1:9" ht="25.5" x14ac:dyDescent="0.2">
      <c r="A937" s="28">
        <v>40151</v>
      </c>
      <c r="B937" s="26" t="s">
        <v>1269</v>
      </c>
      <c r="C937" s="26" t="s">
        <v>2079</v>
      </c>
      <c r="D937" s="35" t="s">
        <v>20</v>
      </c>
      <c r="E937" s="35">
        <v>397641</v>
      </c>
      <c r="F937" s="35" t="s">
        <v>20</v>
      </c>
      <c r="G937" t="b">
        <f t="shared" si="45"/>
        <v>0</v>
      </c>
      <c r="H937" t="b">
        <f t="shared" si="46"/>
        <v>0</v>
      </c>
      <c r="I937" s="29">
        <f t="shared" si="44"/>
        <v>40151</v>
      </c>
    </row>
    <row r="938" spans="1:9" x14ac:dyDescent="0.2">
      <c r="A938" s="28">
        <v>40151</v>
      </c>
      <c r="B938" s="26" t="s">
        <v>1906</v>
      </c>
      <c r="C938" s="26" t="s">
        <v>746</v>
      </c>
      <c r="D938" s="35" t="s">
        <v>20</v>
      </c>
      <c r="E938" s="35">
        <v>25339</v>
      </c>
      <c r="F938" s="35" t="s">
        <v>20</v>
      </c>
      <c r="G938" t="b">
        <f t="shared" si="45"/>
        <v>0</v>
      </c>
      <c r="H938" t="b">
        <f t="shared" si="46"/>
        <v>0</v>
      </c>
      <c r="I938" s="29">
        <f t="shared" si="44"/>
        <v>40151</v>
      </c>
    </row>
    <row r="939" spans="1:9" ht="25.5" x14ac:dyDescent="0.2">
      <c r="A939" s="28">
        <v>40155</v>
      </c>
      <c r="B939" s="26" t="s">
        <v>3170</v>
      </c>
      <c r="C939" s="26" t="s">
        <v>9</v>
      </c>
      <c r="D939" s="35" t="s">
        <v>20</v>
      </c>
      <c r="E939" s="35" t="s">
        <v>20</v>
      </c>
      <c r="F939" s="35" t="s">
        <v>20</v>
      </c>
      <c r="G939" t="b">
        <f t="shared" si="45"/>
        <v>0</v>
      </c>
      <c r="H939" t="b">
        <f t="shared" si="46"/>
        <v>0</v>
      </c>
      <c r="I939" s="29">
        <f t="shared" si="44"/>
        <v>40155</v>
      </c>
    </row>
    <row r="940" spans="1:9" ht="12.75" customHeight="1" x14ac:dyDescent="0.2">
      <c r="A940" s="28">
        <v>40155</v>
      </c>
      <c r="B940" s="26" t="s">
        <v>2316</v>
      </c>
      <c r="C940" s="26" t="s">
        <v>9</v>
      </c>
      <c r="D940" s="35" t="s">
        <v>20</v>
      </c>
      <c r="E940" s="35" t="s">
        <v>20</v>
      </c>
      <c r="F940" s="35" t="s">
        <v>20</v>
      </c>
      <c r="G940" t="b">
        <f t="shared" si="45"/>
        <v>0</v>
      </c>
      <c r="H940" t="b">
        <f t="shared" si="46"/>
        <v>0</v>
      </c>
      <c r="I940" s="29">
        <f t="shared" si="44"/>
        <v>40155</v>
      </c>
    </row>
    <row r="941" spans="1:9" ht="12.75" customHeight="1" x14ac:dyDescent="0.2">
      <c r="A941" s="28">
        <v>40155</v>
      </c>
      <c r="B941" s="26" t="s">
        <v>328</v>
      </c>
      <c r="C941" s="26" t="s">
        <v>9</v>
      </c>
      <c r="D941" s="35" t="s">
        <v>20</v>
      </c>
      <c r="E941" s="35" t="s">
        <v>20</v>
      </c>
      <c r="F941" s="35" t="s">
        <v>20</v>
      </c>
      <c r="G941" t="b">
        <f t="shared" si="45"/>
        <v>0</v>
      </c>
      <c r="H941" t="b">
        <f t="shared" si="46"/>
        <v>0</v>
      </c>
      <c r="I941" s="29">
        <f t="shared" ref="I941:I1004" si="47">DATE(2009,MONTH(A941), DAY(A941))</f>
        <v>40155</v>
      </c>
    </row>
    <row r="942" spans="1:9" ht="25.5" x14ac:dyDescent="0.2">
      <c r="A942" s="28">
        <v>40155</v>
      </c>
      <c r="B942" s="26" t="s">
        <v>412</v>
      </c>
      <c r="C942" s="26" t="s">
        <v>9</v>
      </c>
      <c r="D942" s="35" t="s">
        <v>20</v>
      </c>
      <c r="E942" s="35" t="s">
        <v>20</v>
      </c>
      <c r="F942" s="35" t="s">
        <v>20</v>
      </c>
      <c r="G942" t="b">
        <f t="shared" si="45"/>
        <v>0</v>
      </c>
      <c r="H942" t="b">
        <f t="shared" si="46"/>
        <v>0</v>
      </c>
      <c r="I942" s="29">
        <f t="shared" si="47"/>
        <v>40155</v>
      </c>
    </row>
    <row r="943" spans="1:9" ht="12.75" customHeight="1" x14ac:dyDescent="0.2">
      <c r="A943" s="28">
        <v>40156</v>
      </c>
      <c r="B943" s="26" t="s">
        <v>1056</v>
      </c>
      <c r="C943" s="26" t="s">
        <v>9</v>
      </c>
      <c r="D943" s="35" t="s">
        <v>20</v>
      </c>
      <c r="E943" s="35" t="s">
        <v>20</v>
      </c>
      <c r="F943" s="35">
        <v>8322166</v>
      </c>
      <c r="G943" t="b">
        <f t="shared" si="45"/>
        <v>0</v>
      </c>
      <c r="H943" t="b">
        <f t="shared" si="46"/>
        <v>0</v>
      </c>
      <c r="I943" s="29">
        <f t="shared" si="47"/>
        <v>40156</v>
      </c>
    </row>
    <row r="944" spans="1:9" ht="25.5" x14ac:dyDescent="0.2">
      <c r="A944" s="28">
        <v>40158</v>
      </c>
      <c r="B944" s="26" t="s">
        <v>1833</v>
      </c>
      <c r="C944" s="26" t="s">
        <v>9</v>
      </c>
      <c r="D944" s="35" t="s">
        <v>20</v>
      </c>
      <c r="E944" s="35" t="s">
        <v>20</v>
      </c>
      <c r="F944" s="35" t="s">
        <v>20</v>
      </c>
      <c r="G944" t="b">
        <f t="shared" si="45"/>
        <v>0</v>
      </c>
      <c r="H944" t="b">
        <f t="shared" si="46"/>
        <v>0</v>
      </c>
      <c r="I944" s="29">
        <f t="shared" si="47"/>
        <v>40158</v>
      </c>
    </row>
    <row r="945" spans="1:9" ht="38.25" x14ac:dyDescent="0.2">
      <c r="A945" s="28">
        <v>40158</v>
      </c>
      <c r="B945" s="26" t="s">
        <v>3397</v>
      </c>
      <c r="C945" s="26" t="s">
        <v>9</v>
      </c>
      <c r="D945" s="35">
        <v>1070000</v>
      </c>
      <c r="E945" s="35">
        <v>164649</v>
      </c>
      <c r="F945" s="35">
        <v>5348767</v>
      </c>
      <c r="G945" t="b">
        <f t="shared" si="45"/>
        <v>0</v>
      </c>
      <c r="H945" t="b">
        <f t="shared" si="46"/>
        <v>0</v>
      </c>
      <c r="I945" s="29">
        <f t="shared" si="47"/>
        <v>40158</v>
      </c>
    </row>
    <row r="946" spans="1:9" ht="25.5" x14ac:dyDescent="0.2">
      <c r="A946" s="28">
        <v>40158</v>
      </c>
      <c r="B946" s="26" t="s">
        <v>2186</v>
      </c>
      <c r="C946" s="26" t="s">
        <v>9</v>
      </c>
      <c r="D946" s="35" t="s">
        <v>20</v>
      </c>
      <c r="E946" s="35">
        <v>41430</v>
      </c>
      <c r="F946" s="35" t="s">
        <v>20</v>
      </c>
      <c r="G946" t="b">
        <f t="shared" si="45"/>
        <v>0</v>
      </c>
      <c r="H946" t="b">
        <f t="shared" si="46"/>
        <v>0</v>
      </c>
      <c r="I946" s="29">
        <f t="shared" si="47"/>
        <v>40158</v>
      </c>
    </row>
    <row r="947" spans="1:9" ht="12.75" customHeight="1" x14ac:dyDescent="0.2">
      <c r="A947" s="28">
        <v>40158</v>
      </c>
      <c r="B947" s="26" t="s">
        <v>2838</v>
      </c>
      <c r="C947" s="26" t="s">
        <v>9</v>
      </c>
      <c r="D947" s="35" t="s">
        <v>20</v>
      </c>
      <c r="E947" s="35" t="s">
        <v>20</v>
      </c>
      <c r="F947" s="35" t="s">
        <v>20</v>
      </c>
      <c r="G947" t="b">
        <f t="shared" si="45"/>
        <v>0</v>
      </c>
      <c r="H947" t="b">
        <f t="shared" si="46"/>
        <v>0</v>
      </c>
      <c r="I947" s="29">
        <f t="shared" si="47"/>
        <v>40158</v>
      </c>
    </row>
    <row r="948" spans="1:9" ht="12.75" customHeight="1" x14ac:dyDescent="0.2">
      <c r="A948" s="28">
        <v>40158</v>
      </c>
      <c r="B948" s="26" t="s">
        <v>3328</v>
      </c>
      <c r="C948" s="26" t="s">
        <v>3209</v>
      </c>
      <c r="D948" s="35" t="s">
        <v>20</v>
      </c>
      <c r="E948" s="35">
        <v>37491364</v>
      </c>
      <c r="F948" s="35">
        <v>124491364</v>
      </c>
      <c r="G948" t="b">
        <f t="shared" ref="G948:G1011" si="48">ISBLANK(A948)</f>
        <v>0</v>
      </c>
      <c r="H948" t="b">
        <f t="shared" ref="H948:H1011" si="49">ISTEXT(A948)</f>
        <v>0</v>
      </c>
      <c r="I948" s="29">
        <f t="shared" si="47"/>
        <v>40158</v>
      </c>
    </row>
    <row r="949" spans="1:9" ht="12.75" customHeight="1" x14ac:dyDescent="0.2">
      <c r="A949" s="28">
        <v>40158</v>
      </c>
      <c r="B949" s="26" t="s">
        <v>3226</v>
      </c>
      <c r="C949" s="26" t="s">
        <v>49</v>
      </c>
      <c r="D949" s="35">
        <v>7000000</v>
      </c>
      <c r="E949" s="35">
        <v>9176000</v>
      </c>
      <c r="F949" s="35">
        <v>19112672</v>
      </c>
      <c r="G949" t="b">
        <f t="shared" si="48"/>
        <v>0</v>
      </c>
      <c r="H949" t="b">
        <f t="shared" si="49"/>
        <v>0</v>
      </c>
      <c r="I949" s="29">
        <f t="shared" si="47"/>
        <v>40158</v>
      </c>
    </row>
    <row r="950" spans="1:9" ht="38.25" x14ac:dyDescent="0.2">
      <c r="A950" s="28">
        <v>40158</v>
      </c>
      <c r="B950" s="26" t="s">
        <v>1462</v>
      </c>
      <c r="C950" s="26" t="s">
        <v>9</v>
      </c>
      <c r="D950" s="35" t="s">
        <v>20</v>
      </c>
      <c r="E950" s="35" t="s">
        <v>20</v>
      </c>
      <c r="F950" s="35" t="s">
        <v>20</v>
      </c>
      <c r="G950" t="b">
        <f t="shared" si="48"/>
        <v>0</v>
      </c>
      <c r="H950" t="b">
        <f t="shared" si="49"/>
        <v>0</v>
      </c>
      <c r="I950" s="29">
        <f t="shared" si="47"/>
        <v>40158</v>
      </c>
    </row>
    <row r="951" spans="1:9" ht="12.75" customHeight="1" x14ac:dyDescent="0.2">
      <c r="A951" s="28">
        <v>40158</v>
      </c>
      <c r="B951" s="26" t="s">
        <v>1686</v>
      </c>
      <c r="C951" s="26" t="s">
        <v>9</v>
      </c>
      <c r="D951" s="35" t="s">
        <v>20</v>
      </c>
      <c r="E951" s="35" t="s">
        <v>20</v>
      </c>
      <c r="F951" s="35" t="s">
        <v>20</v>
      </c>
      <c r="G951" t="b">
        <f t="shared" si="48"/>
        <v>0</v>
      </c>
      <c r="H951" t="b">
        <f t="shared" si="49"/>
        <v>0</v>
      </c>
      <c r="I951" s="29">
        <f t="shared" si="47"/>
        <v>40158</v>
      </c>
    </row>
    <row r="952" spans="1:9" ht="38.25" x14ac:dyDescent="0.2">
      <c r="A952" s="28">
        <v>40158</v>
      </c>
      <c r="B952" s="26" t="s">
        <v>182</v>
      </c>
      <c r="C952" s="26" t="s">
        <v>9</v>
      </c>
      <c r="D952" s="35" t="s">
        <v>20</v>
      </c>
      <c r="E952" s="35">
        <v>246042</v>
      </c>
      <c r="F952" s="35" t="s">
        <v>20</v>
      </c>
      <c r="G952" t="b">
        <f t="shared" si="48"/>
        <v>0</v>
      </c>
      <c r="H952" t="b">
        <f t="shared" si="49"/>
        <v>0</v>
      </c>
      <c r="I952" s="29">
        <f t="shared" si="47"/>
        <v>40158</v>
      </c>
    </row>
    <row r="953" spans="1:9" x14ac:dyDescent="0.2">
      <c r="A953" s="28">
        <v>40158</v>
      </c>
      <c r="B953" s="26" t="s">
        <v>1316</v>
      </c>
      <c r="C953" s="26" t="s">
        <v>9</v>
      </c>
      <c r="D953" s="35" t="s">
        <v>20</v>
      </c>
      <c r="E953" s="35">
        <v>283459</v>
      </c>
      <c r="F953" s="35" t="s">
        <v>20</v>
      </c>
      <c r="G953" t="b">
        <f t="shared" si="48"/>
        <v>0</v>
      </c>
      <c r="H953" t="b">
        <f t="shared" si="49"/>
        <v>0</v>
      </c>
      <c r="I953" s="29">
        <f t="shared" si="47"/>
        <v>40158</v>
      </c>
    </row>
    <row r="954" spans="1:9" ht="12.75" customHeight="1" x14ac:dyDescent="0.2">
      <c r="A954" s="28">
        <v>40158</v>
      </c>
      <c r="B954" s="26" t="s">
        <v>2050</v>
      </c>
      <c r="C954" s="26" t="s">
        <v>3240</v>
      </c>
      <c r="D954" s="35">
        <v>65000000</v>
      </c>
      <c r="E954" s="35">
        <v>44114232</v>
      </c>
      <c r="F954" s="35">
        <v>94894448</v>
      </c>
      <c r="G954" t="b">
        <f t="shared" si="48"/>
        <v>0</v>
      </c>
      <c r="H954" t="b">
        <f t="shared" si="49"/>
        <v>0</v>
      </c>
      <c r="I954" s="29">
        <f t="shared" si="47"/>
        <v>40158</v>
      </c>
    </row>
    <row r="955" spans="1:9" ht="25.5" x14ac:dyDescent="0.2">
      <c r="A955" s="28">
        <v>40162</v>
      </c>
      <c r="B955" s="26" t="s">
        <v>2184</v>
      </c>
      <c r="C955" s="26" t="s">
        <v>9</v>
      </c>
      <c r="D955" s="35" t="s">
        <v>20</v>
      </c>
      <c r="E955" s="35" t="s">
        <v>20</v>
      </c>
      <c r="F955" s="35" t="s">
        <v>20</v>
      </c>
      <c r="G955" t="b">
        <f t="shared" si="48"/>
        <v>0</v>
      </c>
      <c r="H955" t="b">
        <f t="shared" si="49"/>
        <v>0</v>
      </c>
      <c r="I955" s="29">
        <f t="shared" si="47"/>
        <v>40162</v>
      </c>
    </row>
    <row r="956" spans="1:9" ht="38.25" x14ac:dyDescent="0.2">
      <c r="A956" s="28">
        <v>40162</v>
      </c>
      <c r="B956" s="26" t="s">
        <v>2548</v>
      </c>
      <c r="C956" s="26" t="s">
        <v>9</v>
      </c>
      <c r="D956" s="35" t="s">
        <v>20</v>
      </c>
      <c r="E956" s="35" t="s">
        <v>20</v>
      </c>
      <c r="F956" s="35" t="s">
        <v>20</v>
      </c>
      <c r="G956" t="b">
        <f t="shared" si="48"/>
        <v>0</v>
      </c>
      <c r="H956" t="b">
        <f t="shared" si="49"/>
        <v>0</v>
      </c>
      <c r="I956" s="29">
        <f t="shared" si="47"/>
        <v>40162</v>
      </c>
    </row>
    <row r="957" spans="1:9" ht="25.5" x14ac:dyDescent="0.2">
      <c r="A957" s="28">
        <v>40163</v>
      </c>
      <c r="B957" s="26" t="s">
        <v>613</v>
      </c>
      <c r="C957" s="26" t="s">
        <v>9</v>
      </c>
      <c r="D957" s="35" t="s">
        <v>20</v>
      </c>
      <c r="E957" s="35">
        <v>165509</v>
      </c>
      <c r="F957" s="35" t="s">
        <v>20</v>
      </c>
      <c r="G957" t="b">
        <f t="shared" si="48"/>
        <v>0</v>
      </c>
      <c r="H957" t="b">
        <f t="shared" si="49"/>
        <v>0</v>
      </c>
      <c r="I957" s="29">
        <f t="shared" si="47"/>
        <v>40163</v>
      </c>
    </row>
    <row r="958" spans="1:9" ht="12.75" customHeight="1" x14ac:dyDescent="0.2">
      <c r="A958" s="28">
        <v>40163</v>
      </c>
      <c r="B958" s="26" t="s">
        <v>1863</v>
      </c>
      <c r="C958" s="26" t="s">
        <v>155</v>
      </c>
      <c r="D958" s="35">
        <v>8500000</v>
      </c>
      <c r="E958" s="35">
        <v>39471742</v>
      </c>
      <c r="F958" s="35">
        <v>47305884</v>
      </c>
      <c r="G958" t="b">
        <f t="shared" si="48"/>
        <v>0</v>
      </c>
      <c r="H958" t="b">
        <f t="shared" si="49"/>
        <v>0</v>
      </c>
      <c r="I958" s="29">
        <f t="shared" si="47"/>
        <v>40163</v>
      </c>
    </row>
    <row r="959" spans="1:9" ht="12.75" customHeight="1" x14ac:dyDescent="0.2">
      <c r="A959" s="28">
        <v>40163</v>
      </c>
      <c r="B959" s="26" t="s">
        <v>3342</v>
      </c>
      <c r="C959" s="26" t="s">
        <v>3466</v>
      </c>
      <c r="D959" s="35" t="s">
        <v>20</v>
      </c>
      <c r="E959" s="35">
        <v>3457</v>
      </c>
      <c r="F959" s="35" t="s">
        <v>20</v>
      </c>
      <c r="G959" t="b">
        <f t="shared" si="48"/>
        <v>0</v>
      </c>
      <c r="H959" t="b">
        <f t="shared" si="49"/>
        <v>0</v>
      </c>
      <c r="I959" s="29">
        <f t="shared" si="47"/>
        <v>40163</v>
      </c>
    </row>
    <row r="960" spans="1:9" ht="12.75" customHeight="1" x14ac:dyDescent="0.2">
      <c r="A960" s="28">
        <v>40164</v>
      </c>
      <c r="B960" s="26" t="s">
        <v>55</v>
      </c>
      <c r="C960" s="26" t="s">
        <v>9</v>
      </c>
      <c r="D960" s="35" t="s">
        <v>20</v>
      </c>
      <c r="E960" s="35" t="s">
        <v>20</v>
      </c>
      <c r="F960" s="35">
        <v>1333891</v>
      </c>
      <c r="G960" t="b">
        <f t="shared" si="48"/>
        <v>0</v>
      </c>
      <c r="H960" t="b">
        <f t="shared" si="49"/>
        <v>0</v>
      </c>
      <c r="I960" s="29">
        <f t="shared" si="47"/>
        <v>40164</v>
      </c>
    </row>
    <row r="961" spans="1:9" ht="12.75" customHeight="1" x14ac:dyDescent="0.2">
      <c r="A961" s="28">
        <v>40165</v>
      </c>
      <c r="B961" s="26" t="s">
        <v>2182</v>
      </c>
      <c r="C961" s="26" t="s">
        <v>49</v>
      </c>
      <c r="D961" s="35" t="s">
        <v>20</v>
      </c>
      <c r="E961" s="35">
        <v>19676965</v>
      </c>
      <c r="F961" s="35">
        <v>53508858</v>
      </c>
      <c r="G961" t="b">
        <f t="shared" si="48"/>
        <v>0</v>
      </c>
      <c r="H961" t="b">
        <f t="shared" si="49"/>
        <v>0</v>
      </c>
      <c r="I961" s="29">
        <f t="shared" si="47"/>
        <v>40165</v>
      </c>
    </row>
    <row r="962" spans="1:9" ht="25.5" x14ac:dyDescent="0.2">
      <c r="A962" s="28">
        <v>40165</v>
      </c>
      <c r="B962" s="26" t="s">
        <v>2369</v>
      </c>
      <c r="C962" s="26" t="s">
        <v>9</v>
      </c>
      <c r="D962" s="35">
        <v>23000000</v>
      </c>
      <c r="E962" s="35" t="s">
        <v>20</v>
      </c>
      <c r="F962" s="35">
        <v>44195779</v>
      </c>
      <c r="G962" t="b">
        <f t="shared" si="48"/>
        <v>0</v>
      </c>
      <c r="H962" t="b">
        <f t="shared" si="49"/>
        <v>0</v>
      </c>
      <c r="I962" s="29">
        <f t="shared" si="47"/>
        <v>40165</v>
      </c>
    </row>
    <row r="963" spans="1:9" ht="25.5" x14ac:dyDescent="0.2">
      <c r="A963" s="28">
        <v>40165</v>
      </c>
      <c r="B963" s="26" t="s">
        <v>300</v>
      </c>
      <c r="C963" s="26" t="s">
        <v>9</v>
      </c>
      <c r="D963" s="35">
        <v>35000000</v>
      </c>
      <c r="E963" s="35">
        <v>11001272</v>
      </c>
      <c r="F963" s="35" t="s">
        <v>20</v>
      </c>
      <c r="G963" t="b">
        <f t="shared" si="48"/>
        <v>0</v>
      </c>
      <c r="H963" t="b">
        <f t="shared" si="49"/>
        <v>0</v>
      </c>
      <c r="I963" s="29">
        <f t="shared" si="47"/>
        <v>40165</v>
      </c>
    </row>
    <row r="964" spans="1:9" ht="12.75" customHeight="1" x14ac:dyDescent="0.2">
      <c r="A964" s="28">
        <v>40165</v>
      </c>
      <c r="B964" s="26" t="s">
        <v>1550</v>
      </c>
      <c r="C964" s="26" t="s">
        <v>384</v>
      </c>
      <c r="D964" s="35">
        <v>237000000</v>
      </c>
      <c r="E964" s="35">
        <v>760507625</v>
      </c>
      <c r="F964" s="35">
        <v>2782612870</v>
      </c>
      <c r="G964" t="b">
        <f t="shared" si="48"/>
        <v>0</v>
      </c>
      <c r="H964" t="b">
        <f t="shared" si="49"/>
        <v>0</v>
      </c>
      <c r="I964" s="29">
        <f t="shared" si="47"/>
        <v>40165</v>
      </c>
    </row>
    <row r="965" spans="1:9" x14ac:dyDescent="0.2">
      <c r="A965" s="28">
        <v>40165</v>
      </c>
      <c r="B965" s="26" t="s">
        <v>308</v>
      </c>
      <c r="C965" s="26" t="s">
        <v>9</v>
      </c>
      <c r="D965" s="35" t="s">
        <v>20</v>
      </c>
      <c r="E965" s="35" t="s">
        <v>20</v>
      </c>
      <c r="F965" s="35" t="s">
        <v>20</v>
      </c>
      <c r="G965" t="b">
        <f t="shared" si="48"/>
        <v>0</v>
      </c>
      <c r="H965" t="b">
        <f t="shared" si="49"/>
        <v>0</v>
      </c>
      <c r="I965" s="29">
        <f t="shared" si="47"/>
        <v>40165</v>
      </c>
    </row>
    <row r="966" spans="1:9" ht="38.25" x14ac:dyDescent="0.2">
      <c r="A966" s="28">
        <v>40165</v>
      </c>
      <c r="B966" s="26" t="s">
        <v>1166</v>
      </c>
      <c r="C966" s="26" t="s">
        <v>2160</v>
      </c>
      <c r="D966" s="35" t="s">
        <v>20</v>
      </c>
      <c r="E966" s="35">
        <v>29580087</v>
      </c>
      <c r="F966" s="35">
        <v>80480566</v>
      </c>
      <c r="G966" t="b">
        <f t="shared" si="48"/>
        <v>0</v>
      </c>
      <c r="H966" t="b">
        <f t="shared" si="49"/>
        <v>0</v>
      </c>
      <c r="I966" s="29">
        <f t="shared" si="47"/>
        <v>40165</v>
      </c>
    </row>
    <row r="967" spans="1:9" ht="12.75" customHeight="1" x14ac:dyDescent="0.2">
      <c r="A967" s="28">
        <v>40169</v>
      </c>
      <c r="B967" s="26" t="s">
        <v>97</v>
      </c>
      <c r="C967" s="26" t="s">
        <v>9</v>
      </c>
      <c r="D967" s="35" t="s">
        <v>20</v>
      </c>
      <c r="E967" s="35" t="s">
        <v>20</v>
      </c>
      <c r="F967" s="35" t="s">
        <v>20</v>
      </c>
      <c r="G967" t="b">
        <f t="shared" si="48"/>
        <v>0</v>
      </c>
      <c r="H967" t="b">
        <f t="shared" si="49"/>
        <v>0</v>
      </c>
      <c r="I967" s="29">
        <f t="shared" si="47"/>
        <v>40169</v>
      </c>
    </row>
    <row r="968" spans="1:9" ht="12.75" customHeight="1" x14ac:dyDescent="0.2">
      <c r="A968" s="28">
        <v>40169</v>
      </c>
      <c r="B968" s="26" t="s">
        <v>674</v>
      </c>
      <c r="C968" s="26" t="s">
        <v>9</v>
      </c>
      <c r="D968" s="35" t="s">
        <v>20</v>
      </c>
      <c r="E968" s="35" t="s">
        <v>20</v>
      </c>
      <c r="F968" s="35" t="s">
        <v>20</v>
      </c>
      <c r="G968" t="b">
        <f t="shared" si="48"/>
        <v>0</v>
      </c>
      <c r="H968" t="b">
        <f t="shared" si="49"/>
        <v>0</v>
      </c>
      <c r="I968" s="29">
        <f t="shared" si="47"/>
        <v>40169</v>
      </c>
    </row>
    <row r="969" spans="1:9" ht="12.75" customHeight="1" x14ac:dyDescent="0.2">
      <c r="A969" s="28">
        <v>40169</v>
      </c>
      <c r="B969" s="26" t="s">
        <v>475</v>
      </c>
      <c r="C969" s="26" t="s">
        <v>9</v>
      </c>
      <c r="D969" s="35" t="s">
        <v>20</v>
      </c>
      <c r="E969" s="35" t="s">
        <v>20</v>
      </c>
      <c r="F969" s="35" t="s">
        <v>20</v>
      </c>
      <c r="G969" t="b">
        <f t="shared" si="48"/>
        <v>0</v>
      </c>
      <c r="H969" t="b">
        <f t="shared" si="49"/>
        <v>0</v>
      </c>
      <c r="I969" s="29">
        <f t="shared" si="47"/>
        <v>40169</v>
      </c>
    </row>
    <row r="970" spans="1:9" ht="12.75" customHeight="1" x14ac:dyDescent="0.2">
      <c r="A970" s="28">
        <v>40169</v>
      </c>
      <c r="B970" s="26" t="s">
        <v>2394</v>
      </c>
      <c r="C970" s="26" t="s">
        <v>9</v>
      </c>
      <c r="D970" s="35" t="s">
        <v>20</v>
      </c>
      <c r="E970" s="35" t="s">
        <v>20</v>
      </c>
      <c r="F970" s="35" t="s">
        <v>20</v>
      </c>
      <c r="G970" t="b">
        <f t="shared" si="48"/>
        <v>0</v>
      </c>
      <c r="H970" t="b">
        <f t="shared" si="49"/>
        <v>0</v>
      </c>
      <c r="I970" s="29">
        <f t="shared" si="47"/>
        <v>40169</v>
      </c>
    </row>
    <row r="971" spans="1:9" ht="38.25" x14ac:dyDescent="0.2">
      <c r="A971" s="28">
        <v>40169</v>
      </c>
      <c r="B971" s="26" t="s">
        <v>2703</v>
      </c>
      <c r="C971" s="26" t="s">
        <v>9</v>
      </c>
      <c r="D971" s="35" t="s">
        <v>20</v>
      </c>
      <c r="E971" s="35" t="s">
        <v>20</v>
      </c>
      <c r="F971" s="35" t="s">
        <v>20</v>
      </c>
      <c r="G971" t="b">
        <f t="shared" si="48"/>
        <v>0</v>
      </c>
      <c r="H971" t="b">
        <f t="shared" si="49"/>
        <v>0</v>
      </c>
      <c r="I971" s="29">
        <f t="shared" si="47"/>
        <v>40169</v>
      </c>
    </row>
    <row r="972" spans="1:9" ht="38.25" x14ac:dyDescent="0.2">
      <c r="A972" s="28">
        <v>40170</v>
      </c>
      <c r="B972" s="26" t="s">
        <v>2245</v>
      </c>
      <c r="C972" s="26" t="s">
        <v>384</v>
      </c>
      <c r="D972" s="35">
        <v>75000000</v>
      </c>
      <c r="E972" s="35">
        <v>219614612</v>
      </c>
      <c r="F972" s="35">
        <v>443483213</v>
      </c>
      <c r="G972" t="b">
        <f t="shared" si="48"/>
        <v>0</v>
      </c>
      <c r="H972" t="b">
        <f t="shared" si="49"/>
        <v>0</v>
      </c>
      <c r="I972" s="29">
        <f t="shared" si="47"/>
        <v>40170</v>
      </c>
    </row>
    <row r="973" spans="1:9" ht="12.75" customHeight="1" x14ac:dyDescent="0.2">
      <c r="A973" s="28">
        <v>40170</v>
      </c>
      <c r="B973" s="26" t="s">
        <v>443</v>
      </c>
      <c r="C973" s="26" t="s">
        <v>9</v>
      </c>
      <c r="D973" s="35" t="s">
        <v>20</v>
      </c>
      <c r="E973" s="35">
        <v>6533849</v>
      </c>
      <c r="F973" s="35">
        <v>69533849</v>
      </c>
      <c r="G973" t="b">
        <f t="shared" si="48"/>
        <v>0</v>
      </c>
      <c r="H973" t="b">
        <f t="shared" si="49"/>
        <v>0</v>
      </c>
      <c r="I973" s="29">
        <f t="shared" si="47"/>
        <v>40170</v>
      </c>
    </row>
    <row r="974" spans="1:9" ht="12.75" customHeight="1" x14ac:dyDescent="0.2">
      <c r="A974" s="28">
        <v>40170</v>
      </c>
      <c r="B974" s="26" t="s">
        <v>738</v>
      </c>
      <c r="C974" s="26" t="s">
        <v>3466</v>
      </c>
      <c r="D974" s="35" t="s">
        <v>20</v>
      </c>
      <c r="E974" s="35">
        <v>53206</v>
      </c>
      <c r="F974" s="35" t="s">
        <v>20</v>
      </c>
      <c r="G974" t="b">
        <f t="shared" si="48"/>
        <v>0</v>
      </c>
      <c r="H974" t="b">
        <f t="shared" si="49"/>
        <v>0</v>
      </c>
      <c r="I974" s="29">
        <f t="shared" si="47"/>
        <v>40170</v>
      </c>
    </row>
    <row r="975" spans="1:9" ht="12.75" customHeight="1" x14ac:dyDescent="0.2">
      <c r="A975" s="28">
        <v>40172</v>
      </c>
      <c r="B975" s="26" t="s">
        <v>373</v>
      </c>
      <c r="C975" s="26" t="s">
        <v>3209</v>
      </c>
      <c r="D975" s="35">
        <v>80000000</v>
      </c>
      <c r="E975" s="35">
        <v>209028679</v>
      </c>
      <c r="F975" s="35">
        <v>524028679</v>
      </c>
      <c r="G975" t="b">
        <f t="shared" si="48"/>
        <v>0</v>
      </c>
      <c r="H975" t="b">
        <f t="shared" si="49"/>
        <v>0</v>
      </c>
      <c r="I975" s="29">
        <f t="shared" si="47"/>
        <v>40172</v>
      </c>
    </row>
    <row r="976" spans="1:9" ht="38.25" x14ac:dyDescent="0.2">
      <c r="A976" s="28">
        <v>40172</v>
      </c>
      <c r="B976" s="26" t="s">
        <v>789</v>
      </c>
      <c r="C976" s="26" t="s">
        <v>9</v>
      </c>
      <c r="D976" s="35">
        <v>30000000</v>
      </c>
      <c r="E976" s="35">
        <v>7689458</v>
      </c>
      <c r="F976" s="35">
        <v>58692979</v>
      </c>
      <c r="G976" t="b">
        <f t="shared" si="48"/>
        <v>0</v>
      </c>
      <c r="H976" t="b">
        <f t="shared" si="49"/>
        <v>0</v>
      </c>
      <c r="I976" s="29">
        <f t="shared" si="47"/>
        <v>40172</v>
      </c>
    </row>
    <row r="977" spans="1:9" ht="25.5" x14ac:dyDescent="0.2">
      <c r="A977" s="28">
        <v>40172</v>
      </c>
      <c r="B977" s="26" t="s">
        <v>1575</v>
      </c>
      <c r="C977" s="26" t="s">
        <v>9</v>
      </c>
      <c r="D977" s="35" t="s">
        <v>20</v>
      </c>
      <c r="E977" s="35">
        <v>9081782</v>
      </c>
      <c r="F977" s="35">
        <v>62287423</v>
      </c>
      <c r="G977" t="b">
        <f t="shared" si="48"/>
        <v>0</v>
      </c>
      <c r="H977" t="b">
        <f t="shared" si="49"/>
        <v>0</v>
      </c>
      <c r="I977" s="29">
        <f t="shared" si="47"/>
        <v>40172</v>
      </c>
    </row>
    <row r="978" spans="1:9" ht="12.75" customHeight="1" x14ac:dyDescent="0.2">
      <c r="A978" s="28">
        <v>40172</v>
      </c>
      <c r="B978" s="26" t="s">
        <v>2281</v>
      </c>
      <c r="C978" s="26" t="s">
        <v>3096</v>
      </c>
      <c r="D978" s="35">
        <v>75000000</v>
      </c>
      <c r="E978" s="35">
        <v>112735375</v>
      </c>
      <c r="F978" s="35">
        <v>224614744</v>
      </c>
      <c r="G978" t="b">
        <f t="shared" si="48"/>
        <v>0</v>
      </c>
      <c r="H978" t="b">
        <f t="shared" si="49"/>
        <v>0</v>
      </c>
      <c r="I978" s="29">
        <f t="shared" si="47"/>
        <v>40172</v>
      </c>
    </row>
    <row r="979" spans="1:9" ht="25.5" x14ac:dyDescent="0.2">
      <c r="A979" s="28">
        <v>40176</v>
      </c>
      <c r="B979" s="26" t="s">
        <v>3338</v>
      </c>
      <c r="C979" s="26" t="s">
        <v>9</v>
      </c>
      <c r="D979" s="35" t="s">
        <v>20</v>
      </c>
      <c r="E979" s="35" t="s">
        <v>20</v>
      </c>
      <c r="F979" s="35" t="s">
        <v>20</v>
      </c>
      <c r="G979" t="b">
        <f t="shared" si="48"/>
        <v>0</v>
      </c>
      <c r="H979" t="b">
        <f t="shared" si="49"/>
        <v>0</v>
      </c>
      <c r="I979" s="29">
        <f t="shared" si="47"/>
        <v>40176</v>
      </c>
    </row>
    <row r="980" spans="1:9" ht="12.75" customHeight="1" x14ac:dyDescent="0.2">
      <c r="A980" s="28">
        <v>40176</v>
      </c>
      <c r="B980" s="26" t="s">
        <v>2563</v>
      </c>
      <c r="C980" s="26" t="s">
        <v>9</v>
      </c>
      <c r="D980" s="35" t="s">
        <v>20</v>
      </c>
      <c r="E980" s="35" t="s">
        <v>20</v>
      </c>
      <c r="F980" s="35" t="s">
        <v>20</v>
      </c>
      <c r="G980" t="b">
        <f t="shared" si="48"/>
        <v>0</v>
      </c>
      <c r="H980" t="b">
        <f t="shared" si="49"/>
        <v>0</v>
      </c>
      <c r="I980" s="29">
        <f t="shared" si="47"/>
        <v>40176</v>
      </c>
    </row>
    <row r="981" spans="1:9" ht="12.75" customHeight="1" x14ac:dyDescent="0.2">
      <c r="A981" s="28">
        <v>40176</v>
      </c>
      <c r="B981" s="26" t="s">
        <v>445</v>
      </c>
      <c r="C981" s="26" t="s">
        <v>9</v>
      </c>
      <c r="D981" s="35" t="s">
        <v>20</v>
      </c>
      <c r="E981" s="35" t="s">
        <v>20</v>
      </c>
      <c r="F981" s="35" t="s">
        <v>20</v>
      </c>
      <c r="G981" t="b">
        <f t="shared" si="48"/>
        <v>0</v>
      </c>
      <c r="H981" t="b">
        <f t="shared" si="49"/>
        <v>0</v>
      </c>
      <c r="I981" s="29">
        <f t="shared" si="47"/>
        <v>40176</v>
      </c>
    </row>
    <row r="982" spans="1:9" ht="12.75" customHeight="1" x14ac:dyDescent="0.2">
      <c r="A982" s="28">
        <v>40176</v>
      </c>
      <c r="B982" s="26" t="s">
        <v>2631</v>
      </c>
      <c r="C982" s="26" t="s">
        <v>9</v>
      </c>
      <c r="D982" s="35" t="s">
        <v>20</v>
      </c>
      <c r="E982" s="35" t="s">
        <v>20</v>
      </c>
      <c r="F982" s="35" t="s">
        <v>20</v>
      </c>
      <c r="G982" t="b">
        <f t="shared" si="48"/>
        <v>0</v>
      </c>
      <c r="H982" t="b">
        <f t="shared" si="49"/>
        <v>0</v>
      </c>
      <c r="I982" s="29">
        <f t="shared" si="47"/>
        <v>40176</v>
      </c>
    </row>
    <row r="983" spans="1:9" ht="12.75" customHeight="1" x14ac:dyDescent="0.2">
      <c r="A983" s="28">
        <v>40177</v>
      </c>
      <c r="B983" s="26" t="s">
        <v>1181</v>
      </c>
      <c r="C983" s="26" t="s">
        <v>1414</v>
      </c>
      <c r="D983" s="35" t="s">
        <v>20</v>
      </c>
      <c r="E983" s="35">
        <v>6542</v>
      </c>
      <c r="F983" s="35" t="s">
        <v>20</v>
      </c>
      <c r="G983" t="b">
        <f t="shared" si="48"/>
        <v>0</v>
      </c>
      <c r="H983" t="b">
        <f t="shared" si="49"/>
        <v>0</v>
      </c>
      <c r="I983" s="29">
        <f t="shared" si="47"/>
        <v>40177</v>
      </c>
    </row>
    <row r="984" spans="1:9" ht="51" x14ac:dyDescent="0.2">
      <c r="A984" s="28">
        <v>40177</v>
      </c>
      <c r="B984" s="26" t="s">
        <v>2868</v>
      </c>
      <c r="C984" s="26" t="s">
        <v>612</v>
      </c>
      <c r="D984" s="35" t="s">
        <v>20</v>
      </c>
      <c r="E984" s="35">
        <v>2222862</v>
      </c>
      <c r="F984" s="35">
        <v>13136561</v>
      </c>
      <c r="G984" t="b">
        <f t="shared" si="48"/>
        <v>0</v>
      </c>
      <c r="H984" t="b">
        <f t="shared" si="49"/>
        <v>0</v>
      </c>
      <c r="I984" s="29">
        <f t="shared" si="47"/>
        <v>40177</v>
      </c>
    </row>
    <row r="985" spans="1:9" ht="25.5" x14ac:dyDescent="0.2">
      <c r="A985" s="28">
        <v>40177</v>
      </c>
      <c r="B985" s="26" t="s">
        <v>3244</v>
      </c>
      <c r="C985" s="26" t="s">
        <v>125</v>
      </c>
      <c r="D985" s="35" t="s">
        <v>20</v>
      </c>
      <c r="E985" s="35">
        <v>119790</v>
      </c>
      <c r="F985" s="35" t="s">
        <v>20</v>
      </c>
      <c r="G985" t="b">
        <f t="shared" si="48"/>
        <v>0</v>
      </c>
      <c r="H985" t="b">
        <f t="shared" si="49"/>
        <v>0</v>
      </c>
      <c r="I985" s="29">
        <f t="shared" si="47"/>
        <v>40177</v>
      </c>
    </row>
    <row r="986" spans="1:9" ht="12.75" customHeight="1" x14ac:dyDescent="0.2">
      <c r="A986" s="28">
        <v>40178</v>
      </c>
      <c r="B986" s="26" t="s">
        <v>2212</v>
      </c>
      <c r="C986" s="26" t="s">
        <v>9</v>
      </c>
      <c r="D986" s="35">
        <v>50000</v>
      </c>
      <c r="E986" s="35" t="s">
        <v>20</v>
      </c>
      <c r="F986" s="35" t="s">
        <v>20</v>
      </c>
      <c r="G986" t="b">
        <f t="shared" si="48"/>
        <v>0</v>
      </c>
      <c r="H986" t="b">
        <f t="shared" si="49"/>
        <v>0</v>
      </c>
      <c r="I986" s="29">
        <f t="shared" si="47"/>
        <v>40178</v>
      </c>
    </row>
    <row r="987" spans="1:9" ht="38.25" x14ac:dyDescent="0.2">
      <c r="A987" s="28">
        <v>40178</v>
      </c>
      <c r="B987" s="26" t="s">
        <v>593</v>
      </c>
      <c r="C987" s="26" t="s">
        <v>9</v>
      </c>
      <c r="D987" s="35" t="s">
        <v>20</v>
      </c>
      <c r="E987" s="35" t="s">
        <v>20</v>
      </c>
      <c r="F987" s="35" t="s">
        <v>20</v>
      </c>
      <c r="G987" t="b">
        <f t="shared" si="48"/>
        <v>0</v>
      </c>
      <c r="H987" t="b">
        <f t="shared" si="49"/>
        <v>0</v>
      </c>
      <c r="I987" s="29">
        <f t="shared" si="47"/>
        <v>40178</v>
      </c>
    </row>
    <row r="988" spans="1:9" ht="12.75" customHeight="1" x14ac:dyDescent="0.2">
      <c r="A988" s="28">
        <v>40178</v>
      </c>
      <c r="B988" s="26" t="s">
        <v>643</v>
      </c>
      <c r="C988" s="26" t="s">
        <v>9</v>
      </c>
      <c r="D988" s="35" t="s">
        <v>20</v>
      </c>
      <c r="E988" s="35" t="s">
        <v>20</v>
      </c>
      <c r="F988" s="35" t="s">
        <v>20</v>
      </c>
      <c r="G988" t="b">
        <f t="shared" si="48"/>
        <v>0</v>
      </c>
      <c r="H988" t="b">
        <f t="shared" si="49"/>
        <v>0</v>
      </c>
      <c r="I988" s="29">
        <f t="shared" si="47"/>
        <v>40178</v>
      </c>
    </row>
    <row r="989" spans="1:9" ht="12.75" customHeight="1" x14ac:dyDescent="0.2">
      <c r="A989" s="28">
        <v>40178</v>
      </c>
      <c r="B989" s="26" t="s">
        <v>2814</v>
      </c>
      <c r="C989" s="26" t="s">
        <v>9</v>
      </c>
      <c r="D989" s="35" t="s">
        <v>20</v>
      </c>
      <c r="E989" s="35" t="s">
        <v>20</v>
      </c>
      <c r="F989" s="35" t="s">
        <v>20</v>
      </c>
      <c r="G989" t="b">
        <f t="shared" si="48"/>
        <v>0</v>
      </c>
      <c r="H989" t="b">
        <f t="shared" si="49"/>
        <v>0</v>
      </c>
      <c r="I989" s="29">
        <f t="shared" si="47"/>
        <v>40178</v>
      </c>
    </row>
    <row r="990" spans="1:9" ht="12.75" customHeight="1" x14ac:dyDescent="0.2">
      <c r="A990" s="28">
        <v>40178</v>
      </c>
      <c r="B990" s="26" t="s">
        <v>3078</v>
      </c>
      <c r="C990" s="26" t="s">
        <v>9</v>
      </c>
      <c r="D990" s="35" t="s">
        <v>20</v>
      </c>
      <c r="E990" s="35" t="s">
        <v>20</v>
      </c>
      <c r="F990" s="35" t="s">
        <v>20</v>
      </c>
      <c r="G990" t="b">
        <f t="shared" si="48"/>
        <v>0</v>
      </c>
      <c r="H990" t="b">
        <f t="shared" si="49"/>
        <v>0</v>
      </c>
      <c r="I990" s="29">
        <f t="shared" si="47"/>
        <v>40178</v>
      </c>
    </row>
    <row r="991" spans="1:9" ht="12.75" customHeight="1" x14ac:dyDescent="0.2">
      <c r="A991" s="28">
        <v>40178</v>
      </c>
      <c r="B991" s="26" t="s">
        <v>2306</v>
      </c>
      <c r="C991" s="26" t="s">
        <v>9</v>
      </c>
      <c r="D991" s="35" t="s">
        <v>20</v>
      </c>
      <c r="E991" s="35" t="s">
        <v>20</v>
      </c>
      <c r="F991" s="35" t="s">
        <v>20</v>
      </c>
      <c r="G991" t="b">
        <f t="shared" si="48"/>
        <v>0</v>
      </c>
      <c r="H991" t="b">
        <f t="shared" si="49"/>
        <v>0</v>
      </c>
      <c r="I991" s="29">
        <f t="shared" si="47"/>
        <v>40178</v>
      </c>
    </row>
    <row r="992" spans="1:9" ht="12.75" customHeight="1" x14ac:dyDescent="0.2">
      <c r="A992" s="28">
        <v>40178</v>
      </c>
      <c r="B992" s="26" t="s">
        <v>3023</v>
      </c>
      <c r="C992" s="26" t="s">
        <v>9</v>
      </c>
      <c r="D992" s="35" t="s">
        <v>20</v>
      </c>
      <c r="E992" s="35" t="s">
        <v>20</v>
      </c>
      <c r="F992" s="35" t="s">
        <v>20</v>
      </c>
      <c r="G992" t="b">
        <f t="shared" si="48"/>
        <v>0</v>
      </c>
      <c r="H992" t="b">
        <f t="shared" si="49"/>
        <v>0</v>
      </c>
      <c r="I992" s="29">
        <f t="shared" si="47"/>
        <v>40178</v>
      </c>
    </row>
    <row r="993" spans="1:9" ht="12.75" customHeight="1" x14ac:dyDescent="0.2">
      <c r="A993" s="28">
        <v>40178</v>
      </c>
      <c r="B993" s="26" t="s">
        <v>2686</v>
      </c>
      <c r="C993" s="26" t="s">
        <v>9</v>
      </c>
      <c r="D993" s="35" t="s">
        <v>20</v>
      </c>
      <c r="E993" s="35" t="s">
        <v>20</v>
      </c>
      <c r="F993" s="35" t="s">
        <v>20</v>
      </c>
      <c r="G993" t="b">
        <f t="shared" si="48"/>
        <v>0</v>
      </c>
      <c r="H993" t="b">
        <f t="shared" si="49"/>
        <v>0</v>
      </c>
      <c r="I993" s="29">
        <f t="shared" si="47"/>
        <v>40178</v>
      </c>
    </row>
    <row r="994" spans="1:9" ht="63.75" x14ac:dyDescent="0.2">
      <c r="A994" s="28">
        <v>40178</v>
      </c>
      <c r="B994" s="26" t="s">
        <v>3044</v>
      </c>
      <c r="C994" s="26" t="s">
        <v>9</v>
      </c>
      <c r="D994" s="35" t="s">
        <v>20</v>
      </c>
      <c r="E994" s="35" t="s">
        <v>20</v>
      </c>
      <c r="F994" s="35" t="s">
        <v>20</v>
      </c>
      <c r="G994" t="b">
        <f t="shared" si="48"/>
        <v>0</v>
      </c>
      <c r="H994" t="b">
        <f t="shared" si="49"/>
        <v>0</v>
      </c>
      <c r="I994" s="29">
        <f t="shared" si="47"/>
        <v>40178</v>
      </c>
    </row>
    <row r="995" spans="1:9" ht="25.5" x14ac:dyDescent="0.2">
      <c r="A995" s="28">
        <v>40178</v>
      </c>
      <c r="B995" s="26" t="s">
        <v>2726</v>
      </c>
      <c r="C995" s="26" t="s">
        <v>9</v>
      </c>
      <c r="D995" s="35" t="s">
        <v>20</v>
      </c>
      <c r="E995" s="35" t="s">
        <v>20</v>
      </c>
      <c r="F995" s="35" t="s">
        <v>20</v>
      </c>
      <c r="G995" t="b">
        <f t="shared" si="48"/>
        <v>0</v>
      </c>
      <c r="H995" t="b">
        <f t="shared" si="49"/>
        <v>0</v>
      </c>
      <c r="I995" s="29">
        <f t="shared" si="47"/>
        <v>40178</v>
      </c>
    </row>
    <row r="996" spans="1:9" ht="25.5" x14ac:dyDescent="0.2">
      <c r="A996" s="28">
        <v>40178</v>
      </c>
      <c r="B996" s="26" t="s">
        <v>1105</v>
      </c>
      <c r="C996" s="26" t="s">
        <v>9</v>
      </c>
      <c r="D996" s="35" t="s">
        <v>20</v>
      </c>
      <c r="E996" s="35" t="s">
        <v>20</v>
      </c>
      <c r="F996" s="35" t="s">
        <v>20</v>
      </c>
      <c r="G996" t="b">
        <f t="shared" si="48"/>
        <v>0</v>
      </c>
      <c r="H996" t="b">
        <f t="shared" si="49"/>
        <v>0</v>
      </c>
      <c r="I996" s="29">
        <f t="shared" si="47"/>
        <v>40178</v>
      </c>
    </row>
    <row r="997" spans="1:9" ht="12.75" customHeight="1" x14ac:dyDescent="0.2">
      <c r="A997" s="28">
        <v>40178</v>
      </c>
      <c r="B997" s="26" t="s">
        <v>163</v>
      </c>
      <c r="C997" s="26" t="s">
        <v>82</v>
      </c>
      <c r="D997" s="35" t="s">
        <v>20</v>
      </c>
      <c r="E997" s="35" t="s">
        <v>20</v>
      </c>
      <c r="F997" s="35" t="s">
        <v>20</v>
      </c>
      <c r="G997" t="b">
        <f t="shared" si="48"/>
        <v>0</v>
      </c>
      <c r="H997" t="b">
        <f t="shared" si="49"/>
        <v>0</v>
      </c>
      <c r="I997" s="29">
        <f t="shared" si="47"/>
        <v>40178</v>
      </c>
    </row>
    <row r="998" spans="1:9" ht="12.75" customHeight="1" x14ac:dyDescent="0.2">
      <c r="A998" s="28">
        <v>40178</v>
      </c>
      <c r="B998" s="26" t="s">
        <v>2480</v>
      </c>
      <c r="C998" s="26" t="s">
        <v>9</v>
      </c>
      <c r="D998" s="35" t="s">
        <v>20</v>
      </c>
      <c r="E998" s="35" t="s">
        <v>20</v>
      </c>
      <c r="F998" s="35" t="s">
        <v>20</v>
      </c>
      <c r="G998" t="b">
        <f t="shared" si="48"/>
        <v>0</v>
      </c>
      <c r="H998" t="b">
        <f t="shared" si="49"/>
        <v>0</v>
      </c>
      <c r="I998" s="29">
        <f t="shared" si="47"/>
        <v>40178</v>
      </c>
    </row>
    <row r="999" spans="1:9" ht="12.75" customHeight="1" x14ac:dyDescent="0.2">
      <c r="A999" s="28">
        <v>40178</v>
      </c>
      <c r="B999" s="26" t="s">
        <v>1312</v>
      </c>
      <c r="C999" s="26" t="s">
        <v>9</v>
      </c>
      <c r="D999" s="35" t="s">
        <v>20</v>
      </c>
      <c r="E999" s="35" t="s">
        <v>20</v>
      </c>
      <c r="F999" s="35" t="s">
        <v>20</v>
      </c>
      <c r="G999" t="b">
        <f t="shared" si="48"/>
        <v>0</v>
      </c>
      <c r="H999" t="b">
        <f t="shared" si="49"/>
        <v>0</v>
      </c>
      <c r="I999" s="29">
        <f t="shared" si="47"/>
        <v>40178</v>
      </c>
    </row>
    <row r="1000" spans="1:9" ht="12.75" customHeight="1" x14ac:dyDescent="0.2">
      <c r="A1000" s="28">
        <v>40178</v>
      </c>
      <c r="B1000" s="26" t="s">
        <v>3474</v>
      </c>
      <c r="C1000" s="26" t="s">
        <v>9</v>
      </c>
      <c r="D1000" s="35" t="s">
        <v>20</v>
      </c>
      <c r="E1000" s="35" t="s">
        <v>20</v>
      </c>
      <c r="F1000" s="35" t="s">
        <v>20</v>
      </c>
      <c r="G1000" t="b">
        <f t="shared" si="48"/>
        <v>0</v>
      </c>
      <c r="H1000" t="b">
        <f t="shared" si="49"/>
        <v>0</v>
      </c>
      <c r="I1000" s="29">
        <f t="shared" si="47"/>
        <v>40178</v>
      </c>
    </row>
    <row r="1001" spans="1:9" ht="25.5" x14ac:dyDescent="0.2">
      <c r="A1001" s="28">
        <v>40178</v>
      </c>
      <c r="B1001" s="26" t="s">
        <v>211</v>
      </c>
      <c r="C1001" s="26" t="s">
        <v>49</v>
      </c>
      <c r="D1001" s="35" t="s">
        <v>20</v>
      </c>
      <c r="E1001" s="35" t="s">
        <v>20</v>
      </c>
      <c r="F1001" s="35" t="s">
        <v>20</v>
      </c>
      <c r="G1001" t="b">
        <f t="shared" si="48"/>
        <v>0</v>
      </c>
      <c r="H1001" t="b">
        <f t="shared" si="49"/>
        <v>0</v>
      </c>
      <c r="I1001" s="29">
        <f t="shared" si="47"/>
        <v>40178</v>
      </c>
    </row>
    <row r="1002" spans="1:9" ht="25.5" x14ac:dyDescent="0.2">
      <c r="A1002" s="28">
        <v>40178</v>
      </c>
      <c r="B1002" s="26" t="s">
        <v>966</v>
      </c>
      <c r="C1002" s="26" t="s">
        <v>2014</v>
      </c>
      <c r="D1002" s="35" t="s">
        <v>20</v>
      </c>
      <c r="E1002" s="35" t="s">
        <v>20</v>
      </c>
      <c r="F1002" s="35" t="s">
        <v>20</v>
      </c>
      <c r="G1002" t="b">
        <f t="shared" si="48"/>
        <v>0</v>
      </c>
      <c r="H1002" t="b">
        <f t="shared" si="49"/>
        <v>0</v>
      </c>
      <c r="I1002" s="29">
        <f t="shared" si="47"/>
        <v>40178</v>
      </c>
    </row>
    <row r="1003" spans="1:9" ht="12.75" customHeight="1" x14ac:dyDescent="0.2">
      <c r="A1003" s="28">
        <v>40178</v>
      </c>
      <c r="B1003" s="26" t="s">
        <v>2181</v>
      </c>
      <c r="C1003" s="26" t="s">
        <v>9</v>
      </c>
      <c r="D1003" s="35" t="s">
        <v>20</v>
      </c>
      <c r="E1003" s="35" t="s">
        <v>20</v>
      </c>
      <c r="F1003" s="35" t="s">
        <v>20</v>
      </c>
      <c r="G1003" t="b">
        <f t="shared" si="48"/>
        <v>0</v>
      </c>
      <c r="H1003" t="b">
        <f t="shared" si="49"/>
        <v>0</v>
      </c>
      <c r="I1003" s="29">
        <f t="shared" si="47"/>
        <v>40178</v>
      </c>
    </row>
    <row r="1004" spans="1:9" ht="12.75" customHeight="1" x14ac:dyDescent="0.2">
      <c r="A1004" s="28">
        <v>40178</v>
      </c>
      <c r="B1004" s="26" t="s">
        <v>2253</v>
      </c>
      <c r="C1004" s="26" t="s">
        <v>9</v>
      </c>
      <c r="D1004" s="35" t="s">
        <v>20</v>
      </c>
      <c r="E1004" s="35" t="s">
        <v>20</v>
      </c>
      <c r="F1004" s="35" t="s">
        <v>20</v>
      </c>
      <c r="G1004" t="b">
        <f t="shared" si="48"/>
        <v>0</v>
      </c>
      <c r="H1004" t="b">
        <f t="shared" si="49"/>
        <v>0</v>
      </c>
      <c r="I1004" s="29">
        <f t="shared" si="47"/>
        <v>40178</v>
      </c>
    </row>
    <row r="1005" spans="1:9" ht="12.75" customHeight="1" x14ac:dyDescent="0.2">
      <c r="A1005" s="28">
        <v>40178</v>
      </c>
      <c r="B1005" s="26" t="s">
        <v>1172</v>
      </c>
      <c r="C1005" s="26" t="s">
        <v>9</v>
      </c>
      <c r="D1005" s="35" t="s">
        <v>20</v>
      </c>
      <c r="E1005" s="35" t="s">
        <v>20</v>
      </c>
      <c r="F1005" s="35" t="s">
        <v>20</v>
      </c>
      <c r="G1005" t="b">
        <f t="shared" si="48"/>
        <v>0</v>
      </c>
      <c r="H1005" t="b">
        <f t="shared" si="49"/>
        <v>0</v>
      </c>
      <c r="I1005" s="29">
        <f t="shared" ref="I1005:I1068" si="50">DATE(2009,MONTH(A1005), DAY(A1005))</f>
        <v>40178</v>
      </c>
    </row>
    <row r="1006" spans="1:9" ht="25.5" x14ac:dyDescent="0.2">
      <c r="A1006" s="28">
        <v>40178</v>
      </c>
      <c r="B1006" s="26" t="s">
        <v>2705</v>
      </c>
      <c r="C1006" s="26" t="s">
        <v>9</v>
      </c>
      <c r="D1006" s="35" t="s">
        <v>20</v>
      </c>
      <c r="E1006" s="35" t="s">
        <v>20</v>
      </c>
      <c r="F1006" s="35" t="s">
        <v>20</v>
      </c>
      <c r="G1006" t="b">
        <f t="shared" si="48"/>
        <v>0</v>
      </c>
      <c r="H1006" t="b">
        <f t="shared" si="49"/>
        <v>0</v>
      </c>
      <c r="I1006" s="29">
        <f t="shared" si="50"/>
        <v>40178</v>
      </c>
    </row>
    <row r="1007" spans="1:9" ht="25.5" x14ac:dyDescent="0.2">
      <c r="A1007" s="28">
        <v>40178</v>
      </c>
      <c r="B1007" s="26" t="s">
        <v>2575</v>
      </c>
      <c r="C1007" s="26" t="s">
        <v>9</v>
      </c>
      <c r="D1007" s="35">
        <v>820000</v>
      </c>
      <c r="E1007" s="35" t="s">
        <v>20</v>
      </c>
      <c r="F1007" s="35" t="s">
        <v>20</v>
      </c>
      <c r="G1007" t="b">
        <f t="shared" si="48"/>
        <v>0</v>
      </c>
      <c r="H1007" t="b">
        <f t="shared" si="49"/>
        <v>0</v>
      </c>
      <c r="I1007" s="29">
        <f t="shared" si="50"/>
        <v>40178</v>
      </c>
    </row>
    <row r="1008" spans="1:9" ht="12.75" customHeight="1" x14ac:dyDescent="0.2">
      <c r="A1008" s="28">
        <v>40178</v>
      </c>
      <c r="B1008" s="26" t="s">
        <v>2067</v>
      </c>
      <c r="C1008" s="26" t="s">
        <v>9</v>
      </c>
      <c r="D1008" s="35">
        <v>2500000</v>
      </c>
      <c r="E1008" s="35" t="s">
        <v>20</v>
      </c>
      <c r="F1008" s="35" t="s">
        <v>20</v>
      </c>
      <c r="G1008" t="b">
        <f t="shared" si="48"/>
        <v>0</v>
      </c>
      <c r="H1008" t="b">
        <f t="shared" si="49"/>
        <v>0</v>
      </c>
      <c r="I1008" s="29">
        <f t="shared" si="50"/>
        <v>40178</v>
      </c>
    </row>
    <row r="1009" spans="1:9" ht="12.75" customHeight="1" x14ac:dyDescent="0.2">
      <c r="A1009" s="28">
        <v>40178</v>
      </c>
      <c r="B1009" s="26" t="s">
        <v>1845</v>
      </c>
      <c r="C1009" s="26" t="s">
        <v>9</v>
      </c>
      <c r="D1009" s="35" t="s">
        <v>20</v>
      </c>
      <c r="E1009" s="35" t="s">
        <v>20</v>
      </c>
      <c r="F1009" s="35" t="s">
        <v>20</v>
      </c>
      <c r="G1009" t="b">
        <f t="shared" si="48"/>
        <v>0</v>
      </c>
      <c r="H1009" t="b">
        <f t="shared" si="49"/>
        <v>0</v>
      </c>
      <c r="I1009" s="29">
        <f t="shared" si="50"/>
        <v>40178</v>
      </c>
    </row>
    <row r="1010" spans="1:9" ht="25.5" x14ac:dyDescent="0.2">
      <c r="A1010" s="28">
        <v>40178</v>
      </c>
      <c r="B1010" s="26" t="s">
        <v>870</v>
      </c>
      <c r="C1010" s="26" t="s">
        <v>9</v>
      </c>
      <c r="D1010" s="35" t="s">
        <v>20</v>
      </c>
      <c r="E1010" s="35" t="s">
        <v>20</v>
      </c>
      <c r="F1010" s="35" t="s">
        <v>20</v>
      </c>
      <c r="G1010" t="b">
        <f t="shared" si="48"/>
        <v>0</v>
      </c>
      <c r="H1010" t="b">
        <f t="shared" si="49"/>
        <v>0</v>
      </c>
      <c r="I1010" s="29">
        <f t="shared" si="50"/>
        <v>40178</v>
      </c>
    </row>
    <row r="1011" spans="1:9" x14ac:dyDescent="0.2">
      <c r="A1011" s="28">
        <v>40178</v>
      </c>
      <c r="B1011" s="26" t="s">
        <v>2258</v>
      </c>
      <c r="C1011" s="26" t="s">
        <v>9</v>
      </c>
      <c r="D1011" s="35" t="s">
        <v>20</v>
      </c>
      <c r="E1011" s="35" t="s">
        <v>20</v>
      </c>
      <c r="F1011" s="35" t="s">
        <v>20</v>
      </c>
      <c r="G1011" t="b">
        <f t="shared" si="48"/>
        <v>0</v>
      </c>
      <c r="H1011" t="b">
        <f t="shared" si="49"/>
        <v>0</v>
      </c>
      <c r="I1011" s="29">
        <f t="shared" si="50"/>
        <v>40178</v>
      </c>
    </row>
    <row r="1012" spans="1:9" ht="12.75" customHeight="1" x14ac:dyDescent="0.2">
      <c r="A1012" s="28">
        <v>40178</v>
      </c>
      <c r="B1012" s="26" t="s">
        <v>3116</v>
      </c>
      <c r="C1012" s="26" t="s">
        <v>9</v>
      </c>
      <c r="D1012" s="35" t="s">
        <v>20</v>
      </c>
      <c r="E1012" s="35" t="s">
        <v>20</v>
      </c>
      <c r="F1012" s="35" t="s">
        <v>20</v>
      </c>
      <c r="G1012" t="b">
        <f t="shared" ref="G1012:G1075" si="51">ISBLANK(A1012)</f>
        <v>0</v>
      </c>
      <c r="H1012" t="b">
        <f t="shared" ref="H1012:H1075" si="52">ISTEXT(A1012)</f>
        <v>0</v>
      </c>
      <c r="I1012" s="29">
        <f t="shared" si="50"/>
        <v>40178</v>
      </c>
    </row>
    <row r="1013" spans="1:9" ht="12.75" customHeight="1" x14ac:dyDescent="0.2">
      <c r="A1013" s="28">
        <v>40178</v>
      </c>
      <c r="B1013" s="26" t="s">
        <v>1952</v>
      </c>
      <c r="C1013" s="26" t="s">
        <v>9</v>
      </c>
      <c r="D1013" s="35" t="s">
        <v>20</v>
      </c>
      <c r="E1013" s="35" t="s">
        <v>20</v>
      </c>
      <c r="F1013" s="35" t="s">
        <v>20</v>
      </c>
      <c r="G1013" t="b">
        <f t="shared" si="51"/>
        <v>0</v>
      </c>
      <c r="H1013" t="b">
        <f t="shared" si="52"/>
        <v>0</v>
      </c>
      <c r="I1013" s="29">
        <f t="shared" si="50"/>
        <v>40178</v>
      </c>
    </row>
    <row r="1014" spans="1:9" ht="12.75" customHeight="1" x14ac:dyDescent="0.2">
      <c r="A1014" s="28">
        <v>40178</v>
      </c>
      <c r="B1014" s="26" t="s">
        <v>454</v>
      </c>
      <c r="C1014" s="26" t="s">
        <v>9</v>
      </c>
      <c r="D1014" s="35" t="s">
        <v>20</v>
      </c>
      <c r="E1014" s="35" t="s">
        <v>20</v>
      </c>
      <c r="F1014" s="35" t="s">
        <v>20</v>
      </c>
      <c r="G1014" t="b">
        <f t="shared" si="51"/>
        <v>0</v>
      </c>
      <c r="H1014" t="b">
        <f t="shared" si="52"/>
        <v>0</v>
      </c>
      <c r="I1014" s="29">
        <f t="shared" si="50"/>
        <v>40178</v>
      </c>
    </row>
    <row r="1015" spans="1:9" ht="25.5" x14ac:dyDescent="0.2">
      <c r="A1015" s="28">
        <v>40178</v>
      </c>
      <c r="B1015" s="26" t="s">
        <v>2340</v>
      </c>
      <c r="C1015" s="26" t="s">
        <v>9</v>
      </c>
      <c r="D1015" s="35" t="s">
        <v>20</v>
      </c>
      <c r="E1015" s="35" t="s">
        <v>20</v>
      </c>
      <c r="F1015" s="35" t="s">
        <v>20</v>
      </c>
      <c r="G1015" t="b">
        <f t="shared" si="51"/>
        <v>0</v>
      </c>
      <c r="H1015" t="b">
        <f t="shared" si="52"/>
        <v>0</v>
      </c>
      <c r="I1015" s="29">
        <f t="shared" si="50"/>
        <v>40178</v>
      </c>
    </row>
    <row r="1016" spans="1:9" ht="25.5" x14ac:dyDescent="0.2">
      <c r="A1016" s="28">
        <v>40178</v>
      </c>
      <c r="B1016" s="26" t="s">
        <v>257</v>
      </c>
      <c r="C1016" s="26" t="s">
        <v>9</v>
      </c>
      <c r="D1016" s="35" t="s">
        <v>20</v>
      </c>
      <c r="E1016" s="35" t="s">
        <v>20</v>
      </c>
      <c r="F1016" s="35" t="s">
        <v>20</v>
      </c>
      <c r="G1016" t="b">
        <f t="shared" si="51"/>
        <v>0</v>
      </c>
      <c r="H1016" t="b">
        <f t="shared" si="52"/>
        <v>0</v>
      </c>
      <c r="I1016" s="29">
        <f t="shared" si="50"/>
        <v>40178</v>
      </c>
    </row>
    <row r="1017" spans="1:9" ht="12.75" customHeight="1" x14ac:dyDescent="0.2">
      <c r="A1017" s="28">
        <v>40178</v>
      </c>
      <c r="B1017" s="26" t="s">
        <v>2176</v>
      </c>
      <c r="C1017" s="26" t="s">
        <v>9</v>
      </c>
      <c r="D1017" s="35" t="s">
        <v>20</v>
      </c>
      <c r="E1017" s="35" t="s">
        <v>20</v>
      </c>
      <c r="F1017" s="35" t="s">
        <v>20</v>
      </c>
      <c r="G1017" t="b">
        <f t="shared" si="51"/>
        <v>0</v>
      </c>
      <c r="H1017" t="b">
        <f t="shared" si="52"/>
        <v>0</v>
      </c>
      <c r="I1017" s="29">
        <f t="shared" si="50"/>
        <v>40178</v>
      </c>
    </row>
    <row r="1018" spans="1:9" ht="12.75" customHeight="1" x14ac:dyDescent="0.2">
      <c r="A1018" s="28">
        <v>40178</v>
      </c>
      <c r="B1018" s="26" t="s">
        <v>3098</v>
      </c>
      <c r="C1018" s="26" t="s">
        <v>9</v>
      </c>
      <c r="D1018" s="35" t="s">
        <v>20</v>
      </c>
      <c r="E1018" s="35" t="s">
        <v>20</v>
      </c>
      <c r="F1018" s="35" t="s">
        <v>20</v>
      </c>
      <c r="G1018" t="b">
        <f t="shared" si="51"/>
        <v>0</v>
      </c>
      <c r="H1018" t="b">
        <f t="shared" si="52"/>
        <v>0</v>
      </c>
      <c r="I1018" s="29">
        <f t="shared" si="50"/>
        <v>40178</v>
      </c>
    </row>
    <row r="1019" spans="1:9" ht="12.75" customHeight="1" x14ac:dyDescent="0.2">
      <c r="A1019" s="28">
        <v>40178</v>
      </c>
      <c r="B1019" s="26" t="s">
        <v>3459</v>
      </c>
      <c r="C1019" s="26" t="s">
        <v>2460</v>
      </c>
      <c r="D1019" s="35" t="s">
        <v>20</v>
      </c>
      <c r="E1019" s="35" t="s">
        <v>20</v>
      </c>
      <c r="F1019" s="35" t="s">
        <v>20</v>
      </c>
      <c r="G1019" t="b">
        <f t="shared" si="51"/>
        <v>0</v>
      </c>
      <c r="H1019" t="b">
        <f t="shared" si="52"/>
        <v>0</v>
      </c>
      <c r="I1019" s="29">
        <f t="shared" si="50"/>
        <v>40178</v>
      </c>
    </row>
    <row r="1020" spans="1:9" ht="12.75" customHeight="1" x14ac:dyDescent="0.2">
      <c r="A1020" s="28">
        <v>40178</v>
      </c>
      <c r="B1020" s="26" t="s">
        <v>3291</v>
      </c>
      <c r="C1020" s="26" t="s">
        <v>9</v>
      </c>
      <c r="D1020" s="35" t="s">
        <v>20</v>
      </c>
      <c r="E1020" s="35" t="s">
        <v>20</v>
      </c>
      <c r="F1020" s="35" t="s">
        <v>20</v>
      </c>
      <c r="G1020" t="b">
        <f t="shared" si="51"/>
        <v>0</v>
      </c>
      <c r="H1020" t="b">
        <f t="shared" si="52"/>
        <v>0</v>
      </c>
      <c r="I1020" s="29">
        <f t="shared" si="50"/>
        <v>40178</v>
      </c>
    </row>
    <row r="1021" spans="1:9" ht="12.75" customHeight="1" x14ac:dyDescent="0.2">
      <c r="A1021" s="28">
        <v>40178</v>
      </c>
      <c r="B1021" s="26" t="s">
        <v>3329</v>
      </c>
      <c r="C1021" s="26" t="s">
        <v>9</v>
      </c>
      <c r="D1021" s="35" t="s">
        <v>20</v>
      </c>
      <c r="E1021" s="35" t="s">
        <v>20</v>
      </c>
      <c r="F1021" s="35" t="s">
        <v>20</v>
      </c>
      <c r="G1021" t="b">
        <f t="shared" si="51"/>
        <v>0</v>
      </c>
      <c r="H1021" t="b">
        <f t="shared" si="52"/>
        <v>0</v>
      </c>
      <c r="I1021" s="29">
        <f t="shared" si="50"/>
        <v>40178</v>
      </c>
    </row>
    <row r="1022" spans="1:9" ht="12.75" customHeight="1" x14ac:dyDescent="0.2">
      <c r="A1022" s="28">
        <v>40178</v>
      </c>
      <c r="B1022" s="26" t="s">
        <v>2183</v>
      </c>
      <c r="C1022" s="26" t="s">
        <v>9</v>
      </c>
      <c r="D1022" s="35" t="s">
        <v>20</v>
      </c>
      <c r="E1022" s="35" t="s">
        <v>20</v>
      </c>
      <c r="F1022" s="35" t="s">
        <v>20</v>
      </c>
      <c r="G1022" t="b">
        <f t="shared" si="51"/>
        <v>0</v>
      </c>
      <c r="H1022" t="b">
        <f t="shared" si="52"/>
        <v>0</v>
      </c>
      <c r="I1022" s="29">
        <f t="shared" si="50"/>
        <v>40178</v>
      </c>
    </row>
    <row r="1023" spans="1:9" ht="25.5" x14ac:dyDescent="0.2">
      <c r="A1023" s="28">
        <v>40178</v>
      </c>
      <c r="B1023" s="26" t="s">
        <v>554</v>
      </c>
      <c r="C1023" s="26" t="s">
        <v>3475</v>
      </c>
      <c r="D1023" s="35" t="s">
        <v>20</v>
      </c>
      <c r="E1023" s="35" t="s">
        <v>20</v>
      </c>
      <c r="F1023" s="35" t="s">
        <v>20</v>
      </c>
      <c r="G1023" t="b">
        <f t="shared" si="51"/>
        <v>0</v>
      </c>
      <c r="H1023" t="b">
        <f t="shared" si="52"/>
        <v>0</v>
      </c>
      <c r="I1023" s="29">
        <f t="shared" si="50"/>
        <v>40178</v>
      </c>
    </row>
    <row r="1024" spans="1:9" ht="12.75" customHeight="1" x14ac:dyDescent="0.2">
      <c r="A1024" s="28">
        <v>40178</v>
      </c>
      <c r="B1024" s="26" t="s">
        <v>2201</v>
      </c>
      <c r="C1024" s="26" t="s">
        <v>3209</v>
      </c>
      <c r="D1024" s="35" t="s">
        <v>20</v>
      </c>
      <c r="E1024" s="35" t="s">
        <v>20</v>
      </c>
      <c r="F1024" s="35" t="s">
        <v>20</v>
      </c>
      <c r="G1024" t="b">
        <f t="shared" si="51"/>
        <v>0</v>
      </c>
      <c r="H1024" t="b">
        <f t="shared" si="52"/>
        <v>0</v>
      </c>
      <c r="I1024" s="29">
        <f t="shared" si="50"/>
        <v>40178</v>
      </c>
    </row>
    <row r="1025" spans="1:9" ht="25.5" x14ac:dyDescent="0.2">
      <c r="A1025" s="28">
        <v>40178</v>
      </c>
      <c r="B1025" s="26" t="s">
        <v>2516</v>
      </c>
      <c r="C1025" s="26" t="s">
        <v>150</v>
      </c>
      <c r="D1025" s="35" t="s">
        <v>20</v>
      </c>
      <c r="E1025" s="35" t="s">
        <v>20</v>
      </c>
      <c r="F1025" s="35" t="s">
        <v>20</v>
      </c>
      <c r="G1025" t="b">
        <f t="shared" si="51"/>
        <v>0</v>
      </c>
      <c r="H1025" t="b">
        <f t="shared" si="52"/>
        <v>0</v>
      </c>
      <c r="I1025" s="29">
        <f t="shared" si="50"/>
        <v>40178</v>
      </c>
    </row>
    <row r="1026" spans="1:9" ht="25.5" x14ac:dyDescent="0.2">
      <c r="A1026" s="28">
        <v>40178</v>
      </c>
      <c r="B1026" s="26" t="s">
        <v>240</v>
      </c>
      <c r="C1026" s="26" t="s">
        <v>9</v>
      </c>
      <c r="D1026" s="35" t="s">
        <v>20</v>
      </c>
      <c r="E1026" s="35" t="s">
        <v>20</v>
      </c>
      <c r="F1026" s="35" t="s">
        <v>20</v>
      </c>
      <c r="G1026" t="b">
        <f t="shared" si="51"/>
        <v>0</v>
      </c>
      <c r="H1026" t="b">
        <f t="shared" si="52"/>
        <v>0</v>
      </c>
      <c r="I1026" s="29">
        <f t="shared" si="50"/>
        <v>40178</v>
      </c>
    </row>
    <row r="1027" spans="1:9" ht="12.75" customHeight="1" x14ac:dyDescent="0.2">
      <c r="A1027" s="28">
        <v>40178</v>
      </c>
      <c r="B1027" s="26" t="s">
        <v>185</v>
      </c>
      <c r="C1027" s="26" t="s">
        <v>3419</v>
      </c>
      <c r="D1027" s="35">
        <v>65000000</v>
      </c>
      <c r="E1027" s="35" t="s">
        <v>20</v>
      </c>
      <c r="F1027" s="35" t="s">
        <v>20</v>
      </c>
      <c r="G1027" t="b">
        <f t="shared" si="51"/>
        <v>0</v>
      </c>
      <c r="H1027" t="b">
        <f t="shared" si="52"/>
        <v>0</v>
      </c>
      <c r="I1027" s="29">
        <f t="shared" si="50"/>
        <v>40178</v>
      </c>
    </row>
    <row r="1028" spans="1:9" ht="51" x14ac:dyDescent="0.2">
      <c r="A1028" s="28">
        <v>40178</v>
      </c>
      <c r="B1028" s="26" t="s">
        <v>476</v>
      </c>
      <c r="C1028" s="26" t="s">
        <v>9</v>
      </c>
      <c r="D1028" s="35" t="s">
        <v>20</v>
      </c>
      <c r="E1028" s="35" t="s">
        <v>20</v>
      </c>
      <c r="F1028" s="35" t="s">
        <v>20</v>
      </c>
      <c r="G1028" t="b">
        <f t="shared" si="51"/>
        <v>0</v>
      </c>
      <c r="H1028" t="b">
        <f t="shared" si="52"/>
        <v>0</v>
      </c>
      <c r="I1028" s="29">
        <f t="shared" si="50"/>
        <v>40178</v>
      </c>
    </row>
    <row r="1029" spans="1:9" ht="12.75" customHeight="1" x14ac:dyDescent="0.2">
      <c r="A1029" s="28">
        <v>40178</v>
      </c>
      <c r="B1029" s="26" t="s">
        <v>2885</v>
      </c>
      <c r="C1029" s="26" t="s">
        <v>9</v>
      </c>
      <c r="D1029" s="35" t="s">
        <v>20</v>
      </c>
      <c r="E1029" s="35" t="s">
        <v>20</v>
      </c>
      <c r="F1029" s="35" t="s">
        <v>20</v>
      </c>
      <c r="G1029" t="b">
        <f t="shared" si="51"/>
        <v>0</v>
      </c>
      <c r="H1029" t="b">
        <f t="shared" si="52"/>
        <v>0</v>
      </c>
      <c r="I1029" s="29">
        <f t="shared" si="50"/>
        <v>40178</v>
      </c>
    </row>
    <row r="1030" spans="1:9" ht="12.75" customHeight="1" x14ac:dyDescent="0.2">
      <c r="A1030" s="28">
        <v>40178</v>
      </c>
      <c r="B1030" s="26" t="s">
        <v>285</v>
      </c>
      <c r="C1030" s="26" t="s">
        <v>9</v>
      </c>
      <c r="D1030" s="35" t="s">
        <v>20</v>
      </c>
      <c r="E1030" s="35" t="s">
        <v>20</v>
      </c>
      <c r="F1030" s="35" t="s">
        <v>20</v>
      </c>
      <c r="G1030" t="b">
        <f t="shared" si="51"/>
        <v>0</v>
      </c>
      <c r="H1030" t="b">
        <f t="shared" si="52"/>
        <v>0</v>
      </c>
      <c r="I1030" s="29">
        <f t="shared" si="50"/>
        <v>40178</v>
      </c>
    </row>
    <row r="1031" spans="1:9" ht="25.5" x14ac:dyDescent="0.2">
      <c r="A1031" s="28">
        <v>40178</v>
      </c>
      <c r="B1031" s="26" t="s">
        <v>3268</v>
      </c>
      <c r="C1031" s="26" t="s">
        <v>3096</v>
      </c>
      <c r="D1031" s="35" t="s">
        <v>20</v>
      </c>
      <c r="E1031" s="35" t="s">
        <v>20</v>
      </c>
      <c r="F1031" s="35" t="s">
        <v>20</v>
      </c>
      <c r="G1031" t="b">
        <f t="shared" si="51"/>
        <v>0</v>
      </c>
      <c r="H1031" t="b">
        <f t="shared" si="52"/>
        <v>0</v>
      </c>
      <c r="I1031" s="29">
        <f t="shared" si="50"/>
        <v>40178</v>
      </c>
    </row>
    <row r="1032" spans="1:9" ht="12.75" customHeight="1" x14ac:dyDescent="0.2">
      <c r="A1032" s="28">
        <v>40178</v>
      </c>
      <c r="B1032" s="26" t="s">
        <v>2070</v>
      </c>
      <c r="C1032" s="26" t="s">
        <v>9</v>
      </c>
      <c r="D1032" s="35" t="s">
        <v>20</v>
      </c>
      <c r="E1032" s="35" t="s">
        <v>20</v>
      </c>
      <c r="F1032" s="35" t="s">
        <v>20</v>
      </c>
      <c r="G1032" t="b">
        <f t="shared" si="51"/>
        <v>0</v>
      </c>
      <c r="H1032" t="b">
        <f t="shared" si="52"/>
        <v>0</v>
      </c>
      <c r="I1032" s="29">
        <f t="shared" si="50"/>
        <v>40178</v>
      </c>
    </row>
    <row r="1033" spans="1:9" ht="12.75" customHeight="1" x14ac:dyDescent="0.2">
      <c r="A1033" s="28">
        <v>40178</v>
      </c>
      <c r="B1033" s="26" t="s">
        <v>434</v>
      </c>
      <c r="C1033" s="26" t="s">
        <v>9</v>
      </c>
      <c r="D1033" s="35" t="s">
        <v>20</v>
      </c>
      <c r="E1033" s="35" t="s">
        <v>20</v>
      </c>
      <c r="F1033" s="35" t="s">
        <v>20</v>
      </c>
      <c r="G1033" t="b">
        <f t="shared" si="51"/>
        <v>0</v>
      </c>
      <c r="H1033" t="b">
        <f t="shared" si="52"/>
        <v>0</v>
      </c>
      <c r="I1033" s="29">
        <f t="shared" si="50"/>
        <v>40178</v>
      </c>
    </row>
    <row r="1034" spans="1:9" ht="12.75" customHeight="1" x14ac:dyDescent="0.2">
      <c r="A1034" s="28">
        <v>40178</v>
      </c>
      <c r="B1034" s="26" t="s">
        <v>3292</v>
      </c>
      <c r="C1034" s="26" t="s">
        <v>9</v>
      </c>
      <c r="D1034" s="35" t="s">
        <v>20</v>
      </c>
      <c r="E1034" s="35" t="s">
        <v>20</v>
      </c>
      <c r="F1034" s="35" t="s">
        <v>20</v>
      </c>
      <c r="G1034" t="b">
        <f t="shared" si="51"/>
        <v>0</v>
      </c>
      <c r="H1034" t="b">
        <f t="shared" si="52"/>
        <v>0</v>
      </c>
      <c r="I1034" s="29">
        <f t="shared" si="50"/>
        <v>40178</v>
      </c>
    </row>
    <row r="1035" spans="1:9" ht="25.5" x14ac:dyDescent="0.2">
      <c r="A1035" s="28">
        <v>40178</v>
      </c>
      <c r="B1035" s="26" t="s">
        <v>3409</v>
      </c>
      <c r="C1035" s="26" t="s">
        <v>9</v>
      </c>
      <c r="D1035" s="35" t="s">
        <v>20</v>
      </c>
      <c r="E1035" s="35" t="s">
        <v>20</v>
      </c>
      <c r="F1035" s="35" t="s">
        <v>20</v>
      </c>
      <c r="G1035" t="b">
        <f t="shared" si="51"/>
        <v>0</v>
      </c>
      <c r="H1035" t="b">
        <f t="shared" si="52"/>
        <v>0</v>
      </c>
      <c r="I1035" s="29">
        <f t="shared" si="50"/>
        <v>40178</v>
      </c>
    </row>
    <row r="1036" spans="1:9" ht="12.75" customHeight="1" x14ac:dyDescent="0.2">
      <c r="A1036" s="28">
        <v>40178</v>
      </c>
      <c r="B1036" s="26" t="s">
        <v>1242</v>
      </c>
      <c r="C1036" s="26" t="s">
        <v>9</v>
      </c>
      <c r="D1036" s="35" t="s">
        <v>20</v>
      </c>
      <c r="E1036" s="35" t="s">
        <v>20</v>
      </c>
      <c r="F1036" s="35" t="s">
        <v>20</v>
      </c>
      <c r="G1036" t="b">
        <f t="shared" si="51"/>
        <v>0</v>
      </c>
      <c r="H1036" t="b">
        <f t="shared" si="52"/>
        <v>0</v>
      </c>
      <c r="I1036" s="29">
        <f t="shared" si="50"/>
        <v>40178</v>
      </c>
    </row>
    <row r="1037" spans="1:9" ht="25.5" x14ac:dyDescent="0.2">
      <c r="A1037" s="28">
        <v>40178</v>
      </c>
      <c r="B1037" s="26" t="s">
        <v>2419</v>
      </c>
      <c r="C1037" s="26" t="s">
        <v>2460</v>
      </c>
      <c r="D1037" s="35" t="s">
        <v>20</v>
      </c>
      <c r="E1037" s="35" t="s">
        <v>20</v>
      </c>
      <c r="F1037" s="35" t="s">
        <v>20</v>
      </c>
      <c r="G1037" t="b">
        <f t="shared" si="51"/>
        <v>0</v>
      </c>
      <c r="H1037" t="b">
        <f t="shared" si="52"/>
        <v>0</v>
      </c>
      <c r="I1037" s="29">
        <f t="shared" si="50"/>
        <v>40178</v>
      </c>
    </row>
    <row r="1038" spans="1:9" ht="12.75" customHeight="1" x14ac:dyDescent="0.2">
      <c r="A1038" s="28">
        <v>40178</v>
      </c>
      <c r="B1038" s="26" t="s">
        <v>2788</v>
      </c>
      <c r="C1038" s="26" t="s">
        <v>9</v>
      </c>
      <c r="D1038" s="35" t="s">
        <v>20</v>
      </c>
      <c r="E1038" s="35" t="s">
        <v>20</v>
      </c>
      <c r="F1038" s="35" t="s">
        <v>20</v>
      </c>
      <c r="G1038" t="b">
        <f t="shared" si="51"/>
        <v>0</v>
      </c>
      <c r="H1038" t="b">
        <f t="shared" si="52"/>
        <v>0</v>
      </c>
      <c r="I1038" s="29">
        <f t="shared" si="50"/>
        <v>40178</v>
      </c>
    </row>
    <row r="1039" spans="1:9" ht="12.75" customHeight="1" x14ac:dyDescent="0.2">
      <c r="A1039" s="28">
        <v>40178</v>
      </c>
      <c r="B1039" s="26" t="s">
        <v>2379</v>
      </c>
      <c r="C1039" s="26" t="s">
        <v>9</v>
      </c>
      <c r="D1039" s="35" t="s">
        <v>20</v>
      </c>
      <c r="E1039" s="35" t="s">
        <v>20</v>
      </c>
      <c r="F1039" s="35">
        <v>22435112</v>
      </c>
      <c r="G1039" t="b">
        <f t="shared" si="51"/>
        <v>0</v>
      </c>
      <c r="H1039" t="b">
        <f t="shared" si="52"/>
        <v>0</v>
      </c>
      <c r="I1039" s="29">
        <f t="shared" si="50"/>
        <v>40178</v>
      </c>
    </row>
    <row r="1040" spans="1:9" ht="12.75" customHeight="1" x14ac:dyDescent="0.2">
      <c r="A1040" s="28">
        <v>40178</v>
      </c>
      <c r="B1040" s="26" t="s">
        <v>2309</v>
      </c>
      <c r="C1040" s="26" t="s">
        <v>9</v>
      </c>
      <c r="D1040" s="35" t="s">
        <v>20</v>
      </c>
      <c r="E1040" s="35" t="s">
        <v>20</v>
      </c>
      <c r="F1040" s="35" t="s">
        <v>20</v>
      </c>
      <c r="G1040" t="b">
        <f t="shared" si="51"/>
        <v>0</v>
      </c>
      <c r="H1040" t="b">
        <f t="shared" si="52"/>
        <v>0</v>
      </c>
      <c r="I1040" s="29">
        <f t="shared" si="50"/>
        <v>40178</v>
      </c>
    </row>
    <row r="1041" spans="1:9" ht="12.75" customHeight="1" x14ac:dyDescent="0.2">
      <c r="A1041" s="28">
        <v>40178</v>
      </c>
      <c r="B1041" s="26" t="s">
        <v>370</v>
      </c>
      <c r="C1041" s="26" t="s">
        <v>9</v>
      </c>
      <c r="D1041" s="35" t="s">
        <v>20</v>
      </c>
      <c r="E1041" s="35" t="s">
        <v>20</v>
      </c>
      <c r="F1041" s="35" t="s">
        <v>20</v>
      </c>
      <c r="G1041" t="b">
        <f t="shared" si="51"/>
        <v>0</v>
      </c>
      <c r="H1041" t="b">
        <f t="shared" si="52"/>
        <v>0</v>
      </c>
      <c r="I1041" s="29">
        <f t="shared" si="50"/>
        <v>40178</v>
      </c>
    </row>
    <row r="1042" spans="1:9" ht="12.75" customHeight="1" x14ac:dyDescent="0.2">
      <c r="A1042" s="28">
        <v>40178</v>
      </c>
      <c r="B1042" s="26" t="s">
        <v>1630</v>
      </c>
      <c r="C1042" s="26" t="s">
        <v>9</v>
      </c>
      <c r="D1042" s="35" t="s">
        <v>20</v>
      </c>
      <c r="E1042" s="35" t="s">
        <v>20</v>
      </c>
      <c r="F1042" s="35" t="s">
        <v>20</v>
      </c>
      <c r="G1042" t="b">
        <f t="shared" si="51"/>
        <v>0</v>
      </c>
      <c r="H1042" t="b">
        <f t="shared" si="52"/>
        <v>0</v>
      </c>
      <c r="I1042" s="29">
        <f t="shared" si="50"/>
        <v>40178</v>
      </c>
    </row>
    <row r="1043" spans="1:9" ht="12.75" customHeight="1" x14ac:dyDescent="0.2">
      <c r="A1043" s="28">
        <v>40178</v>
      </c>
      <c r="B1043" s="26" t="s">
        <v>2157</v>
      </c>
      <c r="C1043" s="26" t="s">
        <v>9</v>
      </c>
      <c r="D1043" s="35" t="s">
        <v>20</v>
      </c>
      <c r="E1043" s="35" t="s">
        <v>20</v>
      </c>
      <c r="F1043" s="35" t="s">
        <v>20</v>
      </c>
      <c r="G1043" t="b">
        <f t="shared" si="51"/>
        <v>0</v>
      </c>
      <c r="H1043" t="b">
        <f t="shared" si="52"/>
        <v>0</v>
      </c>
      <c r="I1043" s="29">
        <f t="shared" si="50"/>
        <v>40178</v>
      </c>
    </row>
    <row r="1044" spans="1:9" ht="25.5" x14ac:dyDescent="0.2">
      <c r="A1044" s="28">
        <v>40178</v>
      </c>
      <c r="B1044" s="26" t="s">
        <v>1511</v>
      </c>
      <c r="C1044" s="26" t="s">
        <v>3426</v>
      </c>
      <c r="D1044" s="35" t="s">
        <v>20</v>
      </c>
      <c r="E1044" s="35" t="s">
        <v>20</v>
      </c>
      <c r="F1044" s="35" t="s">
        <v>20</v>
      </c>
      <c r="G1044" t="b">
        <f t="shared" si="51"/>
        <v>0</v>
      </c>
      <c r="H1044" t="b">
        <f t="shared" si="52"/>
        <v>0</v>
      </c>
      <c r="I1044" s="29">
        <f t="shared" si="50"/>
        <v>40178</v>
      </c>
    </row>
    <row r="1045" spans="1:9" ht="25.5" x14ac:dyDescent="0.2">
      <c r="A1045" s="28">
        <v>40178</v>
      </c>
      <c r="B1045" s="26" t="s">
        <v>1673</v>
      </c>
      <c r="C1045" s="26" t="s">
        <v>9</v>
      </c>
      <c r="D1045" s="35" t="s">
        <v>20</v>
      </c>
      <c r="E1045" s="35" t="s">
        <v>20</v>
      </c>
      <c r="F1045" s="35">
        <v>47801389</v>
      </c>
      <c r="G1045" t="b">
        <f t="shared" si="51"/>
        <v>0</v>
      </c>
      <c r="H1045" t="b">
        <f t="shared" si="52"/>
        <v>0</v>
      </c>
      <c r="I1045" s="29">
        <f t="shared" si="50"/>
        <v>40178</v>
      </c>
    </row>
    <row r="1046" spans="1:9" ht="12.75" customHeight="1" x14ac:dyDescent="0.2">
      <c r="A1046" s="28">
        <v>40178</v>
      </c>
      <c r="B1046" s="26" t="s">
        <v>2173</v>
      </c>
      <c r="C1046" s="26" t="s">
        <v>9</v>
      </c>
      <c r="D1046" s="35" t="s">
        <v>20</v>
      </c>
      <c r="E1046" s="35" t="s">
        <v>20</v>
      </c>
      <c r="F1046" s="35">
        <v>18774608</v>
      </c>
      <c r="G1046" t="b">
        <f t="shared" si="51"/>
        <v>0</v>
      </c>
      <c r="H1046" t="b">
        <f t="shared" si="52"/>
        <v>0</v>
      </c>
      <c r="I1046" s="29">
        <f t="shared" si="50"/>
        <v>40178</v>
      </c>
    </row>
    <row r="1047" spans="1:9" x14ac:dyDescent="0.2">
      <c r="A1047" s="28">
        <v>40178</v>
      </c>
      <c r="B1047" s="26" t="s">
        <v>1675</v>
      </c>
      <c r="C1047" s="26" t="s">
        <v>9</v>
      </c>
      <c r="D1047" s="35" t="s">
        <v>20</v>
      </c>
      <c r="E1047" s="35" t="s">
        <v>20</v>
      </c>
      <c r="F1047" s="35" t="s">
        <v>20</v>
      </c>
      <c r="G1047" t="b">
        <f t="shared" si="51"/>
        <v>0</v>
      </c>
      <c r="H1047" t="b">
        <f t="shared" si="52"/>
        <v>0</v>
      </c>
      <c r="I1047" s="29">
        <f t="shared" si="50"/>
        <v>40178</v>
      </c>
    </row>
    <row r="1048" spans="1:9" ht="25.5" x14ac:dyDescent="0.2">
      <c r="A1048" s="28">
        <v>40178</v>
      </c>
      <c r="B1048" s="26" t="s">
        <v>2083</v>
      </c>
      <c r="C1048" s="26" t="s">
        <v>322</v>
      </c>
      <c r="D1048" s="35" t="s">
        <v>20</v>
      </c>
      <c r="E1048" s="35" t="s">
        <v>20</v>
      </c>
      <c r="F1048" s="35" t="s">
        <v>20</v>
      </c>
      <c r="G1048" t="b">
        <f t="shared" si="51"/>
        <v>0</v>
      </c>
      <c r="H1048" t="b">
        <f t="shared" si="52"/>
        <v>0</v>
      </c>
      <c r="I1048" s="29">
        <f t="shared" si="50"/>
        <v>40178</v>
      </c>
    </row>
    <row r="1049" spans="1:9" ht="38.25" x14ac:dyDescent="0.2">
      <c r="A1049" s="28">
        <v>40178</v>
      </c>
      <c r="B1049" s="26" t="s">
        <v>937</v>
      </c>
      <c r="C1049" s="26" t="s">
        <v>2837</v>
      </c>
      <c r="D1049" s="35" t="s">
        <v>20</v>
      </c>
      <c r="E1049" s="35" t="s">
        <v>20</v>
      </c>
      <c r="F1049" s="35" t="s">
        <v>20</v>
      </c>
      <c r="G1049" t="b">
        <f t="shared" si="51"/>
        <v>0</v>
      </c>
      <c r="H1049" t="b">
        <f t="shared" si="52"/>
        <v>0</v>
      </c>
      <c r="I1049" s="29">
        <f t="shared" si="50"/>
        <v>40178</v>
      </c>
    </row>
    <row r="1050" spans="1:9" ht="12.75" customHeight="1" x14ac:dyDescent="0.2">
      <c r="A1050" s="28">
        <v>40178</v>
      </c>
      <c r="B1050" s="26" t="s">
        <v>2811</v>
      </c>
      <c r="C1050" s="26" t="s">
        <v>9</v>
      </c>
      <c r="D1050" s="35" t="s">
        <v>20</v>
      </c>
      <c r="E1050" s="35" t="s">
        <v>20</v>
      </c>
      <c r="F1050" s="35" t="s">
        <v>20</v>
      </c>
      <c r="G1050" t="b">
        <f t="shared" si="51"/>
        <v>0</v>
      </c>
      <c r="H1050" t="b">
        <f t="shared" si="52"/>
        <v>0</v>
      </c>
      <c r="I1050" s="29">
        <f t="shared" si="50"/>
        <v>40178</v>
      </c>
    </row>
    <row r="1051" spans="1:9" ht="25.5" x14ac:dyDescent="0.2">
      <c r="A1051" s="28">
        <v>40178</v>
      </c>
      <c r="B1051" s="26" t="s">
        <v>2341</v>
      </c>
      <c r="C1051" s="26" t="s">
        <v>9</v>
      </c>
      <c r="D1051" s="35" t="s">
        <v>20</v>
      </c>
      <c r="E1051" s="35" t="s">
        <v>20</v>
      </c>
      <c r="F1051" s="35" t="s">
        <v>20</v>
      </c>
      <c r="G1051" t="b">
        <f t="shared" si="51"/>
        <v>0</v>
      </c>
      <c r="H1051" t="b">
        <f t="shared" si="52"/>
        <v>0</v>
      </c>
      <c r="I1051" s="29">
        <f t="shared" si="50"/>
        <v>40178</v>
      </c>
    </row>
    <row r="1052" spans="1:9" ht="25.5" x14ac:dyDescent="0.2">
      <c r="A1052" s="28">
        <v>40178</v>
      </c>
      <c r="B1052" s="26" t="s">
        <v>3414</v>
      </c>
      <c r="C1052" s="26" t="s">
        <v>9</v>
      </c>
      <c r="D1052" s="35" t="s">
        <v>20</v>
      </c>
      <c r="E1052" s="35" t="s">
        <v>20</v>
      </c>
      <c r="F1052" s="35" t="s">
        <v>20</v>
      </c>
      <c r="G1052" t="b">
        <f t="shared" si="51"/>
        <v>0</v>
      </c>
      <c r="H1052" t="b">
        <f t="shared" si="52"/>
        <v>0</v>
      </c>
      <c r="I1052" s="29">
        <f t="shared" si="50"/>
        <v>40178</v>
      </c>
    </row>
    <row r="1053" spans="1:9" ht="12.75" customHeight="1" x14ac:dyDescent="0.2">
      <c r="A1053" s="28">
        <v>40178</v>
      </c>
      <c r="B1053" s="26" t="s">
        <v>823</v>
      </c>
      <c r="C1053" s="26" t="s">
        <v>3466</v>
      </c>
      <c r="D1053" s="35" t="s">
        <v>20</v>
      </c>
      <c r="E1053" s="35" t="s">
        <v>20</v>
      </c>
      <c r="F1053" s="35" t="s">
        <v>20</v>
      </c>
      <c r="G1053" t="b">
        <f t="shared" si="51"/>
        <v>0</v>
      </c>
      <c r="H1053" t="b">
        <f t="shared" si="52"/>
        <v>0</v>
      </c>
      <c r="I1053" s="29">
        <f t="shared" si="50"/>
        <v>40178</v>
      </c>
    </row>
    <row r="1054" spans="1:9" ht="12.75" customHeight="1" x14ac:dyDescent="0.2">
      <c r="A1054" s="28">
        <v>40178</v>
      </c>
      <c r="B1054" s="26" t="s">
        <v>1093</v>
      </c>
      <c r="C1054" s="26" t="s">
        <v>9</v>
      </c>
      <c r="D1054" s="35" t="s">
        <v>20</v>
      </c>
      <c r="E1054" s="35" t="s">
        <v>20</v>
      </c>
      <c r="F1054" s="35" t="s">
        <v>20</v>
      </c>
      <c r="G1054" t="b">
        <f t="shared" si="51"/>
        <v>0</v>
      </c>
      <c r="H1054" t="b">
        <f t="shared" si="52"/>
        <v>0</v>
      </c>
      <c r="I1054" s="29">
        <f t="shared" si="50"/>
        <v>40178</v>
      </c>
    </row>
    <row r="1055" spans="1:9" ht="12.75" customHeight="1" x14ac:dyDescent="0.2">
      <c r="A1055" s="28">
        <v>40178</v>
      </c>
      <c r="B1055" s="26" t="s">
        <v>944</v>
      </c>
      <c r="C1055" s="26" t="s">
        <v>9</v>
      </c>
      <c r="D1055" s="35" t="s">
        <v>20</v>
      </c>
      <c r="E1055" s="35" t="s">
        <v>20</v>
      </c>
      <c r="F1055" s="35" t="s">
        <v>20</v>
      </c>
      <c r="G1055" t="b">
        <f t="shared" si="51"/>
        <v>0</v>
      </c>
      <c r="H1055" t="b">
        <f t="shared" si="52"/>
        <v>0</v>
      </c>
      <c r="I1055" s="29">
        <f t="shared" si="50"/>
        <v>40178</v>
      </c>
    </row>
    <row r="1056" spans="1:9" ht="12.75" customHeight="1" x14ac:dyDescent="0.2">
      <c r="A1056" s="28">
        <v>40178</v>
      </c>
      <c r="B1056" s="26" t="s">
        <v>725</v>
      </c>
      <c r="C1056" s="26" t="s">
        <v>9</v>
      </c>
      <c r="D1056" s="35" t="s">
        <v>20</v>
      </c>
      <c r="E1056" s="35" t="s">
        <v>20</v>
      </c>
      <c r="F1056" s="35" t="s">
        <v>20</v>
      </c>
      <c r="G1056" t="b">
        <f t="shared" si="51"/>
        <v>0</v>
      </c>
      <c r="H1056" t="b">
        <f t="shared" si="52"/>
        <v>0</v>
      </c>
      <c r="I1056" s="29">
        <f t="shared" si="50"/>
        <v>40178</v>
      </c>
    </row>
    <row r="1057" spans="1:9" ht="12.75" customHeight="1" x14ac:dyDescent="0.2">
      <c r="A1057" s="28">
        <v>40178</v>
      </c>
      <c r="B1057" s="26" t="s">
        <v>210</v>
      </c>
      <c r="C1057" s="26" t="s">
        <v>9</v>
      </c>
      <c r="D1057" s="35" t="s">
        <v>20</v>
      </c>
      <c r="E1057" s="35" t="s">
        <v>20</v>
      </c>
      <c r="F1057" s="35" t="s">
        <v>20</v>
      </c>
      <c r="G1057" t="b">
        <f t="shared" si="51"/>
        <v>0</v>
      </c>
      <c r="H1057" t="b">
        <f t="shared" si="52"/>
        <v>0</v>
      </c>
      <c r="I1057" s="29">
        <f t="shared" si="50"/>
        <v>40178</v>
      </c>
    </row>
    <row r="1058" spans="1:9" ht="12.75" customHeight="1" x14ac:dyDescent="0.2">
      <c r="A1058" s="28">
        <v>40178</v>
      </c>
      <c r="B1058" s="26" t="s">
        <v>1782</v>
      </c>
      <c r="C1058" s="26" t="s">
        <v>9</v>
      </c>
      <c r="D1058" s="35" t="s">
        <v>20</v>
      </c>
      <c r="E1058" s="35" t="s">
        <v>20</v>
      </c>
      <c r="F1058" s="35" t="s">
        <v>20</v>
      </c>
      <c r="G1058" t="b">
        <f t="shared" si="51"/>
        <v>0</v>
      </c>
      <c r="H1058" t="b">
        <f t="shared" si="52"/>
        <v>0</v>
      </c>
      <c r="I1058" s="29">
        <f t="shared" si="50"/>
        <v>40178</v>
      </c>
    </row>
    <row r="1059" spans="1:9" ht="12.75" customHeight="1" x14ac:dyDescent="0.2">
      <c r="A1059" s="28">
        <v>40178</v>
      </c>
      <c r="B1059" s="26" t="s">
        <v>337</v>
      </c>
      <c r="C1059" s="26" t="s">
        <v>9</v>
      </c>
      <c r="D1059" s="35" t="s">
        <v>20</v>
      </c>
      <c r="E1059" s="35" t="s">
        <v>20</v>
      </c>
      <c r="F1059" s="35" t="s">
        <v>20</v>
      </c>
      <c r="G1059" t="b">
        <f t="shared" si="51"/>
        <v>0</v>
      </c>
      <c r="H1059" t="b">
        <f t="shared" si="52"/>
        <v>0</v>
      </c>
      <c r="I1059" s="29">
        <f t="shared" si="50"/>
        <v>40178</v>
      </c>
    </row>
    <row r="1060" spans="1:9" ht="12.75" customHeight="1" x14ac:dyDescent="0.2">
      <c r="A1060" s="28">
        <v>40178</v>
      </c>
      <c r="B1060" s="26" t="s">
        <v>375</v>
      </c>
      <c r="C1060" s="26" t="s">
        <v>9</v>
      </c>
      <c r="D1060" s="35" t="s">
        <v>20</v>
      </c>
      <c r="E1060" s="35" t="s">
        <v>20</v>
      </c>
      <c r="F1060" s="35" t="s">
        <v>20</v>
      </c>
      <c r="G1060" t="b">
        <f t="shared" si="51"/>
        <v>0</v>
      </c>
      <c r="H1060" t="b">
        <f t="shared" si="52"/>
        <v>0</v>
      </c>
      <c r="I1060" s="29">
        <f t="shared" si="50"/>
        <v>40178</v>
      </c>
    </row>
    <row r="1061" spans="1:9" ht="12.75" customHeight="1" x14ac:dyDescent="0.2">
      <c r="A1061" s="28">
        <v>40178</v>
      </c>
      <c r="B1061" s="26" t="s">
        <v>959</v>
      </c>
      <c r="C1061" s="26" t="s">
        <v>9</v>
      </c>
      <c r="D1061" s="35" t="s">
        <v>20</v>
      </c>
      <c r="E1061" s="35" t="s">
        <v>20</v>
      </c>
      <c r="F1061" s="35" t="s">
        <v>20</v>
      </c>
      <c r="G1061" t="b">
        <f t="shared" si="51"/>
        <v>0</v>
      </c>
      <c r="H1061" t="b">
        <f t="shared" si="52"/>
        <v>0</v>
      </c>
      <c r="I1061" s="29">
        <f t="shared" si="50"/>
        <v>40178</v>
      </c>
    </row>
    <row r="1062" spans="1:9" ht="12.75" customHeight="1" x14ac:dyDescent="0.2">
      <c r="A1062" s="28">
        <v>40178</v>
      </c>
      <c r="B1062" s="26" t="s">
        <v>1307</v>
      </c>
      <c r="C1062" s="26" t="s">
        <v>9</v>
      </c>
      <c r="D1062" s="35" t="s">
        <v>20</v>
      </c>
      <c r="E1062" s="35" t="s">
        <v>20</v>
      </c>
      <c r="F1062" s="35" t="s">
        <v>20</v>
      </c>
      <c r="G1062" t="b">
        <f t="shared" si="51"/>
        <v>0</v>
      </c>
      <c r="H1062" t="b">
        <f t="shared" si="52"/>
        <v>0</v>
      </c>
      <c r="I1062" s="29">
        <f t="shared" si="50"/>
        <v>40178</v>
      </c>
    </row>
    <row r="1063" spans="1:9" ht="12.75" customHeight="1" x14ac:dyDescent="0.2">
      <c r="A1063" s="28">
        <v>40178</v>
      </c>
      <c r="B1063" s="26" t="s">
        <v>1735</v>
      </c>
      <c r="C1063" s="26" t="s">
        <v>9</v>
      </c>
      <c r="D1063" s="35" t="s">
        <v>20</v>
      </c>
      <c r="E1063" s="35" t="s">
        <v>20</v>
      </c>
      <c r="F1063" s="35" t="s">
        <v>20</v>
      </c>
      <c r="G1063" t="b">
        <f t="shared" si="51"/>
        <v>0</v>
      </c>
      <c r="H1063" t="b">
        <f t="shared" si="52"/>
        <v>0</v>
      </c>
      <c r="I1063" s="29">
        <f t="shared" si="50"/>
        <v>40178</v>
      </c>
    </row>
    <row r="1064" spans="1:9" ht="25.5" x14ac:dyDescent="0.2">
      <c r="A1064" s="28">
        <v>40178</v>
      </c>
      <c r="B1064" s="26" t="s">
        <v>1369</v>
      </c>
      <c r="C1064" s="26" t="s">
        <v>9</v>
      </c>
      <c r="D1064" s="35" t="s">
        <v>20</v>
      </c>
      <c r="E1064" s="35" t="s">
        <v>20</v>
      </c>
      <c r="F1064" s="35" t="s">
        <v>20</v>
      </c>
      <c r="G1064" t="b">
        <f t="shared" si="51"/>
        <v>0</v>
      </c>
      <c r="H1064" t="b">
        <f t="shared" si="52"/>
        <v>0</v>
      </c>
      <c r="I1064" s="29">
        <f t="shared" si="50"/>
        <v>40178</v>
      </c>
    </row>
    <row r="1065" spans="1:9" ht="12.75" customHeight="1" x14ac:dyDescent="0.2">
      <c r="A1065" s="28">
        <v>40178</v>
      </c>
      <c r="B1065" s="26" t="s">
        <v>3019</v>
      </c>
      <c r="C1065" s="26" t="s">
        <v>9</v>
      </c>
      <c r="D1065" s="35" t="s">
        <v>20</v>
      </c>
      <c r="E1065" s="35" t="s">
        <v>20</v>
      </c>
      <c r="F1065" s="35" t="s">
        <v>20</v>
      </c>
      <c r="G1065" t="b">
        <f t="shared" si="51"/>
        <v>0</v>
      </c>
      <c r="H1065" t="b">
        <f t="shared" si="52"/>
        <v>0</v>
      </c>
      <c r="I1065" s="29">
        <f t="shared" si="50"/>
        <v>40178</v>
      </c>
    </row>
    <row r="1066" spans="1:9" ht="12.75" customHeight="1" x14ac:dyDescent="0.2">
      <c r="A1066" s="28">
        <v>40178</v>
      </c>
      <c r="B1066" s="26" t="s">
        <v>170</v>
      </c>
      <c r="C1066" s="26" t="s">
        <v>9</v>
      </c>
      <c r="D1066" s="35" t="s">
        <v>20</v>
      </c>
      <c r="E1066" s="35" t="s">
        <v>20</v>
      </c>
      <c r="F1066" s="35" t="s">
        <v>20</v>
      </c>
      <c r="G1066" t="b">
        <f t="shared" si="51"/>
        <v>0</v>
      </c>
      <c r="H1066" t="b">
        <f t="shared" si="52"/>
        <v>0</v>
      </c>
      <c r="I1066" s="29">
        <f t="shared" si="50"/>
        <v>40178</v>
      </c>
    </row>
    <row r="1067" spans="1:9" ht="12.75" customHeight="1" x14ac:dyDescent="0.2">
      <c r="A1067" s="28">
        <v>40178</v>
      </c>
      <c r="B1067" s="26" t="s">
        <v>312</v>
      </c>
      <c r="C1067" s="26" t="s">
        <v>9</v>
      </c>
      <c r="D1067" s="35" t="s">
        <v>20</v>
      </c>
      <c r="E1067" s="35" t="s">
        <v>20</v>
      </c>
      <c r="F1067" s="35" t="s">
        <v>20</v>
      </c>
      <c r="G1067" t="b">
        <f t="shared" si="51"/>
        <v>0</v>
      </c>
      <c r="H1067" t="b">
        <f t="shared" si="52"/>
        <v>0</v>
      </c>
      <c r="I1067" s="29">
        <f t="shared" si="50"/>
        <v>40178</v>
      </c>
    </row>
    <row r="1068" spans="1:9" ht="12.75" customHeight="1" x14ac:dyDescent="0.2">
      <c r="A1068" s="28">
        <v>40178</v>
      </c>
      <c r="B1068" s="26" t="s">
        <v>2207</v>
      </c>
      <c r="C1068" s="26" t="s">
        <v>9</v>
      </c>
      <c r="D1068" s="35" t="s">
        <v>20</v>
      </c>
      <c r="E1068" s="35" t="s">
        <v>20</v>
      </c>
      <c r="F1068" s="35" t="s">
        <v>20</v>
      </c>
      <c r="G1068" t="b">
        <f t="shared" si="51"/>
        <v>0</v>
      </c>
      <c r="H1068" t="b">
        <f t="shared" si="52"/>
        <v>0</v>
      </c>
      <c r="I1068" s="29">
        <f t="shared" si="50"/>
        <v>40178</v>
      </c>
    </row>
    <row r="1069" spans="1:9" ht="25.5" x14ac:dyDescent="0.2">
      <c r="A1069" s="28">
        <v>40178</v>
      </c>
      <c r="B1069" s="26" t="s">
        <v>3237</v>
      </c>
      <c r="C1069" s="26" t="s">
        <v>9</v>
      </c>
      <c r="D1069" s="35" t="s">
        <v>20</v>
      </c>
      <c r="E1069" s="35" t="s">
        <v>20</v>
      </c>
      <c r="F1069" s="35" t="s">
        <v>20</v>
      </c>
      <c r="G1069" t="b">
        <f t="shared" si="51"/>
        <v>0</v>
      </c>
      <c r="H1069" t="b">
        <f t="shared" si="52"/>
        <v>0</v>
      </c>
      <c r="I1069" s="29">
        <f t="shared" ref="I1069:I1132" si="53">DATE(2009,MONTH(A1069), DAY(A1069))</f>
        <v>40178</v>
      </c>
    </row>
    <row r="1070" spans="1:9" ht="25.5" x14ac:dyDescent="0.2">
      <c r="A1070" s="28">
        <v>40178</v>
      </c>
      <c r="B1070" s="26" t="s">
        <v>1193</v>
      </c>
      <c r="C1070" s="26" t="s">
        <v>9</v>
      </c>
      <c r="D1070" s="35" t="s">
        <v>20</v>
      </c>
      <c r="E1070" s="35" t="s">
        <v>20</v>
      </c>
      <c r="F1070" s="35" t="s">
        <v>20</v>
      </c>
      <c r="G1070" t="b">
        <f t="shared" si="51"/>
        <v>0</v>
      </c>
      <c r="H1070" t="b">
        <f t="shared" si="52"/>
        <v>0</v>
      </c>
      <c r="I1070" s="29">
        <f t="shared" si="53"/>
        <v>40178</v>
      </c>
    </row>
    <row r="1071" spans="1:9" ht="12.75" customHeight="1" x14ac:dyDescent="0.2">
      <c r="A1071" s="28">
        <v>40178</v>
      </c>
      <c r="B1071" s="26" t="s">
        <v>3208</v>
      </c>
      <c r="C1071" s="26" t="s">
        <v>9</v>
      </c>
      <c r="D1071" s="35" t="s">
        <v>20</v>
      </c>
      <c r="E1071" s="35" t="s">
        <v>20</v>
      </c>
      <c r="F1071" s="35" t="s">
        <v>20</v>
      </c>
      <c r="G1071" t="b">
        <f t="shared" si="51"/>
        <v>0</v>
      </c>
      <c r="H1071" t="b">
        <f t="shared" si="52"/>
        <v>0</v>
      </c>
      <c r="I1071" s="29">
        <f t="shared" si="53"/>
        <v>40178</v>
      </c>
    </row>
    <row r="1072" spans="1:9" ht="12.75" customHeight="1" x14ac:dyDescent="0.2">
      <c r="A1072" s="28">
        <v>40178</v>
      </c>
      <c r="B1072" s="26" t="s">
        <v>1865</v>
      </c>
      <c r="C1072" s="26" t="s">
        <v>9</v>
      </c>
      <c r="D1072" s="35" t="s">
        <v>20</v>
      </c>
      <c r="E1072" s="35" t="s">
        <v>20</v>
      </c>
      <c r="F1072" s="35" t="s">
        <v>20</v>
      </c>
      <c r="G1072" t="b">
        <f t="shared" si="51"/>
        <v>0</v>
      </c>
      <c r="H1072" t="b">
        <f t="shared" si="52"/>
        <v>0</v>
      </c>
      <c r="I1072" s="29">
        <f t="shared" si="53"/>
        <v>40178</v>
      </c>
    </row>
    <row r="1073" spans="1:9" ht="25.5" x14ac:dyDescent="0.2">
      <c r="A1073" s="28">
        <v>40178</v>
      </c>
      <c r="B1073" s="26" t="s">
        <v>2462</v>
      </c>
      <c r="C1073" s="26" t="s">
        <v>9</v>
      </c>
      <c r="D1073" s="35" t="s">
        <v>20</v>
      </c>
      <c r="E1073" s="35" t="s">
        <v>20</v>
      </c>
      <c r="F1073" s="35" t="s">
        <v>20</v>
      </c>
      <c r="G1073" t="b">
        <f t="shared" si="51"/>
        <v>0</v>
      </c>
      <c r="H1073" t="b">
        <f t="shared" si="52"/>
        <v>0</v>
      </c>
      <c r="I1073" s="29">
        <f t="shared" si="53"/>
        <v>40178</v>
      </c>
    </row>
    <row r="1074" spans="1:9" ht="12.75" customHeight="1" x14ac:dyDescent="0.2">
      <c r="A1074" s="28">
        <v>40178</v>
      </c>
      <c r="B1074" s="26" t="s">
        <v>2447</v>
      </c>
      <c r="C1074" s="26" t="s">
        <v>9</v>
      </c>
      <c r="D1074" s="35" t="s">
        <v>20</v>
      </c>
      <c r="E1074" s="35" t="s">
        <v>20</v>
      </c>
      <c r="F1074" s="35" t="s">
        <v>20</v>
      </c>
      <c r="G1074" t="b">
        <f t="shared" si="51"/>
        <v>0</v>
      </c>
      <c r="H1074" t="b">
        <f t="shared" si="52"/>
        <v>0</v>
      </c>
      <c r="I1074" s="29">
        <f t="shared" si="53"/>
        <v>40178</v>
      </c>
    </row>
    <row r="1075" spans="1:9" ht="12.75" customHeight="1" x14ac:dyDescent="0.2">
      <c r="A1075" s="28">
        <v>40178</v>
      </c>
      <c r="B1075" s="26" t="s">
        <v>1883</v>
      </c>
      <c r="C1075" s="26" t="s">
        <v>9</v>
      </c>
      <c r="D1075" s="35" t="s">
        <v>20</v>
      </c>
      <c r="E1075" s="35" t="s">
        <v>20</v>
      </c>
      <c r="F1075" s="35" t="s">
        <v>20</v>
      </c>
      <c r="G1075" t="b">
        <f t="shared" si="51"/>
        <v>0</v>
      </c>
      <c r="H1075" t="b">
        <f t="shared" si="52"/>
        <v>0</v>
      </c>
      <c r="I1075" s="29">
        <f t="shared" si="53"/>
        <v>40178</v>
      </c>
    </row>
    <row r="1076" spans="1:9" ht="12.75" customHeight="1" x14ac:dyDescent="0.2">
      <c r="A1076" s="28">
        <v>40178</v>
      </c>
      <c r="B1076" s="26" t="s">
        <v>2012</v>
      </c>
      <c r="C1076" s="26" t="s">
        <v>9</v>
      </c>
      <c r="D1076" s="35" t="s">
        <v>20</v>
      </c>
      <c r="E1076" s="35" t="s">
        <v>20</v>
      </c>
      <c r="F1076" s="35">
        <v>569192</v>
      </c>
      <c r="G1076" t="b">
        <f t="shared" ref="G1076:G1139" si="54">ISBLANK(A1076)</f>
        <v>0</v>
      </c>
      <c r="H1076" t="b">
        <f t="shared" ref="H1076:H1139" si="55">ISTEXT(A1076)</f>
        <v>0</v>
      </c>
      <c r="I1076" s="29">
        <f t="shared" si="53"/>
        <v>40178</v>
      </c>
    </row>
    <row r="1077" spans="1:9" ht="12.75" customHeight="1" x14ac:dyDescent="0.2">
      <c r="A1077" s="28">
        <v>40178</v>
      </c>
      <c r="B1077" s="26" t="s">
        <v>1117</v>
      </c>
      <c r="C1077" s="26" t="s">
        <v>9</v>
      </c>
      <c r="D1077" s="35" t="s">
        <v>20</v>
      </c>
      <c r="E1077" s="35" t="s">
        <v>20</v>
      </c>
      <c r="F1077" s="35" t="s">
        <v>20</v>
      </c>
      <c r="G1077" t="b">
        <f t="shared" si="54"/>
        <v>0</v>
      </c>
      <c r="H1077" t="b">
        <f t="shared" si="55"/>
        <v>0</v>
      </c>
      <c r="I1077" s="29">
        <f t="shared" si="53"/>
        <v>40178</v>
      </c>
    </row>
    <row r="1078" spans="1:9" ht="12.75" customHeight="1" x14ac:dyDescent="0.2">
      <c r="A1078" s="28">
        <v>40178</v>
      </c>
      <c r="B1078" s="26" t="s">
        <v>2463</v>
      </c>
      <c r="C1078" s="26" t="s">
        <v>9</v>
      </c>
      <c r="D1078" s="35" t="s">
        <v>20</v>
      </c>
      <c r="E1078" s="35" t="s">
        <v>20</v>
      </c>
      <c r="F1078" s="35" t="s">
        <v>20</v>
      </c>
      <c r="G1078" t="b">
        <f t="shared" si="54"/>
        <v>0</v>
      </c>
      <c r="H1078" t="b">
        <f t="shared" si="55"/>
        <v>0</v>
      </c>
      <c r="I1078" s="29">
        <f t="shared" si="53"/>
        <v>40178</v>
      </c>
    </row>
    <row r="1079" spans="1:9" ht="12.75" customHeight="1" x14ac:dyDescent="0.2">
      <c r="A1079" s="28">
        <v>40178</v>
      </c>
      <c r="B1079" s="26" t="s">
        <v>2619</v>
      </c>
      <c r="C1079" s="26" t="s">
        <v>9</v>
      </c>
      <c r="D1079" s="35" t="s">
        <v>20</v>
      </c>
      <c r="E1079" s="35" t="s">
        <v>20</v>
      </c>
      <c r="F1079" s="35" t="s">
        <v>20</v>
      </c>
      <c r="G1079" t="b">
        <f t="shared" si="54"/>
        <v>0</v>
      </c>
      <c r="H1079" t="b">
        <f t="shared" si="55"/>
        <v>0</v>
      </c>
      <c r="I1079" s="29">
        <f t="shared" si="53"/>
        <v>40178</v>
      </c>
    </row>
    <row r="1080" spans="1:9" ht="12.75" customHeight="1" x14ac:dyDescent="0.2">
      <c r="A1080" s="28">
        <v>40178</v>
      </c>
      <c r="B1080" s="26" t="s">
        <v>1532</v>
      </c>
      <c r="C1080" s="26" t="s">
        <v>9</v>
      </c>
      <c r="D1080" s="35" t="s">
        <v>20</v>
      </c>
      <c r="E1080" s="35" t="s">
        <v>20</v>
      </c>
      <c r="F1080" s="35" t="s">
        <v>20</v>
      </c>
      <c r="G1080" t="b">
        <f t="shared" si="54"/>
        <v>0</v>
      </c>
      <c r="H1080" t="b">
        <f t="shared" si="55"/>
        <v>0</v>
      </c>
      <c r="I1080" s="29">
        <f t="shared" si="53"/>
        <v>40178</v>
      </c>
    </row>
    <row r="1081" spans="1:9" ht="25.5" x14ac:dyDescent="0.2">
      <c r="A1081" s="28">
        <v>40178</v>
      </c>
      <c r="B1081" s="26" t="s">
        <v>2559</v>
      </c>
      <c r="C1081" s="26" t="s">
        <v>9</v>
      </c>
      <c r="D1081" s="35" t="s">
        <v>20</v>
      </c>
      <c r="E1081" s="35" t="s">
        <v>20</v>
      </c>
      <c r="F1081" s="35" t="s">
        <v>20</v>
      </c>
      <c r="G1081" t="b">
        <f t="shared" si="54"/>
        <v>0</v>
      </c>
      <c r="H1081" t="b">
        <f t="shared" si="55"/>
        <v>0</v>
      </c>
      <c r="I1081" s="29">
        <f t="shared" si="53"/>
        <v>40178</v>
      </c>
    </row>
    <row r="1082" spans="1:9" ht="12.75" customHeight="1" x14ac:dyDescent="0.2">
      <c r="A1082" s="28">
        <v>40178</v>
      </c>
      <c r="B1082" s="26" t="s">
        <v>1945</v>
      </c>
      <c r="C1082" s="26" t="s">
        <v>3096</v>
      </c>
      <c r="D1082" s="35" t="s">
        <v>20</v>
      </c>
      <c r="E1082" s="35" t="s">
        <v>20</v>
      </c>
      <c r="F1082" s="35" t="s">
        <v>20</v>
      </c>
      <c r="G1082" t="b">
        <f t="shared" si="54"/>
        <v>0</v>
      </c>
      <c r="H1082" t="b">
        <f t="shared" si="55"/>
        <v>0</v>
      </c>
      <c r="I1082" s="29">
        <f t="shared" si="53"/>
        <v>40178</v>
      </c>
    </row>
    <row r="1083" spans="1:9" ht="25.5" x14ac:dyDescent="0.2">
      <c r="A1083" s="28">
        <v>40178</v>
      </c>
      <c r="B1083" s="26" t="s">
        <v>2904</v>
      </c>
      <c r="C1083" s="26" t="s">
        <v>9</v>
      </c>
      <c r="D1083" s="35" t="s">
        <v>20</v>
      </c>
      <c r="E1083" s="35" t="s">
        <v>20</v>
      </c>
      <c r="F1083" s="35" t="s">
        <v>20</v>
      </c>
      <c r="G1083" t="b">
        <f t="shared" si="54"/>
        <v>0</v>
      </c>
      <c r="H1083" t="b">
        <f t="shared" si="55"/>
        <v>0</v>
      </c>
      <c r="I1083" s="29">
        <f t="shared" si="53"/>
        <v>40178</v>
      </c>
    </row>
    <row r="1084" spans="1:9" ht="12.75" customHeight="1" x14ac:dyDescent="0.2">
      <c r="A1084" s="28">
        <v>40178</v>
      </c>
      <c r="B1084" s="26" t="s">
        <v>1693</v>
      </c>
      <c r="C1084" s="26" t="s">
        <v>2160</v>
      </c>
      <c r="D1084" s="35" t="s">
        <v>20</v>
      </c>
      <c r="E1084" s="35" t="s">
        <v>20</v>
      </c>
      <c r="F1084" s="35">
        <v>18353669</v>
      </c>
      <c r="G1084" t="b">
        <f t="shared" si="54"/>
        <v>0</v>
      </c>
      <c r="H1084" t="b">
        <f t="shared" si="55"/>
        <v>0</v>
      </c>
      <c r="I1084" s="29">
        <f t="shared" si="53"/>
        <v>40178</v>
      </c>
    </row>
    <row r="1085" spans="1:9" ht="12.75" customHeight="1" x14ac:dyDescent="0.2">
      <c r="A1085" s="28">
        <v>40178</v>
      </c>
      <c r="B1085" s="26" t="s">
        <v>538</v>
      </c>
      <c r="C1085" s="26" t="s">
        <v>9</v>
      </c>
      <c r="D1085" s="35" t="s">
        <v>20</v>
      </c>
      <c r="E1085" s="35" t="s">
        <v>20</v>
      </c>
      <c r="F1085" s="35" t="s">
        <v>20</v>
      </c>
      <c r="G1085" t="b">
        <f t="shared" si="54"/>
        <v>0</v>
      </c>
      <c r="H1085" t="b">
        <f t="shared" si="55"/>
        <v>0</v>
      </c>
      <c r="I1085" s="29">
        <f t="shared" si="53"/>
        <v>40178</v>
      </c>
    </row>
    <row r="1086" spans="1:9" ht="25.5" x14ac:dyDescent="0.2">
      <c r="A1086" s="28">
        <v>40178</v>
      </c>
      <c r="B1086" s="26" t="s">
        <v>1177</v>
      </c>
      <c r="C1086" s="26" t="s">
        <v>9</v>
      </c>
      <c r="D1086" s="35" t="s">
        <v>20</v>
      </c>
      <c r="E1086" s="35" t="s">
        <v>20</v>
      </c>
      <c r="F1086" s="35">
        <v>30500000</v>
      </c>
      <c r="G1086" t="b">
        <f t="shared" si="54"/>
        <v>0</v>
      </c>
      <c r="H1086" t="b">
        <f t="shared" si="55"/>
        <v>0</v>
      </c>
      <c r="I1086" s="29">
        <f t="shared" si="53"/>
        <v>40178</v>
      </c>
    </row>
    <row r="1087" spans="1:9" ht="12.75" customHeight="1" x14ac:dyDescent="0.2">
      <c r="A1087" s="28">
        <v>40178</v>
      </c>
      <c r="B1087" s="26" t="s">
        <v>3411</v>
      </c>
      <c r="C1087" s="26" t="s">
        <v>9</v>
      </c>
      <c r="D1087" s="35" t="s">
        <v>20</v>
      </c>
      <c r="E1087" s="35" t="s">
        <v>20</v>
      </c>
      <c r="F1087" s="35" t="s">
        <v>20</v>
      </c>
      <c r="G1087" t="b">
        <f t="shared" si="54"/>
        <v>0</v>
      </c>
      <c r="H1087" t="b">
        <f t="shared" si="55"/>
        <v>0</v>
      </c>
      <c r="I1087" s="29">
        <f t="shared" si="53"/>
        <v>40178</v>
      </c>
    </row>
    <row r="1088" spans="1:9" ht="38.25" x14ac:dyDescent="0.2">
      <c r="A1088" s="28">
        <v>40178</v>
      </c>
      <c r="B1088" s="26" t="s">
        <v>1931</v>
      </c>
      <c r="C1088" s="26" t="s">
        <v>9</v>
      </c>
      <c r="D1088" s="35" t="s">
        <v>20</v>
      </c>
      <c r="E1088" s="35" t="s">
        <v>20</v>
      </c>
      <c r="F1088" s="35" t="s">
        <v>20</v>
      </c>
      <c r="G1088" t="b">
        <f t="shared" si="54"/>
        <v>0</v>
      </c>
      <c r="H1088" t="b">
        <f t="shared" si="55"/>
        <v>0</v>
      </c>
      <c r="I1088" s="29">
        <f t="shared" si="53"/>
        <v>40178</v>
      </c>
    </row>
    <row r="1089" spans="1:9" ht="38.25" x14ac:dyDescent="0.2">
      <c r="A1089" s="28">
        <v>40178</v>
      </c>
      <c r="B1089" s="26" t="s">
        <v>1391</v>
      </c>
      <c r="C1089" s="26" t="s">
        <v>9</v>
      </c>
      <c r="D1089" s="35" t="s">
        <v>20</v>
      </c>
      <c r="E1089" s="35" t="s">
        <v>20</v>
      </c>
      <c r="F1089" s="35" t="s">
        <v>20</v>
      </c>
      <c r="G1089" t="b">
        <f t="shared" si="54"/>
        <v>0</v>
      </c>
      <c r="H1089" t="b">
        <f t="shared" si="55"/>
        <v>0</v>
      </c>
      <c r="I1089" s="29">
        <f t="shared" si="53"/>
        <v>40178</v>
      </c>
    </row>
    <row r="1090" spans="1:9" ht="12.75" customHeight="1" x14ac:dyDescent="0.2">
      <c r="A1090" s="28">
        <v>40178</v>
      </c>
      <c r="B1090" s="26" t="s">
        <v>1989</v>
      </c>
      <c r="C1090" s="26" t="s">
        <v>9</v>
      </c>
      <c r="D1090" s="35" t="s">
        <v>20</v>
      </c>
      <c r="E1090" s="35" t="s">
        <v>20</v>
      </c>
      <c r="F1090" s="35" t="s">
        <v>20</v>
      </c>
      <c r="G1090" t="b">
        <f t="shared" si="54"/>
        <v>0</v>
      </c>
      <c r="H1090" t="b">
        <f t="shared" si="55"/>
        <v>0</v>
      </c>
      <c r="I1090" s="29">
        <f t="shared" si="53"/>
        <v>40178</v>
      </c>
    </row>
    <row r="1091" spans="1:9" ht="25.5" x14ac:dyDescent="0.2">
      <c r="A1091" s="28">
        <v>40178</v>
      </c>
      <c r="B1091" s="26" t="s">
        <v>2475</v>
      </c>
      <c r="C1091" s="26" t="s">
        <v>9</v>
      </c>
      <c r="D1091" s="35" t="s">
        <v>20</v>
      </c>
      <c r="E1091" s="35" t="s">
        <v>20</v>
      </c>
      <c r="F1091" s="35" t="s">
        <v>20</v>
      </c>
      <c r="G1091" t="b">
        <f t="shared" si="54"/>
        <v>0</v>
      </c>
      <c r="H1091" t="b">
        <f t="shared" si="55"/>
        <v>0</v>
      </c>
      <c r="I1091" s="29">
        <f t="shared" si="53"/>
        <v>40178</v>
      </c>
    </row>
    <row r="1092" spans="1:9" ht="12.75" customHeight="1" x14ac:dyDescent="0.2">
      <c r="A1092" s="28">
        <v>40178</v>
      </c>
      <c r="B1092" s="26" t="s">
        <v>2349</v>
      </c>
      <c r="C1092" s="26" t="s">
        <v>9</v>
      </c>
      <c r="D1092" s="35" t="s">
        <v>20</v>
      </c>
      <c r="E1092" s="35" t="s">
        <v>20</v>
      </c>
      <c r="F1092" s="35" t="s">
        <v>20</v>
      </c>
      <c r="G1092" t="b">
        <f t="shared" si="54"/>
        <v>0</v>
      </c>
      <c r="H1092" t="b">
        <f t="shared" si="55"/>
        <v>0</v>
      </c>
      <c r="I1092" s="29">
        <f t="shared" si="53"/>
        <v>40178</v>
      </c>
    </row>
    <row r="1093" spans="1:9" ht="12.75" customHeight="1" x14ac:dyDescent="0.2">
      <c r="A1093" s="28">
        <v>40178</v>
      </c>
      <c r="B1093" s="26" t="s">
        <v>682</v>
      </c>
      <c r="C1093" s="26" t="s">
        <v>9</v>
      </c>
      <c r="D1093" s="35" t="s">
        <v>20</v>
      </c>
      <c r="E1093" s="35" t="s">
        <v>20</v>
      </c>
      <c r="F1093" s="35" t="s">
        <v>20</v>
      </c>
      <c r="G1093" t="b">
        <f t="shared" si="54"/>
        <v>0</v>
      </c>
      <c r="H1093" t="b">
        <f t="shared" si="55"/>
        <v>0</v>
      </c>
      <c r="I1093" s="29">
        <f t="shared" si="53"/>
        <v>40178</v>
      </c>
    </row>
    <row r="1094" spans="1:9" ht="25.5" x14ac:dyDescent="0.2">
      <c r="A1094" s="28">
        <v>40178</v>
      </c>
      <c r="B1094" s="26" t="s">
        <v>1490</v>
      </c>
      <c r="C1094" s="26" t="s">
        <v>9</v>
      </c>
      <c r="D1094" s="35" t="s">
        <v>20</v>
      </c>
      <c r="E1094" s="35" t="s">
        <v>20</v>
      </c>
      <c r="F1094" s="35" t="s">
        <v>20</v>
      </c>
      <c r="G1094" t="b">
        <f t="shared" si="54"/>
        <v>0</v>
      </c>
      <c r="H1094" t="b">
        <f t="shared" si="55"/>
        <v>0</v>
      </c>
      <c r="I1094" s="29">
        <f t="shared" si="53"/>
        <v>40178</v>
      </c>
    </row>
    <row r="1095" spans="1:9" ht="25.5" x14ac:dyDescent="0.2">
      <c r="A1095" s="28">
        <v>40178</v>
      </c>
      <c r="B1095" s="26" t="s">
        <v>188</v>
      </c>
      <c r="C1095" s="26" t="s">
        <v>150</v>
      </c>
      <c r="D1095" s="35" t="s">
        <v>20</v>
      </c>
      <c r="E1095" s="35" t="s">
        <v>20</v>
      </c>
      <c r="F1095" s="35" t="s">
        <v>20</v>
      </c>
      <c r="G1095" t="b">
        <f t="shared" si="54"/>
        <v>0</v>
      </c>
      <c r="H1095" t="b">
        <f t="shared" si="55"/>
        <v>0</v>
      </c>
      <c r="I1095" s="29">
        <f t="shared" si="53"/>
        <v>40178</v>
      </c>
    </row>
    <row r="1096" spans="1:9" ht="25.5" x14ac:dyDescent="0.2">
      <c r="A1096" s="28">
        <v>40178</v>
      </c>
      <c r="B1096" s="26" t="s">
        <v>1657</v>
      </c>
      <c r="C1096" s="26" t="s">
        <v>9</v>
      </c>
      <c r="D1096" s="35" t="s">
        <v>20</v>
      </c>
      <c r="E1096" s="35" t="s">
        <v>20</v>
      </c>
      <c r="F1096" s="35" t="s">
        <v>20</v>
      </c>
      <c r="G1096" t="b">
        <f t="shared" si="54"/>
        <v>0</v>
      </c>
      <c r="H1096" t="b">
        <f t="shared" si="55"/>
        <v>0</v>
      </c>
      <c r="I1096" s="29">
        <f t="shared" si="53"/>
        <v>40178</v>
      </c>
    </row>
    <row r="1097" spans="1:9" ht="12.75" customHeight="1" x14ac:dyDescent="0.2">
      <c r="A1097" s="28">
        <v>40178</v>
      </c>
      <c r="B1097" s="26" t="s">
        <v>2708</v>
      </c>
      <c r="C1097" s="26" t="s">
        <v>9</v>
      </c>
      <c r="D1097" s="35" t="s">
        <v>20</v>
      </c>
      <c r="E1097" s="35" t="s">
        <v>20</v>
      </c>
      <c r="F1097" s="35" t="s">
        <v>20</v>
      </c>
      <c r="G1097" t="b">
        <f t="shared" si="54"/>
        <v>0</v>
      </c>
      <c r="H1097" t="b">
        <f t="shared" si="55"/>
        <v>0</v>
      </c>
      <c r="I1097" s="29">
        <f t="shared" si="53"/>
        <v>40178</v>
      </c>
    </row>
    <row r="1098" spans="1:9" ht="12.75" customHeight="1" x14ac:dyDescent="0.2">
      <c r="A1098" s="28">
        <v>40178</v>
      </c>
      <c r="B1098" s="26" t="s">
        <v>2807</v>
      </c>
      <c r="C1098" s="26" t="s">
        <v>9</v>
      </c>
      <c r="D1098" s="35" t="s">
        <v>20</v>
      </c>
      <c r="E1098" s="35" t="s">
        <v>20</v>
      </c>
      <c r="F1098" s="35" t="s">
        <v>20</v>
      </c>
      <c r="G1098" t="b">
        <f t="shared" si="54"/>
        <v>0</v>
      </c>
      <c r="H1098" t="b">
        <f t="shared" si="55"/>
        <v>0</v>
      </c>
      <c r="I1098" s="29">
        <f t="shared" si="53"/>
        <v>40178</v>
      </c>
    </row>
    <row r="1099" spans="1:9" ht="12.75" customHeight="1" x14ac:dyDescent="0.2">
      <c r="A1099" s="28">
        <v>40178</v>
      </c>
      <c r="B1099" s="26" t="s">
        <v>581</v>
      </c>
      <c r="C1099" s="26" t="s">
        <v>9</v>
      </c>
      <c r="D1099" s="35" t="s">
        <v>20</v>
      </c>
      <c r="E1099" s="35" t="s">
        <v>20</v>
      </c>
      <c r="F1099" s="35" t="s">
        <v>20</v>
      </c>
      <c r="G1099" t="b">
        <f t="shared" si="54"/>
        <v>0</v>
      </c>
      <c r="H1099" t="b">
        <f t="shared" si="55"/>
        <v>0</v>
      </c>
      <c r="I1099" s="29">
        <f t="shared" si="53"/>
        <v>40178</v>
      </c>
    </row>
    <row r="1100" spans="1:9" ht="25.5" x14ac:dyDescent="0.2">
      <c r="A1100" s="28">
        <v>40178</v>
      </c>
      <c r="B1100" s="26" t="s">
        <v>3033</v>
      </c>
      <c r="C1100" s="26" t="s">
        <v>9</v>
      </c>
      <c r="D1100" s="35" t="s">
        <v>20</v>
      </c>
      <c r="E1100" s="35" t="s">
        <v>20</v>
      </c>
      <c r="F1100" s="35" t="s">
        <v>20</v>
      </c>
      <c r="G1100" t="b">
        <f t="shared" si="54"/>
        <v>0</v>
      </c>
      <c r="H1100" t="b">
        <f t="shared" si="55"/>
        <v>0</v>
      </c>
      <c r="I1100" s="29">
        <f t="shared" si="53"/>
        <v>40178</v>
      </c>
    </row>
    <row r="1101" spans="1:9" ht="12.75" customHeight="1" x14ac:dyDescent="0.2">
      <c r="A1101" s="28">
        <v>40178</v>
      </c>
      <c r="B1101" s="26" t="s">
        <v>2839</v>
      </c>
      <c r="C1101" s="26" t="s">
        <v>9</v>
      </c>
      <c r="D1101" s="35" t="s">
        <v>20</v>
      </c>
      <c r="E1101" s="35" t="s">
        <v>20</v>
      </c>
      <c r="F1101" s="35" t="s">
        <v>20</v>
      </c>
      <c r="G1101" t="b">
        <f t="shared" si="54"/>
        <v>0</v>
      </c>
      <c r="H1101" t="b">
        <f t="shared" si="55"/>
        <v>0</v>
      </c>
      <c r="I1101" s="29">
        <f t="shared" si="53"/>
        <v>40178</v>
      </c>
    </row>
    <row r="1102" spans="1:9" ht="12.75" customHeight="1" x14ac:dyDescent="0.2">
      <c r="A1102" s="28">
        <v>40178</v>
      </c>
      <c r="B1102" s="26" t="s">
        <v>232</v>
      </c>
      <c r="C1102" s="26" t="s">
        <v>9</v>
      </c>
      <c r="D1102" s="35" t="s">
        <v>20</v>
      </c>
      <c r="E1102" s="35" t="s">
        <v>20</v>
      </c>
      <c r="F1102" s="35" t="s">
        <v>20</v>
      </c>
      <c r="G1102" t="b">
        <f t="shared" si="54"/>
        <v>0</v>
      </c>
      <c r="H1102" t="b">
        <f t="shared" si="55"/>
        <v>0</v>
      </c>
      <c r="I1102" s="29">
        <f t="shared" si="53"/>
        <v>40178</v>
      </c>
    </row>
    <row r="1103" spans="1:9" ht="12.75" customHeight="1" x14ac:dyDescent="0.2">
      <c r="A1103" s="28">
        <v>40178</v>
      </c>
      <c r="B1103" s="26" t="s">
        <v>541</v>
      </c>
      <c r="C1103" s="26" t="s">
        <v>9</v>
      </c>
      <c r="D1103" s="35" t="s">
        <v>20</v>
      </c>
      <c r="E1103" s="35" t="s">
        <v>20</v>
      </c>
      <c r="F1103" s="35" t="s">
        <v>20</v>
      </c>
      <c r="G1103" t="b">
        <f t="shared" si="54"/>
        <v>0</v>
      </c>
      <c r="H1103" t="b">
        <f t="shared" si="55"/>
        <v>0</v>
      </c>
      <c r="I1103" s="29">
        <f t="shared" si="53"/>
        <v>40178</v>
      </c>
    </row>
    <row r="1104" spans="1:9" ht="12.75" customHeight="1" x14ac:dyDescent="0.2">
      <c r="A1104" s="28">
        <v>40178</v>
      </c>
      <c r="B1104" s="26" t="s">
        <v>2759</v>
      </c>
      <c r="C1104" s="26" t="s">
        <v>9</v>
      </c>
      <c r="D1104" s="35" t="s">
        <v>20</v>
      </c>
      <c r="E1104" s="35" t="s">
        <v>20</v>
      </c>
      <c r="F1104" s="35" t="s">
        <v>20</v>
      </c>
      <c r="G1104" t="b">
        <f t="shared" si="54"/>
        <v>0</v>
      </c>
      <c r="H1104" t="b">
        <f t="shared" si="55"/>
        <v>0</v>
      </c>
      <c r="I1104" s="29">
        <f t="shared" si="53"/>
        <v>40178</v>
      </c>
    </row>
    <row r="1105" spans="1:9" ht="12.75" customHeight="1" x14ac:dyDescent="0.2">
      <c r="A1105" s="28">
        <v>40178</v>
      </c>
      <c r="B1105" s="26" t="s">
        <v>543</v>
      </c>
      <c r="C1105" s="26" t="s">
        <v>9</v>
      </c>
      <c r="D1105" s="35" t="s">
        <v>20</v>
      </c>
      <c r="E1105" s="35" t="s">
        <v>20</v>
      </c>
      <c r="F1105" s="35" t="s">
        <v>20</v>
      </c>
      <c r="G1105" t="b">
        <f t="shared" si="54"/>
        <v>0</v>
      </c>
      <c r="H1105" t="b">
        <f t="shared" si="55"/>
        <v>0</v>
      </c>
      <c r="I1105" s="29">
        <f t="shared" si="53"/>
        <v>40178</v>
      </c>
    </row>
    <row r="1106" spans="1:9" ht="25.5" x14ac:dyDescent="0.2">
      <c r="A1106" s="28">
        <v>40178</v>
      </c>
      <c r="B1106" s="26" t="s">
        <v>1749</v>
      </c>
      <c r="C1106" s="26" t="s">
        <v>9</v>
      </c>
      <c r="D1106" s="35" t="s">
        <v>20</v>
      </c>
      <c r="E1106" s="35" t="s">
        <v>20</v>
      </c>
      <c r="F1106" s="35" t="s">
        <v>20</v>
      </c>
      <c r="G1106" t="b">
        <f t="shared" si="54"/>
        <v>0</v>
      </c>
      <c r="H1106" t="b">
        <f t="shared" si="55"/>
        <v>0</v>
      </c>
      <c r="I1106" s="29">
        <f t="shared" si="53"/>
        <v>40178</v>
      </c>
    </row>
    <row r="1107" spans="1:9" ht="25.5" x14ac:dyDescent="0.2">
      <c r="A1107" s="28">
        <v>40178</v>
      </c>
      <c r="B1107" s="26" t="s">
        <v>2765</v>
      </c>
      <c r="C1107" s="26" t="s">
        <v>9</v>
      </c>
      <c r="D1107" s="35" t="s">
        <v>20</v>
      </c>
      <c r="E1107" s="35" t="s">
        <v>20</v>
      </c>
      <c r="F1107" s="35" t="s">
        <v>20</v>
      </c>
      <c r="G1107" t="b">
        <f t="shared" si="54"/>
        <v>0</v>
      </c>
      <c r="H1107" t="b">
        <f t="shared" si="55"/>
        <v>0</v>
      </c>
      <c r="I1107" s="29">
        <f t="shared" si="53"/>
        <v>40178</v>
      </c>
    </row>
    <row r="1108" spans="1:9" ht="12.75" customHeight="1" x14ac:dyDescent="0.2">
      <c r="A1108" s="28">
        <v>40178</v>
      </c>
      <c r="B1108" s="26" t="s">
        <v>3075</v>
      </c>
      <c r="C1108" s="26" t="s">
        <v>9</v>
      </c>
      <c r="D1108" s="35" t="s">
        <v>20</v>
      </c>
      <c r="E1108" s="35" t="s">
        <v>20</v>
      </c>
      <c r="F1108" s="35" t="s">
        <v>20</v>
      </c>
      <c r="G1108" t="b">
        <f t="shared" si="54"/>
        <v>0</v>
      </c>
      <c r="H1108" t="b">
        <f t="shared" si="55"/>
        <v>0</v>
      </c>
      <c r="I1108" s="29">
        <f t="shared" si="53"/>
        <v>40178</v>
      </c>
    </row>
    <row r="1109" spans="1:9" ht="12.75" customHeight="1" x14ac:dyDescent="0.2">
      <c r="A1109" s="28">
        <v>40178</v>
      </c>
      <c r="B1109" s="26" t="s">
        <v>1143</v>
      </c>
      <c r="C1109" s="26" t="s">
        <v>9</v>
      </c>
      <c r="D1109" s="35" t="s">
        <v>20</v>
      </c>
      <c r="E1109" s="35" t="s">
        <v>20</v>
      </c>
      <c r="F1109" s="35" t="s">
        <v>20</v>
      </c>
      <c r="G1109" t="b">
        <f t="shared" si="54"/>
        <v>0</v>
      </c>
      <c r="H1109" t="b">
        <f t="shared" si="55"/>
        <v>0</v>
      </c>
      <c r="I1109" s="29">
        <f t="shared" si="53"/>
        <v>40178</v>
      </c>
    </row>
    <row r="1110" spans="1:9" ht="25.5" x14ac:dyDescent="0.2">
      <c r="A1110" s="28">
        <v>40178</v>
      </c>
      <c r="B1110" s="26" t="s">
        <v>79</v>
      </c>
      <c r="C1110" s="26" t="s">
        <v>9</v>
      </c>
      <c r="D1110" s="35" t="s">
        <v>20</v>
      </c>
      <c r="E1110" s="35" t="s">
        <v>20</v>
      </c>
      <c r="F1110" s="35" t="s">
        <v>20</v>
      </c>
      <c r="G1110" t="b">
        <f t="shared" si="54"/>
        <v>0</v>
      </c>
      <c r="H1110" t="b">
        <f t="shared" si="55"/>
        <v>0</v>
      </c>
      <c r="I1110" s="29">
        <f t="shared" si="53"/>
        <v>40178</v>
      </c>
    </row>
    <row r="1111" spans="1:9" ht="12.75" customHeight="1" x14ac:dyDescent="0.2">
      <c r="A1111" s="28">
        <v>40178</v>
      </c>
      <c r="B1111" s="26" t="s">
        <v>1088</v>
      </c>
      <c r="C1111" s="26" t="s">
        <v>9</v>
      </c>
      <c r="D1111" s="35" t="s">
        <v>20</v>
      </c>
      <c r="E1111" s="35" t="s">
        <v>20</v>
      </c>
      <c r="F1111" s="35" t="s">
        <v>20</v>
      </c>
      <c r="G1111" t="b">
        <f t="shared" si="54"/>
        <v>0</v>
      </c>
      <c r="H1111" t="b">
        <f t="shared" si="55"/>
        <v>0</v>
      </c>
      <c r="I1111" s="29">
        <f t="shared" si="53"/>
        <v>40178</v>
      </c>
    </row>
    <row r="1112" spans="1:9" ht="12.75" customHeight="1" x14ac:dyDescent="0.2">
      <c r="A1112" s="28">
        <v>40178</v>
      </c>
      <c r="B1112" s="26" t="s">
        <v>3097</v>
      </c>
      <c r="C1112" s="26" t="s">
        <v>9</v>
      </c>
      <c r="D1112" s="35" t="s">
        <v>20</v>
      </c>
      <c r="E1112" s="35" t="s">
        <v>20</v>
      </c>
      <c r="F1112" s="35" t="s">
        <v>20</v>
      </c>
      <c r="G1112" t="b">
        <f t="shared" si="54"/>
        <v>0</v>
      </c>
      <c r="H1112" t="b">
        <f t="shared" si="55"/>
        <v>0</v>
      </c>
      <c r="I1112" s="29">
        <f t="shared" si="53"/>
        <v>40178</v>
      </c>
    </row>
    <row r="1113" spans="1:9" ht="12.75" customHeight="1" x14ac:dyDescent="0.2">
      <c r="A1113" s="28">
        <v>40178</v>
      </c>
      <c r="B1113" s="26" t="s">
        <v>1894</v>
      </c>
      <c r="C1113" s="26" t="s">
        <v>9</v>
      </c>
      <c r="D1113" s="35" t="s">
        <v>20</v>
      </c>
      <c r="E1113" s="35" t="s">
        <v>20</v>
      </c>
      <c r="F1113" s="35" t="s">
        <v>20</v>
      </c>
      <c r="G1113" t="b">
        <f t="shared" si="54"/>
        <v>0</v>
      </c>
      <c r="H1113" t="b">
        <f t="shared" si="55"/>
        <v>0</v>
      </c>
      <c r="I1113" s="29">
        <f t="shared" si="53"/>
        <v>40178</v>
      </c>
    </row>
    <row r="1114" spans="1:9" ht="38.25" x14ac:dyDescent="0.2">
      <c r="A1114" s="28">
        <v>40178</v>
      </c>
      <c r="B1114" s="26" t="s">
        <v>21</v>
      </c>
      <c r="C1114" s="26" t="s">
        <v>9</v>
      </c>
      <c r="D1114" s="35" t="s">
        <v>20</v>
      </c>
      <c r="E1114" s="35" t="s">
        <v>20</v>
      </c>
      <c r="F1114" s="35" t="s">
        <v>20</v>
      </c>
      <c r="G1114" t="b">
        <f t="shared" si="54"/>
        <v>0</v>
      </c>
      <c r="H1114" t="b">
        <f t="shared" si="55"/>
        <v>0</v>
      </c>
      <c r="I1114" s="29">
        <f t="shared" si="53"/>
        <v>40178</v>
      </c>
    </row>
    <row r="1115" spans="1:9" ht="25.5" x14ac:dyDescent="0.2">
      <c r="A1115" s="28">
        <v>40178</v>
      </c>
      <c r="B1115" s="26" t="s">
        <v>1459</v>
      </c>
      <c r="C1115" s="26" t="s">
        <v>9</v>
      </c>
      <c r="D1115" s="35" t="s">
        <v>20</v>
      </c>
      <c r="E1115" s="35" t="s">
        <v>20</v>
      </c>
      <c r="F1115" s="35">
        <v>3828898</v>
      </c>
      <c r="G1115" t="b">
        <f t="shared" si="54"/>
        <v>0</v>
      </c>
      <c r="H1115" t="b">
        <f t="shared" si="55"/>
        <v>0</v>
      </c>
      <c r="I1115" s="29">
        <f t="shared" si="53"/>
        <v>40178</v>
      </c>
    </row>
    <row r="1116" spans="1:9" ht="12.75" customHeight="1" x14ac:dyDescent="0.2">
      <c r="A1116" s="28">
        <v>40178</v>
      </c>
      <c r="B1116" s="26" t="s">
        <v>1213</v>
      </c>
      <c r="C1116" s="26" t="s">
        <v>9</v>
      </c>
      <c r="D1116" s="35" t="s">
        <v>20</v>
      </c>
      <c r="E1116" s="35" t="s">
        <v>20</v>
      </c>
      <c r="F1116" s="35" t="s">
        <v>20</v>
      </c>
      <c r="G1116" t="b">
        <f t="shared" si="54"/>
        <v>0</v>
      </c>
      <c r="H1116" t="b">
        <f t="shared" si="55"/>
        <v>0</v>
      </c>
      <c r="I1116" s="29">
        <f t="shared" si="53"/>
        <v>40178</v>
      </c>
    </row>
    <row r="1117" spans="1:9" ht="12.75" customHeight="1" x14ac:dyDescent="0.2">
      <c r="A1117" s="28">
        <v>40178</v>
      </c>
      <c r="B1117" s="26" t="s">
        <v>1498</v>
      </c>
      <c r="C1117" s="26" t="s">
        <v>9</v>
      </c>
      <c r="D1117" s="35" t="s">
        <v>20</v>
      </c>
      <c r="E1117" s="35" t="s">
        <v>20</v>
      </c>
      <c r="F1117" s="35" t="s">
        <v>20</v>
      </c>
      <c r="G1117" t="b">
        <f t="shared" si="54"/>
        <v>0</v>
      </c>
      <c r="H1117" t="b">
        <f t="shared" si="55"/>
        <v>0</v>
      </c>
      <c r="I1117" s="29">
        <f t="shared" si="53"/>
        <v>40178</v>
      </c>
    </row>
    <row r="1118" spans="1:9" ht="12.75" customHeight="1" x14ac:dyDescent="0.2">
      <c r="A1118" s="28">
        <v>40178</v>
      </c>
      <c r="B1118" s="26" t="s">
        <v>2364</v>
      </c>
      <c r="C1118" s="26" t="s">
        <v>9</v>
      </c>
      <c r="D1118" s="35" t="s">
        <v>20</v>
      </c>
      <c r="E1118" s="35" t="s">
        <v>20</v>
      </c>
      <c r="F1118" s="35" t="s">
        <v>20</v>
      </c>
      <c r="G1118" t="b">
        <f t="shared" si="54"/>
        <v>0</v>
      </c>
      <c r="H1118" t="b">
        <f t="shared" si="55"/>
        <v>0</v>
      </c>
      <c r="I1118" s="29">
        <f t="shared" si="53"/>
        <v>40178</v>
      </c>
    </row>
    <row r="1119" spans="1:9" ht="12.75" customHeight="1" x14ac:dyDescent="0.2">
      <c r="A1119" s="28">
        <v>40178</v>
      </c>
      <c r="B1119" s="26" t="s">
        <v>1656</v>
      </c>
      <c r="C1119" s="26" t="s">
        <v>9</v>
      </c>
      <c r="D1119" s="35" t="s">
        <v>20</v>
      </c>
      <c r="E1119" s="35" t="s">
        <v>20</v>
      </c>
      <c r="F1119" s="35" t="s">
        <v>20</v>
      </c>
      <c r="G1119" t="b">
        <f t="shared" si="54"/>
        <v>0</v>
      </c>
      <c r="H1119" t="b">
        <f t="shared" si="55"/>
        <v>0</v>
      </c>
      <c r="I1119" s="29">
        <f t="shared" si="53"/>
        <v>40178</v>
      </c>
    </row>
    <row r="1120" spans="1:9" ht="25.5" x14ac:dyDescent="0.2">
      <c r="A1120" s="28">
        <v>40178</v>
      </c>
      <c r="B1120" s="26" t="s">
        <v>127</v>
      </c>
      <c r="C1120" s="26" t="s">
        <v>9</v>
      </c>
      <c r="D1120" s="35" t="s">
        <v>20</v>
      </c>
      <c r="E1120" s="35" t="s">
        <v>20</v>
      </c>
      <c r="F1120" s="35" t="s">
        <v>20</v>
      </c>
      <c r="G1120" t="b">
        <f t="shared" si="54"/>
        <v>0</v>
      </c>
      <c r="H1120" t="b">
        <f t="shared" si="55"/>
        <v>0</v>
      </c>
      <c r="I1120" s="29">
        <f t="shared" si="53"/>
        <v>40178</v>
      </c>
    </row>
    <row r="1121" spans="1:9" ht="12.75" customHeight="1" x14ac:dyDescent="0.2">
      <c r="A1121" s="28">
        <v>40178</v>
      </c>
      <c r="B1121" s="26" t="s">
        <v>1499</v>
      </c>
      <c r="C1121" s="26" t="s">
        <v>9</v>
      </c>
      <c r="D1121" s="35" t="s">
        <v>20</v>
      </c>
      <c r="E1121" s="35" t="s">
        <v>20</v>
      </c>
      <c r="F1121" s="35" t="s">
        <v>20</v>
      </c>
      <c r="G1121" t="b">
        <f t="shared" si="54"/>
        <v>0</v>
      </c>
      <c r="H1121" t="b">
        <f t="shared" si="55"/>
        <v>0</v>
      </c>
      <c r="I1121" s="29">
        <f t="shared" si="53"/>
        <v>40178</v>
      </c>
    </row>
    <row r="1122" spans="1:9" ht="25.5" x14ac:dyDescent="0.2">
      <c r="A1122" s="28">
        <v>40178</v>
      </c>
      <c r="B1122" s="26" t="s">
        <v>93</v>
      </c>
      <c r="C1122" s="26" t="s">
        <v>9</v>
      </c>
      <c r="D1122" s="35" t="s">
        <v>20</v>
      </c>
      <c r="E1122" s="35" t="s">
        <v>20</v>
      </c>
      <c r="F1122" s="35" t="s">
        <v>20</v>
      </c>
      <c r="G1122" t="b">
        <f t="shared" si="54"/>
        <v>0</v>
      </c>
      <c r="H1122" t="b">
        <f t="shared" si="55"/>
        <v>0</v>
      </c>
      <c r="I1122" s="29">
        <f t="shared" si="53"/>
        <v>40178</v>
      </c>
    </row>
    <row r="1123" spans="1:9" ht="12.75" customHeight="1" x14ac:dyDescent="0.2">
      <c r="A1123" s="28">
        <v>40178</v>
      </c>
      <c r="B1123" s="26" t="s">
        <v>302</v>
      </c>
      <c r="C1123" s="26" t="s">
        <v>9</v>
      </c>
      <c r="D1123" s="35" t="s">
        <v>20</v>
      </c>
      <c r="E1123" s="35" t="s">
        <v>20</v>
      </c>
      <c r="F1123" s="35" t="s">
        <v>20</v>
      </c>
      <c r="G1123" t="b">
        <f t="shared" si="54"/>
        <v>0</v>
      </c>
      <c r="H1123" t="b">
        <f t="shared" si="55"/>
        <v>0</v>
      </c>
      <c r="I1123" s="29">
        <f t="shared" si="53"/>
        <v>40178</v>
      </c>
    </row>
    <row r="1124" spans="1:9" ht="12.75" customHeight="1" x14ac:dyDescent="0.2">
      <c r="A1124" s="28">
        <v>40178</v>
      </c>
      <c r="B1124" s="26" t="s">
        <v>3168</v>
      </c>
      <c r="C1124" s="26" t="s">
        <v>9</v>
      </c>
      <c r="D1124" s="35" t="s">
        <v>20</v>
      </c>
      <c r="E1124" s="35" t="s">
        <v>20</v>
      </c>
      <c r="F1124" s="35" t="s">
        <v>20</v>
      </c>
      <c r="G1124" t="b">
        <f t="shared" si="54"/>
        <v>0</v>
      </c>
      <c r="H1124" t="b">
        <f t="shared" si="55"/>
        <v>0</v>
      </c>
      <c r="I1124" s="29">
        <f t="shared" si="53"/>
        <v>40178</v>
      </c>
    </row>
    <row r="1125" spans="1:9" ht="12.75" customHeight="1" x14ac:dyDescent="0.2">
      <c r="A1125" s="28">
        <v>40178</v>
      </c>
      <c r="B1125" s="26" t="s">
        <v>1665</v>
      </c>
      <c r="C1125" s="26" t="s">
        <v>9</v>
      </c>
      <c r="D1125" s="35" t="s">
        <v>20</v>
      </c>
      <c r="E1125" s="35" t="s">
        <v>20</v>
      </c>
      <c r="F1125" s="35" t="s">
        <v>20</v>
      </c>
      <c r="G1125" t="b">
        <f t="shared" si="54"/>
        <v>0</v>
      </c>
      <c r="H1125" t="b">
        <f t="shared" si="55"/>
        <v>0</v>
      </c>
      <c r="I1125" s="29">
        <f t="shared" si="53"/>
        <v>40178</v>
      </c>
    </row>
    <row r="1126" spans="1:9" ht="12.75" customHeight="1" x14ac:dyDescent="0.2">
      <c r="A1126" s="28">
        <v>40178</v>
      </c>
      <c r="B1126" s="26" t="s">
        <v>774</v>
      </c>
      <c r="C1126" s="26" t="s">
        <v>9</v>
      </c>
      <c r="D1126" s="35" t="s">
        <v>20</v>
      </c>
      <c r="E1126" s="35" t="s">
        <v>20</v>
      </c>
      <c r="F1126" s="35" t="s">
        <v>20</v>
      </c>
      <c r="G1126" t="b">
        <f t="shared" si="54"/>
        <v>0</v>
      </c>
      <c r="H1126" t="b">
        <f t="shared" si="55"/>
        <v>0</v>
      </c>
      <c r="I1126" s="29">
        <f t="shared" si="53"/>
        <v>40178</v>
      </c>
    </row>
    <row r="1127" spans="1:9" ht="12.75" customHeight="1" x14ac:dyDescent="0.2">
      <c r="A1127" s="28">
        <v>40178</v>
      </c>
      <c r="B1127" s="26" t="s">
        <v>2667</v>
      </c>
      <c r="C1127" s="26" t="s">
        <v>9</v>
      </c>
      <c r="D1127" s="35" t="s">
        <v>20</v>
      </c>
      <c r="E1127" s="35" t="s">
        <v>20</v>
      </c>
      <c r="F1127" s="35" t="s">
        <v>20</v>
      </c>
      <c r="G1127" t="b">
        <f t="shared" si="54"/>
        <v>0</v>
      </c>
      <c r="H1127" t="b">
        <f t="shared" si="55"/>
        <v>0</v>
      </c>
      <c r="I1127" s="29">
        <f t="shared" si="53"/>
        <v>40178</v>
      </c>
    </row>
    <row r="1128" spans="1:9" ht="25.5" x14ac:dyDescent="0.2">
      <c r="A1128" s="28">
        <v>40178</v>
      </c>
      <c r="B1128" s="26" t="s">
        <v>3022</v>
      </c>
      <c r="C1128" s="26" t="s">
        <v>9</v>
      </c>
      <c r="D1128" s="35" t="s">
        <v>20</v>
      </c>
      <c r="E1128" s="35" t="s">
        <v>20</v>
      </c>
      <c r="F1128" s="35" t="s">
        <v>20</v>
      </c>
      <c r="G1128" t="b">
        <f t="shared" si="54"/>
        <v>0</v>
      </c>
      <c r="H1128" t="b">
        <f t="shared" si="55"/>
        <v>0</v>
      </c>
      <c r="I1128" s="29">
        <f t="shared" si="53"/>
        <v>40178</v>
      </c>
    </row>
    <row r="1129" spans="1:9" ht="38.25" x14ac:dyDescent="0.2">
      <c r="A1129" s="28">
        <v>40178</v>
      </c>
      <c r="B1129" s="26" t="s">
        <v>780</v>
      </c>
      <c r="C1129" s="26" t="s">
        <v>9</v>
      </c>
      <c r="D1129" s="35" t="s">
        <v>20</v>
      </c>
      <c r="E1129" s="35" t="s">
        <v>20</v>
      </c>
      <c r="F1129" s="35">
        <v>2281905</v>
      </c>
      <c r="G1129" t="b">
        <f t="shared" si="54"/>
        <v>0</v>
      </c>
      <c r="H1129" t="b">
        <f t="shared" si="55"/>
        <v>0</v>
      </c>
      <c r="I1129" s="29">
        <f t="shared" si="53"/>
        <v>40178</v>
      </c>
    </row>
    <row r="1130" spans="1:9" ht="25.5" x14ac:dyDescent="0.2">
      <c r="A1130" s="28">
        <v>40178</v>
      </c>
      <c r="B1130" s="26" t="s">
        <v>1494</v>
      </c>
      <c r="C1130" s="26" t="s">
        <v>9</v>
      </c>
      <c r="D1130" s="35" t="s">
        <v>20</v>
      </c>
      <c r="E1130" s="35" t="s">
        <v>20</v>
      </c>
      <c r="F1130" s="35" t="s">
        <v>20</v>
      </c>
      <c r="G1130" t="b">
        <f t="shared" si="54"/>
        <v>0</v>
      </c>
      <c r="H1130" t="b">
        <f t="shared" si="55"/>
        <v>0</v>
      </c>
      <c r="I1130" s="29">
        <f t="shared" si="53"/>
        <v>40178</v>
      </c>
    </row>
    <row r="1131" spans="1:9" ht="12.75" customHeight="1" x14ac:dyDescent="0.2">
      <c r="A1131" s="28">
        <v>40178</v>
      </c>
      <c r="B1131" s="26" t="s">
        <v>2488</v>
      </c>
      <c r="C1131" s="26" t="s">
        <v>9</v>
      </c>
      <c r="D1131" s="35" t="s">
        <v>20</v>
      </c>
      <c r="E1131" s="35" t="s">
        <v>20</v>
      </c>
      <c r="F1131" s="35" t="s">
        <v>20</v>
      </c>
      <c r="G1131" t="b">
        <f t="shared" si="54"/>
        <v>0</v>
      </c>
      <c r="H1131" t="b">
        <f t="shared" si="55"/>
        <v>0</v>
      </c>
      <c r="I1131" s="29">
        <f t="shared" si="53"/>
        <v>40178</v>
      </c>
    </row>
    <row r="1132" spans="1:9" ht="12.75" customHeight="1" x14ac:dyDescent="0.2">
      <c r="A1132" s="28">
        <v>40178</v>
      </c>
      <c r="B1132" s="26" t="s">
        <v>1942</v>
      </c>
      <c r="C1132" s="26" t="s">
        <v>9</v>
      </c>
      <c r="D1132" s="35" t="s">
        <v>20</v>
      </c>
      <c r="E1132" s="35" t="s">
        <v>20</v>
      </c>
      <c r="F1132" s="35" t="s">
        <v>20</v>
      </c>
      <c r="G1132" t="b">
        <f t="shared" si="54"/>
        <v>0</v>
      </c>
      <c r="H1132" t="b">
        <f t="shared" si="55"/>
        <v>0</v>
      </c>
      <c r="I1132" s="29">
        <f t="shared" si="53"/>
        <v>40178</v>
      </c>
    </row>
    <row r="1133" spans="1:9" ht="12.75" customHeight="1" x14ac:dyDescent="0.2">
      <c r="A1133" s="28">
        <v>40178</v>
      </c>
      <c r="B1133" s="26" t="s">
        <v>544</v>
      </c>
      <c r="C1133" s="26" t="s">
        <v>9</v>
      </c>
      <c r="D1133" s="35" t="s">
        <v>20</v>
      </c>
      <c r="E1133" s="35" t="s">
        <v>20</v>
      </c>
      <c r="F1133" s="35" t="s">
        <v>20</v>
      </c>
      <c r="G1133" t="b">
        <f t="shared" si="54"/>
        <v>0</v>
      </c>
      <c r="H1133" t="b">
        <f t="shared" si="55"/>
        <v>0</v>
      </c>
      <c r="I1133" s="29">
        <f t="shared" ref="I1133:I1147" si="56">DATE(2009,MONTH(A1133), DAY(A1133))</f>
        <v>40178</v>
      </c>
    </row>
    <row r="1134" spans="1:9" ht="25.5" x14ac:dyDescent="0.2">
      <c r="A1134" s="28">
        <v>40178</v>
      </c>
      <c r="B1134" s="26" t="s">
        <v>3417</v>
      </c>
      <c r="C1134" s="26" t="s">
        <v>9</v>
      </c>
      <c r="D1134" s="35" t="s">
        <v>20</v>
      </c>
      <c r="E1134" s="35" t="s">
        <v>20</v>
      </c>
      <c r="F1134" s="35" t="s">
        <v>20</v>
      </c>
      <c r="G1134" t="b">
        <f t="shared" si="54"/>
        <v>0</v>
      </c>
      <c r="H1134" t="b">
        <f t="shared" si="55"/>
        <v>0</v>
      </c>
      <c r="I1134" s="29">
        <f t="shared" si="56"/>
        <v>40178</v>
      </c>
    </row>
    <row r="1135" spans="1:9" ht="25.5" x14ac:dyDescent="0.2">
      <c r="A1135" s="28">
        <v>40178</v>
      </c>
      <c r="B1135" s="26" t="s">
        <v>2085</v>
      </c>
      <c r="C1135" s="26" t="s">
        <v>9</v>
      </c>
      <c r="D1135" s="35" t="s">
        <v>20</v>
      </c>
      <c r="E1135" s="35" t="s">
        <v>20</v>
      </c>
      <c r="F1135" s="35" t="s">
        <v>20</v>
      </c>
      <c r="G1135" t="b">
        <f t="shared" si="54"/>
        <v>0</v>
      </c>
      <c r="H1135" t="b">
        <f t="shared" si="55"/>
        <v>0</v>
      </c>
      <c r="I1135" s="29">
        <f t="shared" si="56"/>
        <v>40178</v>
      </c>
    </row>
    <row r="1136" spans="1:9" ht="12.75" customHeight="1" x14ac:dyDescent="0.2">
      <c r="A1136" s="28">
        <v>40178</v>
      </c>
      <c r="B1136" s="26" t="s">
        <v>3457</v>
      </c>
      <c r="C1136" s="26" t="s">
        <v>9</v>
      </c>
      <c r="D1136" s="35" t="s">
        <v>20</v>
      </c>
      <c r="E1136" s="35" t="s">
        <v>20</v>
      </c>
      <c r="F1136" s="35" t="s">
        <v>20</v>
      </c>
      <c r="G1136" t="b">
        <f t="shared" si="54"/>
        <v>0</v>
      </c>
      <c r="H1136" t="b">
        <f t="shared" si="55"/>
        <v>0</v>
      </c>
      <c r="I1136" s="29">
        <f t="shared" si="56"/>
        <v>40178</v>
      </c>
    </row>
    <row r="1137" spans="1:9" ht="25.5" x14ac:dyDescent="0.2">
      <c r="A1137" s="28">
        <v>40178</v>
      </c>
      <c r="B1137" s="26" t="s">
        <v>2804</v>
      </c>
      <c r="C1137" s="26" t="s">
        <v>9</v>
      </c>
      <c r="D1137" s="35" t="s">
        <v>20</v>
      </c>
      <c r="E1137" s="35" t="s">
        <v>20</v>
      </c>
      <c r="F1137" s="35" t="s">
        <v>20</v>
      </c>
      <c r="G1137" t="b">
        <f t="shared" si="54"/>
        <v>0</v>
      </c>
      <c r="H1137" t="b">
        <f t="shared" si="55"/>
        <v>0</v>
      </c>
      <c r="I1137" s="29">
        <f t="shared" si="56"/>
        <v>40178</v>
      </c>
    </row>
    <row r="1138" spans="1:9" ht="12.75" customHeight="1" x14ac:dyDescent="0.2">
      <c r="A1138" s="28">
        <v>40178</v>
      </c>
      <c r="B1138" s="26" t="s">
        <v>2105</v>
      </c>
      <c r="C1138" s="26" t="s">
        <v>9</v>
      </c>
      <c r="D1138" s="35" t="s">
        <v>20</v>
      </c>
      <c r="E1138" s="35" t="s">
        <v>20</v>
      </c>
      <c r="F1138" s="35" t="s">
        <v>20</v>
      </c>
      <c r="G1138" t="b">
        <f t="shared" si="54"/>
        <v>0</v>
      </c>
      <c r="H1138" t="b">
        <f t="shared" si="55"/>
        <v>0</v>
      </c>
      <c r="I1138" s="29">
        <f t="shared" si="56"/>
        <v>40178</v>
      </c>
    </row>
    <row r="1139" spans="1:9" ht="12.75" customHeight="1" x14ac:dyDescent="0.2">
      <c r="A1139" s="28">
        <v>40178</v>
      </c>
      <c r="B1139" s="26" t="s">
        <v>2872</v>
      </c>
      <c r="C1139" s="26" t="s">
        <v>9</v>
      </c>
      <c r="D1139" s="35" t="s">
        <v>20</v>
      </c>
      <c r="E1139" s="35" t="s">
        <v>20</v>
      </c>
      <c r="F1139" s="35" t="s">
        <v>20</v>
      </c>
      <c r="G1139" t="b">
        <f t="shared" si="54"/>
        <v>0</v>
      </c>
      <c r="H1139" t="b">
        <f t="shared" si="55"/>
        <v>0</v>
      </c>
      <c r="I1139" s="29">
        <f t="shared" si="56"/>
        <v>40178</v>
      </c>
    </row>
    <row r="1140" spans="1:9" ht="25.5" x14ac:dyDescent="0.2">
      <c r="A1140" s="28">
        <v>40178</v>
      </c>
      <c r="B1140" s="26" t="s">
        <v>229</v>
      </c>
      <c r="C1140" s="26" t="s">
        <v>9</v>
      </c>
      <c r="D1140" s="35" t="s">
        <v>20</v>
      </c>
      <c r="E1140" s="35" t="s">
        <v>20</v>
      </c>
      <c r="F1140" s="35" t="s">
        <v>20</v>
      </c>
      <c r="G1140" t="b">
        <f t="shared" ref="G1140:G1147" si="57">ISBLANK(A1140)</f>
        <v>0</v>
      </c>
      <c r="H1140" t="b">
        <f t="shared" ref="H1140:H1147" si="58">ISTEXT(A1140)</f>
        <v>0</v>
      </c>
      <c r="I1140" s="29">
        <f t="shared" si="56"/>
        <v>40178</v>
      </c>
    </row>
    <row r="1141" spans="1:9" ht="12.75" customHeight="1" x14ac:dyDescent="0.2">
      <c r="A1141" s="28">
        <v>40178</v>
      </c>
      <c r="B1141" s="26" t="s">
        <v>4</v>
      </c>
      <c r="C1141" s="26" t="s">
        <v>9</v>
      </c>
      <c r="D1141" s="35" t="s">
        <v>20</v>
      </c>
      <c r="E1141" s="35" t="s">
        <v>20</v>
      </c>
      <c r="F1141" s="35" t="s">
        <v>20</v>
      </c>
      <c r="G1141" t="b">
        <f t="shared" si="57"/>
        <v>0</v>
      </c>
      <c r="H1141" t="b">
        <f t="shared" si="58"/>
        <v>0</v>
      </c>
      <c r="I1141" s="29">
        <f t="shared" si="56"/>
        <v>40178</v>
      </c>
    </row>
    <row r="1142" spans="1:9" ht="12.75" customHeight="1" x14ac:dyDescent="0.2">
      <c r="A1142" s="28">
        <v>40178</v>
      </c>
      <c r="B1142" s="26" t="s">
        <v>1320</v>
      </c>
      <c r="C1142" s="26" t="s">
        <v>9</v>
      </c>
      <c r="D1142" s="35" t="s">
        <v>20</v>
      </c>
      <c r="E1142" s="35" t="s">
        <v>20</v>
      </c>
      <c r="F1142" s="35" t="s">
        <v>20</v>
      </c>
      <c r="G1142" t="b">
        <f t="shared" si="57"/>
        <v>0</v>
      </c>
      <c r="H1142" t="b">
        <f t="shared" si="58"/>
        <v>0</v>
      </c>
      <c r="I1142" s="29">
        <f t="shared" si="56"/>
        <v>40178</v>
      </c>
    </row>
    <row r="1143" spans="1:9" ht="12.75" customHeight="1" x14ac:dyDescent="0.2">
      <c r="A1143" s="28">
        <v>40178</v>
      </c>
      <c r="B1143" s="26" t="s">
        <v>2046</v>
      </c>
      <c r="C1143" s="26" t="s">
        <v>9</v>
      </c>
      <c r="D1143" s="35" t="s">
        <v>20</v>
      </c>
      <c r="E1143" s="35" t="s">
        <v>20</v>
      </c>
      <c r="F1143" s="35" t="s">
        <v>20</v>
      </c>
      <c r="G1143" t="b">
        <f t="shared" si="57"/>
        <v>0</v>
      </c>
      <c r="H1143" t="b">
        <f t="shared" si="58"/>
        <v>0</v>
      </c>
      <c r="I1143" s="29">
        <f t="shared" si="56"/>
        <v>40178</v>
      </c>
    </row>
    <row r="1144" spans="1:9" ht="12.75" customHeight="1" x14ac:dyDescent="0.2">
      <c r="A1144" s="28">
        <v>40178</v>
      </c>
      <c r="B1144" s="26" t="s">
        <v>644</v>
      </c>
      <c r="C1144" s="26" t="s">
        <v>9</v>
      </c>
      <c r="D1144" s="35" t="s">
        <v>20</v>
      </c>
      <c r="E1144" s="35" t="s">
        <v>20</v>
      </c>
      <c r="F1144" s="35" t="s">
        <v>20</v>
      </c>
      <c r="G1144" t="b">
        <f t="shared" si="57"/>
        <v>0</v>
      </c>
      <c r="H1144" t="b">
        <f t="shared" si="58"/>
        <v>0</v>
      </c>
      <c r="I1144" s="29">
        <f t="shared" si="56"/>
        <v>40178</v>
      </c>
    </row>
    <row r="1145" spans="1:9" ht="12.75" customHeight="1" x14ac:dyDescent="0.2">
      <c r="A1145" s="28">
        <v>40178</v>
      </c>
      <c r="B1145" s="26" t="s">
        <v>1886</v>
      </c>
      <c r="C1145" s="26" t="s">
        <v>9</v>
      </c>
      <c r="D1145" s="35" t="s">
        <v>20</v>
      </c>
      <c r="E1145" s="35" t="s">
        <v>20</v>
      </c>
      <c r="F1145" s="35" t="s">
        <v>20</v>
      </c>
      <c r="G1145" t="b">
        <f t="shared" si="57"/>
        <v>0</v>
      </c>
      <c r="H1145" t="b">
        <f t="shared" si="58"/>
        <v>0</v>
      </c>
      <c r="I1145" s="29">
        <f t="shared" si="56"/>
        <v>40178</v>
      </c>
    </row>
    <row r="1146" spans="1:9" ht="25.5" x14ac:dyDescent="0.2">
      <c r="A1146" s="28">
        <v>40178</v>
      </c>
      <c r="B1146" s="26" t="s">
        <v>526</v>
      </c>
      <c r="C1146" s="26" t="s">
        <v>9</v>
      </c>
      <c r="D1146" s="35" t="s">
        <v>20</v>
      </c>
      <c r="E1146" s="35" t="s">
        <v>20</v>
      </c>
      <c r="F1146" s="35" t="s">
        <v>20</v>
      </c>
      <c r="G1146" t="b">
        <f t="shared" si="57"/>
        <v>0</v>
      </c>
      <c r="H1146" t="b">
        <f t="shared" si="58"/>
        <v>0</v>
      </c>
      <c r="I1146" s="29">
        <f t="shared" si="56"/>
        <v>40178</v>
      </c>
    </row>
    <row r="1147" spans="1:9" ht="25.5" x14ac:dyDescent="0.2">
      <c r="A1147" s="28">
        <v>40178</v>
      </c>
      <c r="B1147" s="26" t="s">
        <v>611</v>
      </c>
      <c r="C1147" s="26" t="s">
        <v>9</v>
      </c>
      <c r="D1147" s="35" t="s">
        <v>20</v>
      </c>
      <c r="E1147" s="35" t="s">
        <v>20</v>
      </c>
      <c r="F1147" s="35" t="s">
        <v>20</v>
      </c>
      <c r="G1147" t="b">
        <f t="shared" si="57"/>
        <v>0</v>
      </c>
      <c r="H1147" t="b">
        <f t="shared" si="58"/>
        <v>0</v>
      </c>
      <c r="I1147" s="29">
        <f t="shared" si="56"/>
        <v>40178</v>
      </c>
    </row>
  </sheetData>
  <autoFilter ref="A1:I1147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49"/>
  <sheetViews>
    <sheetView zoomScale="130" zoomScaleNormal="130" workbookViewId="0">
      <pane xSplit="1" ySplit="1" topLeftCell="B2" activePane="bottomRight" state="frozenSplit"/>
      <selection pane="topRight" activeCell="C1" sqref="C1"/>
      <selection pane="bottomLeft" activeCell="A6" sqref="A6"/>
      <selection pane="bottomRight" activeCell="G557" sqref="G557:J557"/>
    </sheetView>
  </sheetViews>
  <sheetFormatPr defaultColWidth="17.140625" defaultRowHeight="12.75" customHeight="1" x14ac:dyDescent="0.2"/>
  <cols>
    <col min="1" max="3" width="17.140625" customWidth="1"/>
    <col min="4" max="6" width="17.140625" style="36" customWidth="1"/>
    <col min="7" max="19" width="17.140625" customWidth="1"/>
  </cols>
  <sheetData>
    <row r="1" spans="1:9" ht="12.75" customHeight="1" x14ac:dyDescent="0.25">
      <c r="A1" s="30" t="s">
        <v>3490</v>
      </c>
      <c r="B1" s="30" t="s">
        <v>2968</v>
      </c>
      <c r="C1" s="30" t="s">
        <v>2266</v>
      </c>
      <c r="D1" s="34" t="s">
        <v>1858</v>
      </c>
      <c r="E1" s="34" t="s">
        <v>606</v>
      </c>
      <c r="F1" s="34" t="s">
        <v>1728</v>
      </c>
      <c r="G1" s="31" t="s">
        <v>3488</v>
      </c>
      <c r="H1" s="31" t="s">
        <v>3489</v>
      </c>
      <c r="I1" s="31" t="s">
        <v>3490</v>
      </c>
    </row>
    <row r="2" spans="1:9" ht="25.5" hidden="1" x14ac:dyDescent="0.2">
      <c r="A2" s="28">
        <v>39449</v>
      </c>
      <c r="B2" s="26" t="s">
        <v>2359</v>
      </c>
      <c r="C2" s="26" t="s">
        <v>1393</v>
      </c>
      <c r="D2" s="35" t="s">
        <v>20</v>
      </c>
      <c r="E2" s="35">
        <v>6975</v>
      </c>
      <c r="F2" s="35" t="s">
        <v>20</v>
      </c>
      <c r="G2" t="b">
        <f>ISBLANK(A2)</f>
        <v>0</v>
      </c>
      <c r="H2" t="b">
        <f>ISTEXT(A2)</f>
        <v>0</v>
      </c>
      <c r="I2" s="29">
        <f>DATE(2008,MONTH(A2), DAY(A2))</f>
        <v>39449</v>
      </c>
    </row>
    <row r="3" spans="1:9" ht="12.75" hidden="1" customHeight="1" x14ac:dyDescent="0.2">
      <c r="A3" s="28">
        <v>39450</v>
      </c>
      <c r="B3" s="26" t="s">
        <v>3004</v>
      </c>
      <c r="C3" s="26" t="s">
        <v>9</v>
      </c>
      <c r="D3" s="35" t="s">
        <v>20</v>
      </c>
      <c r="E3" s="35" t="s">
        <v>20</v>
      </c>
      <c r="F3" s="35">
        <v>2277281</v>
      </c>
      <c r="G3" t="b">
        <f t="shared" ref="G3:G10" si="0">ISBLANK(A3)</f>
        <v>0</v>
      </c>
      <c r="H3" t="b">
        <f t="shared" ref="H3:H10" si="1">ISTEXT(A3)</f>
        <v>0</v>
      </c>
      <c r="I3" s="29">
        <f t="shared" ref="I3:I66" si="2">DATE(2008,MONTH(A3), DAY(A3))</f>
        <v>39450</v>
      </c>
    </row>
    <row r="4" spans="1:9" ht="12.75" hidden="1" customHeight="1" x14ac:dyDescent="0.2">
      <c r="A4" s="28">
        <v>39450</v>
      </c>
      <c r="B4" s="26" t="s">
        <v>2268</v>
      </c>
      <c r="C4" s="26" t="s">
        <v>9</v>
      </c>
      <c r="D4" s="35" t="s">
        <v>20</v>
      </c>
      <c r="E4" s="35" t="s">
        <v>20</v>
      </c>
      <c r="F4" s="35">
        <v>1136947</v>
      </c>
      <c r="G4" t="b">
        <f t="shared" si="0"/>
        <v>0</v>
      </c>
      <c r="H4" t="b">
        <f t="shared" si="1"/>
        <v>0</v>
      </c>
      <c r="I4" s="29">
        <f t="shared" si="2"/>
        <v>39450</v>
      </c>
    </row>
    <row r="5" spans="1:9" ht="12.75" hidden="1" customHeight="1" x14ac:dyDescent="0.2">
      <c r="A5" s="28">
        <v>39450</v>
      </c>
      <c r="B5" s="26" t="s">
        <v>3357</v>
      </c>
      <c r="C5" s="26" t="s">
        <v>9</v>
      </c>
      <c r="D5" s="35" t="s">
        <v>20</v>
      </c>
      <c r="E5" s="35" t="s">
        <v>20</v>
      </c>
      <c r="F5" s="35">
        <v>1458209</v>
      </c>
      <c r="G5" t="b">
        <f t="shared" si="0"/>
        <v>0</v>
      </c>
      <c r="H5" t="b">
        <f t="shared" si="1"/>
        <v>0</v>
      </c>
      <c r="I5" s="29">
        <f t="shared" si="2"/>
        <v>39450</v>
      </c>
    </row>
    <row r="6" spans="1:9" ht="12.75" hidden="1" customHeight="1" x14ac:dyDescent="0.2">
      <c r="A6" s="28">
        <v>39451</v>
      </c>
      <c r="B6" s="26" t="s">
        <v>1611</v>
      </c>
      <c r="C6" s="26" t="s">
        <v>3209</v>
      </c>
      <c r="D6" s="35" t="s">
        <v>20</v>
      </c>
      <c r="E6" s="35">
        <v>26890041</v>
      </c>
      <c r="F6" s="35">
        <v>44513466</v>
      </c>
      <c r="G6" t="b">
        <f t="shared" si="0"/>
        <v>0</v>
      </c>
      <c r="H6" t="b">
        <f t="shared" si="1"/>
        <v>0</v>
      </c>
      <c r="I6" s="29">
        <f t="shared" si="2"/>
        <v>39451</v>
      </c>
    </row>
    <row r="7" spans="1:9" ht="25.5" hidden="1" x14ac:dyDescent="0.2">
      <c r="A7" s="28">
        <v>39451</v>
      </c>
      <c r="B7" s="26" t="s">
        <v>2417</v>
      </c>
      <c r="C7" s="26" t="s">
        <v>9</v>
      </c>
      <c r="D7" s="35" t="s">
        <v>20</v>
      </c>
      <c r="E7" s="35" t="s">
        <v>20</v>
      </c>
      <c r="F7" s="35">
        <v>2937005</v>
      </c>
      <c r="G7" t="b">
        <f t="shared" si="0"/>
        <v>0</v>
      </c>
      <c r="H7" t="b">
        <f t="shared" si="1"/>
        <v>0</v>
      </c>
      <c r="I7" s="29">
        <f t="shared" si="2"/>
        <v>39451</v>
      </c>
    </row>
    <row r="8" spans="1:9" ht="12.75" hidden="1" customHeight="1" x14ac:dyDescent="0.2">
      <c r="A8" s="28">
        <v>39451</v>
      </c>
      <c r="B8" s="26" t="s">
        <v>216</v>
      </c>
      <c r="C8" s="26" t="s">
        <v>571</v>
      </c>
      <c r="D8" s="35" t="s">
        <v>20</v>
      </c>
      <c r="E8" s="35">
        <v>44999</v>
      </c>
      <c r="F8" s="35" t="s">
        <v>20</v>
      </c>
      <c r="G8" t="b">
        <f t="shared" si="0"/>
        <v>0</v>
      </c>
      <c r="H8" t="b">
        <f t="shared" si="1"/>
        <v>0</v>
      </c>
      <c r="I8" s="29">
        <f t="shared" si="2"/>
        <v>39451</v>
      </c>
    </row>
    <row r="9" spans="1:9" ht="12.75" hidden="1" customHeight="1" x14ac:dyDescent="0.2">
      <c r="A9" s="28">
        <v>39455</v>
      </c>
      <c r="B9" s="26" t="s">
        <v>2497</v>
      </c>
      <c r="C9" s="26" t="s">
        <v>9</v>
      </c>
      <c r="D9" s="35" t="s">
        <v>20</v>
      </c>
      <c r="E9" s="35" t="s">
        <v>20</v>
      </c>
      <c r="F9" s="35" t="s">
        <v>20</v>
      </c>
      <c r="G9" t="b">
        <f t="shared" si="0"/>
        <v>0</v>
      </c>
      <c r="H9" t="b">
        <f t="shared" si="1"/>
        <v>0</v>
      </c>
      <c r="I9" s="29">
        <f t="shared" si="2"/>
        <v>39455</v>
      </c>
    </row>
    <row r="10" spans="1:9" ht="25.5" hidden="1" x14ac:dyDescent="0.2">
      <c r="A10" s="28">
        <v>39456</v>
      </c>
      <c r="B10" s="26" t="s">
        <v>3155</v>
      </c>
      <c r="C10" s="26" t="s">
        <v>2009</v>
      </c>
      <c r="D10" s="35" t="s">
        <v>20</v>
      </c>
      <c r="E10" s="35">
        <v>69348</v>
      </c>
      <c r="F10" s="35" t="s">
        <v>20</v>
      </c>
      <c r="G10" t="b">
        <f t="shared" si="0"/>
        <v>0</v>
      </c>
      <c r="H10" t="b">
        <f t="shared" si="1"/>
        <v>0</v>
      </c>
      <c r="I10" s="29">
        <f t="shared" si="2"/>
        <v>39456</v>
      </c>
    </row>
    <row r="11" spans="1:9" ht="12.75" hidden="1" customHeight="1" x14ac:dyDescent="0.2">
      <c r="A11" s="28">
        <v>39456</v>
      </c>
      <c r="B11" s="26" t="s">
        <v>2655</v>
      </c>
      <c r="C11" s="26" t="s">
        <v>400</v>
      </c>
      <c r="D11" s="35" t="s">
        <v>20</v>
      </c>
      <c r="E11" s="35">
        <v>21957</v>
      </c>
      <c r="F11" s="35" t="s">
        <v>20</v>
      </c>
      <c r="G11" t="b">
        <f t="shared" ref="G11:G74" si="3">ISBLANK(A11)</f>
        <v>0</v>
      </c>
      <c r="H11" t="b">
        <f t="shared" ref="H11:H74" si="4">ISTEXT(A11)</f>
        <v>0</v>
      </c>
      <c r="I11" s="29">
        <f t="shared" si="2"/>
        <v>39456</v>
      </c>
    </row>
    <row r="12" spans="1:9" ht="25.5" hidden="1" x14ac:dyDescent="0.2">
      <c r="A12" s="28">
        <v>39457</v>
      </c>
      <c r="B12" s="26" t="s">
        <v>3418</v>
      </c>
      <c r="C12" s="26" t="s">
        <v>9</v>
      </c>
      <c r="D12" s="35" t="s">
        <v>20</v>
      </c>
      <c r="E12" s="35" t="s">
        <v>20</v>
      </c>
      <c r="F12" s="35">
        <v>25377585</v>
      </c>
      <c r="G12" t="b">
        <f t="shared" si="3"/>
        <v>0</v>
      </c>
      <c r="H12" t="b">
        <f t="shared" si="4"/>
        <v>0</v>
      </c>
      <c r="I12" s="29">
        <f t="shared" si="2"/>
        <v>39457</v>
      </c>
    </row>
    <row r="13" spans="1:9" ht="25.5" hidden="1" x14ac:dyDescent="0.2">
      <c r="A13" s="28">
        <v>39457</v>
      </c>
      <c r="B13" s="26" t="s">
        <v>3191</v>
      </c>
      <c r="C13" s="26" t="s">
        <v>9</v>
      </c>
      <c r="D13" s="35" t="s">
        <v>20</v>
      </c>
      <c r="E13" s="35" t="s">
        <v>20</v>
      </c>
      <c r="F13" s="35">
        <v>1504736</v>
      </c>
      <c r="G13" t="b">
        <f t="shared" si="3"/>
        <v>0</v>
      </c>
      <c r="H13" t="b">
        <f t="shared" si="4"/>
        <v>0</v>
      </c>
      <c r="I13" s="29">
        <f t="shared" si="2"/>
        <v>39457</v>
      </c>
    </row>
    <row r="14" spans="1:9" ht="12.75" hidden="1" customHeight="1" x14ac:dyDescent="0.2">
      <c r="A14" s="28">
        <v>39457</v>
      </c>
      <c r="B14" s="26" t="s">
        <v>1765</v>
      </c>
      <c r="C14" s="26" t="s">
        <v>9</v>
      </c>
      <c r="D14" s="35" t="s">
        <v>20</v>
      </c>
      <c r="E14" s="35" t="s">
        <v>20</v>
      </c>
      <c r="F14" s="35">
        <v>10051886</v>
      </c>
      <c r="G14" t="b">
        <f t="shared" si="3"/>
        <v>0</v>
      </c>
      <c r="H14" t="b">
        <f t="shared" si="4"/>
        <v>0</v>
      </c>
      <c r="I14" s="29">
        <f t="shared" si="2"/>
        <v>39457</v>
      </c>
    </row>
    <row r="15" spans="1:9" ht="12.75" hidden="1" customHeight="1" x14ac:dyDescent="0.2">
      <c r="A15" s="28">
        <v>39457</v>
      </c>
      <c r="B15" s="26" t="s">
        <v>1042</v>
      </c>
      <c r="C15" s="26" t="s">
        <v>2584</v>
      </c>
      <c r="D15" s="35" t="s">
        <v>20</v>
      </c>
      <c r="E15" s="35" t="s">
        <v>20</v>
      </c>
      <c r="F15" s="35" t="s">
        <v>20</v>
      </c>
      <c r="G15" t="b">
        <f t="shared" si="3"/>
        <v>0</v>
      </c>
      <c r="H15" t="b">
        <f t="shared" si="4"/>
        <v>0</v>
      </c>
      <c r="I15" s="29">
        <f t="shared" si="2"/>
        <v>39457</v>
      </c>
    </row>
    <row r="16" spans="1:9" ht="51" hidden="1" x14ac:dyDescent="0.2">
      <c r="A16" s="28">
        <v>39458</v>
      </c>
      <c r="B16" s="26" t="s">
        <v>3132</v>
      </c>
      <c r="C16" s="26" t="s">
        <v>3096</v>
      </c>
      <c r="D16" s="35" t="s">
        <v>20</v>
      </c>
      <c r="E16" s="35">
        <v>12981269</v>
      </c>
      <c r="F16" s="35">
        <v>13146773</v>
      </c>
      <c r="G16" t="b">
        <f t="shared" si="3"/>
        <v>0</v>
      </c>
      <c r="H16" t="b">
        <f t="shared" si="4"/>
        <v>0</v>
      </c>
      <c r="I16" s="29">
        <f t="shared" si="2"/>
        <v>39458</v>
      </c>
    </row>
    <row r="17" spans="1:9" ht="25.5" hidden="1" x14ac:dyDescent="0.2">
      <c r="A17" s="28">
        <v>39458</v>
      </c>
      <c r="B17" s="26" t="s">
        <v>19</v>
      </c>
      <c r="C17" s="26" t="s">
        <v>9</v>
      </c>
      <c r="D17" s="35" t="s">
        <v>20</v>
      </c>
      <c r="E17" s="35" t="s">
        <v>20</v>
      </c>
      <c r="F17" s="35">
        <v>10116005</v>
      </c>
      <c r="G17" t="b">
        <f t="shared" si="3"/>
        <v>0</v>
      </c>
      <c r="H17" t="b">
        <f t="shared" si="4"/>
        <v>0</v>
      </c>
      <c r="I17" s="29">
        <f t="shared" si="2"/>
        <v>39458</v>
      </c>
    </row>
    <row r="18" spans="1:9" ht="12.75" hidden="1" customHeight="1" x14ac:dyDescent="0.2">
      <c r="A18" s="28">
        <v>39458</v>
      </c>
      <c r="B18" s="26" t="s">
        <v>2484</v>
      </c>
      <c r="C18" s="26" t="s">
        <v>2160</v>
      </c>
      <c r="D18" s="35" t="s">
        <v>20</v>
      </c>
      <c r="E18" s="35">
        <v>37931869</v>
      </c>
      <c r="F18" s="35">
        <v>38113408</v>
      </c>
      <c r="G18" t="b">
        <f t="shared" si="3"/>
        <v>0</v>
      </c>
      <c r="H18" t="b">
        <f t="shared" si="4"/>
        <v>0</v>
      </c>
      <c r="I18" s="29">
        <f t="shared" si="2"/>
        <v>39458</v>
      </c>
    </row>
    <row r="19" spans="1:9" ht="12.75" hidden="1" customHeight="1" x14ac:dyDescent="0.2">
      <c r="A19" s="28">
        <v>39458</v>
      </c>
      <c r="B19" s="26" t="s">
        <v>574</v>
      </c>
      <c r="C19" s="26" t="s">
        <v>1760</v>
      </c>
      <c r="D19" s="35" t="s">
        <v>20</v>
      </c>
      <c r="E19" s="35">
        <v>6176</v>
      </c>
      <c r="F19" s="35" t="s">
        <v>20</v>
      </c>
      <c r="G19" t="b">
        <f t="shared" si="3"/>
        <v>0</v>
      </c>
      <c r="H19" t="b">
        <f t="shared" si="4"/>
        <v>0</v>
      </c>
      <c r="I19" s="29">
        <f t="shared" si="2"/>
        <v>39458</v>
      </c>
    </row>
    <row r="20" spans="1:9" ht="38.25" hidden="1" x14ac:dyDescent="0.2">
      <c r="A20" s="28">
        <v>39458</v>
      </c>
      <c r="B20" s="26" t="s">
        <v>3130</v>
      </c>
      <c r="C20" s="26" t="s">
        <v>9</v>
      </c>
      <c r="D20" s="35" t="s">
        <v>20</v>
      </c>
      <c r="E20" s="35">
        <v>4775656</v>
      </c>
      <c r="F20" s="35">
        <v>11873251</v>
      </c>
      <c r="G20" t="b">
        <f t="shared" si="3"/>
        <v>0</v>
      </c>
      <c r="H20" t="b">
        <f t="shared" si="4"/>
        <v>0</v>
      </c>
      <c r="I20" s="29">
        <f t="shared" si="2"/>
        <v>39458</v>
      </c>
    </row>
    <row r="21" spans="1:9" ht="25.5" hidden="1" x14ac:dyDescent="0.2">
      <c r="A21" s="28">
        <v>39458</v>
      </c>
      <c r="B21" s="26" t="s">
        <v>3020</v>
      </c>
      <c r="C21" s="26" t="s">
        <v>2464</v>
      </c>
      <c r="D21" s="35" t="s">
        <v>20</v>
      </c>
      <c r="E21" s="35">
        <v>2119</v>
      </c>
      <c r="F21" s="35" t="s">
        <v>20</v>
      </c>
      <c r="G21" t="b">
        <f t="shared" si="3"/>
        <v>0</v>
      </c>
      <c r="H21" t="b">
        <f t="shared" si="4"/>
        <v>0</v>
      </c>
      <c r="I21" s="29">
        <f t="shared" si="2"/>
        <v>39458</v>
      </c>
    </row>
    <row r="22" spans="1:9" ht="12.75" hidden="1" customHeight="1" x14ac:dyDescent="0.2">
      <c r="A22" s="28">
        <v>39458</v>
      </c>
      <c r="B22" s="26" t="s">
        <v>172</v>
      </c>
      <c r="C22" s="26" t="s">
        <v>9</v>
      </c>
      <c r="D22" s="35" t="s">
        <v>20</v>
      </c>
      <c r="E22" s="35">
        <v>386</v>
      </c>
      <c r="F22" s="35" t="s">
        <v>20</v>
      </c>
      <c r="G22" t="b">
        <f t="shared" si="3"/>
        <v>0</v>
      </c>
      <c r="H22" t="b">
        <f t="shared" si="4"/>
        <v>0</v>
      </c>
      <c r="I22" s="29">
        <f t="shared" si="2"/>
        <v>39458</v>
      </c>
    </row>
    <row r="23" spans="1:9" ht="12.75" hidden="1" customHeight="1" x14ac:dyDescent="0.2">
      <c r="A23" s="28">
        <v>39459</v>
      </c>
      <c r="B23" s="26" t="s">
        <v>1714</v>
      </c>
      <c r="C23" s="26" t="s">
        <v>9</v>
      </c>
      <c r="D23" s="35" t="s">
        <v>20</v>
      </c>
      <c r="E23" s="35" t="s">
        <v>20</v>
      </c>
      <c r="F23" s="35">
        <v>4904830</v>
      </c>
      <c r="G23" t="b">
        <f t="shared" si="3"/>
        <v>0</v>
      </c>
      <c r="H23" t="b">
        <f t="shared" si="4"/>
        <v>0</v>
      </c>
      <c r="I23" s="29">
        <f t="shared" si="2"/>
        <v>39459</v>
      </c>
    </row>
    <row r="24" spans="1:9" ht="38.25" hidden="1" x14ac:dyDescent="0.2">
      <c r="A24" s="28">
        <v>39462</v>
      </c>
      <c r="B24" s="26" t="s">
        <v>128</v>
      </c>
      <c r="C24" s="26" t="s">
        <v>2444</v>
      </c>
      <c r="D24" s="35" t="s">
        <v>20</v>
      </c>
      <c r="E24" s="35" t="s">
        <v>20</v>
      </c>
      <c r="F24" s="35" t="s">
        <v>20</v>
      </c>
      <c r="G24" t="b">
        <f t="shared" si="3"/>
        <v>0</v>
      </c>
      <c r="H24" t="b">
        <f t="shared" si="4"/>
        <v>0</v>
      </c>
      <c r="I24" s="29">
        <f t="shared" si="2"/>
        <v>39462</v>
      </c>
    </row>
    <row r="25" spans="1:9" ht="12.75" hidden="1" customHeight="1" x14ac:dyDescent="0.2">
      <c r="A25" s="28">
        <v>39462</v>
      </c>
      <c r="B25" s="26" t="s">
        <v>1187</v>
      </c>
      <c r="C25" s="26" t="s">
        <v>2256</v>
      </c>
      <c r="D25" s="35" t="s">
        <v>20</v>
      </c>
      <c r="E25" s="35" t="s">
        <v>20</v>
      </c>
      <c r="F25" s="35">
        <v>3969756</v>
      </c>
      <c r="G25" t="b">
        <f t="shared" si="3"/>
        <v>0</v>
      </c>
      <c r="H25" t="b">
        <f t="shared" si="4"/>
        <v>0</v>
      </c>
      <c r="I25" s="29">
        <f t="shared" si="2"/>
        <v>39462</v>
      </c>
    </row>
    <row r="26" spans="1:9" ht="12.75" hidden="1" customHeight="1" x14ac:dyDescent="0.2">
      <c r="A26" s="28">
        <v>39462</v>
      </c>
      <c r="B26" s="26" t="s">
        <v>3455</v>
      </c>
      <c r="C26" s="26" t="s">
        <v>9</v>
      </c>
      <c r="D26" s="35" t="s">
        <v>20</v>
      </c>
      <c r="E26" s="35" t="s">
        <v>20</v>
      </c>
      <c r="F26" s="35" t="s">
        <v>20</v>
      </c>
      <c r="G26" t="b">
        <f t="shared" si="3"/>
        <v>0</v>
      </c>
      <c r="H26" t="b">
        <f t="shared" si="4"/>
        <v>0</v>
      </c>
      <c r="I26" s="29">
        <f t="shared" si="2"/>
        <v>39462</v>
      </c>
    </row>
    <row r="27" spans="1:9" ht="12.75" hidden="1" customHeight="1" x14ac:dyDescent="0.2">
      <c r="A27" s="28">
        <v>39463</v>
      </c>
      <c r="B27" s="26" t="s">
        <v>3277</v>
      </c>
      <c r="C27" s="26" t="s">
        <v>9</v>
      </c>
      <c r="D27" s="35" t="s">
        <v>20</v>
      </c>
      <c r="E27" s="35" t="s">
        <v>20</v>
      </c>
      <c r="F27" s="35">
        <v>14580557</v>
      </c>
      <c r="G27" t="b">
        <f t="shared" si="3"/>
        <v>0</v>
      </c>
      <c r="H27" t="b">
        <f t="shared" si="4"/>
        <v>0</v>
      </c>
      <c r="I27" s="29">
        <f t="shared" si="2"/>
        <v>39463</v>
      </c>
    </row>
    <row r="28" spans="1:9" ht="25.5" hidden="1" x14ac:dyDescent="0.2">
      <c r="A28" s="28">
        <v>39464</v>
      </c>
      <c r="B28" s="26" t="s">
        <v>2129</v>
      </c>
      <c r="C28" s="26" t="s">
        <v>9</v>
      </c>
      <c r="D28" s="35" t="s">
        <v>20</v>
      </c>
      <c r="E28" s="35" t="s">
        <v>20</v>
      </c>
      <c r="F28" s="35">
        <v>1811549</v>
      </c>
      <c r="G28" t="b">
        <f t="shared" si="3"/>
        <v>0</v>
      </c>
      <c r="H28" t="b">
        <f t="shared" si="4"/>
        <v>0</v>
      </c>
      <c r="I28" s="29">
        <f t="shared" si="2"/>
        <v>39464</v>
      </c>
    </row>
    <row r="29" spans="1:9" ht="25.5" hidden="1" x14ac:dyDescent="0.2">
      <c r="A29" s="28">
        <v>39464</v>
      </c>
      <c r="B29" s="26" t="s">
        <v>1811</v>
      </c>
      <c r="C29" s="26" t="s">
        <v>9</v>
      </c>
      <c r="D29" s="35" t="s">
        <v>20</v>
      </c>
      <c r="E29" s="35" t="s">
        <v>20</v>
      </c>
      <c r="F29" s="35" t="s">
        <v>20</v>
      </c>
      <c r="G29" t="b">
        <f t="shared" si="3"/>
        <v>0</v>
      </c>
      <c r="H29" t="b">
        <f t="shared" si="4"/>
        <v>0</v>
      </c>
      <c r="I29" s="29">
        <f t="shared" si="2"/>
        <v>39464</v>
      </c>
    </row>
    <row r="30" spans="1:9" ht="12.75" hidden="1" customHeight="1" x14ac:dyDescent="0.2">
      <c r="A30" s="28">
        <v>39465</v>
      </c>
      <c r="B30" s="26" t="s">
        <v>1505</v>
      </c>
      <c r="C30" s="26" t="s">
        <v>9</v>
      </c>
      <c r="D30" s="35" t="s">
        <v>20</v>
      </c>
      <c r="E30" s="35">
        <v>16659</v>
      </c>
      <c r="F30" s="35" t="s">
        <v>20</v>
      </c>
      <c r="G30" t="b">
        <f t="shared" si="3"/>
        <v>0</v>
      </c>
      <c r="H30" t="b">
        <f t="shared" si="4"/>
        <v>0</v>
      </c>
      <c r="I30" s="29">
        <f t="shared" si="2"/>
        <v>39465</v>
      </c>
    </row>
    <row r="31" spans="1:9" ht="12.75" hidden="1" customHeight="1" x14ac:dyDescent="0.2">
      <c r="A31" s="28">
        <v>39465</v>
      </c>
      <c r="B31" s="26" t="s">
        <v>3431</v>
      </c>
      <c r="C31" s="26" t="s">
        <v>2159</v>
      </c>
      <c r="D31" s="35" t="s">
        <v>20</v>
      </c>
      <c r="E31" s="35">
        <v>87939</v>
      </c>
      <c r="F31" s="35" t="s">
        <v>20</v>
      </c>
      <c r="G31" t="b">
        <f t="shared" si="3"/>
        <v>0</v>
      </c>
      <c r="H31" t="b">
        <f t="shared" si="4"/>
        <v>0</v>
      </c>
      <c r="I31" s="29">
        <f t="shared" si="2"/>
        <v>39465</v>
      </c>
    </row>
    <row r="32" spans="1:9" ht="12.75" hidden="1" customHeight="1" x14ac:dyDescent="0.2">
      <c r="A32" s="28">
        <v>39465</v>
      </c>
      <c r="B32" s="26" t="s">
        <v>406</v>
      </c>
      <c r="C32" s="26" t="s">
        <v>117</v>
      </c>
      <c r="D32" s="35">
        <v>2000000</v>
      </c>
      <c r="E32" s="35">
        <v>347578</v>
      </c>
      <c r="F32" s="35">
        <v>2300349</v>
      </c>
      <c r="G32" t="b">
        <f t="shared" si="3"/>
        <v>0</v>
      </c>
      <c r="H32" t="b">
        <f t="shared" si="4"/>
        <v>0</v>
      </c>
      <c r="I32" s="29">
        <f t="shared" si="2"/>
        <v>39465</v>
      </c>
    </row>
    <row r="33" spans="1:9" ht="25.5" hidden="1" x14ac:dyDescent="0.2">
      <c r="A33" s="28">
        <v>39465</v>
      </c>
      <c r="B33" s="26" t="s">
        <v>1404</v>
      </c>
      <c r="C33" s="26" t="s">
        <v>2168</v>
      </c>
      <c r="D33" s="35">
        <v>25000000</v>
      </c>
      <c r="E33" s="35">
        <v>80048433</v>
      </c>
      <c r="F33" s="35">
        <v>170764033</v>
      </c>
      <c r="G33" t="b">
        <f t="shared" si="3"/>
        <v>0</v>
      </c>
      <c r="H33" t="b">
        <f t="shared" si="4"/>
        <v>0</v>
      </c>
      <c r="I33" s="29">
        <f t="shared" si="2"/>
        <v>39465</v>
      </c>
    </row>
    <row r="34" spans="1:9" ht="25.5" hidden="1" x14ac:dyDescent="0.2">
      <c r="A34" s="28">
        <v>39465</v>
      </c>
      <c r="B34" s="26" t="s">
        <v>276</v>
      </c>
      <c r="C34" s="26" t="s">
        <v>1095</v>
      </c>
      <c r="D34" s="35" t="s">
        <v>20</v>
      </c>
      <c r="E34" s="35">
        <v>50172</v>
      </c>
      <c r="F34" s="35" t="s">
        <v>20</v>
      </c>
      <c r="G34" t="b">
        <f t="shared" si="3"/>
        <v>0</v>
      </c>
      <c r="H34" t="b">
        <f t="shared" si="4"/>
        <v>0</v>
      </c>
      <c r="I34" s="29">
        <f t="shared" si="2"/>
        <v>39465</v>
      </c>
    </row>
    <row r="35" spans="1:9" ht="12.75" hidden="1" customHeight="1" x14ac:dyDescent="0.2">
      <c r="A35" s="28">
        <v>39465</v>
      </c>
      <c r="B35" s="26" t="s">
        <v>1365</v>
      </c>
      <c r="C35" s="26" t="s">
        <v>1606</v>
      </c>
      <c r="D35" s="35" t="s">
        <v>20</v>
      </c>
      <c r="E35" s="35">
        <v>15198</v>
      </c>
      <c r="F35" s="35" t="s">
        <v>20</v>
      </c>
      <c r="G35" t="b">
        <f t="shared" si="3"/>
        <v>0</v>
      </c>
      <c r="H35" t="b">
        <f t="shared" si="4"/>
        <v>0</v>
      </c>
      <c r="I35" s="29">
        <f t="shared" si="2"/>
        <v>39465</v>
      </c>
    </row>
    <row r="36" spans="1:9" ht="12.75" hidden="1" customHeight="1" x14ac:dyDescent="0.2">
      <c r="A36" s="28">
        <v>39465</v>
      </c>
      <c r="B36" s="26" t="s">
        <v>552</v>
      </c>
      <c r="C36" s="26" t="s">
        <v>3233</v>
      </c>
      <c r="D36" s="35" t="s">
        <v>20</v>
      </c>
      <c r="E36" s="35">
        <v>93045</v>
      </c>
      <c r="F36" s="35" t="s">
        <v>20</v>
      </c>
      <c r="G36" t="b">
        <f t="shared" si="3"/>
        <v>0</v>
      </c>
      <c r="H36" t="b">
        <f t="shared" si="4"/>
        <v>0</v>
      </c>
      <c r="I36" s="29">
        <f t="shared" si="2"/>
        <v>39465</v>
      </c>
    </row>
    <row r="37" spans="1:9" ht="25.5" hidden="1" x14ac:dyDescent="0.2">
      <c r="A37" s="28">
        <v>39465</v>
      </c>
      <c r="B37" s="26" t="s">
        <v>3352</v>
      </c>
      <c r="C37" s="26" t="s">
        <v>9</v>
      </c>
      <c r="D37" s="35">
        <v>10000000</v>
      </c>
      <c r="E37" s="35">
        <v>4803</v>
      </c>
      <c r="F37" s="35">
        <v>8668544</v>
      </c>
      <c r="G37" t="b">
        <f t="shared" si="3"/>
        <v>0</v>
      </c>
      <c r="H37" t="b">
        <f t="shared" si="4"/>
        <v>0</v>
      </c>
      <c r="I37" s="29">
        <f t="shared" si="2"/>
        <v>39465</v>
      </c>
    </row>
    <row r="38" spans="1:9" ht="12.75" hidden="1" customHeight="1" x14ac:dyDescent="0.2">
      <c r="A38" s="28">
        <v>39465</v>
      </c>
      <c r="B38" s="26" t="s">
        <v>1972</v>
      </c>
      <c r="C38" s="26" t="s">
        <v>1760</v>
      </c>
      <c r="D38" s="35" t="s">
        <v>20</v>
      </c>
      <c r="E38" s="35">
        <v>102342</v>
      </c>
      <c r="F38" s="35" t="s">
        <v>20</v>
      </c>
      <c r="G38" t="b">
        <f t="shared" si="3"/>
        <v>0</v>
      </c>
      <c r="H38" t="b">
        <f t="shared" si="4"/>
        <v>0</v>
      </c>
      <c r="I38" s="29">
        <f t="shared" si="2"/>
        <v>39465</v>
      </c>
    </row>
    <row r="39" spans="1:9" ht="12.75" hidden="1" customHeight="1" x14ac:dyDescent="0.2">
      <c r="A39" s="28">
        <v>39465</v>
      </c>
      <c r="B39" s="26" t="s">
        <v>2078</v>
      </c>
      <c r="C39" s="26" t="s">
        <v>384</v>
      </c>
      <c r="D39" s="35" t="s">
        <v>20</v>
      </c>
      <c r="E39" s="35">
        <v>76808654</v>
      </c>
      <c r="F39" s="35">
        <v>160247805</v>
      </c>
      <c r="G39" t="b">
        <f t="shared" si="3"/>
        <v>0</v>
      </c>
      <c r="H39" t="b">
        <f t="shared" si="4"/>
        <v>0</v>
      </c>
      <c r="I39" s="29">
        <f t="shared" si="2"/>
        <v>39465</v>
      </c>
    </row>
    <row r="40" spans="1:9" ht="25.5" hidden="1" x14ac:dyDescent="0.2">
      <c r="A40" s="28">
        <v>39465</v>
      </c>
      <c r="B40" s="26" t="s">
        <v>1536</v>
      </c>
      <c r="C40" s="26" t="s">
        <v>3233</v>
      </c>
      <c r="D40" s="35" t="s">
        <v>20</v>
      </c>
      <c r="E40" s="35">
        <v>274661</v>
      </c>
      <c r="F40" s="35" t="s">
        <v>20</v>
      </c>
      <c r="G40" t="b">
        <f t="shared" si="3"/>
        <v>0</v>
      </c>
      <c r="H40" t="b">
        <f t="shared" si="4"/>
        <v>0</v>
      </c>
      <c r="I40" s="29">
        <f t="shared" si="2"/>
        <v>39465</v>
      </c>
    </row>
    <row r="41" spans="1:9" ht="25.5" hidden="1" x14ac:dyDescent="0.2">
      <c r="A41" s="28">
        <v>39465</v>
      </c>
      <c r="B41" s="26" t="s">
        <v>13</v>
      </c>
      <c r="C41" s="26" t="s">
        <v>49</v>
      </c>
      <c r="D41" s="35" t="s">
        <v>20</v>
      </c>
      <c r="E41" s="35">
        <v>973018</v>
      </c>
      <c r="F41" s="35">
        <v>22478138</v>
      </c>
      <c r="G41" t="b">
        <f t="shared" si="3"/>
        <v>0</v>
      </c>
      <c r="H41" t="b">
        <f t="shared" si="4"/>
        <v>0</v>
      </c>
      <c r="I41" s="29">
        <f t="shared" si="2"/>
        <v>39465</v>
      </c>
    </row>
    <row r="42" spans="1:9" ht="12.75" hidden="1" customHeight="1" x14ac:dyDescent="0.2">
      <c r="A42" s="28">
        <v>39465</v>
      </c>
      <c r="B42" s="26" t="s">
        <v>3202</v>
      </c>
      <c r="C42" s="26" t="s">
        <v>9</v>
      </c>
      <c r="D42" s="35" t="s">
        <v>20</v>
      </c>
      <c r="E42" s="35">
        <v>62707</v>
      </c>
      <c r="F42" s="35" t="s">
        <v>20</v>
      </c>
      <c r="G42" t="b">
        <f t="shared" si="3"/>
        <v>0</v>
      </c>
      <c r="H42" t="b">
        <f t="shared" si="4"/>
        <v>0</v>
      </c>
      <c r="I42" s="29">
        <f t="shared" si="2"/>
        <v>39465</v>
      </c>
    </row>
    <row r="43" spans="1:9" ht="12.75" hidden="1" customHeight="1" x14ac:dyDescent="0.2">
      <c r="A43" s="28">
        <v>39465</v>
      </c>
      <c r="B43" s="26" t="s">
        <v>770</v>
      </c>
      <c r="C43" s="26" t="s">
        <v>2779</v>
      </c>
      <c r="D43" s="35" t="s">
        <v>20</v>
      </c>
      <c r="E43" s="35">
        <v>20668843</v>
      </c>
      <c r="F43" s="35">
        <v>25044057</v>
      </c>
      <c r="G43" t="b">
        <f t="shared" si="3"/>
        <v>0</v>
      </c>
      <c r="H43" t="b">
        <f t="shared" si="4"/>
        <v>0</v>
      </c>
      <c r="I43" s="29">
        <f t="shared" si="2"/>
        <v>39465</v>
      </c>
    </row>
    <row r="44" spans="1:9" ht="12.75" hidden="1" customHeight="1" x14ac:dyDescent="0.2">
      <c r="A44" s="28">
        <v>39465</v>
      </c>
      <c r="B44" s="26" t="s">
        <v>649</v>
      </c>
      <c r="C44" s="26" t="s">
        <v>400</v>
      </c>
      <c r="D44" s="35" t="s">
        <v>20</v>
      </c>
      <c r="E44" s="35">
        <v>75985</v>
      </c>
      <c r="F44" s="35" t="s">
        <v>20</v>
      </c>
      <c r="G44" t="b">
        <f t="shared" si="3"/>
        <v>0</v>
      </c>
      <c r="H44" t="b">
        <f t="shared" si="4"/>
        <v>0</v>
      </c>
      <c r="I44" s="29">
        <f t="shared" si="2"/>
        <v>39465</v>
      </c>
    </row>
    <row r="45" spans="1:9" ht="25.5" hidden="1" x14ac:dyDescent="0.2">
      <c r="A45" s="28">
        <v>39465</v>
      </c>
      <c r="B45" s="26" t="s">
        <v>504</v>
      </c>
      <c r="C45" s="26" t="s">
        <v>647</v>
      </c>
      <c r="D45" s="35" t="s">
        <v>20</v>
      </c>
      <c r="E45" s="35" t="s">
        <v>20</v>
      </c>
      <c r="F45" s="35" t="s">
        <v>20</v>
      </c>
      <c r="G45" t="b">
        <f t="shared" si="3"/>
        <v>0</v>
      </c>
      <c r="H45" t="b">
        <f t="shared" si="4"/>
        <v>0</v>
      </c>
      <c r="I45" s="29">
        <f t="shared" si="2"/>
        <v>39465</v>
      </c>
    </row>
    <row r="46" spans="1:9" ht="25.5" hidden="1" x14ac:dyDescent="0.2">
      <c r="A46" s="28">
        <v>39465</v>
      </c>
      <c r="B46" s="26" t="s">
        <v>452</v>
      </c>
      <c r="C46" s="26" t="s">
        <v>1813</v>
      </c>
      <c r="D46" s="35" t="s">
        <v>20</v>
      </c>
      <c r="E46" s="35">
        <v>38848</v>
      </c>
      <c r="F46" s="35" t="s">
        <v>20</v>
      </c>
      <c r="G46" t="b">
        <f t="shared" si="3"/>
        <v>0</v>
      </c>
      <c r="H46" t="b">
        <f t="shared" si="4"/>
        <v>0</v>
      </c>
      <c r="I46" s="29">
        <f t="shared" si="2"/>
        <v>39465</v>
      </c>
    </row>
    <row r="47" spans="1:9" ht="25.5" hidden="1" x14ac:dyDescent="0.2">
      <c r="A47" s="28">
        <v>39467</v>
      </c>
      <c r="B47" s="26" t="s">
        <v>2594</v>
      </c>
      <c r="C47" s="26" t="s">
        <v>9</v>
      </c>
      <c r="D47" s="35" t="s">
        <v>20</v>
      </c>
      <c r="E47" s="35" t="s">
        <v>20</v>
      </c>
      <c r="F47" s="35" t="s">
        <v>20</v>
      </c>
      <c r="G47" t="b">
        <f t="shared" si="3"/>
        <v>0</v>
      </c>
      <c r="H47" t="b">
        <f t="shared" si="4"/>
        <v>0</v>
      </c>
      <c r="I47" s="29">
        <f t="shared" si="2"/>
        <v>39467</v>
      </c>
    </row>
    <row r="48" spans="1:9" ht="12.75" hidden="1" customHeight="1" x14ac:dyDescent="0.2">
      <c r="A48" s="28">
        <v>39469</v>
      </c>
      <c r="B48" s="26" t="s">
        <v>1492</v>
      </c>
      <c r="C48" s="26" t="s">
        <v>495</v>
      </c>
      <c r="D48" s="35" t="s">
        <v>20</v>
      </c>
      <c r="E48" s="35" t="s">
        <v>20</v>
      </c>
      <c r="F48" s="35" t="s">
        <v>20</v>
      </c>
      <c r="G48" t="b">
        <f t="shared" si="3"/>
        <v>0</v>
      </c>
      <c r="H48" t="b">
        <f t="shared" si="4"/>
        <v>0</v>
      </c>
      <c r="I48" s="29">
        <f t="shared" si="2"/>
        <v>39469</v>
      </c>
    </row>
    <row r="49" spans="1:9" ht="12.75" hidden="1" customHeight="1" x14ac:dyDescent="0.2">
      <c r="A49" s="28">
        <v>39470</v>
      </c>
      <c r="B49" s="26" t="s">
        <v>2092</v>
      </c>
      <c r="C49" s="26" t="s">
        <v>9</v>
      </c>
      <c r="D49" s="35">
        <v>15000000</v>
      </c>
      <c r="E49" s="35">
        <v>12273816</v>
      </c>
      <c r="F49" s="35">
        <v>24675896</v>
      </c>
      <c r="G49" t="b">
        <f t="shared" si="3"/>
        <v>0</v>
      </c>
      <c r="H49" t="b">
        <f t="shared" si="4"/>
        <v>0</v>
      </c>
      <c r="I49" s="29">
        <f t="shared" si="2"/>
        <v>39470</v>
      </c>
    </row>
    <row r="50" spans="1:9" ht="25.5" hidden="1" x14ac:dyDescent="0.2">
      <c r="A50" s="28">
        <v>39472</v>
      </c>
      <c r="B50" s="26" t="s">
        <v>2943</v>
      </c>
      <c r="C50" s="26" t="s">
        <v>2833</v>
      </c>
      <c r="D50" s="35" t="s">
        <v>20</v>
      </c>
      <c r="E50" s="35">
        <v>51408</v>
      </c>
      <c r="F50" s="35" t="s">
        <v>20</v>
      </c>
      <c r="G50" t="b">
        <f t="shared" si="3"/>
        <v>0</v>
      </c>
      <c r="H50" t="b">
        <f t="shared" si="4"/>
        <v>0</v>
      </c>
      <c r="I50" s="29">
        <f t="shared" si="2"/>
        <v>39472</v>
      </c>
    </row>
    <row r="51" spans="1:9" ht="25.5" hidden="1" x14ac:dyDescent="0.2">
      <c r="A51" s="28">
        <v>39472</v>
      </c>
      <c r="B51" s="26" t="s">
        <v>2167</v>
      </c>
      <c r="C51" s="26" t="s">
        <v>9</v>
      </c>
      <c r="D51" s="35" t="s">
        <v>20</v>
      </c>
      <c r="E51" s="35" t="s">
        <v>20</v>
      </c>
      <c r="F51" s="35">
        <v>27464635</v>
      </c>
      <c r="G51" t="b">
        <f t="shared" si="3"/>
        <v>0</v>
      </c>
      <c r="H51" t="b">
        <f t="shared" si="4"/>
        <v>0</v>
      </c>
      <c r="I51" s="29">
        <f t="shared" si="2"/>
        <v>39472</v>
      </c>
    </row>
    <row r="52" spans="1:9" hidden="1" x14ac:dyDescent="0.2">
      <c r="A52" s="28">
        <v>39472</v>
      </c>
      <c r="B52" s="26" t="s">
        <v>2683</v>
      </c>
      <c r="C52" s="26" t="s">
        <v>384</v>
      </c>
      <c r="D52" s="35">
        <v>30000000</v>
      </c>
      <c r="E52" s="35">
        <v>38233676</v>
      </c>
      <c r="F52" s="35">
        <v>84646831</v>
      </c>
      <c r="G52" t="b">
        <f t="shared" si="3"/>
        <v>0</v>
      </c>
      <c r="H52" t="b">
        <f t="shared" si="4"/>
        <v>0</v>
      </c>
      <c r="I52" s="29">
        <f t="shared" si="2"/>
        <v>39472</v>
      </c>
    </row>
    <row r="53" spans="1:9" ht="25.5" hidden="1" x14ac:dyDescent="0.2">
      <c r="A53" s="28">
        <v>39472</v>
      </c>
      <c r="B53" s="26" t="s">
        <v>1871</v>
      </c>
      <c r="C53" s="26" t="s">
        <v>2877</v>
      </c>
      <c r="D53" s="35" t="s">
        <v>20</v>
      </c>
      <c r="E53" s="35">
        <v>9344</v>
      </c>
      <c r="F53" s="35" t="s">
        <v>20</v>
      </c>
      <c r="G53" t="b">
        <f t="shared" si="3"/>
        <v>0</v>
      </c>
      <c r="H53" t="b">
        <f t="shared" si="4"/>
        <v>0</v>
      </c>
      <c r="I53" s="29">
        <f t="shared" si="2"/>
        <v>39472</v>
      </c>
    </row>
    <row r="54" spans="1:9" ht="25.5" hidden="1" x14ac:dyDescent="0.2">
      <c r="A54" s="28">
        <v>39472</v>
      </c>
      <c r="B54" s="26" t="s">
        <v>794</v>
      </c>
      <c r="C54" s="26" t="s">
        <v>999</v>
      </c>
      <c r="D54" s="35" t="s">
        <v>20</v>
      </c>
      <c r="E54" s="35">
        <v>7070641</v>
      </c>
      <c r="F54" s="35">
        <v>8485066</v>
      </c>
      <c r="G54" t="b">
        <f t="shared" si="3"/>
        <v>0</v>
      </c>
      <c r="H54" t="b">
        <f t="shared" si="4"/>
        <v>0</v>
      </c>
      <c r="I54" s="29">
        <f t="shared" si="2"/>
        <v>39472</v>
      </c>
    </row>
    <row r="55" spans="1:9" ht="38.25" hidden="1" x14ac:dyDescent="0.2">
      <c r="A55" s="28">
        <v>39472</v>
      </c>
      <c r="B55" s="26" t="s">
        <v>1603</v>
      </c>
      <c r="C55" s="26" t="s">
        <v>9</v>
      </c>
      <c r="D55" s="35" t="s">
        <v>20</v>
      </c>
      <c r="E55" s="35" t="s">
        <v>20</v>
      </c>
      <c r="F55" s="35">
        <v>7541906</v>
      </c>
      <c r="G55" t="b">
        <f t="shared" si="3"/>
        <v>0</v>
      </c>
      <c r="H55" t="b">
        <f t="shared" si="4"/>
        <v>0</v>
      </c>
      <c r="I55" s="29">
        <f t="shared" si="2"/>
        <v>39472</v>
      </c>
    </row>
    <row r="56" spans="1:9" ht="12.75" hidden="1" customHeight="1" x14ac:dyDescent="0.2">
      <c r="A56" s="28">
        <v>39472</v>
      </c>
      <c r="B56" s="26" t="s">
        <v>2938</v>
      </c>
      <c r="C56" s="26" t="s">
        <v>2776</v>
      </c>
      <c r="D56" s="35" t="s">
        <v>20</v>
      </c>
      <c r="E56" s="35" t="s">
        <v>20</v>
      </c>
      <c r="F56" s="35" t="s">
        <v>20</v>
      </c>
      <c r="G56" t="b">
        <f t="shared" si="3"/>
        <v>0</v>
      </c>
      <c r="H56" t="b">
        <f t="shared" si="4"/>
        <v>0</v>
      </c>
      <c r="I56" s="29">
        <f t="shared" si="2"/>
        <v>39472</v>
      </c>
    </row>
    <row r="57" spans="1:9" ht="12.75" hidden="1" customHeight="1" x14ac:dyDescent="0.2">
      <c r="A57" s="28">
        <v>39472</v>
      </c>
      <c r="B57" s="26" t="s">
        <v>2177</v>
      </c>
      <c r="C57" s="26" t="s">
        <v>1487</v>
      </c>
      <c r="D57" s="35" t="s">
        <v>20</v>
      </c>
      <c r="E57" s="35">
        <v>61678</v>
      </c>
      <c r="F57" s="35" t="s">
        <v>20</v>
      </c>
      <c r="G57" t="b">
        <f t="shared" si="3"/>
        <v>0</v>
      </c>
      <c r="H57" t="b">
        <f t="shared" si="4"/>
        <v>0</v>
      </c>
      <c r="I57" s="29">
        <f t="shared" si="2"/>
        <v>39472</v>
      </c>
    </row>
    <row r="58" spans="1:9" ht="12.75" hidden="1" customHeight="1" x14ac:dyDescent="0.2">
      <c r="A58" s="28">
        <v>39472</v>
      </c>
      <c r="B58" s="26" t="s">
        <v>442</v>
      </c>
      <c r="C58" s="26" t="s">
        <v>400</v>
      </c>
      <c r="D58" s="35" t="s">
        <v>20</v>
      </c>
      <c r="E58" s="35">
        <v>10827</v>
      </c>
      <c r="F58" s="35" t="s">
        <v>20</v>
      </c>
      <c r="G58" t="b">
        <f t="shared" si="3"/>
        <v>0</v>
      </c>
      <c r="H58" t="b">
        <f t="shared" si="4"/>
        <v>0</v>
      </c>
      <c r="I58" s="29">
        <f t="shared" si="2"/>
        <v>39472</v>
      </c>
    </row>
    <row r="59" spans="1:9" ht="12.75" hidden="1" customHeight="1" x14ac:dyDescent="0.2">
      <c r="A59" s="28">
        <v>39472</v>
      </c>
      <c r="B59" s="26" t="s">
        <v>2371</v>
      </c>
      <c r="C59" s="26" t="s">
        <v>9</v>
      </c>
      <c r="D59" s="35" t="s">
        <v>20</v>
      </c>
      <c r="E59" s="35" t="s">
        <v>20</v>
      </c>
      <c r="F59" s="35">
        <v>1126576</v>
      </c>
      <c r="G59" t="b">
        <f t="shared" si="3"/>
        <v>0</v>
      </c>
      <c r="H59" t="b">
        <f t="shared" si="4"/>
        <v>0</v>
      </c>
      <c r="I59" s="29">
        <f t="shared" si="2"/>
        <v>39472</v>
      </c>
    </row>
    <row r="60" spans="1:9" ht="12.75" hidden="1" customHeight="1" x14ac:dyDescent="0.2">
      <c r="A60" s="28">
        <v>39472</v>
      </c>
      <c r="B60" s="26" t="s">
        <v>1638</v>
      </c>
      <c r="C60" s="26" t="s">
        <v>3419</v>
      </c>
      <c r="D60" s="35">
        <v>47500000</v>
      </c>
      <c r="E60" s="35">
        <v>42754105</v>
      </c>
      <c r="F60" s="35">
        <v>116754105</v>
      </c>
      <c r="G60" t="b">
        <f t="shared" si="3"/>
        <v>0</v>
      </c>
      <c r="H60" t="b">
        <f t="shared" si="4"/>
        <v>0</v>
      </c>
      <c r="I60" s="29">
        <f t="shared" si="2"/>
        <v>39472</v>
      </c>
    </row>
    <row r="61" spans="1:9" ht="12.75" hidden="1" customHeight="1" x14ac:dyDescent="0.2">
      <c r="A61" s="28">
        <v>39472</v>
      </c>
      <c r="B61" s="26" t="s">
        <v>2941</v>
      </c>
      <c r="C61" s="26" t="s">
        <v>2160</v>
      </c>
      <c r="D61" s="35">
        <v>35000000</v>
      </c>
      <c r="E61" s="35">
        <v>28687835</v>
      </c>
      <c r="F61" s="35">
        <v>52649951</v>
      </c>
      <c r="G61" t="b">
        <f t="shared" si="3"/>
        <v>0</v>
      </c>
      <c r="H61" t="b">
        <f t="shared" si="4"/>
        <v>0</v>
      </c>
      <c r="I61" s="29">
        <f t="shared" si="2"/>
        <v>39472</v>
      </c>
    </row>
    <row r="62" spans="1:9" ht="12.75" hidden="1" customHeight="1" x14ac:dyDescent="0.2">
      <c r="A62" s="28">
        <v>39472</v>
      </c>
      <c r="B62" s="26" t="s">
        <v>790</v>
      </c>
      <c r="C62" s="26" t="s">
        <v>647</v>
      </c>
      <c r="D62" s="35" t="s">
        <v>20</v>
      </c>
      <c r="E62" s="35" t="s">
        <v>20</v>
      </c>
      <c r="F62" s="35">
        <v>1732665</v>
      </c>
      <c r="G62" t="b">
        <f t="shared" si="3"/>
        <v>0</v>
      </c>
      <c r="H62" t="b">
        <f t="shared" si="4"/>
        <v>0</v>
      </c>
      <c r="I62" s="29">
        <f t="shared" si="2"/>
        <v>39472</v>
      </c>
    </row>
    <row r="63" spans="1:9" ht="25.5" hidden="1" x14ac:dyDescent="0.2">
      <c r="A63" s="28">
        <v>39472</v>
      </c>
      <c r="B63" s="26" t="s">
        <v>1338</v>
      </c>
      <c r="C63" s="26" t="s">
        <v>9</v>
      </c>
      <c r="D63" s="35" t="s">
        <v>20</v>
      </c>
      <c r="E63" s="35" t="s">
        <v>20</v>
      </c>
      <c r="F63" s="35">
        <v>17646235</v>
      </c>
      <c r="G63" t="b">
        <f t="shared" si="3"/>
        <v>0</v>
      </c>
      <c r="H63" t="b">
        <f t="shared" si="4"/>
        <v>0</v>
      </c>
      <c r="I63" s="29">
        <f t="shared" si="2"/>
        <v>39472</v>
      </c>
    </row>
    <row r="64" spans="1:9" ht="12.75" hidden="1" customHeight="1" x14ac:dyDescent="0.2">
      <c r="A64" s="28">
        <v>39472</v>
      </c>
      <c r="B64" s="26" t="s">
        <v>1699</v>
      </c>
      <c r="C64" s="26" t="s">
        <v>9</v>
      </c>
      <c r="D64" s="35" t="s">
        <v>20</v>
      </c>
      <c r="E64" s="35">
        <v>25775</v>
      </c>
      <c r="F64" s="35" t="s">
        <v>20</v>
      </c>
      <c r="G64" t="b">
        <f t="shared" si="3"/>
        <v>0</v>
      </c>
      <c r="H64" t="b">
        <f t="shared" si="4"/>
        <v>0</v>
      </c>
      <c r="I64" s="29">
        <f t="shared" si="2"/>
        <v>39472</v>
      </c>
    </row>
    <row r="65" spans="1:9" ht="12.75" hidden="1" customHeight="1" x14ac:dyDescent="0.2">
      <c r="A65" s="28">
        <v>39473</v>
      </c>
      <c r="B65" s="26" t="s">
        <v>1786</v>
      </c>
      <c r="C65" s="26" t="s">
        <v>9</v>
      </c>
      <c r="D65" s="35" t="s">
        <v>20</v>
      </c>
      <c r="E65" s="35">
        <v>14416</v>
      </c>
      <c r="F65" s="35">
        <v>6033130</v>
      </c>
      <c r="G65" t="b">
        <f t="shared" si="3"/>
        <v>0</v>
      </c>
      <c r="H65" t="b">
        <f t="shared" si="4"/>
        <v>0</v>
      </c>
      <c r="I65" s="29">
        <f t="shared" si="2"/>
        <v>39473</v>
      </c>
    </row>
    <row r="66" spans="1:9" ht="25.5" hidden="1" x14ac:dyDescent="0.2">
      <c r="A66" s="28">
        <v>39473</v>
      </c>
      <c r="B66" s="26" t="s">
        <v>3262</v>
      </c>
      <c r="C66" s="26" t="s">
        <v>9</v>
      </c>
      <c r="D66" s="35" t="s">
        <v>20</v>
      </c>
      <c r="E66" s="35" t="s">
        <v>20</v>
      </c>
      <c r="F66" s="35">
        <v>10188284</v>
      </c>
      <c r="G66" t="b">
        <f t="shared" si="3"/>
        <v>0</v>
      </c>
      <c r="H66" t="b">
        <f t="shared" si="4"/>
        <v>0</v>
      </c>
      <c r="I66" s="29">
        <f t="shared" si="2"/>
        <v>39473</v>
      </c>
    </row>
    <row r="67" spans="1:9" ht="12.75" hidden="1" customHeight="1" x14ac:dyDescent="0.2">
      <c r="A67" s="28">
        <v>39476</v>
      </c>
      <c r="B67" s="26" t="s">
        <v>1341</v>
      </c>
      <c r="C67" s="26" t="s">
        <v>9</v>
      </c>
      <c r="D67" s="35" t="s">
        <v>20</v>
      </c>
      <c r="E67" s="35" t="s">
        <v>20</v>
      </c>
      <c r="F67" s="35">
        <v>3598262</v>
      </c>
      <c r="G67" t="b">
        <f t="shared" si="3"/>
        <v>0</v>
      </c>
      <c r="H67" t="b">
        <f t="shared" si="4"/>
        <v>0</v>
      </c>
      <c r="I67" s="29">
        <f t="shared" ref="I67:I130" si="5">DATE(2008,MONTH(A67), DAY(A67))</f>
        <v>39476</v>
      </c>
    </row>
    <row r="68" spans="1:9" ht="25.5" hidden="1" x14ac:dyDescent="0.2">
      <c r="A68" s="28">
        <v>39476</v>
      </c>
      <c r="B68" s="26" t="s">
        <v>3221</v>
      </c>
      <c r="C68" s="26" t="s">
        <v>2153</v>
      </c>
      <c r="D68" s="35" t="s">
        <v>20</v>
      </c>
      <c r="E68" s="35" t="s">
        <v>20</v>
      </c>
      <c r="F68" s="35" t="s">
        <v>20</v>
      </c>
      <c r="G68" t="b">
        <f t="shared" si="3"/>
        <v>0</v>
      </c>
      <c r="H68" t="b">
        <f t="shared" si="4"/>
        <v>0</v>
      </c>
      <c r="I68" s="29">
        <f t="shared" si="5"/>
        <v>39476</v>
      </c>
    </row>
    <row r="69" spans="1:9" ht="12.75" hidden="1" customHeight="1" x14ac:dyDescent="0.2">
      <c r="A69" s="28">
        <v>39476</v>
      </c>
      <c r="B69" s="26" t="s">
        <v>755</v>
      </c>
      <c r="C69" s="26" t="s">
        <v>9</v>
      </c>
      <c r="D69" s="35" t="s">
        <v>20</v>
      </c>
      <c r="E69" s="35" t="s">
        <v>20</v>
      </c>
      <c r="F69" s="35" t="s">
        <v>20</v>
      </c>
      <c r="G69" t="b">
        <f t="shared" si="3"/>
        <v>0</v>
      </c>
      <c r="H69" t="b">
        <f t="shared" si="4"/>
        <v>0</v>
      </c>
      <c r="I69" s="29">
        <f t="shared" si="5"/>
        <v>39476</v>
      </c>
    </row>
    <row r="70" spans="1:9" hidden="1" x14ac:dyDescent="0.2">
      <c r="A70" s="28">
        <v>39477</v>
      </c>
      <c r="B70" s="26" t="s">
        <v>655</v>
      </c>
      <c r="C70" s="26" t="s">
        <v>9</v>
      </c>
      <c r="D70" s="35" t="s">
        <v>20</v>
      </c>
      <c r="E70" s="35" t="s">
        <v>20</v>
      </c>
      <c r="F70" s="35" t="s">
        <v>20</v>
      </c>
      <c r="G70" t="b">
        <f t="shared" si="3"/>
        <v>0</v>
      </c>
      <c r="H70" t="b">
        <f t="shared" si="4"/>
        <v>0</v>
      </c>
      <c r="I70" s="29">
        <f t="shared" si="5"/>
        <v>39477</v>
      </c>
    </row>
    <row r="71" spans="1:9" ht="25.5" hidden="1" x14ac:dyDescent="0.2">
      <c r="A71" s="28">
        <v>39477</v>
      </c>
      <c r="B71" s="26" t="s">
        <v>2935</v>
      </c>
      <c r="C71" s="26" t="s">
        <v>9</v>
      </c>
      <c r="D71" s="35">
        <v>113500000</v>
      </c>
      <c r="E71" s="35">
        <v>999811</v>
      </c>
      <c r="F71" s="35">
        <v>132999811</v>
      </c>
      <c r="G71" t="b">
        <f t="shared" si="3"/>
        <v>0</v>
      </c>
      <c r="H71" t="b">
        <f t="shared" si="4"/>
        <v>0</v>
      </c>
      <c r="I71" s="29">
        <f t="shared" si="5"/>
        <v>39477</v>
      </c>
    </row>
    <row r="72" spans="1:9" ht="25.5" hidden="1" x14ac:dyDescent="0.2">
      <c r="A72" s="28">
        <v>39478</v>
      </c>
      <c r="B72" s="26" t="s">
        <v>1830</v>
      </c>
      <c r="C72" s="26" t="s">
        <v>9</v>
      </c>
      <c r="D72" s="35" t="s">
        <v>20</v>
      </c>
      <c r="E72" s="35" t="s">
        <v>20</v>
      </c>
      <c r="F72" s="35">
        <v>8022157</v>
      </c>
      <c r="G72" t="b">
        <f t="shared" si="3"/>
        <v>0</v>
      </c>
      <c r="H72" t="b">
        <f t="shared" si="4"/>
        <v>0</v>
      </c>
      <c r="I72" s="29">
        <f t="shared" si="5"/>
        <v>39478</v>
      </c>
    </row>
    <row r="73" spans="1:9" ht="25.5" hidden="1" x14ac:dyDescent="0.2">
      <c r="A73" s="28">
        <v>39478</v>
      </c>
      <c r="B73" s="26" t="s">
        <v>1331</v>
      </c>
      <c r="C73" s="26" t="s">
        <v>9</v>
      </c>
      <c r="D73" s="35" t="s">
        <v>20</v>
      </c>
      <c r="E73" s="35" t="s">
        <v>20</v>
      </c>
      <c r="F73" s="35">
        <v>1814480</v>
      </c>
      <c r="G73" t="b">
        <f t="shared" si="3"/>
        <v>0</v>
      </c>
      <c r="H73" t="b">
        <f t="shared" si="4"/>
        <v>0</v>
      </c>
      <c r="I73" s="29">
        <f t="shared" si="5"/>
        <v>39478</v>
      </c>
    </row>
    <row r="74" spans="1:9" ht="12.75" hidden="1" customHeight="1" x14ac:dyDescent="0.2">
      <c r="A74" s="28">
        <v>39478</v>
      </c>
      <c r="B74" s="26" t="s">
        <v>1554</v>
      </c>
      <c r="C74" s="26" t="s">
        <v>9</v>
      </c>
      <c r="D74" s="35" t="s">
        <v>20</v>
      </c>
      <c r="E74" s="35" t="s">
        <v>20</v>
      </c>
      <c r="F74" s="35">
        <v>8758154</v>
      </c>
      <c r="G74" t="b">
        <f t="shared" si="3"/>
        <v>0</v>
      </c>
      <c r="H74" t="b">
        <f t="shared" si="4"/>
        <v>0</v>
      </c>
      <c r="I74" s="29">
        <f t="shared" si="5"/>
        <v>39478</v>
      </c>
    </row>
    <row r="75" spans="1:9" hidden="1" x14ac:dyDescent="0.2">
      <c r="A75" s="28">
        <v>39478</v>
      </c>
      <c r="B75" s="26" t="s">
        <v>1417</v>
      </c>
      <c r="C75" s="26" t="s">
        <v>9</v>
      </c>
      <c r="D75" s="35" t="s">
        <v>20</v>
      </c>
      <c r="E75" s="35" t="s">
        <v>20</v>
      </c>
      <c r="F75" s="35" t="s">
        <v>20</v>
      </c>
      <c r="G75" t="b">
        <f t="shared" ref="G75:G136" si="6">ISBLANK(A75)</f>
        <v>0</v>
      </c>
      <c r="H75" t="b">
        <f t="shared" ref="H75:H136" si="7">ISTEXT(A75)</f>
        <v>0</v>
      </c>
      <c r="I75" s="29">
        <f t="shared" si="5"/>
        <v>39478</v>
      </c>
    </row>
    <row r="76" spans="1:9" ht="12.75" hidden="1" customHeight="1" x14ac:dyDescent="0.2">
      <c r="A76" s="33">
        <v>39493</v>
      </c>
      <c r="D76" s="35"/>
      <c r="E76" s="35"/>
      <c r="F76" s="35"/>
      <c r="G76" t="b">
        <f t="shared" si="6"/>
        <v>0</v>
      </c>
      <c r="H76" s="32" t="b">
        <f t="shared" si="7"/>
        <v>0</v>
      </c>
      <c r="I76" s="29">
        <f t="shared" si="5"/>
        <v>39493</v>
      </c>
    </row>
    <row r="77" spans="1:9" ht="12.75" hidden="1" customHeight="1" x14ac:dyDescent="0.2">
      <c r="A77" s="28">
        <v>39479</v>
      </c>
      <c r="B77" s="26" t="s">
        <v>252</v>
      </c>
      <c r="C77" s="26" t="s">
        <v>2964</v>
      </c>
      <c r="D77" s="35" t="s">
        <v>20</v>
      </c>
      <c r="E77" s="35">
        <v>82553</v>
      </c>
      <c r="F77" s="35" t="s">
        <v>20</v>
      </c>
      <c r="G77" t="b">
        <f t="shared" si="6"/>
        <v>0</v>
      </c>
      <c r="H77" t="b">
        <f t="shared" si="7"/>
        <v>0</v>
      </c>
      <c r="I77" s="29">
        <f t="shared" si="5"/>
        <v>39479</v>
      </c>
    </row>
    <row r="78" spans="1:9" ht="12.75" hidden="1" customHeight="1" x14ac:dyDescent="0.2">
      <c r="A78" s="28">
        <v>39479</v>
      </c>
      <c r="B78" s="26" t="s">
        <v>715</v>
      </c>
      <c r="C78" s="26" t="s">
        <v>9</v>
      </c>
      <c r="D78" s="35" t="s">
        <v>20</v>
      </c>
      <c r="E78" s="35">
        <v>2863</v>
      </c>
      <c r="F78" s="35" t="s">
        <v>20</v>
      </c>
      <c r="G78" t="b">
        <f t="shared" si="6"/>
        <v>0</v>
      </c>
      <c r="H78" t="b">
        <f t="shared" si="7"/>
        <v>0</v>
      </c>
      <c r="I78" s="29">
        <f t="shared" si="5"/>
        <v>39479</v>
      </c>
    </row>
    <row r="79" spans="1:9" ht="63.75" hidden="1" x14ac:dyDescent="0.2">
      <c r="A79" s="28">
        <v>39479</v>
      </c>
      <c r="B79" s="26" t="s">
        <v>2802</v>
      </c>
      <c r="C79" s="26" t="s">
        <v>3390</v>
      </c>
      <c r="D79" s="35">
        <v>6500000</v>
      </c>
      <c r="E79" s="35">
        <v>65281781</v>
      </c>
      <c r="F79" s="35">
        <v>71281781</v>
      </c>
      <c r="G79" t="b">
        <f t="shared" si="6"/>
        <v>0</v>
      </c>
      <c r="H79" t="b">
        <f t="shared" si="7"/>
        <v>0</v>
      </c>
      <c r="I79" s="29">
        <f t="shared" si="5"/>
        <v>39479</v>
      </c>
    </row>
    <row r="80" spans="1:9" ht="12.75" hidden="1" customHeight="1" x14ac:dyDescent="0.2">
      <c r="A80" s="28">
        <v>39479</v>
      </c>
      <c r="B80" s="26" t="s">
        <v>1129</v>
      </c>
      <c r="C80" s="26" t="s">
        <v>9</v>
      </c>
      <c r="D80" s="35" t="s">
        <v>20</v>
      </c>
      <c r="E80" s="35" t="s">
        <v>20</v>
      </c>
      <c r="F80" s="35">
        <v>12247829</v>
      </c>
      <c r="G80" t="b">
        <f t="shared" si="6"/>
        <v>0</v>
      </c>
      <c r="H80" t="b">
        <f t="shared" si="7"/>
        <v>0</v>
      </c>
      <c r="I80" s="29">
        <f t="shared" si="5"/>
        <v>39479</v>
      </c>
    </row>
    <row r="81" spans="1:9" ht="12.75" hidden="1" customHeight="1" x14ac:dyDescent="0.2">
      <c r="A81" s="28">
        <v>39479</v>
      </c>
      <c r="B81" s="26" t="s">
        <v>2616</v>
      </c>
      <c r="C81" s="26" t="s">
        <v>1074</v>
      </c>
      <c r="D81" s="35" t="s">
        <v>20</v>
      </c>
      <c r="E81" s="35">
        <v>4759</v>
      </c>
      <c r="F81" s="35" t="s">
        <v>20</v>
      </c>
      <c r="G81" t="b">
        <f t="shared" si="6"/>
        <v>0</v>
      </c>
      <c r="H81" t="b">
        <f t="shared" si="7"/>
        <v>0</v>
      </c>
      <c r="I81" s="29">
        <f t="shared" si="5"/>
        <v>39479</v>
      </c>
    </row>
    <row r="82" spans="1:9" ht="25.5" hidden="1" x14ac:dyDescent="0.2">
      <c r="A82" s="28">
        <v>39479</v>
      </c>
      <c r="B82" s="26" t="s">
        <v>894</v>
      </c>
      <c r="C82" s="26" t="s">
        <v>2460</v>
      </c>
      <c r="D82" s="35" t="s">
        <v>20</v>
      </c>
      <c r="E82" s="35">
        <v>7570127</v>
      </c>
      <c r="F82" s="35">
        <v>20717656</v>
      </c>
      <c r="G82" t="b">
        <f t="shared" si="6"/>
        <v>0</v>
      </c>
      <c r="H82" t="b">
        <f t="shared" si="7"/>
        <v>0</v>
      </c>
      <c r="I82" s="29">
        <f t="shared" si="5"/>
        <v>39479</v>
      </c>
    </row>
    <row r="83" spans="1:9" ht="12.75" hidden="1" customHeight="1" x14ac:dyDescent="0.2">
      <c r="A83" s="28">
        <v>39479</v>
      </c>
      <c r="B83" s="26" t="s">
        <v>233</v>
      </c>
      <c r="C83" s="26" t="s">
        <v>9</v>
      </c>
      <c r="D83" s="35" t="s">
        <v>20</v>
      </c>
      <c r="E83" s="35" t="s">
        <v>20</v>
      </c>
      <c r="F83" s="35">
        <v>2044777</v>
      </c>
      <c r="G83" t="b">
        <f t="shared" si="6"/>
        <v>0</v>
      </c>
      <c r="H83" t="b">
        <f t="shared" si="7"/>
        <v>0</v>
      </c>
      <c r="I83" s="29">
        <f t="shared" si="5"/>
        <v>39479</v>
      </c>
    </row>
    <row r="84" spans="1:9" ht="25.5" hidden="1" x14ac:dyDescent="0.2">
      <c r="A84" s="28">
        <v>39479</v>
      </c>
      <c r="B84" s="26" t="s">
        <v>3422</v>
      </c>
      <c r="C84" s="26" t="s">
        <v>2168</v>
      </c>
      <c r="D84" s="35" t="s">
        <v>20</v>
      </c>
      <c r="E84" s="35">
        <v>6575282</v>
      </c>
      <c r="F84" s="35">
        <v>6947084</v>
      </c>
      <c r="G84" t="b">
        <f t="shared" si="6"/>
        <v>0</v>
      </c>
      <c r="H84" t="b">
        <f t="shared" si="7"/>
        <v>0</v>
      </c>
      <c r="I84" s="29">
        <f t="shared" si="5"/>
        <v>39479</v>
      </c>
    </row>
    <row r="85" spans="1:9" ht="12.75" hidden="1" customHeight="1" x14ac:dyDescent="0.2">
      <c r="A85" s="28">
        <v>39479</v>
      </c>
      <c r="B85" s="26" t="s">
        <v>314</v>
      </c>
      <c r="C85" s="26" t="s">
        <v>3419</v>
      </c>
      <c r="D85" s="35">
        <v>12000000</v>
      </c>
      <c r="E85" s="35">
        <v>31418697</v>
      </c>
      <c r="F85" s="35">
        <v>56918697</v>
      </c>
      <c r="G85" t="b">
        <f t="shared" si="6"/>
        <v>0</v>
      </c>
      <c r="H85" t="b">
        <f t="shared" si="7"/>
        <v>0</v>
      </c>
      <c r="I85" s="29">
        <f t="shared" si="5"/>
        <v>39479</v>
      </c>
    </row>
    <row r="86" spans="1:9" ht="12.75" hidden="1" customHeight="1" x14ac:dyDescent="0.2">
      <c r="A86" s="28">
        <v>39483</v>
      </c>
      <c r="B86" s="26" t="s">
        <v>3242</v>
      </c>
      <c r="C86" s="26" t="s">
        <v>3475</v>
      </c>
      <c r="D86" s="35" t="s">
        <v>20</v>
      </c>
      <c r="E86" s="35" t="s">
        <v>20</v>
      </c>
      <c r="F86" s="35" t="s">
        <v>20</v>
      </c>
      <c r="G86" t="b">
        <f t="shared" si="6"/>
        <v>0</v>
      </c>
      <c r="H86" t="b">
        <f t="shared" si="7"/>
        <v>0</v>
      </c>
      <c r="I86" s="29">
        <f t="shared" si="5"/>
        <v>39483</v>
      </c>
    </row>
    <row r="87" spans="1:9" ht="25.5" hidden="1" x14ac:dyDescent="0.2">
      <c r="A87" s="28">
        <v>39483</v>
      </c>
      <c r="B87" s="26" t="s">
        <v>330</v>
      </c>
      <c r="C87" s="26" t="s">
        <v>2612</v>
      </c>
      <c r="D87" s="35" t="s">
        <v>20</v>
      </c>
      <c r="E87" s="35" t="s">
        <v>20</v>
      </c>
      <c r="F87" s="35" t="s">
        <v>20</v>
      </c>
      <c r="G87" t="b">
        <f t="shared" si="6"/>
        <v>0</v>
      </c>
      <c r="H87" t="b">
        <f t="shared" si="7"/>
        <v>0</v>
      </c>
      <c r="I87" s="29">
        <f t="shared" si="5"/>
        <v>39483</v>
      </c>
    </row>
    <row r="88" spans="1:9" ht="12.75" hidden="1" customHeight="1" x14ac:dyDescent="0.2">
      <c r="A88" s="28">
        <v>39483</v>
      </c>
      <c r="B88" s="26" t="s">
        <v>802</v>
      </c>
      <c r="C88" s="26" t="s">
        <v>9</v>
      </c>
      <c r="D88" s="35" t="s">
        <v>20</v>
      </c>
      <c r="E88" s="35" t="s">
        <v>20</v>
      </c>
      <c r="F88" s="35" t="s">
        <v>20</v>
      </c>
      <c r="G88" t="b">
        <f t="shared" si="6"/>
        <v>0</v>
      </c>
      <c r="H88" t="b">
        <f t="shared" si="7"/>
        <v>0</v>
      </c>
      <c r="I88" s="29">
        <f t="shared" si="5"/>
        <v>39483</v>
      </c>
    </row>
    <row r="89" spans="1:9" ht="38.25" hidden="1" x14ac:dyDescent="0.2">
      <c r="A89" s="28">
        <v>39483</v>
      </c>
      <c r="B89" s="26" t="s">
        <v>2793</v>
      </c>
      <c r="C89" s="26" t="s">
        <v>9</v>
      </c>
      <c r="D89" s="35" t="s">
        <v>20</v>
      </c>
      <c r="E89" s="35" t="s">
        <v>20</v>
      </c>
      <c r="F89" s="35" t="s">
        <v>20</v>
      </c>
      <c r="G89" t="b">
        <f t="shared" si="6"/>
        <v>0</v>
      </c>
      <c r="H89" t="b">
        <f t="shared" si="7"/>
        <v>0</v>
      </c>
      <c r="I89" s="29">
        <f t="shared" si="5"/>
        <v>39483</v>
      </c>
    </row>
    <row r="90" spans="1:9" ht="12.75" hidden="1" customHeight="1" x14ac:dyDescent="0.2">
      <c r="A90" s="28">
        <v>39483</v>
      </c>
      <c r="B90" s="26" t="s">
        <v>2224</v>
      </c>
      <c r="C90" s="26" t="s">
        <v>1700</v>
      </c>
      <c r="D90" s="35" t="s">
        <v>20</v>
      </c>
      <c r="E90" s="35" t="s">
        <v>20</v>
      </c>
      <c r="F90" s="35" t="s">
        <v>20</v>
      </c>
      <c r="G90" t="b">
        <f t="shared" si="6"/>
        <v>0</v>
      </c>
      <c r="H90" t="b">
        <f t="shared" si="7"/>
        <v>0</v>
      </c>
      <c r="I90" s="29">
        <f t="shared" si="5"/>
        <v>39483</v>
      </c>
    </row>
    <row r="91" spans="1:9" ht="25.5" hidden="1" x14ac:dyDescent="0.2">
      <c r="A91" s="28">
        <v>39483</v>
      </c>
      <c r="B91" s="26" t="s">
        <v>2378</v>
      </c>
      <c r="C91" s="26" t="s">
        <v>9</v>
      </c>
      <c r="D91" s="35" t="s">
        <v>20</v>
      </c>
      <c r="E91" s="35" t="s">
        <v>20</v>
      </c>
      <c r="F91" s="35">
        <v>5202035</v>
      </c>
      <c r="G91" t="b">
        <f t="shared" si="6"/>
        <v>0</v>
      </c>
      <c r="H91" t="b">
        <f t="shared" si="7"/>
        <v>0</v>
      </c>
      <c r="I91" s="29">
        <f t="shared" si="5"/>
        <v>39483</v>
      </c>
    </row>
    <row r="92" spans="1:9" ht="25.5" hidden="1" x14ac:dyDescent="0.2">
      <c r="A92" s="28">
        <v>39484</v>
      </c>
      <c r="B92" s="26" t="s">
        <v>2438</v>
      </c>
      <c r="C92" s="26" t="s">
        <v>3466</v>
      </c>
      <c r="D92" s="35" t="s">
        <v>20</v>
      </c>
      <c r="E92" s="35">
        <v>711</v>
      </c>
      <c r="F92" s="35" t="s">
        <v>20</v>
      </c>
      <c r="G92" t="b">
        <f t="shared" si="6"/>
        <v>0</v>
      </c>
      <c r="H92" t="b">
        <f t="shared" si="7"/>
        <v>0</v>
      </c>
      <c r="I92" s="29">
        <f t="shared" si="5"/>
        <v>39484</v>
      </c>
    </row>
    <row r="93" spans="1:9" hidden="1" x14ac:dyDescent="0.2">
      <c r="A93" s="28">
        <v>39484</v>
      </c>
      <c r="B93" s="26" t="s">
        <v>2270</v>
      </c>
      <c r="C93" s="26" t="s">
        <v>9</v>
      </c>
      <c r="D93" s="35" t="s">
        <v>20</v>
      </c>
      <c r="E93" s="35" t="s">
        <v>20</v>
      </c>
      <c r="F93" s="35">
        <v>1523036</v>
      </c>
      <c r="G93" t="b">
        <f t="shared" si="6"/>
        <v>0</v>
      </c>
      <c r="H93" t="b">
        <f t="shared" si="7"/>
        <v>0</v>
      </c>
      <c r="I93" s="29">
        <f t="shared" si="5"/>
        <v>39484</v>
      </c>
    </row>
    <row r="94" spans="1:9" ht="25.5" hidden="1" x14ac:dyDescent="0.2">
      <c r="A94" s="28">
        <v>39485</v>
      </c>
      <c r="B94" s="26" t="s">
        <v>3423</v>
      </c>
      <c r="C94" s="26" t="s">
        <v>9</v>
      </c>
      <c r="D94" s="35" t="s">
        <v>20</v>
      </c>
      <c r="E94" s="35" t="s">
        <v>20</v>
      </c>
      <c r="F94" s="35">
        <v>1424034</v>
      </c>
      <c r="G94" t="b">
        <f t="shared" si="6"/>
        <v>0</v>
      </c>
      <c r="H94" t="b">
        <f t="shared" si="7"/>
        <v>0</v>
      </c>
      <c r="I94" s="29">
        <f t="shared" si="5"/>
        <v>39485</v>
      </c>
    </row>
    <row r="95" spans="1:9" ht="63.75" hidden="1" x14ac:dyDescent="0.2">
      <c r="A95" s="28">
        <v>39485</v>
      </c>
      <c r="B95" s="26" t="s">
        <v>795</v>
      </c>
      <c r="C95" s="26" t="s">
        <v>9</v>
      </c>
      <c r="D95" s="35" t="s">
        <v>20</v>
      </c>
      <c r="E95" s="35">
        <v>6587</v>
      </c>
      <c r="F95" s="35" t="s">
        <v>20</v>
      </c>
      <c r="G95" t="b">
        <f t="shared" si="6"/>
        <v>0</v>
      </c>
      <c r="H95" t="b">
        <f t="shared" si="7"/>
        <v>0</v>
      </c>
      <c r="I95" s="29">
        <f t="shared" si="5"/>
        <v>39485</v>
      </c>
    </row>
    <row r="96" spans="1:9" ht="12.75" hidden="1" customHeight="1" x14ac:dyDescent="0.2">
      <c r="A96" s="28">
        <v>39486</v>
      </c>
      <c r="B96" s="26" t="s">
        <v>346</v>
      </c>
      <c r="C96" s="26" t="s">
        <v>9</v>
      </c>
      <c r="D96" s="35" t="s">
        <v>20</v>
      </c>
      <c r="E96" s="35">
        <v>11434</v>
      </c>
      <c r="F96" s="35">
        <v>7142222</v>
      </c>
      <c r="G96" t="b">
        <f t="shared" si="6"/>
        <v>0</v>
      </c>
      <c r="H96" t="b">
        <f t="shared" si="7"/>
        <v>0</v>
      </c>
      <c r="I96" s="29">
        <f t="shared" si="5"/>
        <v>39486</v>
      </c>
    </row>
    <row r="97" spans="1:9" ht="76.5" hidden="1" x14ac:dyDescent="0.2">
      <c r="A97" s="28">
        <v>39486</v>
      </c>
      <c r="B97" s="26" t="s">
        <v>2458</v>
      </c>
      <c r="C97" s="26" t="s">
        <v>49</v>
      </c>
      <c r="D97" s="35" t="s">
        <v>20</v>
      </c>
      <c r="E97" s="35">
        <v>603894</v>
      </c>
      <c r="F97" s="35" t="s">
        <v>20</v>
      </c>
      <c r="G97" t="b">
        <f t="shared" si="6"/>
        <v>0</v>
      </c>
      <c r="H97" t="b">
        <f t="shared" si="7"/>
        <v>0</v>
      </c>
      <c r="I97" s="29">
        <f t="shared" si="5"/>
        <v>39486</v>
      </c>
    </row>
    <row r="98" spans="1:9" ht="12.75" hidden="1" customHeight="1" x14ac:dyDescent="0.2">
      <c r="A98" s="28">
        <v>39486</v>
      </c>
      <c r="B98" s="26" t="s">
        <v>891</v>
      </c>
      <c r="C98" s="26" t="s">
        <v>9</v>
      </c>
      <c r="D98" s="35" t="s">
        <v>20</v>
      </c>
      <c r="E98" s="35" t="s">
        <v>20</v>
      </c>
      <c r="F98" s="35">
        <v>19428291</v>
      </c>
      <c r="G98" t="b">
        <f t="shared" si="6"/>
        <v>0</v>
      </c>
      <c r="H98" t="b">
        <f t="shared" si="7"/>
        <v>0</v>
      </c>
      <c r="I98" s="29">
        <f t="shared" si="5"/>
        <v>39486</v>
      </c>
    </row>
    <row r="99" spans="1:9" ht="12.75" hidden="1" customHeight="1" x14ac:dyDescent="0.2">
      <c r="A99" s="28">
        <v>39486</v>
      </c>
      <c r="B99" s="26" t="s">
        <v>2663</v>
      </c>
      <c r="C99" s="26" t="s">
        <v>698</v>
      </c>
      <c r="D99" s="35">
        <v>15000000</v>
      </c>
      <c r="E99" s="35">
        <v>7800825</v>
      </c>
      <c r="F99" s="35">
        <v>30782621</v>
      </c>
      <c r="G99" t="b">
        <f t="shared" si="6"/>
        <v>0</v>
      </c>
      <c r="H99" t="b">
        <f t="shared" si="7"/>
        <v>0</v>
      </c>
      <c r="I99" s="29">
        <f t="shared" si="5"/>
        <v>39486</v>
      </c>
    </row>
    <row r="100" spans="1:9" ht="51" hidden="1" x14ac:dyDescent="0.2">
      <c r="A100" s="28">
        <v>39486</v>
      </c>
      <c r="B100" s="26" t="s">
        <v>378</v>
      </c>
      <c r="C100" s="26" t="s">
        <v>9</v>
      </c>
      <c r="D100" s="35" t="s">
        <v>20</v>
      </c>
      <c r="E100" s="35">
        <v>89672</v>
      </c>
      <c r="F100" s="35" t="s">
        <v>20</v>
      </c>
      <c r="G100" t="b">
        <f t="shared" si="6"/>
        <v>0</v>
      </c>
      <c r="H100" t="b">
        <f t="shared" si="7"/>
        <v>0</v>
      </c>
      <c r="I100" s="29">
        <f t="shared" si="5"/>
        <v>39486</v>
      </c>
    </row>
    <row r="101" spans="1:9" ht="12.75" hidden="1" customHeight="1" x14ac:dyDescent="0.2">
      <c r="A101" s="28">
        <v>39486</v>
      </c>
      <c r="B101" s="26" t="s">
        <v>244</v>
      </c>
      <c r="C101" s="26" t="s">
        <v>3209</v>
      </c>
      <c r="D101" s="35">
        <v>72500000</v>
      </c>
      <c r="E101" s="35">
        <v>70231041</v>
      </c>
      <c r="F101" s="35">
        <v>109362966</v>
      </c>
      <c r="G101" t="b">
        <f t="shared" si="6"/>
        <v>0</v>
      </c>
      <c r="H101" t="b">
        <f t="shared" si="7"/>
        <v>0</v>
      </c>
      <c r="I101" s="29">
        <f t="shared" si="5"/>
        <v>39486</v>
      </c>
    </row>
    <row r="102" spans="1:9" ht="38.25" hidden="1" x14ac:dyDescent="0.2">
      <c r="A102" s="28">
        <v>39486</v>
      </c>
      <c r="B102" s="26" t="s">
        <v>2473</v>
      </c>
      <c r="C102" s="26" t="s">
        <v>1582</v>
      </c>
      <c r="D102" s="35" t="s">
        <v>20</v>
      </c>
      <c r="E102" s="35">
        <v>14251</v>
      </c>
      <c r="F102" s="35" t="s">
        <v>20</v>
      </c>
      <c r="G102" t="b">
        <f t="shared" si="6"/>
        <v>0</v>
      </c>
      <c r="H102" t="b">
        <f t="shared" si="7"/>
        <v>0</v>
      </c>
      <c r="I102" s="29">
        <f t="shared" si="5"/>
        <v>39486</v>
      </c>
    </row>
    <row r="103" spans="1:9" ht="12.75" hidden="1" customHeight="1" x14ac:dyDescent="0.2">
      <c r="A103" s="28">
        <v>39486</v>
      </c>
      <c r="B103" s="26" t="s">
        <v>2851</v>
      </c>
      <c r="C103" s="26" t="s">
        <v>2990</v>
      </c>
      <c r="D103" s="35" t="s">
        <v>20</v>
      </c>
      <c r="E103" s="35" t="s">
        <v>20</v>
      </c>
      <c r="F103" s="35" t="s">
        <v>20</v>
      </c>
      <c r="G103" t="b">
        <f t="shared" si="6"/>
        <v>0</v>
      </c>
      <c r="H103" t="b">
        <f t="shared" si="7"/>
        <v>0</v>
      </c>
      <c r="I103" s="29">
        <f t="shared" si="5"/>
        <v>39486</v>
      </c>
    </row>
    <row r="104" spans="1:9" ht="12.75" hidden="1" customHeight="1" x14ac:dyDescent="0.2">
      <c r="A104" s="28">
        <v>39486</v>
      </c>
      <c r="B104" s="26" t="s">
        <v>1821</v>
      </c>
      <c r="C104" s="26" t="s">
        <v>1450</v>
      </c>
      <c r="D104" s="35" t="s">
        <v>20</v>
      </c>
      <c r="E104" s="35" t="s">
        <v>20</v>
      </c>
      <c r="F104" s="35" t="s">
        <v>20</v>
      </c>
      <c r="G104" t="b">
        <f t="shared" si="6"/>
        <v>0</v>
      </c>
      <c r="H104" t="b">
        <f t="shared" si="7"/>
        <v>0</v>
      </c>
      <c r="I104" s="29">
        <f t="shared" si="5"/>
        <v>39486</v>
      </c>
    </row>
    <row r="105" spans="1:9" ht="25.5" hidden="1" x14ac:dyDescent="0.2">
      <c r="A105" s="28">
        <v>39486</v>
      </c>
      <c r="B105" s="26" t="s">
        <v>129</v>
      </c>
      <c r="C105" s="26" t="s">
        <v>3096</v>
      </c>
      <c r="D105" s="35">
        <v>27500000</v>
      </c>
      <c r="E105" s="35">
        <v>42436517</v>
      </c>
      <c r="F105" s="35">
        <v>43607627</v>
      </c>
      <c r="G105" t="b">
        <f t="shared" si="6"/>
        <v>0</v>
      </c>
      <c r="H105" t="b">
        <f t="shared" si="7"/>
        <v>0</v>
      </c>
      <c r="I105" s="29">
        <f t="shared" si="5"/>
        <v>39486</v>
      </c>
    </row>
    <row r="106" spans="1:9" ht="25.5" hidden="1" x14ac:dyDescent="0.2">
      <c r="A106" s="28">
        <v>39486</v>
      </c>
      <c r="B106" s="26" t="s">
        <v>453</v>
      </c>
      <c r="C106" s="26" t="s">
        <v>2775</v>
      </c>
      <c r="D106" s="35" t="s">
        <v>20</v>
      </c>
      <c r="E106" s="35">
        <v>27696</v>
      </c>
      <c r="F106" s="35">
        <v>1527696</v>
      </c>
      <c r="G106" t="b">
        <f t="shared" si="6"/>
        <v>0</v>
      </c>
      <c r="H106" t="b">
        <f t="shared" si="7"/>
        <v>0</v>
      </c>
      <c r="I106" s="29">
        <f t="shared" si="5"/>
        <v>39486</v>
      </c>
    </row>
    <row r="107" spans="1:9" hidden="1" x14ac:dyDescent="0.2">
      <c r="A107" s="28">
        <v>39486</v>
      </c>
      <c r="B107" s="26" t="s">
        <v>1145</v>
      </c>
      <c r="C107" s="26" t="s">
        <v>612</v>
      </c>
      <c r="D107" s="35" t="s">
        <v>20</v>
      </c>
      <c r="E107" s="35">
        <v>3053823</v>
      </c>
      <c r="F107" s="35">
        <v>14555884</v>
      </c>
      <c r="G107" t="b">
        <f t="shared" si="6"/>
        <v>0</v>
      </c>
      <c r="H107" t="b">
        <f t="shared" si="7"/>
        <v>0</v>
      </c>
      <c r="I107" s="29">
        <f t="shared" si="5"/>
        <v>39486</v>
      </c>
    </row>
    <row r="108" spans="1:9" ht="25.5" hidden="1" x14ac:dyDescent="0.2">
      <c r="A108" s="28">
        <v>39487</v>
      </c>
      <c r="B108" s="26" t="s">
        <v>1843</v>
      </c>
      <c r="C108" s="26" t="s">
        <v>9</v>
      </c>
      <c r="D108" s="35" t="s">
        <v>20</v>
      </c>
      <c r="E108" s="35" t="s">
        <v>20</v>
      </c>
      <c r="F108" s="35">
        <v>9710761</v>
      </c>
      <c r="G108" t="b">
        <f t="shared" si="6"/>
        <v>0</v>
      </c>
      <c r="H108" t="b">
        <f t="shared" si="7"/>
        <v>0</v>
      </c>
      <c r="I108" s="29">
        <f t="shared" si="5"/>
        <v>39487</v>
      </c>
    </row>
    <row r="109" spans="1:9" ht="25.5" hidden="1" x14ac:dyDescent="0.2">
      <c r="A109" s="28">
        <v>39487</v>
      </c>
      <c r="B109" s="26" t="s">
        <v>2950</v>
      </c>
      <c r="C109" s="26" t="s">
        <v>9</v>
      </c>
      <c r="D109" s="35" t="s">
        <v>20</v>
      </c>
      <c r="E109" s="35" t="s">
        <v>20</v>
      </c>
      <c r="F109" s="35">
        <v>22730665</v>
      </c>
      <c r="G109" t="b">
        <f t="shared" si="6"/>
        <v>0</v>
      </c>
      <c r="H109" t="b">
        <f t="shared" si="7"/>
        <v>0</v>
      </c>
      <c r="I109" s="29">
        <f t="shared" si="5"/>
        <v>39487</v>
      </c>
    </row>
    <row r="110" spans="1:9" ht="12.75" hidden="1" customHeight="1" x14ac:dyDescent="0.2">
      <c r="A110" s="28">
        <v>39490</v>
      </c>
      <c r="B110" s="26" t="s">
        <v>597</v>
      </c>
      <c r="C110" s="26" t="s">
        <v>9</v>
      </c>
      <c r="D110" s="35" t="s">
        <v>20</v>
      </c>
      <c r="E110" s="35" t="s">
        <v>20</v>
      </c>
      <c r="F110" s="35" t="s">
        <v>20</v>
      </c>
      <c r="G110" t="b">
        <f t="shared" si="6"/>
        <v>0</v>
      </c>
      <c r="H110" t="b">
        <f t="shared" si="7"/>
        <v>0</v>
      </c>
      <c r="I110" s="29">
        <f t="shared" si="5"/>
        <v>39490</v>
      </c>
    </row>
    <row r="111" spans="1:9" ht="25.5" hidden="1" x14ac:dyDescent="0.2">
      <c r="A111" s="28">
        <v>39490</v>
      </c>
      <c r="B111" s="26" t="s">
        <v>683</v>
      </c>
      <c r="C111" s="26" t="s">
        <v>9</v>
      </c>
      <c r="D111" s="35" t="s">
        <v>20</v>
      </c>
      <c r="E111" s="35" t="s">
        <v>20</v>
      </c>
      <c r="F111" s="35" t="s">
        <v>20</v>
      </c>
      <c r="G111" t="b">
        <f t="shared" si="6"/>
        <v>0</v>
      </c>
      <c r="H111" t="b">
        <f t="shared" si="7"/>
        <v>0</v>
      </c>
      <c r="I111" s="29">
        <f t="shared" si="5"/>
        <v>39490</v>
      </c>
    </row>
    <row r="112" spans="1:9" ht="12.75" hidden="1" customHeight="1" x14ac:dyDescent="0.2">
      <c r="A112" s="28">
        <v>39490</v>
      </c>
      <c r="B112" s="26" t="s">
        <v>427</v>
      </c>
      <c r="C112" s="26" t="s">
        <v>9</v>
      </c>
      <c r="D112" s="35" t="s">
        <v>20</v>
      </c>
      <c r="E112" s="35" t="s">
        <v>20</v>
      </c>
      <c r="F112" s="35" t="s">
        <v>20</v>
      </c>
      <c r="G112" t="b">
        <f t="shared" si="6"/>
        <v>0</v>
      </c>
      <c r="H112" t="b">
        <f t="shared" si="7"/>
        <v>0</v>
      </c>
      <c r="I112" s="29">
        <f t="shared" si="5"/>
        <v>39490</v>
      </c>
    </row>
    <row r="113" spans="1:9" ht="25.5" hidden="1" x14ac:dyDescent="0.2">
      <c r="A113" s="28">
        <v>39490</v>
      </c>
      <c r="B113" s="26" t="s">
        <v>392</v>
      </c>
      <c r="C113" s="26" t="s">
        <v>2748</v>
      </c>
      <c r="D113" s="35" t="s">
        <v>20</v>
      </c>
      <c r="E113" s="35" t="s">
        <v>20</v>
      </c>
      <c r="F113" s="35">
        <v>592663</v>
      </c>
      <c r="G113" t="b">
        <f t="shared" si="6"/>
        <v>0</v>
      </c>
      <c r="H113" t="b">
        <f t="shared" si="7"/>
        <v>0</v>
      </c>
      <c r="I113" s="29">
        <f t="shared" si="5"/>
        <v>39490</v>
      </c>
    </row>
    <row r="114" spans="1:9" ht="12.75" hidden="1" customHeight="1" x14ac:dyDescent="0.2">
      <c r="A114" s="28">
        <v>39491</v>
      </c>
      <c r="B114" s="26" t="s">
        <v>1816</v>
      </c>
      <c r="C114" s="26" t="s">
        <v>2054</v>
      </c>
      <c r="D114" s="35" t="s">
        <v>20</v>
      </c>
      <c r="E114" s="35" t="s">
        <v>20</v>
      </c>
      <c r="F114" s="35" t="s">
        <v>20</v>
      </c>
      <c r="G114" t="b">
        <f t="shared" si="6"/>
        <v>0</v>
      </c>
      <c r="H114" t="b">
        <f t="shared" si="7"/>
        <v>0</v>
      </c>
      <c r="I114" s="29">
        <f t="shared" si="5"/>
        <v>39491</v>
      </c>
    </row>
    <row r="115" spans="1:9" ht="25.5" hidden="1" x14ac:dyDescent="0.2">
      <c r="A115" s="28">
        <v>39491</v>
      </c>
      <c r="B115" s="26" t="s">
        <v>663</v>
      </c>
      <c r="C115" s="26" t="s">
        <v>9</v>
      </c>
      <c r="D115" s="35" t="s">
        <v>20</v>
      </c>
      <c r="E115" s="35" t="s">
        <v>20</v>
      </c>
      <c r="F115" s="35">
        <v>1533689</v>
      </c>
      <c r="G115" t="b">
        <f t="shared" si="6"/>
        <v>0</v>
      </c>
      <c r="H115" t="b">
        <f t="shared" si="7"/>
        <v>0</v>
      </c>
      <c r="I115" s="29">
        <f t="shared" si="5"/>
        <v>39491</v>
      </c>
    </row>
    <row r="116" spans="1:9" ht="12.75" hidden="1" customHeight="1" x14ac:dyDescent="0.2">
      <c r="A116" s="28">
        <v>39491</v>
      </c>
      <c r="B116" s="26" t="s">
        <v>1937</v>
      </c>
      <c r="C116" s="26" t="s">
        <v>3466</v>
      </c>
      <c r="D116" s="35" t="s">
        <v>20</v>
      </c>
      <c r="E116" s="35" t="s">
        <v>20</v>
      </c>
      <c r="F116" s="35" t="s">
        <v>20</v>
      </c>
      <c r="G116" t="b">
        <f t="shared" si="6"/>
        <v>0</v>
      </c>
      <c r="H116" t="b">
        <f t="shared" si="7"/>
        <v>0</v>
      </c>
      <c r="I116" s="29">
        <f t="shared" si="5"/>
        <v>39491</v>
      </c>
    </row>
    <row r="117" spans="1:9" ht="12.75" hidden="1" customHeight="1" x14ac:dyDescent="0.2">
      <c r="A117" s="28">
        <v>39492</v>
      </c>
      <c r="B117" s="26" t="s">
        <v>2773</v>
      </c>
      <c r="C117" s="26" t="s">
        <v>384</v>
      </c>
      <c r="D117" s="35">
        <v>82500000</v>
      </c>
      <c r="E117" s="35">
        <v>80172128</v>
      </c>
      <c r="F117" s="35">
        <v>222117068</v>
      </c>
      <c r="G117" t="b">
        <f t="shared" si="6"/>
        <v>0</v>
      </c>
      <c r="H117" t="b">
        <f t="shared" si="7"/>
        <v>0</v>
      </c>
      <c r="I117" s="29">
        <f t="shared" si="5"/>
        <v>39492</v>
      </c>
    </row>
    <row r="118" spans="1:9" ht="12.75" hidden="1" customHeight="1" x14ac:dyDescent="0.2">
      <c r="A118" s="28">
        <v>39492</v>
      </c>
      <c r="B118" s="26" t="s">
        <v>3135</v>
      </c>
      <c r="C118" s="26" t="s">
        <v>9</v>
      </c>
      <c r="D118" s="35" t="s">
        <v>20</v>
      </c>
      <c r="E118" s="35" t="s">
        <v>20</v>
      </c>
      <c r="F118" s="35">
        <v>30049670</v>
      </c>
      <c r="G118" t="b">
        <f t="shared" si="6"/>
        <v>0</v>
      </c>
      <c r="H118" t="b">
        <f t="shared" si="7"/>
        <v>0</v>
      </c>
      <c r="I118" s="29">
        <f t="shared" si="5"/>
        <v>39492</v>
      </c>
    </row>
    <row r="119" spans="1:9" ht="25.5" hidden="1" x14ac:dyDescent="0.2">
      <c r="A119" s="28">
        <v>39492</v>
      </c>
      <c r="B119" s="26" t="s">
        <v>1178</v>
      </c>
      <c r="C119" s="26" t="s">
        <v>3390</v>
      </c>
      <c r="D119" s="35">
        <v>17500000</v>
      </c>
      <c r="E119" s="35">
        <v>58017783</v>
      </c>
      <c r="F119" s="35">
        <v>150017783</v>
      </c>
      <c r="G119" t="b">
        <f t="shared" si="6"/>
        <v>0</v>
      </c>
      <c r="H119" t="b">
        <f t="shared" si="7"/>
        <v>0</v>
      </c>
      <c r="I119" s="29">
        <f t="shared" si="5"/>
        <v>39492</v>
      </c>
    </row>
    <row r="120" spans="1:9" ht="12.75" hidden="1" customHeight="1" x14ac:dyDescent="0.2">
      <c r="A120" s="28">
        <v>39492</v>
      </c>
      <c r="B120" s="26" t="s">
        <v>2013</v>
      </c>
      <c r="C120" s="26" t="s">
        <v>9</v>
      </c>
      <c r="D120" s="35" t="s">
        <v>20</v>
      </c>
      <c r="E120" s="35" t="s">
        <v>20</v>
      </c>
      <c r="F120" s="35">
        <v>9482854</v>
      </c>
      <c r="G120" t="b">
        <f t="shared" si="6"/>
        <v>0</v>
      </c>
      <c r="H120" t="b">
        <f t="shared" si="7"/>
        <v>0</v>
      </c>
      <c r="I120" s="29">
        <f t="shared" si="5"/>
        <v>39492</v>
      </c>
    </row>
    <row r="121" spans="1:9" ht="12.75" hidden="1" customHeight="1" x14ac:dyDescent="0.2">
      <c r="A121" s="28">
        <v>39492</v>
      </c>
      <c r="B121" s="26" t="s">
        <v>1967</v>
      </c>
      <c r="C121" s="26" t="s">
        <v>9</v>
      </c>
      <c r="D121" s="35" t="s">
        <v>20</v>
      </c>
      <c r="E121" s="35">
        <v>3440718</v>
      </c>
      <c r="F121" s="35">
        <v>22674972</v>
      </c>
      <c r="G121" t="b">
        <f t="shared" si="6"/>
        <v>0</v>
      </c>
      <c r="H121" t="b">
        <f t="shared" si="7"/>
        <v>0</v>
      </c>
      <c r="I121" s="29">
        <f t="shared" si="5"/>
        <v>39492</v>
      </c>
    </row>
    <row r="122" spans="1:9" ht="12.75" hidden="1" customHeight="1" x14ac:dyDescent="0.2">
      <c r="A122" s="28">
        <v>39492</v>
      </c>
      <c r="B122" s="26" t="s">
        <v>1406</v>
      </c>
      <c r="C122" s="26" t="s">
        <v>9</v>
      </c>
      <c r="D122" s="35" t="s">
        <v>20</v>
      </c>
      <c r="E122" s="35">
        <v>4070</v>
      </c>
      <c r="F122" s="35" t="s">
        <v>20</v>
      </c>
      <c r="G122" t="b">
        <f t="shared" si="6"/>
        <v>0</v>
      </c>
      <c r="H122" t="b">
        <f t="shared" si="7"/>
        <v>0</v>
      </c>
      <c r="I122" s="29">
        <f t="shared" si="5"/>
        <v>39492</v>
      </c>
    </row>
    <row r="123" spans="1:9" ht="12.75" hidden="1" customHeight="1" x14ac:dyDescent="0.2">
      <c r="A123" s="28">
        <v>39492</v>
      </c>
      <c r="B123" s="26" t="s">
        <v>1790</v>
      </c>
      <c r="C123" s="26" t="s">
        <v>3096</v>
      </c>
      <c r="D123" s="35">
        <v>7000000</v>
      </c>
      <c r="E123" s="35">
        <v>32241649</v>
      </c>
      <c r="F123" s="35">
        <v>55534224</v>
      </c>
      <c r="G123" t="b">
        <f t="shared" si="6"/>
        <v>0</v>
      </c>
      <c r="H123" t="b">
        <f t="shared" si="7"/>
        <v>0</v>
      </c>
      <c r="I123" s="29">
        <f t="shared" si="5"/>
        <v>39492</v>
      </c>
    </row>
    <row r="124" spans="1:9" ht="25.5" hidden="1" x14ac:dyDescent="0.2">
      <c r="A124" s="28">
        <v>39492</v>
      </c>
      <c r="B124" s="26" t="s">
        <v>3345</v>
      </c>
      <c r="C124" s="26" t="s">
        <v>2168</v>
      </c>
      <c r="D124" s="35">
        <v>92500000</v>
      </c>
      <c r="E124" s="35">
        <v>71195053</v>
      </c>
      <c r="F124" s="35">
        <v>162839667</v>
      </c>
      <c r="G124" t="b">
        <f t="shared" si="6"/>
        <v>0</v>
      </c>
      <c r="H124" t="b">
        <f t="shared" si="7"/>
        <v>0</v>
      </c>
      <c r="I124" s="29">
        <f t="shared" si="5"/>
        <v>39492</v>
      </c>
    </row>
    <row r="125" spans="1:9" ht="12.75" hidden="1" customHeight="1" x14ac:dyDescent="0.2">
      <c r="A125" s="28">
        <v>39493</v>
      </c>
      <c r="B125" s="26" t="s">
        <v>1072</v>
      </c>
      <c r="C125" s="26" t="s">
        <v>49</v>
      </c>
      <c r="D125" s="35">
        <v>2750000</v>
      </c>
      <c r="E125" s="35">
        <v>952620</v>
      </c>
      <c r="F125" s="35">
        <v>4726656</v>
      </c>
      <c r="G125" t="b">
        <f t="shared" si="6"/>
        <v>0</v>
      </c>
      <c r="H125" t="b">
        <f t="shared" si="7"/>
        <v>0</v>
      </c>
      <c r="I125" s="29">
        <f t="shared" si="5"/>
        <v>39493</v>
      </c>
    </row>
    <row r="126" spans="1:9" ht="25.5" hidden="1" x14ac:dyDescent="0.2">
      <c r="A126" s="28">
        <v>39493</v>
      </c>
      <c r="B126" s="26" t="s">
        <v>1753</v>
      </c>
      <c r="C126" s="26" t="s">
        <v>9</v>
      </c>
      <c r="D126" s="35" t="s">
        <v>20</v>
      </c>
      <c r="E126" s="35">
        <v>29410</v>
      </c>
      <c r="F126" s="35" t="s">
        <v>20</v>
      </c>
      <c r="G126" t="b">
        <f t="shared" si="6"/>
        <v>0</v>
      </c>
      <c r="H126" t="b">
        <f t="shared" si="7"/>
        <v>0</v>
      </c>
      <c r="I126" s="29">
        <f t="shared" si="5"/>
        <v>39493</v>
      </c>
    </row>
    <row r="127" spans="1:9" ht="12.75" hidden="1" customHeight="1" x14ac:dyDescent="0.2">
      <c r="A127" s="28">
        <v>39493</v>
      </c>
      <c r="B127" s="26" t="s">
        <v>2692</v>
      </c>
      <c r="C127" s="26" t="s">
        <v>1619</v>
      </c>
      <c r="D127" s="35" t="s">
        <v>20</v>
      </c>
      <c r="E127" s="35">
        <v>336569</v>
      </c>
      <c r="F127" s="35" t="s">
        <v>20</v>
      </c>
      <c r="G127" t="b">
        <f t="shared" si="6"/>
        <v>0</v>
      </c>
      <c r="H127" t="b">
        <f t="shared" si="7"/>
        <v>0</v>
      </c>
      <c r="I127" s="29">
        <f t="shared" si="5"/>
        <v>39493</v>
      </c>
    </row>
    <row r="128" spans="1:9" ht="38.25" hidden="1" x14ac:dyDescent="0.2">
      <c r="A128" s="28">
        <v>39493</v>
      </c>
      <c r="B128" s="26" t="s">
        <v>1253</v>
      </c>
      <c r="C128" s="26" t="s">
        <v>9</v>
      </c>
      <c r="D128" s="35" t="s">
        <v>20</v>
      </c>
      <c r="E128" s="35">
        <v>508695</v>
      </c>
      <c r="F128" s="35" t="s">
        <v>20</v>
      </c>
      <c r="G128" t="b">
        <f t="shared" si="6"/>
        <v>0</v>
      </c>
      <c r="H128" t="b">
        <f t="shared" si="7"/>
        <v>0</v>
      </c>
      <c r="I128" s="29">
        <f t="shared" si="5"/>
        <v>39493</v>
      </c>
    </row>
    <row r="129" spans="1:9" ht="25.5" hidden="1" x14ac:dyDescent="0.2">
      <c r="A129" s="28">
        <v>39493</v>
      </c>
      <c r="B129" s="26" t="s">
        <v>1060</v>
      </c>
      <c r="C129" s="26" t="s">
        <v>721</v>
      </c>
      <c r="D129" s="35" t="s">
        <v>20</v>
      </c>
      <c r="E129" s="35">
        <v>84093</v>
      </c>
      <c r="F129" s="35" t="s">
        <v>20</v>
      </c>
      <c r="G129" t="b">
        <f t="shared" si="6"/>
        <v>0</v>
      </c>
      <c r="H129" t="b">
        <f t="shared" si="7"/>
        <v>0</v>
      </c>
      <c r="I129" s="29">
        <f t="shared" si="5"/>
        <v>39493</v>
      </c>
    </row>
    <row r="130" spans="1:9" ht="38.25" hidden="1" x14ac:dyDescent="0.2">
      <c r="A130" s="28">
        <v>39493</v>
      </c>
      <c r="B130" s="26" t="s">
        <v>1020</v>
      </c>
      <c r="C130" s="26" t="s">
        <v>221</v>
      </c>
      <c r="D130" s="35" t="s">
        <v>20</v>
      </c>
      <c r="E130" s="35">
        <v>807117</v>
      </c>
      <c r="F130" s="35">
        <v>2607117</v>
      </c>
      <c r="G130" t="b">
        <f t="shared" si="6"/>
        <v>0</v>
      </c>
      <c r="H130" t="b">
        <f t="shared" si="7"/>
        <v>0</v>
      </c>
      <c r="I130" s="29">
        <f t="shared" si="5"/>
        <v>39493</v>
      </c>
    </row>
    <row r="131" spans="1:9" ht="38.25" hidden="1" x14ac:dyDescent="0.2">
      <c r="A131" s="28">
        <v>39493</v>
      </c>
      <c r="B131" s="26" t="s">
        <v>3017</v>
      </c>
      <c r="C131" s="26" t="s">
        <v>1634</v>
      </c>
      <c r="D131" s="35">
        <v>6000000</v>
      </c>
      <c r="E131" s="35">
        <v>7714996</v>
      </c>
      <c r="F131" s="35">
        <v>17252287</v>
      </c>
      <c r="G131" t="b">
        <f t="shared" si="6"/>
        <v>0</v>
      </c>
      <c r="H131" t="b">
        <f t="shared" si="7"/>
        <v>0</v>
      </c>
      <c r="I131" s="29">
        <f t="shared" ref="I131:I194" si="8">DATE(2008,MONTH(A131), DAY(A131))</f>
        <v>39493</v>
      </c>
    </row>
    <row r="132" spans="1:9" ht="25.5" hidden="1" x14ac:dyDescent="0.2">
      <c r="A132" s="28">
        <v>39493</v>
      </c>
      <c r="B132" s="26" t="s">
        <v>2567</v>
      </c>
      <c r="C132" s="26" t="s">
        <v>9</v>
      </c>
      <c r="D132" s="35" t="s">
        <v>20</v>
      </c>
      <c r="E132" s="35">
        <v>195494</v>
      </c>
      <c r="F132" s="35" t="s">
        <v>20</v>
      </c>
      <c r="G132" t="b">
        <f t="shared" si="6"/>
        <v>0</v>
      </c>
      <c r="H132" t="b">
        <f t="shared" si="7"/>
        <v>0</v>
      </c>
      <c r="I132" s="29">
        <f t="shared" si="8"/>
        <v>39493</v>
      </c>
    </row>
    <row r="133" spans="1:9" ht="12.75" hidden="1" customHeight="1" x14ac:dyDescent="0.2">
      <c r="A133" s="28">
        <v>39497</v>
      </c>
      <c r="B133" s="26" t="s">
        <v>1109</v>
      </c>
      <c r="C133" s="26" t="s">
        <v>9</v>
      </c>
      <c r="D133" s="35" t="s">
        <v>20</v>
      </c>
      <c r="E133" s="35" t="s">
        <v>20</v>
      </c>
      <c r="F133" s="35" t="s">
        <v>20</v>
      </c>
      <c r="G133" t="b">
        <f t="shared" si="6"/>
        <v>0</v>
      </c>
      <c r="H133" t="b">
        <f t="shared" si="7"/>
        <v>0</v>
      </c>
      <c r="I133" s="29">
        <f t="shared" si="8"/>
        <v>39497</v>
      </c>
    </row>
    <row r="134" spans="1:9" ht="12.75" hidden="1" customHeight="1" x14ac:dyDescent="0.2">
      <c r="A134" s="28">
        <v>39497</v>
      </c>
      <c r="B134" s="26" t="s">
        <v>3186</v>
      </c>
      <c r="C134" s="26" t="s">
        <v>9</v>
      </c>
      <c r="D134" s="35" t="s">
        <v>20</v>
      </c>
      <c r="E134" s="35" t="s">
        <v>20</v>
      </c>
      <c r="F134" s="35" t="s">
        <v>20</v>
      </c>
      <c r="G134" t="b">
        <f t="shared" si="6"/>
        <v>0</v>
      </c>
      <c r="H134" t="b">
        <f t="shared" si="7"/>
        <v>0</v>
      </c>
      <c r="I134" s="29">
        <f t="shared" si="8"/>
        <v>39497</v>
      </c>
    </row>
    <row r="135" spans="1:9" ht="25.5" hidden="1" x14ac:dyDescent="0.2">
      <c r="A135" s="28">
        <v>39497</v>
      </c>
      <c r="B135" s="26" t="s">
        <v>675</v>
      </c>
      <c r="C135" s="26" t="s">
        <v>9</v>
      </c>
      <c r="D135" s="35" t="s">
        <v>20</v>
      </c>
      <c r="E135" s="35" t="s">
        <v>20</v>
      </c>
      <c r="F135" s="35" t="s">
        <v>20</v>
      </c>
      <c r="G135" t="b">
        <f t="shared" si="6"/>
        <v>0</v>
      </c>
      <c r="H135" t="b">
        <f t="shared" si="7"/>
        <v>0</v>
      </c>
      <c r="I135" s="29">
        <f t="shared" si="8"/>
        <v>39497</v>
      </c>
    </row>
    <row r="136" spans="1:9" ht="12.75" hidden="1" customHeight="1" x14ac:dyDescent="0.2">
      <c r="A136" s="28">
        <v>39497</v>
      </c>
      <c r="B136" s="26" t="s">
        <v>103</v>
      </c>
      <c r="C136" s="26" t="s">
        <v>9</v>
      </c>
      <c r="D136" s="35" t="s">
        <v>20</v>
      </c>
      <c r="E136" s="35" t="s">
        <v>20</v>
      </c>
      <c r="F136" s="35" t="s">
        <v>20</v>
      </c>
      <c r="G136" t="b">
        <f t="shared" si="6"/>
        <v>0</v>
      </c>
      <c r="H136" t="b">
        <f t="shared" si="7"/>
        <v>0</v>
      </c>
      <c r="I136" s="29">
        <f t="shared" si="8"/>
        <v>39497</v>
      </c>
    </row>
    <row r="137" spans="1:9" ht="38.25" hidden="1" x14ac:dyDescent="0.2">
      <c r="A137" s="28">
        <v>39497</v>
      </c>
      <c r="B137" s="26" t="s">
        <v>2794</v>
      </c>
      <c r="C137" s="26" t="s">
        <v>9</v>
      </c>
      <c r="D137" s="35" t="s">
        <v>20</v>
      </c>
      <c r="E137" s="35" t="s">
        <v>20</v>
      </c>
      <c r="F137" s="35" t="s">
        <v>20</v>
      </c>
      <c r="G137" t="b">
        <f t="shared" ref="G137:G173" si="9">ISBLANK(A137)</f>
        <v>0</v>
      </c>
      <c r="H137" t="b">
        <f t="shared" ref="H137:H173" si="10">ISTEXT(A137)</f>
        <v>0</v>
      </c>
      <c r="I137" s="29">
        <f t="shared" si="8"/>
        <v>39497</v>
      </c>
    </row>
    <row r="138" spans="1:9" ht="12.75" hidden="1" customHeight="1" x14ac:dyDescent="0.2">
      <c r="A138" s="28">
        <v>39499</v>
      </c>
      <c r="B138" s="26" t="s">
        <v>1043</v>
      </c>
      <c r="C138" s="26" t="s">
        <v>9</v>
      </c>
      <c r="D138" s="35" t="s">
        <v>20</v>
      </c>
      <c r="E138" s="35" t="s">
        <v>20</v>
      </c>
      <c r="F138" s="35">
        <v>8623914</v>
      </c>
      <c r="G138" t="b">
        <f t="shared" si="9"/>
        <v>0</v>
      </c>
      <c r="H138" t="b">
        <f t="shared" si="10"/>
        <v>0</v>
      </c>
      <c r="I138" s="29">
        <f t="shared" si="8"/>
        <v>39499</v>
      </c>
    </row>
    <row r="139" spans="1:9" ht="38.25" hidden="1" x14ac:dyDescent="0.2">
      <c r="A139" s="28">
        <v>39499</v>
      </c>
      <c r="B139" s="26" t="s">
        <v>561</v>
      </c>
      <c r="C139" s="26" t="s">
        <v>2624</v>
      </c>
      <c r="D139" s="35" t="s">
        <v>20</v>
      </c>
      <c r="E139" s="35" t="s">
        <v>20</v>
      </c>
      <c r="F139" s="35" t="s">
        <v>20</v>
      </c>
      <c r="G139" t="b">
        <f t="shared" si="9"/>
        <v>0</v>
      </c>
      <c r="H139" t="b">
        <f t="shared" si="10"/>
        <v>0</v>
      </c>
      <c r="I139" s="29">
        <f t="shared" si="8"/>
        <v>39499</v>
      </c>
    </row>
    <row r="140" spans="1:9" ht="12.75" hidden="1" customHeight="1" x14ac:dyDescent="0.2">
      <c r="A140" s="28">
        <v>39499</v>
      </c>
      <c r="B140" s="26" t="s">
        <v>351</v>
      </c>
      <c r="C140" s="26" t="s">
        <v>9</v>
      </c>
      <c r="D140" s="35" t="s">
        <v>20</v>
      </c>
      <c r="E140" s="35" t="s">
        <v>20</v>
      </c>
      <c r="F140" s="35">
        <v>13300000</v>
      </c>
      <c r="G140" t="b">
        <f t="shared" si="9"/>
        <v>0</v>
      </c>
      <c r="H140" t="b">
        <f t="shared" si="10"/>
        <v>0</v>
      </c>
      <c r="I140" s="29">
        <f t="shared" si="8"/>
        <v>39499</v>
      </c>
    </row>
    <row r="141" spans="1:9" ht="12.75" hidden="1" customHeight="1" x14ac:dyDescent="0.2">
      <c r="A141" s="28">
        <v>39500</v>
      </c>
      <c r="B141" s="26" t="s">
        <v>651</v>
      </c>
      <c r="C141" s="26" t="s">
        <v>2256</v>
      </c>
      <c r="D141" s="35" t="s">
        <v>20</v>
      </c>
      <c r="E141" s="35">
        <v>3950294</v>
      </c>
      <c r="F141" s="35">
        <v>5167868</v>
      </c>
      <c r="G141" t="b">
        <f t="shared" si="9"/>
        <v>0</v>
      </c>
      <c r="H141" t="b">
        <f t="shared" si="10"/>
        <v>0</v>
      </c>
      <c r="I141" s="29">
        <f t="shared" si="8"/>
        <v>39500</v>
      </c>
    </row>
    <row r="142" spans="1:9" ht="25.5" hidden="1" x14ac:dyDescent="0.2">
      <c r="A142" s="28">
        <v>39500</v>
      </c>
      <c r="B142" s="26" t="s">
        <v>727</v>
      </c>
      <c r="C142" s="26" t="s">
        <v>3466</v>
      </c>
      <c r="D142" s="35" t="s">
        <v>20</v>
      </c>
      <c r="E142" s="35">
        <v>278601</v>
      </c>
      <c r="F142" s="35" t="s">
        <v>20</v>
      </c>
      <c r="G142" t="b">
        <f t="shared" si="9"/>
        <v>0</v>
      </c>
      <c r="H142" t="b">
        <f t="shared" si="10"/>
        <v>0</v>
      </c>
      <c r="I142" s="29">
        <f t="shared" si="8"/>
        <v>39500</v>
      </c>
    </row>
    <row r="143" spans="1:9" ht="12.75" hidden="1" customHeight="1" x14ac:dyDescent="0.2">
      <c r="A143" s="28">
        <v>39500</v>
      </c>
      <c r="B143" s="26" t="s">
        <v>2143</v>
      </c>
      <c r="C143" s="26" t="s">
        <v>9</v>
      </c>
      <c r="D143" s="35" t="s">
        <v>20</v>
      </c>
      <c r="E143" s="35" t="s">
        <v>20</v>
      </c>
      <c r="F143" s="35">
        <v>24878340</v>
      </c>
      <c r="G143" t="b">
        <f t="shared" si="9"/>
        <v>0</v>
      </c>
      <c r="H143" t="b">
        <f t="shared" si="10"/>
        <v>0</v>
      </c>
      <c r="I143" s="29">
        <f t="shared" si="8"/>
        <v>39500</v>
      </c>
    </row>
    <row r="144" spans="1:9" ht="25.5" hidden="1" x14ac:dyDescent="0.2">
      <c r="A144" s="28">
        <v>39500</v>
      </c>
      <c r="B144" s="26" t="s">
        <v>1841</v>
      </c>
      <c r="C144" s="26" t="s">
        <v>9</v>
      </c>
      <c r="D144" s="35" t="s">
        <v>20</v>
      </c>
      <c r="E144" s="35">
        <v>23563</v>
      </c>
      <c r="F144" s="35" t="s">
        <v>20</v>
      </c>
      <c r="G144" t="b">
        <f t="shared" si="9"/>
        <v>0</v>
      </c>
      <c r="H144" t="b">
        <f t="shared" si="10"/>
        <v>0</v>
      </c>
      <c r="I144" s="29">
        <f t="shared" si="8"/>
        <v>39500</v>
      </c>
    </row>
    <row r="145" spans="1:9" ht="12.75" hidden="1" customHeight="1" x14ac:dyDescent="0.2">
      <c r="A145" s="28">
        <v>39500</v>
      </c>
      <c r="B145" s="26" t="s">
        <v>450</v>
      </c>
      <c r="C145" s="26" t="s">
        <v>2460</v>
      </c>
      <c r="D145" s="35">
        <v>20000000</v>
      </c>
      <c r="E145" s="35">
        <v>11175164</v>
      </c>
      <c r="F145" s="35">
        <v>28505302</v>
      </c>
      <c r="G145" t="b">
        <f t="shared" si="9"/>
        <v>0</v>
      </c>
      <c r="H145" t="b">
        <f t="shared" si="10"/>
        <v>0</v>
      </c>
      <c r="I145" s="29">
        <f t="shared" si="8"/>
        <v>39500</v>
      </c>
    </row>
    <row r="146" spans="1:9" ht="12.75" hidden="1" customHeight="1" x14ac:dyDescent="0.2">
      <c r="A146" s="28">
        <v>39500</v>
      </c>
      <c r="B146" s="26" t="s">
        <v>1518</v>
      </c>
      <c r="C146" s="26" t="s">
        <v>3419</v>
      </c>
      <c r="D146" s="35" t="s">
        <v>20</v>
      </c>
      <c r="E146" s="35">
        <v>4151836</v>
      </c>
      <c r="F146" s="35" t="s">
        <v>20</v>
      </c>
      <c r="G146" t="b">
        <f t="shared" si="9"/>
        <v>0</v>
      </c>
      <c r="H146" t="b">
        <f t="shared" si="10"/>
        <v>0</v>
      </c>
      <c r="I146" s="29">
        <f t="shared" si="8"/>
        <v>39500</v>
      </c>
    </row>
    <row r="147" spans="1:9" ht="12.75" hidden="1" customHeight="1" x14ac:dyDescent="0.2">
      <c r="A147" s="28">
        <v>39500</v>
      </c>
      <c r="B147" s="26" t="s">
        <v>2907</v>
      </c>
      <c r="C147" s="26" t="s">
        <v>2160</v>
      </c>
      <c r="D147" s="35" t="s">
        <v>20</v>
      </c>
      <c r="E147" s="35">
        <v>72266306</v>
      </c>
      <c r="F147" s="35">
        <v>150792579</v>
      </c>
      <c r="G147" t="b">
        <f t="shared" si="9"/>
        <v>0</v>
      </c>
      <c r="H147" t="b">
        <f t="shared" si="10"/>
        <v>0</v>
      </c>
      <c r="I147" s="29">
        <f t="shared" si="8"/>
        <v>39500</v>
      </c>
    </row>
    <row r="148" spans="1:9" ht="12.75" hidden="1" customHeight="1" x14ac:dyDescent="0.2">
      <c r="A148" s="28">
        <v>39500</v>
      </c>
      <c r="B148" s="26" t="s">
        <v>1009</v>
      </c>
      <c r="C148" s="26" t="s">
        <v>612</v>
      </c>
      <c r="D148" s="35">
        <v>6250000</v>
      </c>
      <c r="E148" s="35">
        <v>5488570</v>
      </c>
      <c r="F148" s="35">
        <v>19416495</v>
      </c>
      <c r="G148" t="b">
        <f t="shared" si="9"/>
        <v>0</v>
      </c>
      <c r="H148" t="b">
        <f t="shared" si="10"/>
        <v>0</v>
      </c>
      <c r="I148" s="29">
        <f t="shared" si="8"/>
        <v>39500</v>
      </c>
    </row>
    <row r="149" spans="1:9" ht="25.5" hidden="1" x14ac:dyDescent="0.2">
      <c r="A149" s="28">
        <v>39500</v>
      </c>
      <c r="B149" s="26" t="s">
        <v>599</v>
      </c>
      <c r="C149" s="26" t="s">
        <v>1619</v>
      </c>
      <c r="D149" s="35" t="s">
        <v>20</v>
      </c>
      <c r="E149" s="35">
        <v>360886</v>
      </c>
      <c r="F149" s="35" t="s">
        <v>20</v>
      </c>
      <c r="G149" t="b">
        <f t="shared" si="9"/>
        <v>0</v>
      </c>
      <c r="H149" t="b">
        <f t="shared" si="10"/>
        <v>0</v>
      </c>
      <c r="I149" s="29">
        <f t="shared" si="8"/>
        <v>39500</v>
      </c>
    </row>
    <row r="150" spans="1:9" ht="12.75" hidden="1" customHeight="1" x14ac:dyDescent="0.2">
      <c r="A150" s="28">
        <v>39500</v>
      </c>
      <c r="B150" s="26" t="s">
        <v>3403</v>
      </c>
      <c r="C150" s="26" t="s">
        <v>746</v>
      </c>
      <c r="D150" s="35" t="s">
        <v>20</v>
      </c>
      <c r="E150" s="35">
        <v>251150</v>
      </c>
      <c r="F150" s="35" t="s">
        <v>20</v>
      </c>
      <c r="G150" t="b">
        <f t="shared" si="9"/>
        <v>0</v>
      </c>
      <c r="H150" t="b">
        <f t="shared" si="10"/>
        <v>0</v>
      </c>
      <c r="I150" s="29">
        <f t="shared" si="8"/>
        <v>39500</v>
      </c>
    </row>
    <row r="151" spans="1:9" ht="12.75" hidden="1" customHeight="1" x14ac:dyDescent="0.2">
      <c r="A151" s="28">
        <v>39500</v>
      </c>
      <c r="B151" s="26" t="s">
        <v>825</v>
      </c>
      <c r="C151" s="26" t="s">
        <v>1582</v>
      </c>
      <c r="D151" s="35" t="s">
        <v>20</v>
      </c>
      <c r="E151" s="35">
        <v>79436</v>
      </c>
      <c r="F151" s="35" t="s">
        <v>20</v>
      </c>
      <c r="G151" t="b">
        <f t="shared" si="9"/>
        <v>0</v>
      </c>
      <c r="H151" t="b">
        <f t="shared" si="10"/>
        <v>0</v>
      </c>
      <c r="I151" s="29">
        <f t="shared" si="8"/>
        <v>39500</v>
      </c>
    </row>
    <row r="152" spans="1:9" ht="25.5" hidden="1" x14ac:dyDescent="0.2">
      <c r="A152" s="28">
        <v>39504</v>
      </c>
      <c r="B152" s="26" t="s">
        <v>2097</v>
      </c>
      <c r="C152" s="26" t="s">
        <v>1857</v>
      </c>
      <c r="D152" s="35" t="s">
        <v>20</v>
      </c>
      <c r="E152" s="35" t="s">
        <v>20</v>
      </c>
      <c r="F152" s="35" t="s">
        <v>20</v>
      </c>
      <c r="G152" t="b">
        <f t="shared" si="9"/>
        <v>0</v>
      </c>
      <c r="H152" t="b">
        <f t="shared" si="10"/>
        <v>0</v>
      </c>
      <c r="I152" s="29">
        <f t="shared" si="8"/>
        <v>39504</v>
      </c>
    </row>
    <row r="153" spans="1:9" ht="12.75" hidden="1" customHeight="1" x14ac:dyDescent="0.2">
      <c r="A153" s="28">
        <v>39504</v>
      </c>
      <c r="B153" s="26" t="s">
        <v>2056</v>
      </c>
      <c r="C153" s="26" t="s">
        <v>9</v>
      </c>
      <c r="D153" s="35" t="s">
        <v>20</v>
      </c>
      <c r="E153" s="35" t="s">
        <v>20</v>
      </c>
      <c r="F153" s="35" t="s">
        <v>20</v>
      </c>
      <c r="G153" t="b">
        <f t="shared" si="9"/>
        <v>0</v>
      </c>
      <c r="H153" t="b">
        <f t="shared" si="10"/>
        <v>0</v>
      </c>
      <c r="I153" s="29">
        <f t="shared" si="8"/>
        <v>39504</v>
      </c>
    </row>
    <row r="154" spans="1:9" ht="12.75" hidden="1" customHeight="1" x14ac:dyDescent="0.2">
      <c r="A154" s="28">
        <v>39504</v>
      </c>
      <c r="B154" s="26" t="s">
        <v>1334</v>
      </c>
      <c r="C154" s="26" t="s">
        <v>9</v>
      </c>
      <c r="D154" s="35" t="s">
        <v>20</v>
      </c>
      <c r="E154" s="35" t="s">
        <v>20</v>
      </c>
      <c r="F154" s="35" t="s">
        <v>20</v>
      </c>
      <c r="G154" t="b">
        <f t="shared" si="9"/>
        <v>0</v>
      </c>
      <c r="H154" t="b">
        <f t="shared" si="10"/>
        <v>0</v>
      </c>
      <c r="I154" s="29">
        <f t="shared" si="8"/>
        <v>39504</v>
      </c>
    </row>
    <row r="155" spans="1:9" ht="25.5" hidden="1" x14ac:dyDescent="0.2">
      <c r="A155" s="28">
        <v>39504</v>
      </c>
      <c r="B155" s="26" t="s">
        <v>112</v>
      </c>
      <c r="C155" s="26" t="s">
        <v>9</v>
      </c>
      <c r="D155" s="35" t="s">
        <v>20</v>
      </c>
      <c r="E155" s="35" t="s">
        <v>20</v>
      </c>
      <c r="F155" s="35" t="s">
        <v>20</v>
      </c>
      <c r="G155" t="b">
        <f t="shared" si="9"/>
        <v>0</v>
      </c>
      <c r="H155" t="b">
        <f t="shared" si="10"/>
        <v>0</v>
      </c>
      <c r="I155" s="29">
        <f t="shared" si="8"/>
        <v>39504</v>
      </c>
    </row>
    <row r="156" spans="1:9" ht="12.75" hidden="1" customHeight="1" x14ac:dyDescent="0.2">
      <c r="A156" s="28">
        <v>39504</v>
      </c>
      <c r="B156" s="26" t="s">
        <v>1383</v>
      </c>
      <c r="C156" s="26" t="s">
        <v>9</v>
      </c>
      <c r="D156" s="35" t="s">
        <v>20</v>
      </c>
      <c r="E156" s="35" t="s">
        <v>20</v>
      </c>
      <c r="F156" s="35" t="s">
        <v>20</v>
      </c>
      <c r="G156" t="b">
        <f t="shared" si="9"/>
        <v>0</v>
      </c>
      <c r="H156" t="b">
        <f t="shared" si="10"/>
        <v>0</v>
      </c>
      <c r="I156" s="29">
        <f t="shared" si="8"/>
        <v>39504</v>
      </c>
    </row>
    <row r="157" spans="1:9" ht="12.75" hidden="1" customHeight="1" x14ac:dyDescent="0.2">
      <c r="A157" s="28">
        <v>39504</v>
      </c>
      <c r="B157" s="26" t="s">
        <v>848</v>
      </c>
      <c r="C157" s="26" t="s">
        <v>9</v>
      </c>
      <c r="D157" s="35" t="s">
        <v>20</v>
      </c>
      <c r="E157" s="35" t="s">
        <v>20</v>
      </c>
      <c r="F157" s="35" t="s">
        <v>20</v>
      </c>
      <c r="G157" t="b">
        <f t="shared" si="9"/>
        <v>0</v>
      </c>
      <c r="H157" t="b">
        <f t="shared" si="10"/>
        <v>0</v>
      </c>
      <c r="I157" s="29">
        <f t="shared" si="8"/>
        <v>39504</v>
      </c>
    </row>
    <row r="158" spans="1:9" ht="25.5" hidden="1" x14ac:dyDescent="0.2">
      <c r="A158" s="28">
        <v>39504</v>
      </c>
      <c r="B158" s="26" t="s">
        <v>491</v>
      </c>
      <c r="C158" s="26" t="s">
        <v>3419</v>
      </c>
      <c r="D158" s="35" t="s">
        <v>20</v>
      </c>
      <c r="E158" s="35" t="s">
        <v>20</v>
      </c>
      <c r="F158" s="35" t="s">
        <v>20</v>
      </c>
      <c r="G158" t="b">
        <f t="shared" si="9"/>
        <v>0</v>
      </c>
      <c r="H158" t="b">
        <f t="shared" si="10"/>
        <v>0</v>
      </c>
      <c r="I158" s="29">
        <f t="shared" si="8"/>
        <v>39504</v>
      </c>
    </row>
    <row r="159" spans="1:9" ht="12.75" hidden="1" customHeight="1" x14ac:dyDescent="0.2">
      <c r="A159" s="28">
        <v>39505</v>
      </c>
      <c r="B159" s="26" t="s">
        <v>2521</v>
      </c>
      <c r="C159" s="26" t="s">
        <v>9</v>
      </c>
      <c r="D159" s="35" t="s">
        <v>20</v>
      </c>
      <c r="E159" s="35">
        <v>115775</v>
      </c>
      <c r="F159" s="35" t="s">
        <v>20</v>
      </c>
      <c r="G159" t="b">
        <f t="shared" si="9"/>
        <v>0</v>
      </c>
      <c r="H159" t="b">
        <f t="shared" si="10"/>
        <v>0</v>
      </c>
      <c r="I159" s="29">
        <f t="shared" si="8"/>
        <v>39505</v>
      </c>
    </row>
    <row r="160" spans="1:9" ht="12.75" hidden="1" customHeight="1" x14ac:dyDescent="0.2">
      <c r="A160" s="28">
        <v>39506</v>
      </c>
      <c r="B160" s="26" t="s">
        <v>2326</v>
      </c>
      <c r="C160" s="26" t="s">
        <v>9</v>
      </c>
      <c r="D160" s="35" t="s">
        <v>20</v>
      </c>
      <c r="E160" s="35" t="s">
        <v>20</v>
      </c>
      <c r="F160" s="35">
        <v>4913889</v>
      </c>
      <c r="G160" t="b">
        <f t="shared" si="9"/>
        <v>0</v>
      </c>
      <c r="H160" t="b">
        <f t="shared" si="10"/>
        <v>0</v>
      </c>
      <c r="I160" s="29">
        <f t="shared" si="8"/>
        <v>39506</v>
      </c>
    </row>
    <row r="161" spans="1:9" ht="12.75" hidden="1" customHeight="1" x14ac:dyDescent="0.2">
      <c r="A161" s="33">
        <v>39507</v>
      </c>
      <c r="B161" s="26" t="s">
        <v>106</v>
      </c>
      <c r="C161" s="26" t="s">
        <v>9</v>
      </c>
      <c r="D161" s="35">
        <v>2600000</v>
      </c>
      <c r="E161" s="35" t="s">
        <v>20</v>
      </c>
      <c r="F161" s="35" t="s">
        <v>20</v>
      </c>
      <c r="G161" t="b">
        <f t="shared" si="9"/>
        <v>0</v>
      </c>
      <c r="H161" s="32" t="b">
        <f t="shared" si="10"/>
        <v>0</v>
      </c>
      <c r="I161" s="29">
        <f t="shared" si="8"/>
        <v>39507</v>
      </c>
    </row>
    <row r="162" spans="1:9" ht="12.75" hidden="1" customHeight="1" x14ac:dyDescent="0.2">
      <c r="A162" s="33">
        <v>39507</v>
      </c>
      <c r="B162" s="26" t="s">
        <v>2331</v>
      </c>
      <c r="C162" s="26" t="s">
        <v>2051</v>
      </c>
      <c r="D162" s="35" t="s">
        <v>20</v>
      </c>
      <c r="E162" s="35">
        <v>3547</v>
      </c>
      <c r="F162" s="35" t="s">
        <v>20</v>
      </c>
      <c r="G162" t="b">
        <f t="shared" si="9"/>
        <v>0</v>
      </c>
      <c r="H162" s="32" t="b">
        <f t="shared" si="10"/>
        <v>0</v>
      </c>
      <c r="I162" s="29">
        <f t="shared" si="8"/>
        <v>39507</v>
      </c>
    </row>
    <row r="163" spans="1:9" ht="12.75" hidden="1" customHeight="1" x14ac:dyDescent="0.2">
      <c r="A163" s="33">
        <v>39507</v>
      </c>
      <c r="B163" s="26" t="s">
        <v>1772</v>
      </c>
      <c r="C163" s="26" t="s">
        <v>9</v>
      </c>
      <c r="D163" s="35" t="s">
        <v>20</v>
      </c>
      <c r="E163" s="35">
        <v>176545</v>
      </c>
      <c r="F163" s="35" t="s">
        <v>20</v>
      </c>
      <c r="G163" t="b">
        <f t="shared" si="9"/>
        <v>0</v>
      </c>
      <c r="H163" s="32" t="b">
        <f t="shared" si="10"/>
        <v>0</v>
      </c>
      <c r="I163" s="29">
        <f t="shared" si="8"/>
        <v>39507</v>
      </c>
    </row>
    <row r="164" spans="1:9" ht="12.75" hidden="1" customHeight="1" x14ac:dyDescent="0.2">
      <c r="A164" s="33">
        <v>39507</v>
      </c>
      <c r="B164" s="26" t="s">
        <v>168</v>
      </c>
      <c r="C164" s="26" t="s">
        <v>9</v>
      </c>
      <c r="D164" s="35" t="s">
        <v>20</v>
      </c>
      <c r="E164" s="35">
        <v>488393</v>
      </c>
      <c r="F164" s="35" t="s">
        <v>20</v>
      </c>
      <c r="G164" t="b">
        <f t="shared" si="9"/>
        <v>0</v>
      </c>
      <c r="H164" s="32" t="b">
        <f t="shared" si="10"/>
        <v>0</v>
      </c>
      <c r="I164" s="29">
        <f t="shared" si="8"/>
        <v>39507</v>
      </c>
    </row>
    <row r="165" spans="1:9" ht="12.75" hidden="1" customHeight="1" x14ac:dyDescent="0.2">
      <c r="A165" s="33">
        <v>39507</v>
      </c>
      <c r="B165" s="26" t="s">
        <v>856</v>
      </c>
      <c r="C165" s="26" t="s">
        <v>1066</v>
      </c>
      <c r="D165" s="35" t="s">
        <v>20</v>
      </c>
      <c r="E165" s="35">
        <v>10011996</v>
      </c>
      <c r="F165" s="35">
        <v>20746435</v>
      </c>
      <c r="G165" t="b">
        <f t="shared" si="9"/>
        <v>0</v>
      </c>
      <c r="H165" s="32" t="b">
        <f t="shared" si="10"/>
        <v>0</v>
      </c>
      <c r="I165" s="29">
        <f t="shared" si="8"/>
        <v>39507</v>
      </c>
    </row>
    <row r="166" spans="1:9" ht="25.5" hidden="1" x14ac:dyDescent="0.2">
      <c r="A166" s="33">
        <v>39507</v>
      </c>
      <c r="B166" s="26" t="s">
        <v>2613</v>
      </c>
      <c r="C166" s="26" t="s">
        <v>9</v>
      </c>
      <c r="D166" s="35" t="s">
        <v>20</v>
      </c>
      <c r="E166" s="35">
        <v>4283</v>
      </c>
      <c r="F166" s="35" t="s">
        <v>20</v>
      </c>
      <c r="G166" t="b">
        <f t="shared" si="9"/>
        <v>0</v>
      </c>
      <c r="H166" s="32" t="b">
        <f t="shared" si="10"/>
        <v>0</v>
      </c>
      <c r="I166" s="29">
        <f t="shared" si="8"/>
        <v>39507</v>
      </c>
    </row>
    <row r="167" spans="1:9" ht="12.75" hidden="1" customHeight="1" x14ac:dyDescent="0.2">
      <c r="A167" s="33">
        <v>39507</v>
      </c>
      <c r="B167" s="26" t="s">
        <v>2756</v>
      </c>
      <c r="C167" s="26" t="s">
        <v>9</v>
      </c>
      <c r="D167" s="35" t="s">
        <v>20</v>
      </c>
      <c r="E167" s="35">
        <v>11846</v>
      </c>
      <c r="F167" s="35">
        <v>6272554</v>
      </c>
      <c r="G167" t="b">
        <f t="shared" si="9"/>
        <v>0</v>
      </c>
      <c r="H167" s="32" t="b">
        <f t="shared" si="10"/>
        <v>0</v>
      </c>
      <c r="I167" s="29">
        <f t="shared" si="8"/>
        <v>39507</v>
      </c>
    </row>
    <row r="168" spans="1:9" ht="12.75" hidden="1" customHeight="1" x14ac:dyDescent="0.2">
      <c r="A168" s="33">
        <v>39507</v>
      </c>
      <c r="B168" s="26" t="s">
        <v>2873</v>
      </c>
      <c r="C168" s="26" t="s">
        <v>9</v>
      </c>
      <c r="D168" s="35" t="s">
        <v>20</v>
      </c>
      <c r="E168" s="35">
        <v>90287</v>
      </c>
      <c r="F168" s="35" t="s">
        <v>20</v>
      </c>
      <c r="G168" t="b">
        <f t="shared" si="9"/>
        <v>0</v>
      </c>
      <c r="H168" s="32" t="b">
        <f t="shared" si="10"/>
        <v>0</v>
      </c>
      <c r="I168" s="29">
        <f t="shared" si="8"/>
        <v>39507</v>
      </c>
    </row>
    <row r="169" spans="1:9" ht="12.75" hidden="1" customHeight="1" x14ac:dyDescent="0.2">
      <c r="A169" s="33">
        <v>39507</v>
      </c>
      <c r="B169" s="26" t="s">
        <v>1371</v>
      </c>
      <c r="C169" s="26" t="s">
        <v>2460</v>
      </c>
      <c r="D169" s="35" t="s">
        <v>20</v>
      </c>
      <c r="E169" s="35">
        <v>33479698</v>
      </c>
      <c r="F169" s="35">
        <v>43980363</v>
      </c>
      <c r="G169" t="b">
        <f t="shared" si="9"/>
        <v>0</v>
      </c>
      <c r="H169" s="32" t="b">
        <f t="shared" si="10"/>
        <v>0</v>
      </c>
      <c r="I169" s="29">
        <f t="shared" si="8"/>
        <v>39507</v>
      </c>
    </row>
    <row r="170" spans="1:9" ht="25.5" hidden="1" x14ac:dyDescent="0.2">
      <c r="A170" s="33">
        <v>39507</v>
      </c>
      <c r="B170" s="26" t="s">
        <v>3236</v>
      </c>
      <c r="C170" s="26" t="s">
        <v>3218</v>
      </c>
      <c r="D170" s="35" t="s">
        <v>20</v>
      </c>
      <c r="E170" s="35">
        <v>307076</v>
      </c>
      <c r="F170" s="35" t="s">
        <v>20</v>
      </c>
      <c r="G170" t="b">
        <f t="shared" si="9"/>
        <v>0</v>
      </c>
      <c r="H170" s="32" t="b">
        <f t="shared" si="10"/>
        <v>0</v>
      </c>
      <c r="I170" s="29">
        <f t="shared" si="8"/>
        <v>39507</v>
      </c>
    </row>
    <row r="171" spans="1:9" ht="25.5" hidden="1" x14ac:dyDescent="0.2">
      <c r="A171" s="33">
        <v>39507</v>
      </c>
      <c r="B171" s="26" t="s">
        <v>1701</v>
      </c>
      <c r="C171" s="26" t="s">
        <v>9</v>
      </c>
      <c r="D171" s="35" t="s">
        <v>20</v>
      </c>
      <c r="E171" s="35">
        <v>5202</v>
      </c>
      <c r="F171" s="35" t="s">
        <v>20</v>
      </c>
      <c r="G171" t="b">
        <f t="shared" si="9"/>
        <v>0</v>
      </c>
      <c r="H171" s="32" t="b">
        <f t="shared" si="10"/>
        <v>0</v>
      </c>
      <c r="I171" s="29">
        <f t="shared" si="8"/>
        <v>39507</v>
      </c>
    </row>
    <row r="172" spans="1:9" ht="25.5" hidden="1" x14ac:dyDescent="0.2">
      <c r="A172" s="33">
        <v>39507</v>
      </c>
      <c r="B172" s="26" t="s">
        <v>3462</v>
      </c>
      <c r="C172" s="26" t="s">
        <v>2160</v>
      </c>
      <c r="D172" s="35">
        <v>40000000</v>
      </c>
      <c r="E172" s="35">
        <v>26814957</v>
      </c>
      <c r="F172" s="35">
        <v>72944278</v>
      </c>
      <c r="G172" t="b">
        <f t="shared" si="9"/>
        <v>0</v>
      </c>
      <c r="H172" s="32" t="b">
        <f t="shared" si="10"/>
        <v>0</v>
      </c>
      <c r="I172" s="29">
        <f t="shared" si="8"/>
        <v>39507</v>
      </c>
    </row>
    <row r="173" spans="1:9" ht="25.5" hidden="1" x14ac:dyDescent="0.2">
      <c r="A173" s="33">
        <v>39507</v>
      </c>
      <c r="B173" s="26" t="s">
        <v>2399</v>
      </c>
      <c r="C173" s="26" t="s">
        <v>1583</v>
      </c>
      <c r="D173" s="35" t="s">
        <v>20</v>
      </c>
      <c r="E173" s="35">
        <v>667</v>
      </c>
      <c r="F173" s="35" t="s">
        <v>20</v>
      </c>
      <c r="G173" t="b">
        <f t="shared" si="9"/>
        <v>0</v>
      </c>
      <c r="H173" s="32" t="b">
        <f t="shared" si="10"/>
        <v>0</v>
      </c>
      <c r="I173" s="29">
        <f t="shared" si="8"/>
        <v>39507</v>
      </c>
    </row>
    <row r="174" spans="1:9" ht="63.75" hidden="1" x14ac:dyDescent="0.2">
      <c r="A174" s="28">
        <v>39508</v>
      </c>
      <c r="B174" s="26" t="s">
        <v>503</v>
      </c>
      <c r="C174" s="26" t="s">
        <v>9</v>
      </c>
      <c r="D174" s="35" t="s">
        <v>20</v>
      </c>
      <c r="E174" s="35" t="s">
        <v>20</v>
      </c>
      <c r="F174" s="35">
        <v>1574571</v>
      </c>
      <c r="G174" t="b">
        <f t="shared" ref="G174:G235" si="11">ISBLANK(A174)</f>
        <v>0</v>
      </c>
      <c r="H174" t="b">
        <f t="shared" ref="H174:H235" si="12">ISTEXT(A174)</f>
        <v>0</v>
      </c>
      <c r="I174" s="29">
        <f t="shared" si="8"/>
        <v>39508</v>
      </c>
    </row>
    <row r="175" spans="1:9" ht="51" hidden="1" x14ac:dyDescent="0.2">
      <c r="A175" s="28">
        <v>39510</v>
      </c>
      <c r="B175" s="26" t="s">
        <v>2363</v>
      </c>
      <c r="C175" s="26" t="s">
        <v>9</v>
      </c>
      <c r="D175" s="35" t="s">
        <v>20</v>
      </c>
      <c r="E175" s="35" t="s">
        <v>20</v>
      </c>
      <c r="F175" s="35" t="s">
        <v>20</v>
      </c>
      <c r="G175" t="b">
        <f t="shared" si="11"/>
        <v>0</v>
      </c>
      <c r="H175" t="b">
        <f t="shared" si="12"/>
        <v>0</v>
      </c>
      <c r="I175" s="29">
        <f t="shared" si="8"/>
        <v>39510</v>
      </c>
    </row>
    <row r="176" spans="1:9" ht="25.5" hidden="1" x14ac:dyDescent="0.2">
      <c r="A176" s="28">
        <v>39511</v>
      </c>
      <c r="B176" s="26" t="s">
        <v>772</v>
      </c>
      <c r="C176" s="26" t="s">
        <v>9</v>
      </c>
      <c r="D176" s="35" t="s">
        <v>20</v>
      </c>
      <c r="E176" s="35" t="s">
        <v>20</v>
      </c>
      <c r="F176" s="35" t="s">
        <v>20</v>
      </c>
      <c r="G176" t="b">
        <f t="shared" si="11"/>
        <v>0</v>
      </c>
      <c r="H176" t="b">
        <f t="shared" si="12"/>
        <v>0</v>
      </c>
      <c r="I176" s="29">
        <f t="shared" si="8"/>
        <v>39511</v>
      </c>
    </row>
    <row r="177" spans="1:9" ht="12.75" hidden="1" customHeight="1" x14ac:dyDescent="0.2">
      <c r="A177" s="28">
        <v>39511</v>
      </c>
      <c r="B177" s="26" t="s">
        <v>2656</v>
      </c>
      <c r="C177" s="26" t="s">
        <v>9</v>
      </c>
      <c r="D177" s="35" t="s">
        <v>20</v>
      </c>
      <c r="E177" s="35" t="s">
        <v>20</v>
      </c>
      <c r="F177" s="35" t="s">
        <v>20</v>
      </c>
      <c r="G177" t="b">
        <f t="shared" si="11"/>
        <v>0</v>
      </c>
      <c r="H177" t="b">
        <f t="shared" si="12"/>
        <v>0</v>
      </c>
      <c r="I177" s="29">
        <f t="shared" si="8"/>
        <v>39511</v>
      </c>
    </row>
    <row r="178" spans="1:9" ht="25.5" hidden="1" x14ac:dyDescent="0.2">
      <c r="A178" s="28">
        <v>39511</v>
      </c>
      <c r="B178" s="26" t="s">
        <v>2390</v>
      </c>
      <c r="C178" s="26" t="s">
        <v>2298</v>
      </c>
      <c r="D178" s="35" t="s">
        <v>20</v>
      </c>
      <c r="E178" s="35" t="s">
        <v>20</v>
      </c>
      <c r="F178" s="35" t="s">
        <v>20</v>
      </c>
      <c r="G178" t="b">
        <f t="shared" si="11"/>
        <v>0</v>
      </c>
      <c r="H178" t="b">
        <f t="shared" si="12"/>
        <v>0</v>
      </c>
      <c r="I178" s="29">
        <f t="shared" si="8"/>
        <v>39511</v>
      </c>
    </row>
    <row r="179" spans="1:9" ht="38.25" hidden="1" x14ac:dyDescent="0.2">
      <c r="A179" s="28">
        <v>39511</v>
      </c>
      <c r="B179" s="26" t="s">
        <v>2077</v>
      </c>
      <c r="C179" s="26" t="s">
        <v>9</v>
      </c>
      <c r="D179" s="35" t="s">
        <v>20</v>
      </c>
      <c r="E179" s="35" t="s">
        <v>20</v>
      </c>
      <c r="F179" s="35" t="s">
        <v>20</v>
      </c>
      <c r="G179" t="b">
        <f t="shared" si="11"/>
        <v>0</v>
      </c>
      <c r="H179" t="b">
        <f t="shared" si="12"/>
        <v>0</v>
      </c>
      <c r="I179" s="29">
        <f t="shared" si="8"/>
        <v>39511</v>
      </c>
    </row>
    <row r="180" spans="1:9" ht="12.75" hidden="1" customHeight="1" x14ac:dyDescent="0.2">
      <c r="A180" s="28">
        <v>39511</v>
      </c>
      <c r="B180" s="26" t="s">
        <v>3276</v>
      </c>
      <c r="C180" s="26" t="s">
        <v>9</v>
      </c>
      <c r="D180" s="35" t="s">
        <v>20</v>
      </c>
      <c r="E180" s="35" t="s">
        <v>20</v>
      </c>
      <c r="F180" s="35" t="s">
        <v>20</v>
      </c>
      <c r="G180" t="b">
        <f t="shared" si="11"/>
        <v>0</v>
      </c>
      <c r="H180" t="b">
        <f t="shared" si="12"/>
        <v>0</v>
      </c>
      <c r="I180" s="29">
        <f t="shared" si="8"/>
        <v>39511</v>
      </c>
    </row>
    <row r="181" spans="1:9" ht="25.5" hidden="1" x14ac:dyDescent="0.2">
      <c r="A181" s="28">
        <v>39511</v>
      </c>
      <c r="B181" s="26" t="s">
        <v>1409</v>
      </c>
      <c r="C181" s="26" t="s">
        <v>9</v>
      </c>
      <c r="D181" s="35" t="s">
        <v>20</v>
      </c>
      <c r="E181" s="35" t="s">
        <v>20</v>
      </c>
      <c r="F181" s="35" t="s">
        <v>20</v>
      </c>
      <c r="G181" t="b">
        <f t="shared" si="11"/>
        <v>0</v>
      </c>
      <c r="H181" t="b">
        <f t="shared" si="12"/>
        <v>0</v>
      </c>
      <c r="I181" s="29">
        <f t="shared" si="8"/>
        <v>39511</v>
      </c>
    </row>
    <row r="182" spans="1:9" ht="25.5" hidden="1" x14ac:dyDescent="0.2">
      <c r="A182" s="28">
        <v>39512</v>
      </c>
      <c r="B182" s="26" t="s">
        <v>2147</v>
      </c>
      <c r="C182" s="26" t="s">
        <v>9</v>
      </c>
      <c r="D182" s="35" t="s">
        <v>20</v>
      </c>
      <c r="E182" s="35" t="s">
        <v>20</v>
      </c>
      <c r="F182" s="35">
        <v>4183710</v>
      </c>
      <c r="G182" t="b">
        <f t="shared" si="11"/>
        <v>0</v>
      </c>
      <c r="H182" t="b">
        <f t="shared" si="12"/>
        <v>0</v>
      </c>
      <c r="I182" s="29">
        <f t="shared" si="8"/>
        <v>39512</v>
      </c>
    </row>
    <row r="183" spans="1:9" ht="12.75" hidden="1" customHeight="1" x14ac:dyDescent="0.2">
      <c r="A183" s="28">
        <v>39512</v>
      </c>
      <c r="B183" s="26" t="s">
        <v>1644</v>
      </c>
      <c r="C183" s="26" t="s">
        <v>9</v>
      </c>
      <c r="D183" s="35" t="s">
        <v>20</v>
      </c>
      <c r="E183" s="35">
        <v>89169</v>
      </c>
      <c r="F183" s="35" t="s">
        <v>20</v>
      </c>
      <c r="G183" t="b">
        <f t="shared" si="11"/>
        <v>0</v>
      </c>
      <c r="H183" t="b">
        <f t="shared" si="12"/>
        <v>0</v>
      </c>
      <c r="I183" s="29">
        <f t="shared" si="8"/>
        <v>39512</v>
      </c>
    </row>
    <row r="184" spans="1:9" ht="25.5" hidden="1" x14ac:dyDescent="0.2">
      <c r="A184" s="28">
        <v>39513</v>
      </c>
      <c r="B184" s="26" t="s">
        <v>3295</v>
      </c>
      <c r="C184" s="26" t="s">
        <v>9</v>
      </c>
      <c r="D184" s="35" t="s">
        <v>20</v>
      </c>
      <c r="E184" s="35" t="s">
        <v>20</v>
      </c>
      <c r="F184" s="35">
        <v>4991819</v>
      </c>
      <c r="G184" t="b">
        <f t="shared" si="11"/>
        <v>0</v>
      </c>
      <c r="H184" t="b">
        <f t="shared" si="12"/>
        <v>0</v>
      </c>
      <c r="I184" s="29">
        <f t="shared" si="8"/>
        <v>39513</v>
      </c>
    </row>
    <row r="185" spans="1:9" ht="12.75" hidden="1" customHeight="1" x14ac:dyDescent="0.2">
      <c r="A185" s="28">
        <v>39514</v>
      </c>
      <c r="B185" s="26" t="s">
        <v>430</v>
      </c>
      <c r="C185" s="26" t="s">
        <v>3209</v>
      </c>
      <c r="D185" s="35">
        <v>105000000</v>
      </c>
      <c r="E185" s="35">
        <v>94784201</v>
      </c>
      <c r="F185" s="35">
        <v>269065678</v>
      </c>
      <c r="G185" t="b">
        <f t="shared" si="11"/>
        <v>0</v>
      </c>
      <c r="H185" t="b">
        <f t="shared" si="12"/>
        <v>0</v>
      </c>
      <c r="I185" s="29">
        <f t="shared" si="8"/>
        <v>39514</v>
      </c>
    </row>
    <row r="186" spans="1:9" ht="12.75" hidden="1" customHeight="1" x14ac:dyDescent="0.2">
      <c r="A186" s="28">
        <v>39514</v>
      </c>
      <c r="B186" s="26" t="s">
        <v>3325</v>
      </c>
      <c r="C186" s="26" t="s">
        <v>1619</v>
      </c>
      <c r="D186" s="35" t="s">
        <v>20</v>
      </c>
      <c r="E186" s="35">
        <v>466309</v>
      </c>
      <c r="F186" s="35" t="s">
        <v>20</v>
      </c>
      <c r="G186" t="b">
        <f t="shared" si="11"/>
        <v>0</v>
      </c>
      <c r="H186" t="b">
        <f t="shared" si="12"/>
        <v>0</v>
      </c>
      <c r="I186" s="29">
        <f t="shared" si="8"/>
        <v>39514</v>
      </c>
    </row>
    <row r="187" spans="1:9" ht="25.5" hidden="1" x14ac:dyDescent="0.2">
      <c r="A187" s="28">
        <v>39514</v>
      </c>
      <c r="B187" s="26" t="s">
        <v>1377</v>
      </c>
      <c r="C187" s="26" t="s">
        <v>1438</v>
      </c>
      <c r="D187" s="35" t="s">
        <v>20</v>
      </c>
      <c r="E187" s="35">
        <v>71716</v>
      </c>
      <c r="F187" s="35" t="s">
        <v>20</v>
      </c>
      <c r="G187" t="b">
        <f t="shared" si="11"/>
        <v>0</v>
      </c>
      <c r="H187" t="b">
        <f t="shared" si="12"/>
        <v>0</v>
      </c>
      <c r="I187" s="29">
        <f t="shared" si="8"/>
        <v>39514</v>
      </c>
    </row>
    <row r="188" spans="1:9" hidden="1" x14ac:dyDescent="0.2">
      <c r="A188" s="28">
        <v>39514</v>
      </c>
      <c r="B188" s="26" t="s">
        <v>872</v>
      </c>
      <c r="C188" s="26" t="s">
        <v>9</v>
      </c>
      <c r="D188" s="35" t="s">
        <v>20</v>
      </c>
      <c r="E188" s="35" t="s">
        <v>20</v>
      </c>
      <c r="F188" s="35">
        <v>5858956</v>
      </c>
      <c r="G188" t="b">
        <f t="shared" si="11"/>
        <v>0</v>
      </c>
      <c r="H188" t="b">
        <f t="shared" si="12"/>
        <v>0</v>
      </c>
      <c r="I188" s="29">
        <f t="shared" si="8"/>
        <v>39514</v>
      </c>
    </row>
    <row r="189" spans="1:9" ht="25.5" hidden="1" x14ac:dyDescent="0.2">
      <c r="A189" s="28">
        <v>39514</v>
      </c>
      <c r="B189" s="26" t="s">
        <v>8</v>
      </c>
      <c r="C189" s="26" t="s">
        <v>9</v>
      </c>
      <c r="D189" s="35" t="s">
        <v>20</v>
      </c>
      <c r="E189" s="35" t="s">
        <v>20</v>
      </c>
      <c r="F189" s="35">
        <v>18725496</v>
      </c>
      <c r="G189" t="b">
        <f t="shared" si="11"/>
        <v>0</v>
      </c>
      <c r="H189" t="b">
        <f t="shared" si="12"/>
        <v>0</v>
      </c>
      <c r="I189" s="29">
        <f t="shared" si="8"/>
        <v>39514</v>
      </c>
    </row>
    <row r="190" spans="1:9" ht="12.75" hidden="1" customHeight="1" x14ac:dyDescent="0.2">
      <c r="A190" s="28">
        <v>39514</v>
      </c>
      <c r="B190" s="26" t="s">
        <v>1292</v>
      </c>
      <c r="C190" s="26" t="s">
        <v>9</v>
      </c>
      <c r="D190" s="35" t="s">
        <v>20</v>
      </c>
      <c r="E190" s="35" t="s">
        <v>20</v>
      </c>
      <c r="F190" s="35">
        <v>5799137</v>
      </c>
      <c r="G190" t="b">
        <f t="shared" si="11"/>
        <v>0</v>
      </c>
      <c r="H190" t="b">
        <f t="shared" si="12"/>
        <v>0</v>
      </c>
      <c r="I190" s="29">
        <f t="shared" si="8"/>
        <v>39514</v>
      </c>
    </row>
    <row r="191" spans="1:9" ht="12.75" hidden="1" customHeight="1" x14ac:dyDescent="0.2">
      <c r="A191" s="28">
        <v>39514</v>
      </c>
      <c r="B191" s="26" t="s">
        <v>2704</v>
      </c>
      <c r="C191" s="26" t="s">
        <v>647</v>
      </c>
      <c r="D191" s="35" t="s">
        <v>20</v>
      </c>
      <c r="E191" s="35" t="s">
        <v>20</v>
      </c>
      <c r="F191" s="35">
        <v>6789166</v>
      </c>
      <c r="G191" t="b">
        <f t="shared" si="11"/>
        <v>0</v>
      </c>
      <c r="H191" t="b">
        <f t="shared" si="12"/>
        <v>0</v>
      </c>
      <c r="I191" s="29">
        <f t="shared" si="8"/>
        <v>39514</v>
      </c>
    </row>
    <row r="192" spans="1:9" ht="25.5" hidden="1" x14ac:dyDescent="0.2">
      <c r="A192" s="28">
        <v>39514</v>
      </c>
      <c r="B192" s="26" t="s">
        <v>2295</v>
      </c>
      <c r="C192" s="26" t="s">
        <v>698</v>
      </c>
      <c r="D192" s="35" t="s">
        <v>20</v>
      </c>
      <c r="E192" s="35">
        <v>12313694</v>
      </c>
      <c r="F192" s="35">
        <v>15172953</v>
      </c>
      <c r="G192" t="b">
        <f t="shared" si="11"/>
        <v>0</v>
      </c>
      <c r="H192" t="b">
        <f t="shared" si="12"/>
        <v>0</v>
      </c>
      <c r="I192" s="29">
        <f t="shared" si="8"/>
        <v>39514</v>
      </c>
    </row>
    <row r="193" spans="1:9" ht="12.75" hidden="1" customHeight="1" x14ac:dyDescent="0.2">
      <c r="A193" s="28">
        <v>39514</v>
      </c>
      <c r="B193" s="26" t="s">
        <v>903</v>
      </c>
      <c r="C193" s="26" t="s">
        <v>9</v>
      </c>
      <c r="D193" s="35" t="s">
        <v>20</v>
      </c>
      <c r="E193" s="35">
        <v>159294</v>
      </c>
      <c r="F193" s="35" t="s">
        <v>20</v>
      </c>
      <c r="G193" t="b">
        <f t="shared" si="11"/>
        <v>0</v>
      </c>
      <c r="H193" t="b">
        <f t="shared" si="12"/>
        <v>0</v>
      </c>
      <c r="I193" s="29">
        <f t="shared" si="8"/>
        <v>39514</v>
      </c>
    </row>
    <row r="194" spans="1:9" ht="12.75" hidden="1" customHeight="1" x14ac:dyDescent="0.2">
      <c r="A194" s="28">
        <v>39514</v>
      </c>
      <c r="B194" s="26" t="s">
        <v>2501</v>
      </c>
      <c r="C194" s="26" t="s">
        <v>9</v>
      </c>
      <c r="D194" s="35">
        <v>20000000</v>
      </c>
      <c r="E194" s="35">
        <v>206678</v>
      </c>
      <c r="F194" s="35">
        <v>47300771</v>
      </c>
      <c r="G194" t="b">
        <f t="shared" si="11"/>
        <v>0</v>
      </c>
      <c r="H194" t="b">
        <f t="shared" si="12"/>
        <v>0</v>
      </c>
      <c r="I194" s="29">
        <f t="shared" si="8"/>
        <v>39514</v>
      </c>
    </row>
    <row r="195" spans="1:9" ht="12.75" hidden="1" customHeight="1" x14ac:dyDescent="0.2">
      <c r="A195" s="28">
        <v>39514</v>
      </c>
      <c r="B195" s="26" t="s">
        <v>3066</v>
      </c>
      <c r="C195" s="26" t="s">
        <v>833</v>
      </c>
      <c r="D195" s="35" t="s">
        <v>20</v>
      </c>
      <c r="E195" s="35" t="s">
        <v>20</v>
      </c>
      <c r="F195" s="35" t="s">
        <v>20</v>
      </c>
      <c r="G195" t="b">
        <f t="shared" si="11"/>
        <v>0</v>
      </c>
      <c r="H195" t="b">
        <f t="shared" si="12"/>
        <v>0</v>
      </c>
      <c r="I195" s="29">
        <f t="shared" ref="I195:I258" si="13">DATE(2008,MONTH(A195), DAY(A195))</f>
        <v>39514</v>
      </c>
    </row>
    <row r="196" spans="1:9" ht="12.75" hidden="1" customHeight="1" x14ac:dyDescent="0.2">
      <c r="A196" s="28">
        <v>39514</v>
      </c>
      <c r="B196" s="26" t="s">
        <v>2406</v>
      </c>
      <c r="C196" s="26" t="s">
        <v>3390</v>
      </c>
      <c r="D196" s="35" t="s">
        <v>20</v>
      </c>
      <c r="E196" s="35">
        <v>45610425</v>
      </c>
      <c r="F196" s="35">
        <v>50873923</v>
      </c>
      <c r="G196" t="b">
        <f t="shared" si="11"/>
        <v>0</v>
      </c>
      <c r="H196" t="b">
        <f t="shared" si="12"/>
        <v>0</v>
      </c>
      <c r="I196" s="29">
        <f t="shared" si="13"/>
        <v>39514</v>
      </c>
    </row>
    <row r="197" spans="1:9" ht="12.75" hidden="1" customHeight="1" x14ac:dyDescent="0.2">
      <c r="A197" s="28">
        <v>39514</v>
      </c>
      <c r="B197" s="26" t="s">
        <v>703</v>
      </c>
      <c r="C197" s="26" t="s">
        <v>2466</v>
      </c>
      <c r="D197" s="35" t="s">
        <v>20</v>
      </c>
      <c r="E197" s="35">
        <v>30606</v>
      </c>
      <c r="F197" s="35" t="s">
        <v>20</v>
      </c>
      <c r="G197" t="b">
        <f t="shared" si="11"/>
        <v>0</v>
      </c>
      <c r="H197" t="b">
        <f t="shared" si="12"/>
        <v>0</v>
      </c>
      <c r="I197" s="29">
        <f t="shared" si="13"/>
        <v>39514</v>
      </c>
    </row>
    <row r="198" spans="1:9" ht="12.75" hidden="1" customHeight="1" x14ac:dyDescent="0.2">
      <c r="A198" s="28">
        <v>39514</v>
      </c>
      <c r="B198" s="26" t="s">
        <v>2307</v>
      </c>
      <c r="C198" s="26" t="s">
        <v>3419</v>
      </c>
      <c r="D198" s="35">
        <v>20000000</v>
      </c>
      <c r="E198" s="35">
        <v>30060660</v>
      </c>
      <c r="F198" s="35">
        <v>63060660</v>
      </c>
      <c r="G198" t="b">
        <f t="shared" si="11"/>
        <v>0</v>
      </c>
      <c r="H198" t="b">
        <f t="shared" si="12"/>
        <v>0</v>
      </c>
      <c r="I198" s="29">
        <f t="shared" si="13"/>
        <v>39514</v>
      </c>
    </row>
    <row r="199" spans="1:9" ht="38.25" hidden="1" x14ac:dyDescent="0.2">
      <c r="A199" s="28">
        <v>39514</v>
      </c>
      <c r="B199" s="26" t="s">
        <v>1375</v>
      </c>
      <c r="C199" s="26" t="s">
        <v>2837</v>
      </c>
      <c r="D199" s="35" t="s">
        <v>20</v>
      </c>
      <c r="E199" s="35">
        <v>402858</v>
      </c>
      <c r="F199" s="35" t="s">
        <v>20</v>
      </c>
      <c r="G199" t="b">
        <f t="shared" si="11"/>
        <v>0</v>
      </c>
      <c r="H199" t="b">
        <f t="shared" si="12"/>
        <v>0</v>
      </c>
      <c r="I199" s="29">
        <f t="shared" si="13"/>
        <v>39514</v>
      </c>
    </row>
    <row r="200" spans="1:9" ht="12.75" hidden="1" customHeight="1" x14ac:dyDescent="0.2">
      <c r="A200" s="28">
        <v>39514</v>
      </c>
      <c r="B200" s="26" t="s">
        <v>433</v>
      </c>
      <c r="C200" s="26" t="s">
        <v>3466</v>
      </c>
      <c r="D200" s="35" t="s">
        <v>20</v>
      </c>
      <c r="E200" s="35">
        <v>486021</v>
      </c>
      <c r="F200" s="35" t="s">
        <v>20</v>
      </c>
      <c r="G200" t="b">
        <f t="shared" si="11"/>
        <v>0</v>
      </c>
      <c r="H200" t="b">
        <f t="shared" si="12"/>
        <v>0</v>
      </c>
      <c r="I200" s="29">
        <f t="shared" si="13"/>
        <v>39514</v>
      </c>
    </row>
    <row r="201" spans="1:9" ht="12.75" hidden="1" customHeight="1" x14ac:dyDescent="0.2">
      <c r="A201" s="28">
        <v>39514</v>
      </c>
      <c r="B201" s="26" t="s">
        <v>586</v>
      </c>
      <c r="C201" s="26" t="s">
        <v>2256</v>
      </c>
      <c r="D201" s="35">
        <v>12000000</v>
      </c>
      <c r="E201" s="35">
        <v>1506998</v>
      </c>
      <c r="F201" s="35" t="s">
        <v>20</v>
      </c>
      <c r="G201" t="b">
        <f t="shared" si="11"/>
        <v>0</v>
      </c>
      <c r="H201" t="b">
        <f t="shared" si="12"/>
        <v>0</v>
      </c>
      <c r="I201" s="29">
        <f t="shared" si="13"/>
        <v>39514</v>
      </c>
    </row>
    <row r="202" spans="1:9" ht="38.25" hidden="1" x14ac:dyDescent="0.2">
      <c r="A202" s="28">
        <v>39515</v>
      </c>
      <c r="B202" s="26" t="s">
        <v>2515</v>
      </c>
      <c r="C202" s="26" t="s">
        <v>9</v>
      </c>
      <c r="D202" s="35" t="s">
        <v>20</v>
      </c>
      <c r="E202" s="35" t="s">
        <v>20</v>
      </c>
      <c r="F202" s="35">
        <v>29397231</v>
      </c>
      <c r="G202" t="b">
        <f t="shared" si="11"/>
        <v>0</v>
      </c>
      <c r="H202" t="b">
        <f t="shared" si="12"/>
        <v>0</v>
      </c>
      <c r="I202" s="29">
        <f t="shared" si="13"/>
        <v>39515</v>
      </c>
    </row>
    <row r="203" spans="1:9" ht="12.75" hidden="1" customHeight="1" x14ac:dyDescent="0.2">
      <c r="A203" s="28">
        <v>39515</v>
      </c>
      <c r="B203" s="26" t="s">
        <v>3061</v>
      </c>
      <c r="C203" s="26" t="s">
        <v>9</v>
      </c>
      <c r="D203" s="35" t="s">
        <v>20</v>
      </c>
      <c r="E203" s="35">
        <v>49088</v>
      </c>
      <c r="F203" s="35" t="s">
        <v>20</v>
      </c>
      <c r="G203" t="b">
        <f t="shared" si="11"/>
        <v>0</v>
      </c>
      <c r="H203" t="b">
        <f t="shared" si="12"/>
        <v>0</v>
      </c>
      <c r="I203" s="29">
        <f t="shared" si="13"/>
        <v>39515</v>
      </c>
    </row>
    <row r="204" spans="1:9" ht="25.5" hidden="1" x14ac:dyDescent="0.2">
      <c r="A204" s="28">
        <v>39515</v>
      </c>
      <c r="B204" s="26" t="s">
        <v>1692</v>
      </c>
      <c r="C204" s="26" t="s">
        <v>9</v>
      </c>
      <c r="D204" s="35" t="s">
        <v>20</v>
      </c>
      <c r="E204" s="35" t="s">
        <v>20</v>
      </c>
      <c r="F204" s="35" t="s">
        <v>20</v>
      </c>
      <c r="G204" t="b">
        <f t="shared" si="11"/>
        <v>0</v>
      </c>
      <c r="H204" t="b">
        <f t="shared" si="12"/>
        <v>0</v>
      </c>
      <c r="I204" s="29">
        <f t="shared" si="13"/>
        <v>39515</v>
      </c>
    </row>
    <row r="205" spans="1:9" ht="12.75" hidden="1" customHeight="1" x14ac:dyDescent="0.2">
      <c r="A205" s="28">
        <v>39515</v>
      </c>
      <c r="B205" s="26" t="s">
        <v>1295</v>
      </c>
      <c r="C205" s="26" t="s">
        <v>9</v>
      </c>
      <c r="D205" s="35" t="s">
        <v>20</v>
      </c>
      <c r="E205" s="35" t="s">
        <v>20</v>
      </c>
      <c r="F205" s="35">
        <v>7336788</v>
      </c>
      <c r="G205" t="b">
        <f t="shared" si="11"/>
        <v>0</v>
      </c>
      <c r="H205" t="b">
        <f t="shared" si="12"/>
        <v>0</v>
      </c>
      <c r="I205" s="29">
        <f t="shared" si="13"/>
        <v>39515</v>
      </c>
    </row>
    <row r="206" spans="1:9" ht="12.75" hidden="1" customHeight="1" x14ac:dyDescent="0.2">
      <c r="A206" s="28">
        <v>39515</v>
      </c>
      <c r="B206" s="26" t="s">
        <v>2641</v>
      </c>
      <c r="C206" s="26" t="s">
        <v>9</v>
      </c>
      <c r="D206" s="35" t="s">
        <v>20</v>
      </c>
      <c r="E206" s="35">
        <v>11340</v>
      </c>
      <c r="F206" s="35" t="s">
        <v>20</v>
      </c>
      <c r="G206" t="b">
        <f t="shared" si="11"/>
        <v>0</v>
      </c>
      <c r="H206" t="b">
        <f t="shared" si="12"/>
        <v>0</v>
      </c>
      <c r="I206" s="29">
        <f t="shared" si="13"/>
        <v>39515</v>
      </c>
    </row>
    <row r="207" spans="1:9" ht="12.75" hidden="1" customHeight="1" x14ac:dyDescent="0.2">
      <c r="A207" s="28">
        <v>39518</v>
      </c>
      <c r="B207" s="26" t="s">
        <v>1607</v>
      </c>
      <c r="C207" s="26" t="s">
        <v>9</v>
      </c>
      <c r="D207" s="35" t="s">
        <v>20</v>
      </c>
      <c r="E207" s="35" t="s">
        <v>20</v>
      </c>
      <c r="F207" s="35" t="s">
        <v>20</v>
      </c>
      <c r="G207" t="b">
        <f t="shared" si="11"/>
        <v>0</v>
      </c>
      <c r="H207" t="b">
        <f t="shared" si="12"/>
        <v>0</v>
      </c>
      <c r="I207" s="29">
        <f t="shared" si="13"/>
        <v>39518</v>
      </c>
    </row>
    <row r="208" spans="1:9" ht="25.5" hidden="1" x14ac:dyDescent="0.2">
      <c r="A208" s="28">
        <v>39518</v>
      </c>
      <c r="B208" s="26" t="s">
        <v>3311</v>
      </c>
      <c r="C208" s="26" t="s">
        <v>9</v>
      </c>
      <c r="D208" s="35">
        <v>7000000</v>
      </c>
      <c r="E208" s="35" t="s">
        <v>20</v>
      </c>
      <c r="F208" s="35" t="s">
        <v>20</v>
      </c>
      <c r="G208" t="b">
        <f t="shared" si="11"/>
        <v>0</v>
      </c>
      <c r="H208" t="b">
        <f t="shared" si="12"/>
        <v>0</v>
      </c>
      <c r="I208" s="29">
        <f t="shared" si="13"/>
        <v>39518</v>
      </c>
    </row>
    <row r="209" spans="1:9" ht="12.75" hidden="1" customHeight="1" x14ac:dyDescent="0.2">
      <c r="A209" s="28">
        <v>39519</v>
      </c>
      <c r="B209" s="26" t="s">
        <v>3438</v>
      </c>
      <c r="C209" s="26" t="s">
        <v>9</v>
      </c>
      <c r="D209" s="35" t="s">
        <v>20</v>
      </c>
      <c r="E209" s="35" t="s">
        <v>20</v>
      </c>
      <c r="F209" s="35">
        <v>4993520</v>
      </c>
      <c r="G209" t="b">
        <f t="shared" si="11"/>
        <v>0</v>
      </c>
      <c r="H209" t="b">
        <f t="shared" si="12"/>
        <v>0</v>
      </c>
      <c r="I209" s="29">
        <f t="shared" si="13"/>
        <v>39519</v>
      </c>
    </row>
    <row r="210" spans="1:9" ht="12.75" hidden="1" customHeight="1" x14ac:dyDescent="0.2">
      <c r="A210" s="28">
        <v>39519</v>
      </c>
      <c r="B210" s="26" t="s">
        <v>2611</v>
      </c>
      <c r="C210" s="26" t="s">
        <v>9</v>
      </c>
      <c r="D210" s="35" t="s">
        <v>20</v>
      </c>
      <c r="E210" s="35">
        <v>12719</v>
      </c>
      <c r="F210" s="35" t="s">
        <v>20</v>
      </c>
      <c r="G210" t="b">
        <f t="shared" si="11"/>
        <v>0</v>
      </c>
      <c r="H210" t="b">
        <f t="shared" si="12"/>
        <v>0</v>
      </c>
      <c r="I210" s="29">
        <f t="shared" si="13"/>
        <v>39519</v>
      </c>
    </row>
    <row r="211" spans="1:9" ht="12.75" hidden="1" customHeight="1" x14ac:dyDescent="0.2">
      <c r="A211" s="28">
        <v>39521</v>
      </c>
      <c r="B211" s="26" t="s">
        <v>1901</v>
      </c>
      <c r="C211" s="26" t="s">
        <v>980</v>
      </c>
      <c r="D211" s="35" t="s">
        <v>20</v>
      </c>
      <c r="E211" s="35">
        <v>168972</v>
      </c>
      <c r="F211" s="35" t="s">
        <v>20</v>
      </c>
      <c r="G211" t="b">
        <f t="shared" si="11"/>
        <v>0</v>
      </c>
      <c r="H211" t="b">
        <f t="shared" si="12"/>
        <v>0</v>
      </c>
      <c r="I211" s="29">
        <f t="shared" si="13"/>
        <v>39521</v>
      </c>
    </row>
    <row r="212" spans="1:9" ht="25.5" hidden="1" x14ac:dyDescent="0.2">
      <c r="A212" s="28">
        <v>39521</v>
      </c>
      <c r="B212" s="26" t="s">
        <v>1425</v>
      </c>
      <c r="C212" s="26" t="s">
        <v>9</v>
      </c>
      <c r="D212" s="35" t="s">
        <v>20</v>
      </c>
      <c r="E212" s="35">
        <v>83214</v>
      </c>
      <c r="F212" s="35" t="s">
        <v>20</v>
      </c>
      <c r="G212" t="b">
        <f t="shared" si="11"/>
        <v>0</v>
      </c>
      <c r="H212" t="b">
        <f t="shared" si="12"/>
        <v>0</v>
      </c>
      <c r="I212" s="29">
        <f t="shared" si="13"/>
        <v>39521</v>
      </c>
    </row>
    <row r="213" spans="1:9" ht="12.75" hidden="1" customHeight="1" x14ac:dyDescent="0.2">
      <c r="A213" s="28">
        <v>39521</v>
      </c>
      <c r="B213" s="26" t="s">
        <v>3246</v>
      </c>
      <c r="C213" s="26" t="s">
        <v>698</v>
      </c>
      <c r="D213" s="35">
        <v>33000000</v>
      </c>
      <c r="E213" s="35">
        <v>11008770</v>
      </c>
      <c r="F213" s="35">
        <v>21621188</v>
      </c>
      <c r="G213" t="b">
        <f t="shared" si="11"/>
        <v>0</v>
      </c>
      <c r="H213" t="b">
        <f t="shared" si="12"/>
        <v>0</v>
      </c>
      <c r="I213" s="29">
        <f t="shared" si="13"/>
        <v>39521</v>
      </c>
    </row>
    <row r="214" spans="1:9" ht="38.25" hidden="1" x14ac:dyDescent="0.2">
      <c r="A214" s="28">
        <v>39521</v>
      </c>
      <c r="B214" s="26" t="s">
        <v>2905</v>
      </c>
      <c r="C214" s="26" t="s">
        <v>608</v>
      </c>
      <c r="D214" s="35" t="s">
        <v>20</v>
      </c>
      <c r="E214" s="35" t="s">
        <v>20</v>
      </c>
      <c r="F214" s="35" t="s">
        <v>20</v>
      </c>
      <c r="G214" t="b">
        <f t="shared" si="11"/>
        <v>0</v>
      </c>
      <c r="H214" t="b">
        <f t="shared" si="12"/>
        <v>0</v>
      </c>
      <c r="I214" s="29">
        <f t="shared" si="13"/>
        <v>39521</v>
      </c>
    </row>
    <row r="215" spans="1:9" ht="25.5" hidden="1" x14ac:dyDescent="0.2">
      <c r="A215" s="28">
        <v>39521</v>
      </c>
      <c r="B215" s="26" t="s">
        <v>2939</v>
      </c>
      <c r="C215" s="26" t="s">
        <v>9</v>
      </c>
      <c r="D215" s="35" t="s">
        <v>20</v>
      </c>
      <c r="E215" s="35">
        <v>3271</v>
      </c>
      <c r="F215" s="35">
        <v>4318042</v>
      </c>
      <c r="G215" t="b">
        <f t="shared" si="11"/>
        <v>0</v>
      </c>
      <c r="H215" t="b">
        <f t="shared" si="12"/>
        <v>0</v>
      </c>
      <c r="I215" s="29">
        <f t="shared" si="13"/>
        <v>39521</v>
      </c>
    </row>
    <row r="216" spans="1:9" ht="12.75" hidden="1" customHeight="1" x14ac:dyDescent="0.2">
      <c r="A216" s="28">
        <v>39521</v>
      </c>
      <c r="B216" s="26" t="s">
        <v>2712</v>
      </c>
      <c r="C216" s="26" t="s">
        <v>1066</v>
      </c>
      <c r="D216" s="35">
        <v>21000000</v>
      </c>
      <c r="E216" s="35">
        <v>24850922</v>
      </c>
      <c r="F216" s="35">
        <v>39319801</v>
      </c>
      <c r="G216" t="b">
        <f t="shared" si="11"/>
        <v>0</v>
      </c>
      <c r="H216" t="b">
        <f t="shared" si="12"/>
        <v>0</v>
      </c>
      <c r="I216" s="29">
        <f t="shared" si="13"/>
        <v>39521</v>
      </c>
    </row>
    <row r="217" spans="1:9" ht="25.5" hidden="1" x14ac:dyDescent="0.2">
      <c r="A217" s="28">
        <v>39521</v>
      </c>
      <c r="B217" s="26" t="s">
        <v>2415</v>
      </c>
      <c r="C217" s="26" t="s">
        <v>9</v>
      </c>
      <c r="D217" s="35" t="s">
        <v>20</v>
      </c>
      <c r="E217" s="35">
        <v>5500</v>
      </c>
      <c r="F217" s="35" t="s">
        <v>20</v>
      </c>
      <c r="G217" t="b">
        <f t="shared" si="11"/>
        <v>0</v>
      </c>
      <c r="H217" t="b">
        <f t="shared" si="12"/>
        <v>0</v>
      </c>
      <c r="I217" s="29">
        <f t="shared" si="13"/>
        <v>39521</v>
      </c>
    </row>
    <row r="218" spans="1:9" ht="12.75" hidden="1" customHeight="1" x14ac:dyDescent="0.2">
      <c r="A218" s="28">
        <v>39521</v>
      </c>
      <c r="B218" s="26" t="s">
        <v>942</v>
      </c>
      <c r="C218" s="26" t="s">
        <v>9</v>
      </c>
      <c r="D218" s="35" t="s">
        <v>20</v>
      </c>
      <c r="E218" s="35">
        <v>10650</v>
      </c>
      <c r="F218" s="35" t="s">
        <v>20</v>
      </c>
      <c r="G218" t="b">
        <f t="shared" si="11"/>
        <v>0</v>
      </c>
      <c r="H218" t="b">
        <f t="shared" si="12"/>
        <v>0</v>
      </c>
      <c r="I218" s="29">
        <f t="shared" si="13"/>
        <v>39521</v>
      </c>
    </row>
    <row r="219" spans="1:9" ht="51" hidden="1" x14ac:dyDescent="0.2">
      <c r="A219" s="28">
        <v>39521</v>
      </c>
      <c r="B219" s="26" t="s">
        <v>2688</v>
      </c>
      <c r="C219" s="26" t="s">
        <v>9</v>
      </c>
      <c r="D219" s="35" t="s">
        <v>20</v>
      </c>
      <c r="E219" s="35">
        <v>2970</v>
      </c>
      <c r="F219" s="35" t="s">
        <v>20</v>
      </c>
      <c r="G219" t="b">
        <f t="shared" si="11"/>
        <v>0</v>
      </c>
      <c r="H219" t="b">
        <f t="shared" si="12"/>
        <v>0</v>
      </c>
      <c r="I219" s="29">
        <f t="shared" si="13"/>
        <v>39521</v>
      </c>
    </row>
    <row r="220" spans="1:9" ht="63.75" hidden="1" x14ac:dyDescent="0.2">
      <c r="A220" s="28">
        <v>39521</v>
      </c>
      <c r="B220" s="26" t="s">
        <v>1014</v>
      </c>
      <c r="C220" s="26" t="s">
        <v>9</v>
      </c>
      <c r="D220" s="35" t="s">
        <v>20</v>
      </c>
      <c r="E220" s="35" t="s">
        <v>20</v>
      </c>
      <c r="F220" s="35" t="s">
        <v>20</v>
      </c>
      <c r="G220" t="b">
        <f t="shared" si="11"/>
        <v>0</v>
      </c>
      <c r="H220" t="b">
        <f t="shared" si="12"/>
        <v>0</v>
      </c>
      <c r="I220" s="29">
        <f t="shared" si="13"/>
        <v>39521</v>
      </c>
    </row>
    <row r="221" spans="1:9" ht="25.5" hidden="1" x14ac:dyDescent="0.2">
      <c r="A221" s="28">
        <v>39521</v>
      </c>
      <c r="B221" s="26" t="s">
        <v>1454</v>
      </c>
      <c r="C221" s="26" t="s">
        <v>9</v>
      </c>
      <c r="D221" s="35" t="s">
        <v>20</v>
      </c>
      <c r="E221" s="35" t="s">
        <v>20</v>
      </c>
      <c r="F221" s="35" t="s">
        <v>20</v>
      </c>
      <c r="G221" t="b">
        <f t="shared" si="11"/>
        <v>0</v>
      </c>
      <c r="H221" t="b">
        <f t="shared" si="12"/>
        <v>0</v>
      </c>
      <c r="I221" s="29">
        <f t="shared" si="13"/>
        <v>39521</v>
      </c>
    </row>
    <row r="222" spans="1:9" ht="12.75" hidden="1" customHeight="1" x14ac:dyDescent="0.2">
      <c r="A222" s="28">
        <v>39521</v>
      </c>
      <c r="B222" s="26" t="s">
        <v>2139</v>
      </c>
      <c r="C222" s="26" t="s">
        <v>9</v>
      </c>
      <c r="D222" s="35" t="s">
        <v>20</v>
      </c>
      <c r="E222" s="35">
        <v>23095</v>
      </c>
      <c r="F222" s="35" t="s">
        <v>20</v>
      </c>
      <c r="G222" t="b">
        <f t="shared" si="11"/>
        <v>0</v>
      </c>
      <c r="H222" t="b">
        <f t="shared" si="12"/>
        <v>0</v>
      </c>
      <c r="I222" s="29">
        <f t="shared" si="13"/>
        <v>39521</v>
      </c>
    </row>
    <row r="223" spans="1:9" ht="38.25" hidden="1" x14ac:dyDescent="0.2">
      <c r="A223" s="28">
        <v>39521</v>
      </c>
      <c r="B223" s="26" t="s">
        <v>2628</v>
      </c>
      <c r="C223" s="26" t="s">
        <v>2837</v>
      </c>
      <c r="D223" s="35" t="s">
        <v>20</v>
      </c>
      <c r="E223" s="35">
        <v>240476</v>
      </c>
      <c r="F223" s="35" t="s">
        <v>20</v>
      </c>
      <c r="G223" t="b">
        <f t="shared" si="11"/>
        <v>0</v>
      </c>
      <c r="H223" t="b">
        <f t="shared" si="12"/>
        <v>0</v>
      </c>
      <c r="I223" s="29">
        <f t="shared" si="13"/>
        <v>39521</v>
      </c>
    </row>
    <row r="224" spans="1:9" ht="25.5" hidden="1" x14ac:dyDescent="0.2">
      <c r="A224" s="28">
        <v>39521</v>
      </c>
      <c r="B224" s="26" t="s">
        <v>372</v>
      </c>
      <c r="C224" s="26" t="s">
        <v>384</v>
      </c>
      <c r="D224" s="35">
        <v>85000000</v>
      </c>
      <c r="E224" s="35">
        <v>154529439</v>
      </c>
      <c r="F224" s="35">
        <v>297133947</v>
      </c>
      <c r="G224" t="b">
        <f t="shared" si="11"/>
        <v>0</v>
      </c>
      <c r="H224" t="b">
        <f t="shared" si="12"/>
        <v>0</v>
      </c>
      <c r="I224" s="29">
        <f t="shared" si="13"/>
        <v>39521</v>
      </c>
    </row>
    <row r="225" spans="1:9" ht="38.25" hidden="1" x14ac:dyDescent="0.2">
      <c r="A225" s="28">
        <v>39521</v>
      </c>
      <c r="B225" s="26" t="s">
        <v>638</v>
      </c>
      <c r="C225" s="26" t="s">
        <v>2837</v>
      </c>
      <c r="D225" s="35" t="s">
        <v>20</v>
      </c>
      <c r="E225" s="35">
        <v>1294640</v>
      </c>
      <c r="F225" s="35">
        <v>7371853</v>
      </c>
      <c r="G225" t="b">
        <f t="shared" si="11"/>
        <v>0</v>
      </c>
      <c r="H225" t="b">
        <f t="shared" si="12"/>
        <v>0</v>
      </c>
      <c r="I225" s="29">
        <f t="shared" si="13"/>
        <v>39521</v>
      </c>
    </row>
    <row r="226" spans="1:9" ht="12.75" hidden="1" customHeight="1" x14ac:dyDescent="0.2">
      <c r="A226" s="28">
        <v>39521</v>
      </c>
      <c r="B226" s="26" t="s">
        <v>1501</v>
      </c>
      <c r="C226" s="26" t="s">
        <v>9</v>
      </c>
      <c r="D226" s="35" t="s">
        <v>20</v>
      </c>
      <c r="E226" s="35">
        <v>22000</v>
      </c>
      <c r="F226" s="35" t="s">
        <v>20</v>
      </c>
      <c r="G226" t="b">
        <f t="shared" si="11"/>
        <v>0</v>
      </c>
      <c r="H226" t="b">
        <f t="shared" si="12"/>
        <v>0</v>
      </c>
      <c r="I226" s="29">
        <f t="shared" si="13"/>
        <v>39521</v>
      </c>
    </row>
    <row r="227" spans="1:9" ht="25.5" hidden="1" x14ac:dyDescent="0.2">
      <c r="A227" s="28">
        <v>39522</v>
      </c>
      <c r="B227" s="26" t="s">
        <v>1131</v>
      </c>
      <c r="C227" s="26" t="s">
        <v>9</v>
      </c>
      <c r="D227" s="35" t="s">
        <v>20</v>
      </c>
      <c r="E227" s="35" t="s">
        <v>20</v>
      </c>
      <c r="F227" s="35">
        <v>7220517</v>
      </c>
      <c r="G227" t="b">
        <f t="shared" si="11"/>
        <v>0</v>
      </c>
      <c r="H227" t="b">
        <f t="shared" si="12"/>
        <v>0</v>
      </c>
      <c r="I227" s="29">
        <f t="shared" si="13"/>
        <v>39522</v>
      </c>
    </row>
    <row r="228" spans="1:9" ht="25.5" hidden="1" x14ac:dyDescent="0.2">
      <c r="A228" s="28">
        <v>39525</v>
      </c>
      <c r="B228" s="26" t="s">
        <v>2602</v>
      </c>
      <c r="C228" s="26" t="s">
        <v>9</v>
      </c>
      <c r="D228" s="35" t="s">
        <v>20</v>
      </c>
      <c r="E228" s="35" t="s">
        <v>20</v>
      </c>
      <c r="F228" s="35" t="s">
        <v>20</v>
      </c>
      <c r="G228" t="b">
        <f t="shared" si="11"/>
        <v>0</v>
      </c>
      <c r="H228" t="b">
        <f t="shared" si="12"/>
        <v>0</v>
      </c>
      <c r="I228" s="29">
        <f t="shared" si="13"/>
        <v>39525</v>
      </c>
    </row>
    <row r="229" spans="1:9" ht="12.75" hidden="1" customHeight="1" x14ac:dyDescent="0.2">
      <c r="A229" s="28">
        <v>39525</v>
      </c>
      <c r="B229" s="26" t="s">
        <v>739</v>
      </c>
      <c r="C229" s="26" t="s">
        <v>9</v>
      </c>
      <c r="D229" s="35" t="s">
        <v>20</v>
      </c>
      <c r="E229" s="35" t="s">
        <v>20</v>
      </c>
      <c r="F229" s="35" t="s">
        <v>20</v>
      </c>
      <c r="G229" t="b">
        <f t="shared" si="11"/>
        <v>0</v>
      </c>
      <c r="H229" t="b">
        <f t="shared" si="12"/>
        <v>0</v>
      </c>
      <c r="I229" s="29">
        <f t="shared" si="13"/>
        <v>39525</v>
      </c>
    </row>
    <row r="230" spans="1:9" ht="12.75" hidden="1" customHeight="1" x14ac:dyDescent="0.2">
      <c r="A230" s="28">
        <v>39525</v>
      </c>
      <c r="B230" s="26" t="s">
        <v>2282</v>
      </c>
      <c r="C230" s="26" t="s">
        <v>9</v>
      </c>
      <c r="D230" s="35" t="s">
        <v>20</v>
      </c>
      <c r="E230" s="35" t="s">
        <v>20</v>
      </c>
      <c r="F230" s="35" t="s">
        <v>20</v>
      </c>
      <c r="G230" t="b">
        <f t="shared" si="11"/>
        <v>0</v>
      </c>
      <c r="H230" t="b">
        <f t="shared" si="12"/>
        <v>0</v>
      </c>
      <c r="I230" s="29">
        <f t="shared" si="13"/>
        <v>39525</v>
      </c>
    </row>
    <row r="231" spans="1:9" ht="12.75" hidden="1" customHeight="1" x14ac:dyDescent="0.2">
      <c r="A231" s="28">
        <v>39525</v>
      </c>
      <c r="B231" s="26" t="s">
        <v>2152</v>
      </c>
      <c r="C231" s="26" t="s">
        <v>9</v>
      </c>
      <c r="D231" s="35" t="s">
        <v>20</v>
      </c>
      <c r="E231" s="35" t="s">
        <v>20</v>
      </c>
      <c r="F231" s="35" t="s">
        <v>20</v>
      </c>
      <c r="G231" t="b">
        <f t="shared" si="11"/>
        <v>0</v>
      </c>
      <c r="H231" t="b">
        <f t="shared" si="12"/>
        <v>0</v>
      </c>
      <c r="I231" s="29">
        <f t="shared" si="13"/>
        <v>39525</v>
      </c>
    </row>
    <row r="232" spans="1:9" ht="25.5" hidden="1" x14ac:dyDescent="0.2">
      <c r="A232" s="28">
        <v>39525</v>
      </c>
      <c r="B232" s="26" t="s">
        <v>1103</v>
      </c>
      <c r="C232" s="26" t="s">
        <v>9</v>
      </c>
      <c r="D232" s="35" t="s">
        <v>20</v>
      </c>
      <c r="E232" s="35" t="s">
        <v>20</v>
      </c>
      <c r="F232" s="35" t="s">
        <v>20</v>
      </c>
      <c r="G232" t="b">
        <f t="shared" si="11"/>
        <v>0</v>
      </c>
      <c r="H232" t="b">
        <f t="shared" si="12"/>
        <v>0</v>
      </c>
      <c r="I232" s="29">
        <f t="shared" si="13"/>
        <v>39525</v>
      </c>
    </row>
    <row r="233" spans="1:9" ht="25.5" hidden="1" x14ac:dyDescent="0.2">
      <c r="A233" s="28">
        <v>39526</v>
      </c>
      <c r="B233" s="26" t="s">
        <v>1279</v>
      </c>
      <c r="C233" s="26" t="s">
        <v>9</v>
      </c>
      <c r="D233" s="35" t="s">
        <v>20</v>
      </c>
      <c r="E233" s="35" t="s">
        <v>20</v>
      </c>
      <c r="F233" s="35">
        <v>2403049</v>
      </c>
      <c r="G233" t="b">
        <f t="shared" si="11"/>
        <v>0</v>
      </c>
      <c r="H233" t="b">
        <f t="shared" si="12"/>
        <v>0</v>
      </c>
      <c r="I233" s="29">
        <f t="shared" si="13"/>
        <v>39526</v>
      </c>
    </row>
    <row r="234" spans="1:9" ht="12.75" hidden="1" customHeight="1" x14ac:dyDescent="0.2">
      <c r="A234" s="28">
        <v>39526</v>
      </c>
      <c r="B234" s="26" t="s">
        <v>460</v>
      </c>
      <c r="C234" s="26" t="s">
        <v>49</v>
      </c>
      <c r="D234" s="35" t="s">
        <v>20</v>
      </c>
      <c r="E234" s="35">
        <v>12590147</v>
      </c>
      <c r="F234" s="35">
        <v>22711425</v>
      </c>
      <c r="G234" t="b">
        <f t="shared" si="11"/>
        <v>0</v>
      </c>
      <c r="H234" t="b">
        <f t="shared" si="12"/>
        <v>0</v>
      </c>
      <c r="I234" s="29">
        <f t="shared" si="13"/>
        <v>39526</v>
      </c>
    </row>
    <row r="235" spans="1:9" ht="25.5" hidden="1" x14ac:dyDescent="0.2">
      <c r="A235" s="28">
        <v>39527</v>
      </c>
      <c r="B235" s="26" t="s">
        <v>869</v>
      </c>
      <c r="C235" s="26" t="s">
        <v>9</v>
      </c>
      <c r="D235" s="35" t="s">
        <v>20</v>
      </c>
      <c r="E235" s="35" t="s">
        <v>20</v>
      </c>
      <c r="F235" s="35">
        <v>1200000</v>
      </c>
      <c r="G235" t="b">
        <f t="shared" si="11"/>
        <v>0</v>
      </c>
      <c r="H235" t="b">
        <f t="shared" si="12"/>
        <v>0</v>
      </c>
      <c r="I235" s="29">
        <f t="shared" si="13"/>
        <v>39527</v>
      </c>
    </row>
    <row r="236" spans="1:9" ht="12.75" hidden="1" customHeight="1" x14ac:dyDescent="0.2">
      <c r="A236" s="28">
        <v>39527</v>
      </c>
      <c r="B236" s="26" t="s">
        <v>1124</v>
      </c>
      <c r="C236" s="26" t="s">
        <v>9</v>
      </c>
      <c r="D236" s="35" t="s">
        <v>20</v>
      </c>
      <c r="E236" s="35" t="s">
        <v>20</v>
      </c>
      <c r="F236" s="35">
        <v>3040410</v>
      </c>
      <c r="G236" t="b">
        <f t="shared" ref="G236:G297" si="14">ISBLANK(A236)</f>
        <v>0</v>
      </c>
      <c r="H236" t="b">
        <f t="shared" ref="H236:H297" si="15">ISTEXT(A236)</f>
        <v>0</v>
      </c>
      <c r="I236" s="29">
        <f t="shared" si="13"/>
        <v>39527</v>
      </c>
    </row>
    <row r="237" spans="1:9" ht="12.75" hidden="1" customHeight="1" x14ac:dyDescent="0.2">
      <c r="A237" s="28">
        <v>39527</v>
      </c>
      <c r="B237" s="26" t="s">
        <v>1564</v>
      </c>
      <c r="C237" s="26" t="s">
        <v>9</v>
      </c>
      <c r="D237" s="35" t="s">
        <v>20</v>
      </c>
      <c r="E237" s="35" t="s">
        <v>20</v>
      </c>
      <c r="F237" s="35">
        <v>1917707</v>
      </c>
      <c r="G237" t="b">
        <f t="shared" si="14"/>
        <v>0</v>
      </c>
      <c r="H237" t="b">
        <f t="shared" si="15"/>
        <v>0</v>
      </c>
      <c r="I237" s="29">
        <f t="shared" si="13"/>
        <v>39527</v>
      </c>
    </row>
    <row r="238" spans="1:9" ht="12.75" hidden="1" customHeight="1" x14ac:dyDescent="0.2">
      <c r="A238" s="28">
        <v>39527</v>
      </c>
      <c r="B238" s="26" t="s">
        <v>41</v>
      </c>
      <c r="C238" s="26" t="s">
        <v>9</v>
      </c>
      <c r="D238" s="35" t="s">
        <v>20</v>
      </c>
      <c r="E238" s="35" t="s">
        <v>20</v>
      </c>
      <c r="F238" s="35">
        <v>5007804</v>
      </c>
      <c r="G238" t="b">
        <f t="shared" si="14"/>
        <v>0</v>
      </c>
      <c r="H238" t="b">
        <f t="shared" si="15"/>
        <v>0</v>
      </c>
      <c r="I238" s="29">
        <f t="shared" si="13"/>
        <v>39527</v>
      </c>
    </row>
    <row r="239" spans="1:9" ht="25.5" hidden="1" x14ac:dyDescent="0.2">
      <c r="A239" s="28">
        <v>39528</v>
      </c>
      <c r="B239" s="26" t="s">
        <v>2767</v>
      </c>
      <c r="C239" s="26" t="s">
        <v>2168</v>
      </c>
      <c r="D239" s="35">
        <v>40000000</v>
      </c>
      <c r="E239" s="35">
        <v>32862104</v>
      </c>
      <c r="F239" s="35">
        <v>49686263</v>
      </c>
      <c r="G239" t="b">
        <f t="shared" si="14"/>
        <v>0</v>
      </c>
      <c r="H239" t="b">
        <f t="shared" si="15"/>
        <v>0</v>
      </c>
      <c r="I239" s="29">
        <f t="shared" si="13"/>
        <v>39528</v>
      </c>
    </row>
    <row r="240" spans="1:9" ht="12.75" hidden="1" customHeight="1" x14ac:dyDescent="0.2">
      <c r="A240" s="28">
        <v>39528</v>
      </c>
      <c r="B240" s="26" t="s">
        <v>2952</v>
      </c>
      <c r="C240" s="26" t="s">
        <v>9</v>
      </c>
      <c r="D240" s="35" t="s">
        <v>20</v>
      </c>
      <c r="E240" s="35" t="s">
        <v>20</v>
      </c>
      <c r="F240" s="35">
        <v>23814300</v>
      </c>
      <c r="G240" t="b">
        <f t="shared" si="14"/>
        <v>0</v>
      </c>
      <c r="H240" t="b">
        <f t="shared" si="15"/>
        <v>0</v>
      </c>
      <c r="I240" s="29">
        <f t="shared" si="13"/>
        <v>39528</v>
      </c>
    </row>
    <row r="241" spans="1:9" ht="12.75" hidden="1" customHeight="1" x14ac:dyDescent="0.2">
      <c r="A241" s="28">
        <v>39528</v>
      </c>
      <c r="B241" s="26" t="s">
        <v>2864</v>
      </c>
      <c r="C241" s="26" t="s">
        <v>3426</v>
      </c>
      <c r="D241" s="35" t="s">
        <v>20</v>
      </c>
      <c r="E241" s="35">
        <v>1367024</v>
      </c>
      <c r="F241" s="35">
        <v>25195835</v>
      </c>
      <c r="G241" t="b">
        <f t="shared" si="14"/>
        <v>0</v>
      </c>
      <c r="H241" t="b">
        <f t="shared" si="15"/>
        <v>0</v>
      </c>
      <c r="I241" s="29">
        <f t="shared" si="13"/>
        <v>39528</v>
      </c>
    </row>
    <row r="242" spans="1:9" ht="38.25" hidden="1" x14ac:dyDescent="0.2">
      <c r="A242" s="28">
        <v>39528</v>
      </c>
      <c r="B242" s="26" t="s">
        <v>270</v>
      </c>
      <c r="C242" s="26" t="s">
        <v>1760</v>
      </c>
      <c r="D242" s="35" t="s">
        <v>20</v>
      </c>
      <c r="E242" s="35">
        <v>4293</v>
      </c>
      <c r="F242" s="35" t="s">
        <v>20</v>
      </c>
      <c r="G242" t="b">
        <f t="shared" si="14"/>
        <v>0</v>
      </c>
      <c r="H242" t="b">
        <f t="shared" si="15"/>
        <v>0</v>
      </c>
      <c r="I242" s="29">
        <f t="shared" si="13"/>
        <v>39528</v>
      </c>
    </row>
    <row r="243" spans="1:9" ht="12.75" hidden="1" customHeight="1" x14ac:dyDescent="0.2">
      <c r="A243" s="28">
        <v>39528</v>
      </c>
      <c r="B243" s="26" t="s">
        <v>3070</v>
      </c>
      <c r="C243" s="26" t="s">
        <v>3419</v>
      </c>
      <c r="D243" s="35">
        <v>20000000</v>
      </c>
      <c r="E243" s="35">
        <v>41975388</v>
      </c>
      <c r="F243" s="35" t="s">
        <v>20</v>
      </c>
      <c r="G243" t="b">
        <f t="shared" si="14"/>
        <v>0</v>
      </c>
      <c r="H243" t="b">
        <f t="shared" si="15"/>
        <v>0</v>
      </c>
      <c r="I243" s="29">
        <f t="shared" si="13"/>
        <v>39528</v>
      </c>
    </row>
    <row r="244" spans="1:9" ht="12.75" hidden="1" customHeight="1" x14ac:dyDescent="0.2">
      <c r="A244" s="28">
        <v>39528</v>
      </c>
      <c r="B244" s="26" t="s">
        <v>2895</v>
      </c>
      <c r="C244" s="26" t="s">
        <v>2051</v>
      </c>
      <c r="D244" s="35" t="s">
        <v>20</v>
      </c>
      <c r="E244" s="35">
        <v>142666</v>
      </c>
      <c r="F244" s="35" t="s">
        <v>20</v>
      </c>
      <c r="G244" t="b">
        <f t="shared" si="14"/>
        <v>0</v>
      </c>
      <c r="H244" t="b">
        <f t="shared" si="15"/>
        <v>0</v>
      </c>
      <c r="I244" s="29">
        <f t="shared" si="13"/>
        <v>39528</v>
      </c>
    </row>
    <row r="245" spans="1:9" ht="25.5" hidden="1" x14ac:dyDescent="0.2">
      <c r="A245" s="28">
        <v>39528</v>
      </c>
      <c r="B245" s="26" t="s">
        <v>114</v>
      </c>
      <c r="C245" s="26" t="s">
        <v>322</v>
      </c>
      <c r="D245" s="35" t="s">
        <v>20</v>
      </c>
      <c r="E245" s="35">
        <v>142569</v>
      </c>
      <c r="F245" s="35" t="s">
        <v>20</v>
      </c>
      <c r="G245" t="b">
        <f t="shared" si="14"/>
        <v>0</v>
      </c>
      <c r="H245" t="b">
        <f t="shared" si="15"/>
        <v>0</v>
      </c>
      <c r="I245" s="29">
        <f t="shared" si="13"/>
        <v>39528</v>
      </c>
    </row>
    <row r="246" spans="1:9" ht="25.5" hidden="1" x14ac:dyDescent="0.2">
      <c r="A246" s="28">
        <v>39528</v>
      </c>
      <c r="B246" s="26" t="s">
        <v>148</v>
      </c>
      <c r="C246" s="26" t="s">
        <v>2094</v>
      </c>
      <c r="D246" s="35" t="s">
        <v>20</v>
      </c>
      <c r="E246" s="35">
        <v>272791</v>
      </c>
      <c r="F246" s="35" t="s">
        <v>20</v>
      </c>
      <c r="G246" t="b">
        <f t="shared" si="14"/>
        <v>0</v>
      </c>
      <c r="H246" t="b">
        <f t="shared" si="15"/>
        <v>0</v>
      </c>
      <c r="I246" s="29">
        <f t="shared" si="13"/>
        <v>39528</v>
      </c>
    </row>
    <row r="247" spans="1:9" ht="12.75" hidden="1" customHeight="1" x14ac:dyDescent="0.2">
      <c r="A247" s="28">
        <v>39528</v>
      </c>
      <c r="B247" s="26" t="s">
        <v>1205</v>
      </c>
      <c r="C247" s="26" t="s">
        <v>9</v>
      </c>
      <c r="D247" s="35" t="s">
        <v>20</v>
      </c>
      <c r="E247" s="35">
        <v>442638</v>
      </c>
      <c r="F247" s="35" t="s">
        <v>20</v>
      </c>
      <c r="G247" t="b">
        <f t="shared" si="14"/>
        <v>0</v>
      </c>
      <c r="H247" t="b">
        <f t="shared" si="15"/>
        <v>0</v>
      </c>
      <c r="I247" s="29">
        <f t="shared" si="13"/>
        <v>39528</v>
      </c>
    </row>
    <row r="248" spans="1:9" ht="25.5" hidden="1" x14ac:dyDescent="0.2">
      <c r="A248" s="28">
        <v>39528</v>
      </c>
      <c r="B248" s="26" t="s">
        <v>2884</v>
      </c>
      <c r="C248" s="26" t="s">
        <v>9</v>
      </c>
      <c r="D248" s="35" t="s">
        <v>20</v>
      </c>
      <c r="E248" s="35">
        <v>103970</v>
      </c>
      <c r="F248" s="35">
        <v>1425827</v>
      </c>
      <c r="G248" t="b">
        <f t="shared" si="14"/>
        <v>0</v>
      </c>
      <c r="H248" t="b">
        <f t="shared" si="15"/>
        <v>0</v>
      </c>
      <c r="I248" s="29">
        <f t="shared" si="13"/>
        <v>39528</v>
      </c>
    </row>
    <row r="249" spans="1:9" ht="12.75" hidden="1" customHeight="1" x14ac:dyDescent="0.2">
      <c r="A249" s="28">
        <v>39528</v>
      </c>
      <c r="B249" s="26" t="s">
        <v>990</v>
      </c>
      <c r="C249" s="26" t="s">
        <v>2990</v>
      </c>
      <c r="D249" s="35">
        <v>3000000</v>
      </c>
      <c r="E249" s="35">
        <v>115879</v>
      </c>
      <c r="F249" s="35" t="s">
        <v>20</v>
      </c>
      <c r="G249" t="b">
        <f t="shared" si="14"/>
        <v>0</v>
      </c>
      <c r="H249" t="b">
        <f t="shared" si="15"/>
        <v>0</v>
      </c>
      <c r="I249" s="29">
        <f t="shared" si="13"/>
        <v>39528</v>
      </c>
    </row>
    <row r="250" spans="1:9" ht="12.75" hidden="1" customHeight="1" x14ac:dyDescent="0.2">
      <c r="A250" s="28">
        <v>39528</v>
      </c>
      <c r="B250" s="26" t="s">
        <v>866</v>
      </c>
      <c r="C250" s="26" t="s">
        <v>542</v>
      </c>
      <c r="D250" s="35" t="s">
        <v>20</v>
      </c>
      <c r="E250" s="35">
        <v>50440</v>
      </c>
      <c r="F250" s="35" t="s">
        <v>20</v>
      </c>
      <c r="G250" t="b">
        <f t="shared" si="14"/>
        <v>0</v>
      </c>
      <c r="H250" t="b">
        <f t="shared" si="15"/>
        <v>0</v>
      </c>
      <c r="I250" s="29">
        <f t="shared" si="13"/>
        <v>39528</v>
      </c>
    </row>
    <row r="251" spans="1:9" ht="25.5" hidden="1" x14ac:dyDescent="0.2">
      <c r="A251" s="28">
        <v>39528</v>
      </c>
      <c r="B251" s="26" t="s">
        <v>1801</v>
      </c>
      <c r="C251" s="26" t="s">
        <v>2401</v>
      </c>
      <c r="D251" s="35" t="s">
        <v>20</v>
      </c>
      <c r="E251" s="35" t="s">
        <v>20</v>
      </c>
      <c r="F251" s="35" t="s">
        <v>20</v>
      </c>
      <c r="G251" t="b">
        <f t="shared" si="14"/>
        <v>0</v>
      </c>
      <c r="H251" t="b">
        <f t="shared" si="15"/>
        <v>0</v>
      </c>
      <c r="I251" s="29">
        <f t="shared" si="13"/>
        <v>39528</v>
      </c>
    </row>
    <row r="252" spans="1:9" ht="12.75" hidden="1" customHeight="1" x14ac:dyDescent="0.2">
      <c r="A252" s="28">
        <v>39528</v>
      </c>
      <c r="B252" s="26" t="s">
        <v>3216</v>
      </c>
      <c r="C252" s="26" t="s">
        <v>384</v>
      </c>
      <c r="D252" s="35" t="s">
        <v>20</v>
      </c>
      <c r="E252" s="35">
        <v>25928550</v>
      </c>
      <c r="F252" s="35">
        <v>47879410</v>
      </c>
      <c r="G252" t="b">
        <f t="shared" si="14"/>
        <v>0</v>
      </c>
      <c r="H252" t="b">
        <f t="shared" si="15"/>
        <v>0</v>
      </c>
      <c r="I252" s="29">
        <f t="shared" si="13"/>
        <v>39528</v>
      </c>
    </row>
    <row r="253" spans="1:9" ht="25.5" hidden="1" x14ac:dyDescent="0.2">
      <c r="A253" s="28">
        <v>39532</v>
      </c>
      <c r="B253" s="26" t="s">
        <v>2816</v>
      </c>
      <c r="C253" s="26" t="s">
        <v>120</v>
      </c>
      <c r="D253" s="35" t="s">
        <v>20</v>
      </c>
      <c r="E253" s="35" t="s">
        <v>20</v>
      </c>
      <c r="F253" s="35" t="s">
        <v>20</v>
      </c>
      <c r="G253" t="b">
        <f t="shared" si="14"/>
        <v>0</v>
      </c>
      <c r="H253" t="b">
        <f t="shared" si="15"/>
        <v>0</v>
      </c>
      <c r="I253" s="29">
        <f t="shared" si="13"/>
        <v>39532</v>
      </c>
    </row>
    <row r="254" spans="1:9" ht="12.75" hidden="1" customHeight="1" x14ac:dyDescent="0.2">
      <c r="A254" s="28">
        <v>39532</v>
      </c>
      <c r="B254" s="26" t="s">
        <v>1527</v>
      </c>
      <c r="C254" s="26" t="s">
        <v>9</v>
      </c>
      <c r="D254" s="35" t="s">
        <v>20</v>
      </c>
      <c r="E254" s="35" t="s">
        <v>20</v>
      </c>
      <c r="F254" s="35" t="s">
        <v>20</v>
      </c>
      <c r="G254" t="b">
        <f t="shared" si="14"/>
        <v>0</v>
      </c>
      <c r="H254" t="b">
        <f t="shared" si="15"/>
        <v>0</v>
      </c>
      <c r="I254" s="29">
        <f t="shared" si="13"/>
        <v>39532</v>
      </c>
    </row>
    <row r="255" spans="1:9" ht="25.5" hidden="1" x14ac:dyDescent="0.2">
      <c r="A255" s="28">
        <v>39532</v>
      </c>
      <c r="B255" s="26" t="s">
        <v>1649</v>
      </c>
      <c r="C255" s="26" t="s">
        <v>9</v>
      </c>
      <c r="D255" s="35" t="s">
        <v>20</v>
      </c>
      <c r="E255" s="35" t="s">
        <v>20</v>
      </c>
      <c r="F255" s="35" t="s">
        <v>20</v>
      </c>
      <c r="G255" t="b">
        <f t="shared" si="14"/>
        <v>0</v>
      </c>
      <c r="H255" t="b">
        <f t="shared" si="15"/>
        <v>0</v>
      </c>
      <c r="I255" s="29">
        <f t="shared" si="13"/>
        <v>39532</v>
      </c>
    </row>
    <row r="256" spans="1:9" ht="25.5" hidden="1" x14ac:dyDescent="0.2">
      <c r="A256" s="28">
        <v>39533</v>
      </c>
      <c r="B256" s="26" t="s">
        <v>1907</v>
      </c>
      <c r="C256" s="26" t="s">
        <v>9</v>
      </c>
      <c r="D256" s="35" t="s">
        <v>20</v>
      </c>
      <c r="E256" s="35" t="s">
        <v>20</v>
      </c>
      <c r="F256" s="35">
        <v>3544225</v>
      </c>
      <c r="G256" t="b">
        <f t="shared" si="14"/>
        <v>0</v>
      </c>
      <c r="H256" t="b">
        <f t="shared" si="15"/>
        <v>0</v>
      </c>
      <c r="I256" s="29">
        <f t="shared" si="13"/>
        <v>39533</v>
      </c>
    </row>
    <row r="257" spans="1:9" ht="12.75" hidden="1" customHeight="1" x14ac:dyDescent="0.2">
      <c r="A257" s="28">
        <v>39534</v>
      </c>
      <c r="B257" s="26" t="s">
        <v>3312</v>
      </c>
      <c r="C257" s="26" t="s">
        <v>9</v>
      </c>
      <c r="D257" s="35" t="s">
        <v>20</v>
      </c>
      <c r="E257" s="35" t="s">
        <v>20</v>
      </c>
      <c r="F257" s="35">
        <v>2607447</v>
      </c>
      <c r="G257" t="b">
        <f t="shared" si="14"/>
        <v>0</v>
      </c>
      <c r="H257" t="b">
        <f t="shared" si="15"/>
        <v>0</v>
      </c>
      <c r="I257" s="29">
        <f t="shared" si="13"/>
        <v>39534</v>
      </c>
    </row>
    <row r="258" spans="1:9" ht="25.5" hidden="1" x14ac:dyDescent="0.2">
      <c r="A258" s="28">
        <v>39535</v>
      </c>
      <c r="B258" s="26" t="s">
        <v>54</v>
      </c>
      <c r="C258" s="26" t="s">
        <v>9</v>
      </c>
      <c r="D258" s="35" t="s">
        <v>20</v>
      </c>
      <c r="E258" s="35" t="s">
        <v>20</v>
      </c>
      <c r="F258" s="35">
        <v>3795187</v>
      </c>
      <c r="G258" t="b">
        <f t="shared" si="14"/>
        <v>0</v>
      </c>
      <c r="H258" t="b">
        <f t="shared" si="15"/>
        <v>0</v>
      </c>
      <c r="I258" s="29">
        <f t="shared" si="13"/>
        <v>39535</v>
      </c>
    </row>
    <row r="259" spans="1:9" ht="12.75" hidden="1" customHeight="1" x14ac:dyDescent="0.2">
      <c r="A259" s="28">
        <v>39535</v>
      </c>
      <c r="B259" s="26" t="s">
        <v>589</v>
      </c>
      <c r="C259" s="26" t="s">
        <v>9</v>
      </c>
      <c r="D259" s="35" t="s">
        <v>20</v>
      </c>
      <c r="E259" s="35">
        <v>56215</v>
      </c>
      <c r="F259" s="35" t="s">
        <v>20</v>
      </c>
      <c r="G259" t="b">
        <f t="shared" si="14"/>
        <v>0</v>
      </c>
      <c r="H259" t="b">
        <f t="shared" si="15"/>
        <v>0</v>
      </c>
      <c r="I259" s="29">
        <f t="shared" ref="I259:I322" si="16">DATE(2008,MONTH(A259), DAY(A259))</f>
        <v>39535</v>
      </c>
    </row>
    <row r="260" spans="1:9" ht="25.5" hidden="1" x14ac:dyDescent="0.2">
      <c r="A260" s="28">
        <v>39535</v>
      </c>
      <c r="B260" s="26" t="s">
        <v>2634</v>
      </c>
      <c r="C260" s="26" t="s">
        <v>9</v>
      </c>
      <c r="D260" s="35" t="s">
        <v>20</v>
      </c>
      <c r="E260" s="35" t="s">
        <v>20</v>
      </c>
      <c r="F260" s="35">
        <v>6773855</v>
      </c>
      <c r="G260" t="b">
        <f t="shared" si="14"/>
        <v>0</v>
      </c>
      <c r="H260" t="b">
        <f t="shared" si="15"/>
        <v>0</v>
      </c>
      <c r="I260" s="29">
        <f t="shared" si="16"/>
        <v>39535</v>
      </c>
    </row>
    <row r="261" spans="1:9" ht="12.75" hidden="1" customHeight="1" x14ac:dyDescent="0.2">
      <c r="A261" s="28">
        <v>39535</v>
      </c>
      <c r="B261" s="26" t="s">
        <v>496</v>
      </c>
      <c r="C261" s="26" t="s">
        <v>3475</v>
      </c>
      <c r="D261" s="35" t="s">
        <v>20</v>
      </c>
      <c r="E261" s="35">
        <v>25874034</v>
      </c>
      <c r="F261" s="35">
        <v>70256797</v>
      </c>
      <c r="G261" t="b">
        <f t="shared" si="14"/>
        <v>0</v>
      </c>
      <c r="H261" t="b">
        <f t="shared" si="15"/>
        <v>0</v>
      </c>
      <c r="I261" s="29">
        <f t="shared" si="16"/>
        <v>39535</v>
      </c>
    </row>
    <row r="262" spans="1:9" ht="12.75" hidden="1" customHeight="1" x14ac:dyDescent="0.2">
      <c r="A262" s="28">
        <v>39535</v>
      </c>
      <c r="B262" s="26" t="s">
        <v>2047</v>
      </c>
      <c r="C262" s="26" t="s">
        <v>842</v>
      </c>
      <c r="D262" s="35" t="s">
        <v>20</v>
      </c>
      <c r="E262" s="35">
        <v>124085</v>
      </c>
      <c r="F262" s="35" t="s">
        <v>20</v>
      </c>
      <c r="G262" t="b">
        <f t="shared" si="14"/>
        <v>0</v>
      </c>
      <c r="H262" t="b">
        <f t="shared" si="15"/>
        <v>0</v>
      </c>
      <c r="I262" s="29">
        <f t="shared" si="16"/>
        <v>39535</v>
      </c>
    </row>
    <row r="263" spans="1:9" ht="12.75" hidden="1" customHeight="1" x14ac:dyDescent="0.2">
      <c r="A263" s="28">
        <v>39535</v>
      </c>
      <c r="B263" s="26" t="s">
        <v>1156</v>
      </c>
      <c r="C263" s="26" t="s">
        <v>647</v>
      </c>
      <c r="D263" s="35" t="s">
        <v>20</v>
      </c>
      <c r="E263" s="35">
        <v>246724</v>
      </c>
      <c r="F263" s="35" t="s">
        <v>20</v>
      </c>
      <c r="G263" t="b">
        <f t="shared" si="14"/>
        <v>0</v>
      </c>
      <c r="H263" t="b">
        <f t="shared" si="15"/>
        <v>0</v>
      </c>
      <c r="I263" s="29">
        <f t="shared" si="16"/>
        <v>39535</v>
      </c>
    </row>
    <row r="264" spans="1:9" ht="12.75" hidden="1" customHeight="1" x14ac:dyDescent="0.2">
      <c r="A264" s="28">
        <v>39535</v>
      </c>
      <c r="B264" s="26">
        <v>21</v>
      </c>
      <c r="C264" s="26" t="s">
        <v>2256</v>
      </c>
      <c r="D264" s="35">
        <v>35000000</v>
      </c>
      <c r="E264" s="35">
        <v>81159365</v>
      </c>
      <c r="F264" s="35">
        <v>157852532</v>
      </c>
      <c r="G264" t="b">
        <f t="shared" si="14"/>
        <v>0</v>
      </c>
      <c r="H264" t="b">
        <f t="shared" si="15"/>
        <v>0</v>
      </c>
      <c r="I264" s="29">
        <f t="shared" si="16"/>
        <v>39535</v>
      </c>
    </row>
    <row r="265" spans="1:9" hidden="1" x14ac:dyDescent="0.2">
      <c r="A265" s="28">
        <v>39535</v>
      </c>
      <c r="B265" s="26" t="s">
        <v>2318</v>
      </c>
      <c r="C265" s="26" t="s">
        <v>1074</v>
      </c>
      <c r="D265" s="35" t="s">
        <v>20</v>
      </c>
      <c r="E265" s="35">
        <v>3126</v>
      </c>
      <c r="F265" s="35" t="s">
        <v>20</v>
      </c>
      <c r="G265" t="b">
        <f t="shared" si="14"/>
        <v>0</v>
      </c>
      <c r="H265" t="b">
        <f t="shared" si="15"/>
        <v>0</v>
      </c>
      <c r="I265" s="29">
        <f t="shared" si="16"/>
        <v>39535</v>
      </c>
    </row>
    <row r="266" spans="1:9" ht="12.75" hidden="1" customHeight="1" x14ac:dyDescent="0.2">
      <c r="A266" s="28">
        <v>39535</v>
      </c>
      <c r="B266" s="26" t="s">
        <v>1512</v>
      </c>
      <c r="C266" s="26" t="s">
        <v>9</v>
      </c>
      <c r="D266" s="35" t="s">
        <v>20</v>
      </c>
      <c r="E266" s="35">
        <v>31272</v>
      </c>
      <c r="F266" s="35" t="s">
        <v>20</v>
      </c>
      <c r="G266" t="b">
        <f t="shared" si="14"/>
        <v>0</v>
      </c>
      <c r="H266" t="b">
        <f t="shared" si="15"/>
        <v>0</v>
      </c>
      <c r="I266" s="29">
        <f t="shared" si="16"/>
        <v>39535</v>
      </c>
    </row>
    <row r="267" spans="1:9" ht="12.75" hidden="1" customHeight="1" x14ac:dyDescent="0.2">
      <c r="A267" s="28">
        <v>39535</v>
      </c>
      <c r="B267" s="26" t="s">
        <v>1929</v>
      </c>
      <c r="C267" s="26" t="s">
        <v>493</v>
      </c>
      <c r="D267" s="35" t="s">
        <v>20</v>
      </c>
      <c r="E267" s="35">
        <v>67665</v>
      </c>
      <c r="F267" s="35" t="s">
        <v>20</v>
      </c>
      <c r="G267" t="b">
        <f t="shared" si="14"/>
        <v>0</v>
      </c>
      <c r="H267" t="b">
        <f t="shared" si="15"/>
        <v>0</v>
      </c>
      <c r="I267" s="29">
        <f t="shared" si="16"/>
        <v>39535</v>
      </c>
    </row>
    <row r="268" spans="1:9" ht="25.5" hidden="1" x14ac:dyDescent="0.2">
      <c r="A268" s="28">
        <v>39535</v>
      </c>
      <c r="B268" s="26" t="s">
        <v>800</v>
      </c>
      <c r="C268" s="26" t="s">
        <v>729</v>
      </c>
      <c r="D268" s="35" t="s">
        <v>20</v>
      </c>
      <c r="E268" s="35" t="s">
        <v>20</v>
      </c>
      <c r="F268" s="35" t="s">
        <v>20</v>
      </c>
      <c r="G268" t="b">
        <f t="shared" si="14"/>
        <v>0</v>
      </c>
      <c r="H268" t="b">
        <f t="shared" si="15"/>
        <v>0</v>
      </c>
      <c r="I268" s="29">
        <f t="shared" si="16"/>
        <v>39535</v>
      </c>
    </row>
    <row r="269" spans="1:9" ht="12.75" hidden="1" customHeight="1" x14ac:dyDescent="0.2">
      <c r="A269" s="28">
        <v>39535</v>
      </c>
      <c r="B269" s="26" t="s">
        <v>2724</v>
      </c>
      <c r="C269" s="26" t="s">
        <v>2466</v>
      </c>
      <c r="D269" s="35" t="s">
        <v>20</v>
      </c>
      <c r="E269" s="35">
        <v>12343</v>
      </c>
      <c r="F269" s="35" t="s">
        <v>20</v>
      </c>
      <c r="G269" t="b">
        <f t="shared" si="14"/>
        <v>0</v>
      </c>
      <c r="H269" t="b">
        <f t="shared" si="15"/>
        <v>0</v>
      </c>
      <c r="I269" s="29">
        <f t="shared" si="16"/>
        <v>39535</v>
      </c>
    </row>
    <row r="270" spans="1:9" ht="25.5" hidden="1" x14ac:dyDescent="0.2">
      <c r="A270" s="28">
        <v>39535</v>
      </c>
      <c r="B270" s="26" t="s">
        <v>1477</v>
      </c>
      <c r="C270" s="26" t="s">
        <v>9</v>
      </c>
      <c r="D270" s="35" t="s">
        <v>20</v>
      </c>
      <c r="E270" s="35">
        <v>255620</v>
      </c>
      <c r="F270" s="35">
        <v>6463286</v>
      </c>
      <c r="G270" t="b">
        <f t="shared" si="14"/>
        <v>0</v>
      </c>
      <c r="H270" t="b">
        <f t="shared" si="15"/>
        <v>0</v>
      </c>
      <c r="I270" s="29">
        <f t="shared" si="16"/>
        <v>39535</v>
      </c>
    </row>
    <row r="271" spans="1:9" ht="12.75" hidden="1" customHeight="1" x14ac:dyDescent="0.2">
      <c r="A271" s="28">
        <v>39535</v>
      </c>
      <c r="B271" s="26" t="s">
        <v>95</v>
      </c>
      <c r="C271" s="26" t="s">
        <v>746</v>
      </c>
      <c r="D271" s="35" t="s">
        <v>20</v>
      </c>
      <c r="E271" s="35">
        <v>1200234</v>
      </c>
      <c r="F271" s="35">
        <v>5000234</v>
      </c>
      <c r="G271" t="b">
        <f t="shared" si="14"/>
        <v>0</v>
      </c>
      <c r="H271" t="b">
        <f t="shared" si="15"/>
        <v>0</v>
      </c>
      <c r="I271" s="29">
        <f t="shared" si="16"/>
        <v>39535</v>
      </c>
    </row>
    <row r="272" spans="1:9" ht="12.75" hidden="1" customHeight="1" x14ac:dyDescent="0.2">
      <c r="A272" s="28">
        <v>39535</v>
      </c>
      <c r="B272" s="26" t="s">
        <v>2722</v>
      </c>
      <c r="C272" s="26" t="s">
        <v>9</v>
      </c>
      <c r="D272" s="35" t="s">
        <v>20</v>
      </c>
      <c r="E272" s="35">
        <v>2164670</v>
      </c>
      <c r="F272" s="35">
        <v>26980663</v>
      </c>
      <c r="G272" t="b">
        <f t="shared" si="14"/>
        <v>0</v>
      </c>
      <c r="H272" t="b">
        <f t="shared" si="15"/>
        <v>0</v>
      </c>
      <c r="I272" s="29">
        <f t="shared" si="16"/>
        <v>39535</v>
      </c>
    </row>
    <row r="273" spans="1:9" ht="12.75" hidden="1" customHeight="1" x14ac:dyDescent="0.2">
      <c r="A273" s="28">
        <v>39535</v>
      </c>
      <c r="B273" s="26" t="s">
        <v>960</v>
      </c>
      <c r="C273" s="26" t="s">
        <v>849</v>
      </c>
      <c r="D273" s="35" t="s">
        <v>20</v>
      </c>
      <c r="E273" s="35">
        <v>6003262</v>
      </c>
      <c r="F273" s="35">
        <v>36743410</v>
      </c>
      <c r="G273" t="b">
        <f t="shared" si="14"/>
        <v>0</v>
      </c>
      <c r="H273" t="b">
        <f t="shared" si="15"/>
        <v>0</v>
      </c>
      <c r="I273" s="29">
        <f t="shared" si="16"/>
        <v>39535</v>
      </c>
    </row>
    <row r="274" spans="1:9" ht="25.5" hidden="1" x14ac:dyDescent="0.2">
      <c r="A274" s="28">
        <v>39535</v>
      </c>
      <c r="B274" s="26" t="s">
        <v>1304</v>
      </c>
      <c r="C274" s="26" t="s">
        <v>2168</v>
      </c>
      <c r="D274" s="35">
        <v>25000000</v>
      </c>
      <c r="E274" s="35">
        <v>10915744</v>
      </c>
      <c r="F274" s="35">
        <v>11179472</v>
      </c>
      <c r="G274" t="b">
        <f t="shared" si="14"/>
        <v>0</v>
      </c>
      <c r="H274" t="b">
        <f t="shared" si="15"/>
        <v>0</v>
      </c>
      <c r="I274" s="29">
        <f t="shared" si="16"/>
        <v>39535</v>
      </c>
    </row>
    <row r="275" spans="1:9" ht="12.75" hidden="1" customHeight="1" x14ac:dyDescent="0.2">
      <c r="A275" s="28">
        <v>39535</v>
      </c>
      <c r="B275" s="26" t="s">
        <v>3107</v>
      </c>
      <c r="C275" s="26" t="s">
        <v>1115</v>
      </c>
      <c r="D275" s="35" t="s">
        <v>20</v>
      </c>
      <c r="E275" s="35" t="s">
        <v>20</v>
      </c>
      <c r="F275" s="35" t="s">
        <v>20</v>
      </c>
      <c r="G275" t="b">
        <f t="shared" si="14"/>
        <v>0</v>
      </c>
      <c r="H275" t="b">
        <f t="shared" si="15"/>
        <v>0</v>
      </c>
      <c r="I275" s="29">
        <f t="shared" si="16"/>
        <v>39535</v>
      </c>
    </row>
    <row r="276" spans="1:9" ht="25.5" hidden="1" x14ac:dyDescent="0.2">
      <c r="A276" s="28">
        <v>39536</v>
      </c>
      <c r="B276" s="26" t="s">
        <v>3482</v>
      </c>
      <c r="C276" s="26" t="s">
        <v>1533</v>
      </c>
      <c r="D276" s="35" t="s">
        <v>20</v>
      </c>
      <c r="E276" s="35" t="s">
        <v>20</v>
      </c>
      <c r="F276" s="35" t="s">
        <v>20</v>
      </c>
      <c r="G276" t="b">
        <f t="shared" si="14"/>
        <v>0</v>
      </c>
      <c r="H276" t="b">
        <f t="shared" si="15"/>
        <v>0</v>
      </c>
      <c r="I276" s="29">
        <f t="shared" si="16"/>
        <v>39536</v>
      </c>
    </row>
    <row r="277" spans="1:9" ht="38.25" hidden="1" x14ac:dyDescent="0.2">
      <c r="A277" s="28">
        <v>39536</v>
      </c>
      <c r="B277" s="26" t="s">
        <v>3228</v>
      </c>
      <c r="C277" s="26" t="s">
        <v>9</v>
      </c>
      <c r="D277" s="35" t="s">
        <v>20</v>
      </c>
      <c r="E277" s="35" t="s">
        <v>20</v>
      </c>
      <c r="F277" s="35" t="s">
        <v>20</v>
      </c>
      <c r="G277" t="b">
        <f t="shared" si="14"/>
        <v>0</v>
      </c>
      <c r="H277" t="b">
        <f t="shared" si="15"/>
        <v>0</v>
      </c>
      <c r="I277" s="29">
        <f t="shared" si="16"/>
        <v>39536</v>
      </c>
    </row>
    <row r="278" spans="1:9" ht="25.5" hidden="1" x14ac:dyDescent="0.2">
      <c r="A278" s="28">
        <v>39538</v>
      </c>
      <c r="B278" s="26" t="s">
        <v>1549</v>
      </c>
      <c r="C278" s="26" t="s">
        <v>9</v>
      </c>
      <c r="D278" s="35" t="s">
        <v>20</v>
      </c>
      <c r="E278" s="35" t="s">
        <v>20</v>
      </c>
      <c r="F278" s="35" t="s">
        <v>20</v>
      </c>
      <c r="G278" t="b">
        <f t="shared" si="14"/>
        <v>0</v>
      </c>
      <c r="H278" t="b">
        <f t="shared" si="15"/>
        <v>0</v>
      </c>
      <c r="I278" s="29">
        <f t="shared" si="16"/>
        <v>39538</v>
      </c>
    </row>
    <row r="279" spans="1:9" ht="12.75" hidden="1" customHeight="1" x14ac:dyDescent="0.2">
      <c r="A279" s="28">
        <v>39540</v>
      </c>
      <c r="B279" s="26" t="s">
        <v>838</v>
      </c>
      <c r="C279" s="26" t="s">
        <v>9</v>
      </c>
      <c r="D279" s="35" t="s">
        <v>20</v>
      </c>
      <c r="E279" s="35" t="s">
        <v>20</v>
      </c>
      <c r="F279" s="35">
        <v>7194096</v>
      </c>
      <c r="G279" t="b">
        <f t="shared" si="14"/>
        <v>0</v>
      </c>
      <c r="H279" t="b">
        <f t="shared" si="15"/>
        <v>0</v>
      </c>
      <c r="I279" s="29">
        <f t="shared" si="16"/>
        <v>39540</v>
      </c>
    </row>
    <row r="280" spans="1:9" ht="12.75" hidden="1" customHeight="1" x14ac:dyDescent="0.2">
      <c r="A280" s="28">
        <v>39540</v>
      </c>
      <c r="B280" s="26" t="s">
        <v>717</v>
      </c>
      <c r="C280" s="26" t="s">
        <v>9</v>
      </c>
      <c r="D280" s="35" t="s">
        <v>20</v>
      </c>
      <c r="E280" s="35" t="s">
        <v>20</v>
      </c>
      <c r="F280" s="35">
        <v>22437089</v>
      </c>
      <c r="G280" t="b">
        <f t="shared" si="14"/>
        <v>0</v>
      </c>
      <c r="H280" t="b">
        <f t="shared" si="15"/>
        <v>0</v>
      </c>
      <c r="I280" s="29">
        <f t="shared" si="16"/>
        <v>39540</v>
      </c>
    </row>
    <row r="281" spans="1:9" ht="25.5" hidden="1" x14ac:dyDescent="0.2">
      <c r="A281" s="28">
        <v>39540</v>
      </c>
      <c r="B281" s="26" t="s">
        <v>1495</v>
      </c>
      <c r="C281" s="26" t="s">
        <v>3466</v>
      </c>
      <c r="D281" s="35" t="s">
        <v>20</v>
      </c>
      <c r="E281" s="35">
        <v>459364</v>
      </c>
      <c r="F281" s="35" t="s">
        <v>20</v>
      </c>
      <c r="G281" t="b">
        <f t="shared" si="14"/>
        <v>0</v>
      </c>
      <c r="H281" t="b">
        <f t="shared" si="15"/>
        <v>0</v>
      </c>
      <c r="I281" s="29">
        <f t="shared" si="16"/>
        <v>39540</v>
      </c>
    </row>
    <row r="282" spans="1:9" ht="12.75" hidden="1" customHeight="1" x14ac:dyDescent="0.2">
      <c r="A282" s="28">
        <v>39541</v>
      </c>
      <c r="B282" s="26" t="s">
        <v>2653</v>
      </c>
      <c r="C282" s="26" t="s">
        <v>9</v>
      </c>
      <c r="D282" s="35" t="s">
        <v>20</v>
      </c>
      <c r="E282" s="35" t="s">
        <v>20</v>
      </c>
      <c r="F282" s="35">
        <v>2720834</v>
      </c>
      <c r="G282" t="b">
        <f t="shared" si="14"/>
        <v>0</v>
      </c>
      <c r="H282" t="b">
        <f t="shared" si="15"/>
        <v>0</v>
      </c>
      <c r="I282" s="29">
        <f t="shared" si="16"/>
        <v>39541</v>
      </c>
    </row>
    <row r="283" spans="1:9" ht="38.25" hidden="1" x14ac:dyDescent="0.2">
      <c r="A283" s="28">
        <v>39541</v>
      </c>
      <c r="B283" s="26" t="s">
        <v>3057</v>
      </c>
      <c r="C283" s="26" t="s">
        <v>9</v>
      </c>
      <c r="D283" s="35">
        <v>20000000</v>
      </c>
      <c r="E283" s="35" t="s">
        <v>20</v>
      </c>
      <c r="F283" s="35">
        <v>22139590</v>
      </c>
      <c r="G283" t="b">
        <f t="shared" si="14"/>
        <v>0</v>
      </c>
      <c r="H283" t="b">
        <f t="shared" si="15"/>
        <v>0</v>
      </c>
      <c r="I283" s="29">
        <f t="shared" si="16"/>
        <v>39541</v>
      </c>
    </row>
    <row r="284" spans="1:9" ht="25.5" hidden="1" x14ac:dyDescent="0.2">
      <c r="A284" s="28">
        <v>39541</v>
      </c>
      <c r="B284" s="26" t="s">
        <v>2352</v>
      </c>
      <c r="C284" s="26" t="s">
        <v>9</v>
      </c>
      <c r="D284" s="35" t="s">
        <v>20</v>
      </c>
      <c r="E284" s="35">
        <v>52577</v>
      </c>
      <c r="F284" s="35" t="s">
        <v>20</v>
      </c>
      <c r="G284" t="b">
        <f t="shared" si="14"/>
        <v>0</v>
      </c>
      <c r="H284" t="b">
        <f t="shared" si="15"/>
        <v>0</v>
      </c>
      <c r="I284" s="29">
        <f t="shared" si="16"/>
        <v>39541</v>
      </c>
    </row>
    <row r="285" spans="1:9" ht="12.75" hidden="1" customHeight="1" x14ac:dyDescent="0.2">
      <c r="A285" s="28">
        <v>39542</v>
      </c>
      <c r="B285" s="26" t="s">
        <v>2963</v>
      </c>
      <c r="C285" s="26" t="s">
        <v>384</v>
      </c>
      <c r="D285" s="35">
        <v>37000000</v>
      </c>
      <c r="E285" s="35">
        <v>48006762</v>
      </c>
      <c r="F285" s="35">
        <v>94081683</v>
      </c>
      <c r="G285" t="b">
        <f t="shared" si="14"/>
        <v>0</v>
      </c>
      <c r="H285" t="b">
        <f t="shared" si="15"/>
        <v>0</v>
      </c>
      <c r="I285" s="29">
        <f t="shared" si="16"/>
        <v>39542</v>
      </c>
    </row>
    <row r="286" spans="1:9" ht="25.5" hidden="1" x14ac:dyDescent="0.2">
      <c r="A286" s="28">
        <v>39542</v>
      </c>
      <c r="B286" s="26" t="s">
        <v>1980</v>
      </c>
      <c r="C286" s="26" t="s">
        <v>49</v>
      </c>
      <c r="D286" s="35" t="s">
        <v>20</v>
      </c>
      <c r="E286" s="35">
        <v>866778</v>
      </c>
      <c r="F286" s="35">
        <v>17288390</v>
      </c>
      <c r="G286" t="b">
        <f t="shared" si="14"/>
        <v>0</v>
      </c>
      <c r="H286" t="b">
        <f t="shared" si="15"/>
        <v>0</v>
      </c>
      <c r="I286" s="29">
        <f t="shared" si="16"/>
        <v>39542</v>
      </c>
    </row>
    <row r="287" spans="1:9" ht="25.5" hidden="1" x14ac:dyDescent="0.2">
      <c r="A287" s="28">
        <v>39542</v>
      </c>
      <c r="B287" s="26" t="s">
        <v>1207</v>
      </c>
      <c r="C287" s="26" t="s">
        <v>9</v>
      </c>
      <c r="D287" s="35" t="s">
        <v>20</v>
      </c>
      <c r="E287" s="35">
        <v>70864</v>
      </c>
      <c r="F287" s="35" t="s">
        <v>20</v>
      </c>
      <c r="G287" t="b">
        <f t="shared" si="14"/>
        <v>0</v>
      </c>
      <c r="H287" t="b">
        <f t="shared" si="15"/>
        <v>0</v>
      </c>
      <c r="I287" s="29">
        <f t="shared" si="16"/>
        <v>39542</v>
      </c>
    </row>
    <row r="288" spans="1:9" ht="12.75" hidden="1" customHeight="1" x14ac:dyDescent="0.2">
      <c r="A288" s="28">
        <v>39542</v>
      </c>
      <c r="B288" s="26" t="s">
        <v>2301</v>
      </c>
      <c r="C288" s="26" t="s">
        <v>9</v>
      </c>
      <c r="D288" s="35" t="s">
        <v>20</v>
      </c>
      <c r="E288" s="35">
        <v>59108</v>
      </c>
      <c r="F288" s="35" t="s">
        <v>20</v>
      </c>
      <c r="G288" t="b">
        <f t="shared" si="14"/>
        <v>0</v>
      </c>
      <c r="H288" t="b">
        <f t="shared" si="15"/>
        <v>0</v>
      </c>
      <c r="I288" s="29">
        <f t="shared" si="16"/>
        <v>39542</v>
      </c>
    </row>
    <row r="289" spans="1:9" ht="12.75" hidden="1" customHeight="1" x14ac:dyDescent="0.2">
      <c r="A289" s="28">
        <v>39542</v>
      </c>
      <c r="B289" s="26" t="s">
        <v>1040</v>
      </c>
      <c r="C289" s="26" t="s">
        <v>3096</v>
      </c>
      <c r="D289" s="35">
        <v>58000000</v>
      </c>
      <c r="E289" s="35">
        <v>31373938</v>
      </c>
      <c r="F289" s="35">
        <v>40830862</v>
      </c>
      <c r="G289" t="b">
        <f t="shared" si="14"/>
        <v>0</v>
      </c>
      <c r="H289" t="b">
        <f t="shared" si="15"/>
        <v>0</v>
      </c>
      <c r="I289" s="29">
        <f t="shared" si="16"/>
        <v>39542</v>
      </c>
    </row>
    <row r="290" spans="1:9" ht="25.5" hidden="1" x14ac:dyDescent="0.2">
      <c r="A290" s="28">
        <v>39542</v>
      </c>
      <c r="B290" s="26" t="s">
        <v>2980</v>
      </c>
      <c r="C290" s="26" t="s">
        <v>2168</v>
      </c>
      <c r="D290" s="35">
        <v>25000000</v>
      </c>
      <c r="E290" s="35">
        <v>17432844</v>
      </c>
      <c r="F290" s="35">
        <v>22177122</v>
      </c>
      <c r="G290" t="b">
        <f t="shared" si="14"/>
        <v>0</v>
      </c>
      <c r="H290" t="b">
        <f t="shared" si="15"/>
        <v>0</v>
      </c>
      <c r="I290" s="29">
        <f t="shared" si="16"/>
        <v>39542</v>
      </c>
    </row>
    <row r="291" spans="1:9" ht="25.5" hidden="1" x14ac:dyDescent="0.2">
      <c r="A291" s="28">
        <v>39542</v>
      </c>
      <c r="B291" s="26" t="s">
        <v>479</v>
      </c>
      <c r="C291" s="26" t="s">
        <v>999</v>
      </c>
      <c r="D291" s="35" t="s">
        <v>20</v>
      </c>
      <c r="E291" s="35">
        <v>5505267</v>
      </c>
      <c r="F291" s="35">
        <v>15773351</v>
      </c>
      <c r="G291" t="b">
        <f t="shared" si="14"/>
        <v>0</v>
      </c>
      <c r="H291" t="b">
        <f t="shared" si="15"/>
        <v>0</v>
      </c>
      <c r="I291" s="29">
        <f t="shared" si="16"/>
        <v>39542</v>
      </c>
    </row>
    <row r="292" spans="1:9" ht="25.5" hidden="1" x14ac:dyDescent="0.2">
      <c r="A292" s="28">
        <v>39542</v>
      </c>
      <c r="B292" s="26" t="s">
        <v>609</v>
      </c>
      <c r="C292" s="26" t="s">
        <v>734</v>
      </c>
      <c r="D292" s="35" t="s">
        <v>20</v>
      </c>
      <c r="E292" s="35">
        <v>77310</v>
      </c>
      <c r="F292" s="35" t="s">
        <v>20</v>
      </c>
      <c r="G292" t="b">
        <f t="shared" si="14"/>
        <v>0</v>
      </c>
      <c r="H292" t="b">
        <f t="shared" si="15"/>
        <v>0</v>
      </c>
      <c r="I292" s="29">
        <f t="shared" si="16"/>
        <v>39542</v>
      </c>
    </row>
    <row r="293" spans="1:9" ht="12.75" hidden="1" customHeight="1" x14ac:dyDescent="0.2">
      <c r="A293" s="28">
        <v>39542</v>
      </c>
      <c r="B293" s="26" t="s">
        <v>1022</v>
      </c>
      <c r="C293" s="26" t="s">
        <v>2314</v>
      </c>
      <c r="D293" s="35" t="s">
        <v>20</v>
      </c>
      <c r="E293" s="35">
        <v>341221</v>
      </c>
      <c r="F293" s="35" t="s">
        <v>20</v>
      </c>
      <c r="G293" t="b">
        <f t="shared" si="14"/>
        <v>0</v>
      </c>
      <c r="H293" t="b">
        <f t="shared" si="15"/>
        <v>0</v>
      </c>
      <c r="I293" s="29">
        <f t="shared" si="16"/>
        <v>39542</v>
      </c>
    </row>
    <row r="294" spans="1:9" ht="12.75" hidden="1" customHeight="1" x14ac:dyDescent="0.2">
      <c r="A294" s="28">
        <v>39542</v>
      </c>
      <c r="B294" s="26" t="s">
        <v>2414</v>
      </c>
      <c r="C294" s="26" t="s">
        <v>1890</v>
      </c>
      <c r="D294" s="35" t="s">
        <v>20</v>
      </c>
      <c r="E294" s="35">
        <v>88148</v>
      </c>
      <c r="F294" s="35" t="s">
        <v>20</v>
      </c>
      <c r="G294" t="b">
        <f t="shared" si="14"/>
        <v>0</v>
      </c>
      <c r="H294" t="b">
        <f t="shared" si="15"/>
        <v>0</v>
      </c>
      <c r="I294" s="29">
        <f t="shared" si="16"/>
        <v>39542</v>
      </c>
    </row>
    <row r="295" spans="1:9" ht="25.5" hidden="1" x14ac:dyDescent="0.2">
      <c r="A295" s="28">
        <v>39546</v>
      </c>
      <c r="B295" s="26" t="s">
        <v>528</v>
      </c>
      <c r="C295" s="26" t="s">
        <v>9</v>
      </c>
      <c r="D295" s="35" t="s">
        <v>20</v>
      </c>
      <c r="E295" s="35" t="s">
        <v>20</v>
      </c>
      <c r="F295" s="35" t="s">
        <v>20</v>
      </c>
      <c r="G295" t="b">
        <f t="shared" si="14"/>
        <v>0</v>
      </c>
      <c r="H295" t="b">
        <f t="shared" si="15"/>
        <v>0</v>
      </c>
      <c r="I295" s="29">
        <f t="shared" si="16"/>
        <v>39546</v>
      </c>
    </row>
    <row r="296" spans="1:9" ht="12.75" hidden="1" customHeight="1" x14ac:dyDescent="0.2">
      <c r="A296" s="28">
        <v>39546</v>
      </c>
      <c r="B296" s="26" t="s">
        <v>2874</v>
      </c>
      <c r="C296" s="26" t="s">
        <v>9</v>
      </c>
      <c r="D296" s="35">
        <v>18000000</v>
      </c>
      <c r="E296" s="35" t="s">
        <v>20</v>
      </c>
      <c r="F296" s="35" t="s">
        <v>20</v>
      </c>
      <c r="G296" t="b">
        <f t="shared" si="14"/>
        <v>0</v>
      </c>
      <c r="H296" t="b">
        <f t="shared" si="15"/>
        <v>0</v>
      </c>
      <c r="I296" s="29">
        <f t="shared" si="16"/>
        <v>39546</v>
      </c>
    </row>
    <row r="297" spans="1:9" ht="12.75" hidden="1" customHeight="1" x14ac:dyDescent="0.2">
      <c r="A297" s="28">
        <v>39546</v>
      </c>
      <c r="B297" s="26" t="s">
        <v>235</v>
      </c>
      <c r="C297" s="26" t="s">
        <v>9</v>
      </c>
      <c r="D297" s="35" t="s">
        <v>20</v>
      </c>
      <c r="E297" s="35" t="s">
        <v>20</v>
      </c>
      <c r="F297" s="35" t="s">
        <v>20</v>
      </c>
      <c r="G297" t="b">
        <f t="shared" si="14"/>
        <v>0</v>
      </c>
      <c r="H297" t="b">
        <f t="shared" si="15"/>
        <v>0</v>
      </c>
      <c r="I297" s="29">
        <f t="shared" si="16"/>
        <v>39546</v>
      </c>
    </row>
    <row r="298" spans="1:9" ht="25.5" hidden="1" x14ac:dyDescent="0.2">
      <c r="A298" s="28">
        <v>39547</v>
      </c>
      <c r="B298" s="26" t="s">
        <v>92</v>
      </c>
      <c r="C298" s="26" t="s">
        <v>9</v>
      </c>
      <c r="D298" s="35" t="s">
        <v>20</v>
      </c>
      <c r="E298" s="35" t="s">
        <v>20</v>
      </c>
      <c r="F298" s="35">
        <v>1823846</v>
      </c>
      <c r="G298" t="b">
        <f t="shared" ref="G298:G361" si="17">ISBLANK(A298)</f>
        <v>0</v>
      </c>
      <c r="H298" t="b">
        <f t="shared" ref="H298:H361" si="18">ISTEXT(A298)</f>
        <v>0</v>
      </c>
      <c r="I298" s="29">
        <f t="shared" si="16"/>
        <v>39547</v>
      </c>
    </row>
    <row r="299" spans="1:9" ht="12.75" hidden="1" customHeight="1" x14ac:dyDescent="0.2">
      <c r="A299" s="28">
        <v>39547</v>
      </c>
      <c r="B299" s="26" t="s">
        <v>2015</v>
      </c>
      <c r="C299" s="26" t="s">
        <v>155</v>
      </c>
      <c r="D299" s="35" t="s">
        <v>20</v>
      </c>
      <c r="E299" s="35">
        <v>3992189</v>
      </c>
      <c r="F299" s="35">
        <v>5876236</v>
      </c>
      <c r="G299" t="b">
        <f t="shared" si="17"/>
        <v>0</v>
      </c>
      <c r="H299" t="b">
        <f t="shared" si="18"/>
        <v>0</v>
      </c>
      <c r="I299" s="29">
        <f t="shared" si="16"/>
        <v>39547</v>
      </c>
    </row>
    <row r="300" spans="1:9" ht="12.75" hidden="1" customHeight="1" x14ac:dyDescent="0.2">
      <c r="A300" s="28">
        <v>39548</v>
      </c>
      <c r="B300" s="26" t="s">
        <v>358</v>
      </c>
      <c r="C300" s="26" t="s">
        <v>9</v>
      </c>
      <c r="D300" s="35" t="s">
        <v>20</v>
      </c>
      <c r="E300" s="35" t="s">
        <v>20</v>
      </c>
      <c r="F300" s="35">
        <v>1308216</v>
      </c>
      <c r="G300" t="b">
        <f t="shared" si="17"/>
        <v>0</v>
      </c>
      <c r="H300" t="b">
        <f t="shared" si="18"/>
        <v>0</v>
      </c>
      <c r="I300" s="29">
        <f t="shared" si="16"/>
        <v>39548</v>
      </c>
    </row>
    <row r="301" spans="1:9" ht="25.5" hidden="1" x14ac:dyDescent="0.2">
      <c r="A301" s="28">
        <v>39549</v>
      </c>
      <c r="B301" s="26" t="s">
        <v>2828</v>
      </c>
      <c r="C301" s="26" t="s">
        <v>9</v>
      </c>
      <c r="D301" s="35" t="s">
        <v>20</v>
      </c>
      <c r="E301" s="35" t="s">
        <v>20</v>
      </c>
      <c r="F301" s="35" t="s">
        <v>20</v>
      </c>
      <c r="G301" t="b">
        <f t="shared" si="17"/>
        <v>0</v>
      </c>
      <c r="H301" t="b">
        <f t="shared" si="18"/>
        <v>0</v>
      </c>
      <c r="I301" s="29">
        <f t="shared" si="16"/>
        <v>39549</v>
      </c>
    </row>
    <row r="302" spans="1:9" ht="25.5" hidden="1" x14ac:dyDescent="0.2">
      <c r="A302" s="28">
        <v>39549</v>
      </c>
      <c r="B302" s="26" t="s">
        <v>461</v>
      </c>
      <c r="C302" s="26" t="s">
        <v>9</v>
      </c>
      <c r="D302" s="35" t="s">
        <v>20</v>
      </c>
      <c r="E302" s="35">
        <v>34727</v>
      </c>
      <c r="F302" s="35" t="s">
        <v>20</v>
      </c>
      <c r="G302" t="b">
        <f t="shared" si="17"/>
        <v>0</v>
      </c>
      <c r="H302" t="b">
        <f t="shared" si="18"/>
        <v>0</v>
      </c>
      <c r="I302" s="29">
        <f t="shared" si="16"/>
        <v>39549</v>
      </c>
    </row>
    <row r="303" spans="1:9" ht="12.75" hidden="1" customHeight="1" x14ac:dyDescent="0.2">
      <c r="A303" s="28">
        <v>39549</v>
      </c>
      <c r="B303" s="26" t="s">
        <v>1939</v>
      </c>
      <c r="C303" s="26" t="s">
        <v>9</v>
      </c>
      <c r="D303" s="35" t="s">
        <v>20</v>
      </c>
      <c r="E303" s="35" t="s">
        <v>20</v>
      </c>
      <c r="F303" s="35">
        <v>3162337</v>
      </c>
      <c r="G303" t="b">
        <f t="shared" si="17"/>
        <v>0</v>
      </c>
      <c r="H303" t="b">
        <f t="shared" si="18"/>
        <v>0</v>
      </c>
      <c r="I303" s="29">
        <f t="shared" si="16"/>
        <v>39549</v>
      </c>
    </row>
    <row r="304" spans="1:9" ht="12.75" hidden="1" customHeight="1" x14ac:dyDescent="0.2">
      <c r="A304" s="28">
        <v>39549</v>
      </c>
      <c r="B304" s="26" t="s">
        <v>3028</v>
      </c>
      <c r="C304" s="26" t="s">
        <v>647</v>
      </c>
      <c r="D304" s="35" t="s">
        <v>20</v>
      </c>
      <c r="E304" s="35">
        <v>487215</v>
      </c>
      <c r="F304" s="35">
        <v>5945182</v>
      </c>
      <c r="G304" t="b">
        <f t="shared" si="17"/>
        <v>0</v>
      </c>
      <c r="H304" t="b">
        <f t="shared" si="18"/>
        <v>0</v>
      </c>
      <c r="I304" s="29">
        <f t="shared" si="16"/>
        <v>39549</v>
      </c>
    </row>
    <row r="305" spans="1:9" ht="12.75" hidden="1" customHeight="1" x14ac:dyDescent="0.2">
      <c r="A305" s="28">
        <v>39549</v>
      </c>
      <c r="B305" s="26" t="s">
        <v>2112</v>
      </c>
      <c r="C305" s="26" t="s">
        <v>647</v>
      </c>
      <c r="D305" s="35" t="s">
        <v>20</v>
      </c>
      <c r="E305" s="35">
        <v>1028191</v>
      </c>
      <c r="F305" s="35">
        <v>3328191</v>
      </c>
      <c r="G305" t="b">
        <f t="shared" si="17"/>
        <v>0</v>
      </c>
      <c r="H305" t="b">
        <f t="shared" si="18"/>
        <v>0</v>
      </c>
      <c r="I305" s="29">
        <f t="shared" si="16"/>
        <v>39549</v>
      </c>
    </row>
    <row r="306" spans="1:9" ht="12.75" hidden="1" customHeight="1" x14ac:dyDescent="0.2">
      <c r="A306" s="28">
        <v>39549</v>
      </c>
      <c r="B306" s="26" t="s">
        <v>295</v>
      </c>
      <c r="C306" s="26" t="s">
        <v>923</v>
      </c>
      <c r="D306" s="35" t="s">
        <v>20</v>
      </c>
      <c r="E306" s="35">
        <v>39456</v>
      </c>
      <c r="F306" s="35" t="s">
        <v>20</v>
      </c>
      <c r="G306" t="b">
        <f t="shared" si="17"/>
        <v>0</v>
      </c>
      <c r="H306" t="b">
        <f t="shared" si="18"/>
        <v>0</v>
      </c>
      <c r="I306" s="29">
        <f t="shared" si="16"/>
        <v>39549</v>
      </c>
    </row>
    <row r="307" spans="1:9" ht="25.5" hidden="1" x14ac:dyDescent="0.2">
      <c r="A307" s="28">
        <v>39549</v>
      </c>
      <c r="B307" s="26" t="s">
        <v>2001</v>
      </c>
      <c r="C307" s="26" t="s">
        <v>2041</v>
      </c>
      <c r="D307" s="35" t="s">
        <v>20</v>
      </c>
      <c r="E307" s="35">
        <v>14485</v>
      </c>
      <c r="F307" s="35" t="s">
        <v>20</v>
      </c>
      <c r="G307" t="b">
        <f t="shared" si="17"/>
        <v>0</v>
      </c>
      <c r="H307" t="b">
        <f t="shared" si="18"/>
        <v>0</v>
      </c>
      <c r="I307" s="29">
        <f t="shared" si="16"/>
        <v>39549</v>
      </c>
    </row>
    <row r="308" spans="1:9" ht="25.5" hidden="1" x14ac:dyDescent="0.2">
      <c r="A308" s="28">
        <v>39549</v>
      </c>
      <c r="B308" s="26" t="s">
        <v>2096</v>
      </c>
      <c r="C308" s="26" t="s">
        <v>9</v>
      </c>
      <c r="D308" s="35" t="s">
        <v>20</v>
      </c>
      <c r="E308" s="35">
        <v>872427</v>
      </c>
      <c r="F308" s="35" t="s">
        <v>20</v>
      </c>
      <c r="G308" t="b">
        <f t="shared" si="17"/>
        <v>0</v>
      </c>
      <c r="H308" t="b">
        <f t="shared" si="18"/>
        <v>0</v>
      </c>
      <c r="I308" s="29">
        <f t="shared" si="16"/>
        <v>39549</v>
      </c>
    </row>
    <row r="309" spans="1:9" ht="25.5" hidden="1" x14ac:dyDescent="0.2">
      <c r="A309" s="28">
        <v>39549</v>
      </c>
      <c r="B309" s="26" t="s">
        <v>2836</v>
      </c>
      <c r="C309" s="26" t="s">
        <v>2464</v>
      </c>
      <c r="D309" s="35" t="s">
        <v>20</v>
      </c>
      <c r="E309" s="35">
        <v>1964</v>
      </c>
      <c r="F309" s="35" t="s">
        <v>20</v>
      </c>
      <c r="G309" t="b">
        <f t="shared" si="17"/>
        <v>0</v>
      </c>
      <c r="H309" t="b">
        <f t="shared" si="18"/>
        <v>0</v>
      </c>
      <c r="I309" s="29">
        <f t="shared" si="16"/>
        <v>39549</v>
      </c>
    </row>
    <row r="310" spans="1:9" ht="12.75" hidden="1" customHeight="1" x14ac:dyDescent="0.2">
      <c r="A310" s="28">
        <v>39549</v>
      </c>
      <c r="B310" s="26" t="s">
        <v>2953</v>
      </c>
      <c r="C310" s="26" t="s">
        <v>1289</v>
      </c>
      <c r="D310" s="35">
        <v>4000000</v>
      </c>
      <c r="E310" s="35">
        <v>9427026</v>
      </c>
      <c r="F310" s="35">
        <v>16784953</v>
      </c>
      <c r="G310" t="b">
        <f t="shared" si="17"/>
        <v>0</v>
      </c>
      <c r="H310" t="b">
        <f t="shared" si="18"/>
        <v>0</v>
      </c>
      <c r="I310" s="29">
        <f t="shared" si="16"/>
        <v>39549</v>
      </c>
    </row>
    <row r="311" spans="1:9" ht="12.75" hidden="1" customHeight="1" x14ac:dyDescent="0.2">
      <c r="A311" s="28">
        <v>39549</v>
      </c>
      <c r="B311" s="26" t="s">
        <v>2583</v>
      </c>
      <c r="C311" s="26" t="s">
        <v>2160</v>
      </c>
      <c r="D311" s="35">
        <v>18000000</v>
      </c>
      <c r="E311" s="35">
        <v>43869350</v>
      </c>
      <c r="F311" s="35">
        <v>57109687</v>
      </c>
      <c r="G311" t="b">
        <f t="shared" si="17"/>
        <v>0</v>
      </c>
      <c r="H311" t="b">
        <f t="shared" si="18"/>
        <v>0</v>
      </c>
      <c r="I311" s="29">
        <f t="shared" si="16"/>
        <v>39549</v>
      </c>
    </row>
    <row r="312" spans="1:9" ht="12.75" hidden="1" customHeight="1" x14ac:dyDescent="0.2">
      <c r="A312" s="28">
        <v>39549</v>
      </c>
      <c r="B312" s="26" t="s">
        <v>2380</v>
      </c>
      <c r="C312" s="26" t="s">
        <v>3218</v>
      </c>
      <c r="D312" s="35" t="s">
        <v>20</v>
      </c>
      <c r="E312" s="35">
        <v>9511289</v>
      </c>
      <c r="F312" s="35">
        <v>11655619</v>
      </c>
      <c r="G312" t="b">
        <f t="shared" si="17"/>
        <v>0</v>
      </c>
      <c r="H312" t="b">
        <f t="shared" si="18"/>
        <v>0</v>
      </c>
      <c r="I312" s="29">
        <f t="shared" si="16"/>
        <v>39549</v>
      </c>
    </row>
    <row r="313" spans="1:9" ht="12.75" hidden="1" customHeight="1" x14ac:dyDescent="0.2">
      <c r="A313" s="28">
        <v>39549</v>
      </c>
      <c r="B313" s="26" t="s">
        <v>3177</v>
      </c>
      <c r="C313" s="26" t="s">
        <v>9</v>
      </c>
      <c r="D313" s="35">
        <v>20000000</v>
      </c>
      <c r="E313" s="35">
        <v>26415649</v>
      </c>
      <c r="F313" s="35">
        <v>65589243</v>
      </c>
      <c r="G313" t="b">
        <f t="shared" si="17"/>
        <v>0</v>
      </c>
      <c r="H313" t="b">
        <f t="shared" si="18"/>
        <v>0</v>
      </c>
      <c r="I313" s="29">
        <f t="shared" si="16"/>
        <v>39549</v>
      </c>
    </row>
    <row r="314" spans="1:9" ht="12.75" hidden="1" customHeight="1" x14ac:dyDescent="0.2">
      <c r="A314" s="28">
        <v>39549</v>
      </c>
      <c r="B314" s="26" t="s">
        <v>303</v>
      </c>
      <c r="C314" s="26" t="s">
        <v>9</v>
      </c>
      <c r="D314" s="35" t="s">
        <v>20</v>
      </c>
      <c r="E314" s="35">
        <v>113730</v>
      </c>
      <c r="F314" s="35" t="s">
        <v>20</v>
      </c>
      <c r="G314" t="b">
        <f t="shared" si="17"/>
        <v>0</v>
      </c>
      <c r="H314" t="b">
        <f t="shared" si="18"/>
        <v>0</v>
      </c>
      <c r="I314" s="29">
        <f t="shared" si="16"/>
        <v>39549</v>
      </c>
    </row>
    <row r="315" spans="1:9" ht="12.75" hidden="1" customHeight="1" x14ac:dyDescent="0.2">
      <c r="A315" s="28">
        <v>39549</v>
      </c>
      <c r="B315" s="26" t="s">
        <v>2049</v>
      </c>
      <c r="C315" s="26" t="s">
        <v>9</v>
      </c>
      <c r="D315" s="35" t="s">
        <v>20</v>
      </c>
      <c r="E315" s="35">
        <v>30591</v>
      </c>
      <c r="F315" s="35" t="s">
        <v>20</v>
      </c>
      <c r="G315" t="b">
        <f t="shared" si="17"/>
        <v>0</v>
      </c>
      <c r="H315" t="b">
        <f t="shared" si="18"/>
        <v>0</v>
      </c>
      <c r="I315" s="29">
        <f t="shared" si="16"/>
        <v>39549</v>
      </c>
    </row>
    <row r="316" spans="1:9" ht="12.75" hidden="1" customHeight="1" x14ac:dyDescent="0.2">
      <c r="A316" s="28">
        <v>39550</v>
      </c>
      <c r="B316" s="26" t="s">
        <v>2249</v>
      </c>
      <c r="C316" s="26" t="s">
        <v>2624</v>
      </c>
      <c r="D316" s="35" t="s">
        <v>20</v>
      </c>
      <c r="E316" s="35" t="s">
        <v>20</v>
      </c>
      <c r="F316" s="35" t="s">
        <v>20</v>
      </c>
      <c r="G316" t="b">
        <f t="shared" si="17"/>
        <v>0</v>
      </c>
      <c r="H316" t="b">
        <f t="shared" si="18"/>
        <v>0</v>
      </c>
      <c r="I316" s="29">
        <f t="shared" si="16"/>
        <v>39550</v>
      </c>
    </row>
    <row r="317" spans="1:9" ht="63.75" hidden="1" x14ac:dyDescent="0.2">
      <c r="A317" s="28">
        <v>39550</v>
      </c>
      <c r="B317" s="26" t="s">
        <v>1023</v>
      </c>
      <c r="C317" s="26" t="s">
        <v>9</v>
      </c>
      <c r="D317" s="35" t="s">
        <v>20</v>
      </c>
      <c r="E317" s="35" t="s">
        <v>20</v>
      </c>
      <c r="F317" s="35">
        <v>3558763</v>
      </c>
      <c r="G317" t="b">
        <f t="shared" si="17"/>
        <v>0</v>
      </c>
      <c r="H317" t="b">
        <f t="shared" si="18"/>
        <v>0</v>
      </c>
      <c r="I317" s="29">
        <f t="shared" si="16"/>
        <v>39550</v>
      </c>
    </row>
    <row r="318" spans="1:9" ht="12.75" hidden="1" customHeight="1" x14ac:dyDescent="0.2">
      <c r="A318" s="28">
        <v>39553</v>
      </c>
      <c r="B318" s="26" t="s">
        <v>2854</v>
      </c>
      <c r="C318" s="26" t="s">
        <v>9</v>
      </c>
      <c r="D318" s="35" t="s">
        <v>20</v>
      </c>
      <c r="E318" s="35" t="s">
        <v>20</v>
      </c>
      <c r="F318" s="35" t="s">
        <v>20</v>
      </c>
      <c r="G318" t="b">
        <f t="shared" si="17"/>
        <v>0</v>
      </c>
      <c r="H318" t="b">
        <f t="shared" si="18"/>
        <v>0</v>
      </c>
      <c r="I318" s="29">
        <f t="shared" si="16"/>
        <v>39553</v>
      </c>
    </row>
    <row r="319" spans="1:9" ht="12.75" hidden="1" customHeight="1" x14ac:dyDescent="0.2">
      <c r="A319" s="28">
        <v>39553</v>
      </c>
      <c r="B319" s="26" t="s">
        <v>811</v>
      </c>
      <c r="C319" s="26" t="s">
        <v>49</v>
      </c>
      <c r="D319" s="35" t="s">
        <v>20</v>
      </c>
      <c r="E319" s="35" t="s">
        <v>20</v>
      </c>
      <c r="F319" s="35" t="s">
        <v>20</v>
      </c>
      <c r="G319" t="b">
        <f t="shared" si="17"/>
        <v>0</v>
      </c>
      <c r="H319" t="b">
        <f t="shared" si="18"/>
        <v>0</v>
      </c>
      <c r="I319" s="29">
        <f t="shared" si="16"/>
        <v>39553</v>
      </c>
    </row>
    <row r="320" spans="1:9" ht="12.75" hidden="1" customHeight="1" x14ac:dyDescent="0.2">
      <c r="A320" s="28">
        <v>39553</v>
      </c>
      <c r="B320" s="26" t="s">
        <v>2206</v>
      </c>
      <c r="C320" s="26" t="s">
        <v>9</v>
      </c>
      <c r="D320" s="35" t="s">
        <v>20</v>
      </c>
      <c r="E320" s="35" t="s">
        <v>20</v>
      </c>
      <c r="F320" s="35" t="s">
        <v>20</v>
      </c>
      <c r="G320" t="b">
        <f t="shared" si="17"/>
        <v>0</v>
      </c>
      <c r="H320" t="b">
        <f t="shared" si="18"/>
        <v>0</v>
      </c>
      <c r="I320" s="29">
        <f t="shared" si="16"/>
        <v>39553</v>
      </c>
    </row>
    <row r="321" spans="1:9" ht="38.25" hidden="1" x14ac:dyDescent="0.2">
      <c r="A321" s="28">
        <v>39553</v>
      </c>
      <c r="B321" s="26" t="s">
        <v>2606</v>
      </c>
      <c r="C321" s="26" t="s">
        <v>3160</v>
      </c>
      <c r="D321" s="35" t="s">
        <v>20</v>
      </c>
      <c r="E321" s="35" t="s">
        <v>20</v>
      </c>
      <c r="F321" s="35" t="s">
        <v>20</v>
      </c>
      <c r="G321" t="b">
        <f t="shared" si="17"/>
        <v>0</v>
      </c>
      <c r="H321" t="b">
        <f t="shared" si="18"/>
        <v>0</v>
      </c>
      <c r="I321" s="29">
        <f t="shared" si="16"/>
        <v>39553</v>
      </c>
    </row>
    <row r="322" spans="1:9" ht="12.75" hidden="1" customHeight="1" x14ac:dyDescent="0.2">
      <c r="A322" s="28">
        <v>39554</v>
      </c>
      <c r="B322" s="26" t="s">
        <v>2661</v>
      </c>
      <c r="C322" s="26" t="s">
        <v>9</v>
      </c>
      <c r="D322" s="35" t="s">
        <v>20</v>
      </c>
      <c r="E322" s="35">
        <v>6873</v>
      </c>
      <c r="F322" s="35" t="s">
        <v>20</v>
      </c>
      <c r="G322" t="b">
        <f t="shared" si="17"/>
        <v>0</v>
      </c>
      <c r="H322" t="b">
        <f t="shared" si="18"/>
        <v>0</v>
      </c>
      <c r="I322" s="29">
        <f t="shared" si="16"/>
        <v>39554</v>
      </c>
    </row>
    <row r="323" spans="1:9" ht="12.75" hidden="1" customHeight="1" x14ac:dyDescent="0.2">
      <c r="A323" s="28">
        <v>39554</v>
      </c>
      <c r="B323" s="26" t="s">
        <v>1150</v>
      </c>
      <c r="C323" s="26" t="s">
        <v>9</v>
      </c>
      <c r="D323" s="35" t="s">
        <v>20</v>
      </c>
      <c r="E323" s="35" t="s">
        <v>20</v>
      </c>
      <c r="F323" s="35">
        <v>1467549</v>
      </c>
      <c r="G323" t="b">
        <f t="shared" si="17"/>
        <v>0</v>
      </c>
      <c r="H323" t="b">
        <f t="shared" si="18"/>
        <v>0</v>
      </c>
      <c r="I323" s="29">
        <f t="shared" ref="I323:I386" si="19">DATE(2008,MONTH(A323), DAY(A323))</f>
        <v>39554</v>
      </c>
    </row>
    <row r="324" spans="1:9" ht="25.5" hidden="1" x14ac:dyDescent="0.2">
      <c r="A324" s="28">
        <v>39554</v>
      </c>
      <c r="B324" s="26" t="s">
        <v>222</v>
      </c>
      <c r="C324" s="26" t="s">
        <v>9</v>
      </c>
      <c r="D324" s="35" t="s">
        <v>20</v>
      </c>
      <c r="E324" s="35" t="s">
        <v>20</v>
      </c>
      <c r="F324" s="35">
        <v>1891002</v>
      </c>
      <c r="G324" t="b">
        <f t="shared" si="17"/>
        <v>0</v>
      </c>
      <c r="H324" t="b">
        <f t="shared" si="18"/>
        <v>0</v>
      </c>
      <c r="I324" s="29">
        <f t="shared" si="19"/>
        <v>39554</v>
      </c>
    </row>
    <row r="325" spans="1:9" ht="38.25" hidden="1" x14ac:dyDescent="0.2">
      <c r="A325" s="28">
        <v>39556</v>
      </c>
      <c r="B325" s="26" t="s">
        <v>928</v>
      </c>
      <c r="C325" s="26" t="s">
        <v>734</v>
      </c>
      <c r="D325" s="35" t="s">
        <v>20</v>
      </c>
      <c r="E325" s="35">
        <v>20018</v>
      </c>
      <c r="F325" s="35" t="s">
        <v>20</v>
      </c>
      <c r="G325" t="b">
        <f t="shared" si="17"/>
        <v>0</v>
      </c>
      <c r="H325" t="b">
        <f t="shared" si="18"/>
        <v>0</v>
      </c>
      <c r="I325" s="29">
        <f t="shared" si="19"/>
        <v>39556</v>
      </c>
    </row>
    <row r="326" spans="1:9" ht="38.25" hidden="1" x14ac:dyDescent="0.2">
      <c r="A326" s="28">
        <v>39556</v>
      </c>
      <c r="B326" s="26" t="s">
        <v>2449</v>
      </c>
      <c r="C326" s="26" t="s">
        <v>49</v>
      </c>
      <c r="D326" s="35" t="s">
        <v>20</v>
      </c>
      <c r="E326" s="35">
        <v>384955</v>
      </c>
      <c r="F326" s="35" t="s">
        <v>20</v>
      </c>
      <c r="G326" t="b">
        <f t="shared" si="17"/>
        <v>0</v>
      </c>
      <c r="H326" t="b">
        <f t="shared" si="18"/>
        <v>0</v>
      </c>
      <c r="I326" s="29">
        <f t="shared" si="19"/>
        <v>39556</v>
      </c>
    </row>
    <row r="327" spans="1:9" ht="12.75" hidden="1" customHeight="1" x14ac:dyDescent="0.2">
      <c r="A327" s="28">
        <v>39556</v>
      </c>
      <c r="B327" s="26" t="s">
        <v>2937</v>
      </c>
      <c r="C327" s="26" t="s">
        <v>2955</v>
      </c>
      <c r="D327" s="35" t="s">
        <v>20</v>
      </c>
      <c r="E327" s="35" t="s">
        <v>20</v>
      </c>
      <c r="F327" s="35" t="s">
        <v>20</v>
      </c>
      <c r="G327" t="b">
        <f t="shared" si="17"/>
        <v>0</v>
      </c>
      <c r="H327" t="b">
        <f t="shared" si="18"/>
        <v>0</v>
      </c>
      <c r="I327" s="29">
        <f t="shared" si="19"/>
        <v>39556</v>
      </c>
    </row>
    <row r="328" spans="1:9" ht="12.75" hidden="1" customHeight="1" x14ac:dyDescent="0.2">
      <c r="A328" s="28">
        <v>39556</v>
      </c>
      <c r="B328" s="26" t="s">
        <v>2304</v>
      </c>
      <c r="C328" s="26" t="s">
        <v>2044</v>
      </c>
      <c r="D328" s="35" t="s">
        <v>20</v>
      </c>
      <c r="E328" s="35" t="s">
        <v>20</v>
      </c>
      <c r="F328" s="35">
        <v>1172753</v>
      </c>
      <c r="G328" t="b">
        <f t="shared" si="17"/>
        <v>0</v>
      </c>
      <c r="H328" t="b">
        <f t="shared" si="18"/>
        <v>0</v>
      </c>
      <c r="I328" s="29">
        <f t="shared" si="19"/>
        <v>39556</v>
      </c>
    </row>
    <row r="329" spans="1:9" ht="12.75" hidden="1" customHeight="1" x14ac:dyDescent="0.2">
      <c r="A329" s="28">
        <v>39556</v>
      </c>
      <c r="B329" s="26" t="s">
        <v>2677</v>
      </c>
      <c r="C329" s="26" t="s">
        <v>9</v>
      </c>
      <c r="D329" s="35">
        <v>30000000</v>
      </c>
      <c r="E329" s="35">
        <v>16930884</v>
      </c>
      <c r="F329" s="35">
        <v>32955399</v>
      </c>
      <c r="G329" t="b">
        <f t="shared" si="17"/>
        <v>0</v>
      </c>
      <c r="H329" t="b">
        <f t="shared" si="18"/>
        <v>0</v>
      </c>
      <c r="I329" s="29">
        <f t="shared" si="19"/>
        <v>39556</v>
      </c>
    </row>
    <row r="330" spans="1:9" ht="25.5" hidden="1" x14ac:dyDescent="0.2">
      <c r="A330" s="28">
        <v>39556</v>
      </c>
      <c r="B330" s="26" t="s">
        <v>2252</v>
      </c>
      <c r="C330" s="26" t="s">
        <v>2466</v>
      </c>
      <c r="D330" s="35" t="s">
        <v>20</v>
      </c>
      <c r="E330" s="35">
        <v>124294</v>
      </c>
      <c r="F330" s="35" t="s">
        <v>20</v>
      </c>
      <c r="G330" t="b">
        <f t="shared" si="17"/>
        <v>0</v>
      </c>
      <c r="H330" t="b">
        <f t="shared" si="18"/>
        <v>0</v>
      </c>
      <c r="I330" s="29">
        <f t="shared" si="19"/>
        <v>39556</v>
      </c>
    </row>
    <row r="331" spans="1:9" ht="25.5" hidden="1" x14ac:dyDescent="0.2">
      <c r="A331" s="28">
        <v>39556</v>
      </c>
      <c r="B331" s="26" t="s">
        <v>1303</v>
      </c>
      <c r="C331" s="26" t="s">
        <v>2964</v>
      </c>
      <c r="D331" s="35" t="s">
        <v>20</v>
      </c>
      <c r="E331" s="35">
        <v>179507</v>
      </c>
      <c r="F331" s="35" t="s">
        <v>20</v>
      </c>
      <c r="G331" t="b">
        <f t="shared" si="17"/>
        <v>0</v>
      </c>
      <c r="H331" t="b">
        <f t="shared" si="18"/>
        <v>0</v>
      </c>
      <c r="I331" s="29">
        <f t="shared" si="19"/>
        <v>39556</v>
      </c>
    </row>
    <row r="332" spans="1:9" ht="38.25" hidden="1" x14ac:dyDescent="0.2">
      <c r="A332" s="28">
        <v>39556</v>
      </c>
      <c r="B332" s="26" t="s">
        <v>1781</v>
      </c>
      <c r="C332" s="26" t="s">
        <v>1815</v>
      </c>
      <c r="D332" s="35" t="s">
        <v>20</v>
      </c>
      <c r="E332" s="35">
        <v>7720487</v>
      </c>
      <c r="F332" s="35" t="s">
        <v>20</v>
      </c>
      <c r="G332" t="b">
        <f t="shared" si="17"/>
        <v>0</v>
      </c>
      <c r="H332" t="b">
        <f t="shared" si="18"/>
        <v>0</v>
      </c>
      <c r="I332" s="29">
        <f t="shared" si="19"/>
        <v>39556</v>
      </c>
    </row>
    <row r="333" spans="1:9" ht="38.25" hidden="1" x14ac:dyDescent="0.2">
      <c r="A333" s="28">
        <v>39556</v>
      </c>
      <c r="B333" s="26" t="s">
        <v>3486</v>
      </c>
      <c r="C333" s="26" t="s">
        <v>2148</v>
      </c>
      <c r="D333" s="35" t="s">
        <v>20</v>
      </c>
      <c r="E333" s="35">
        <v>1883999</v>
      </c>
      <c r="F333" s="35" t="s">
        <v>20</v>
      </c>
      <c r="G333" t="b">
        <f t="shared" si="17"/>
        <v>0</v>
      </c>
      <c r="H333" t="b">
        <f t="shared" si="18"/>
        <v>0</v>
      </c>
      <c r="I333" s="29">
        <f t="shared" si="19"/>
        <v>39556</v>
      </c>
    </row>
    <row r="334" spans="1:9" ht="12.75" hidden="1" customHeight="1" x14ac:dyDescent="0.2">
      <c r="A334" s="28">
        <v>39556</v>
      </c>
      <c r="B334" s="26" t="s">
        <v>2409</v>
      </c>
      <c r="C334" s="26" t="s">
        <v>2051</v>
      </c>
      <c r="D334" s="35" t="s">
        <v>20</v>
      </c>
      <c r="E334" s="35">
        <v>32033</v>
      </c>
      <c r="F334" s="35" t="s">
        <v>20</v>
      </c>
      <c r="G334" t="b">
        <f t="shared" si="17"/>
        <v>0</v>
      </c>
      <c r="H334" t="b">
        <f t="shared" si="18"/>
        <v>0</v>
      </c>
      <c r="I334" s="29">
        <f t="shared" si="19"/>
        <v>39556</v>
      </c>
    </row>
    <row r="335" spans="1:9" ht="25.5" hidden="1" x14ac:dyDescent="0.2">
      <c r="A335" s="28">
        <v>39556</v>
      </c>
      <c r="B335" s="26" t="s">
        <v>2680</v>
      </c>
      <c r="C335" s="26" t="s">
        <v>9</v>
      </c>
      <c r="D335" s="35">
        <v>12000000</v>
      </c>
      <c r="E335" s="35">
        <v>303439</v>
      </c>
      <c r="F335" s="35" t="s">
        <v>20</v>
      </c>
      <c r="G335" t="b">
        <f t="shared" si="17"/>
        <v>0</v>
      </c>
      <c r="H335" t="b">
        <f t="shared" si="18"/>
        <v>0</v>
      </c>
      <c r="I335" s="29">
        <f t="shared" si="19"/>
        <v>39556</v>
      </c>
    </row>
    <row r="336" spans="1:9" ht="25.5" hidden="1" x14ac:dyDescent="0.2">
      <c r="A336" s="28">
        <v>39556</v>
      </c>
      <c r="B336" s="26" t="s">
        <v>2848</v>
      </c>
      <c r="C336" s="26" t="s">
        <v>3419</v>
      </c>
      <c r="D336" s="35">
        <v>55000000</v>
      </c>
      <c r="E336" s="35">
        <v>52075270</v>
      </c>
      <c r="F336" s="35">
        <v>129075270</v>
      </c>
      <c r="G336" t="b">
        <f t="shared" si="17"/>
        <v>0</v>
      </c>
      <c r="H336" t="b">
        <f t="shared" si="18"/>
        <v>0</v>
      </c>
      <c r="I336" s="29">
        <f t="shared" si="19"/>
        <v>39556</v>
      </c>
    </row>
    <row r="337" spans="1:9" ht="12.75" hidden="1" customHeight="1" x14ac:dyDescent="0.2">
      <c r="A337" s="28">
        <v>39556</v>
      </c>
      <c r="B337" s="26" t="s">
        <v>2933</v>
      </c>
      <c r="C337" s="26" t="s">
        <v>9</v>
      </c>
      <c r="D337" s="35" t="s">
        <v>20</v>
      </c>
      <c r="E337" s="35" t="s">
        <v>20</v>
      </c>
      <c r="F337" s="35">
        <v>8034431</v>
      </c>
      <c r="G337" t="b">
        <f t="shared" si="17"/>
        <v>0</v>
      </c>
      <c r="H337" t="b">
        <f t="shared" si="18"/>
        <v>0</v>
      </c>
      <c r="I337" s="29">
        <f t="shared" si="19"/>
        <v>39556</v>
      </c>
    </row>
    <row r="338" spans="1:9" ht="25.5" hidden="1" x14ac:dyDescent="0.2">
      <c r="A338" s="28">
        <v>39556</v>
      </c>
      <c r="B338" s="26" t="s">
        <v>2995</v>
      </c>
      <c r="C338" s="26" t="s">
        <v>3096</v>
      </c>
      <c r="D338" s="35">
        <v>30000000</v>
      </c>
      <c r="E338" s="35">
        <v>63172463</v>
      </c>
      <c r="F338" s="35">
        <v>105173042</v>
      </c>
      <c r="G338" t="b">
        <f t="shared" si="17"/>
        <v>0</v>
      </c>
      <c r="H338" t="b">
        <f t="shared" si="18"/>
        <v>0</v>
      </c>
      <c r="I338" s="29">
        <f t="shared" si="19"/>
        <v>39556</v>
      </c>
    </row>
    <row r="339" spans="1:9" ht="12.75" hidden="1" customHeight="1" x14ac:dyDescent="0.2">
      <c r="A339" s="28">
        <v>39556</v>
      </c>
      <c r="B339" s="26" t="s">
        <v>50</v>
      </c>
      <c r="C339" s="26" t="s">
        <v>2779</v>
      </c>
      <c r="D339" s="35" t="s">
        <v>20</v>
      </c>
      <c r="E339" s="35">
        <v>109045</v>
      </c>
      <c r="F339" s="35">
        <v>1655908</v>
      </c>
      <c r="G339" t="b">
        <f t="shared" si="17"/>
        <v>0</v>
      </c>
      <c r="H339" t="b">
        <f t="shared" si="18"/>
        <v>0</v>
      </c>
      <c r="I339" s="29">
        <f t="shared" si="19"/>
        <v>39556</v>
      </c>
    </row>
    <row r="340" spans="1:9" ht="38.25" hidden="1" x14ac:dyDescent="0.2">
      <c r="A340" s="28">
        <v>39557</v>
      </c>
      <c r="B340" s="26" t="s">
        <v>1915</v>
      </c>
      <c r="C340" s="26" t="s">
        <v>1380</v>
      </c>
      <c r="D340" s="35" t="s">
        <v>20</v>
      </c>
      <c r="E340" s="35" t="s">
        <v>20</v>
      </c>
      <c r="F340" s="35">
        <v>21997163</v>
      </c>
      <c r="G340" t="b">
        <f t="shared" si="17"/>
        <v>0</v>
      </c>
      <c r="H340" t="b">
        <f t="shared" si="18"/>
        <v>0</v>
      </c>
      <c r="I340" s="29">
        <f t="shared" si="19"/>
        <v>39557</v>
      </c>
    </row>
    <row r="341" spans="1:9" hidden="1" x14ac:dyDescent="0.2">
      <c r="A341" s="28">
        <v>39557</v>
      </c>
      <c r="B341" s="26" t="s">
        <v>2370</v>
      </c>
      <c r="C341" s="26" t="s">
        <v>2624</v>
      </c>
      <c r="D341" s="35" t="s">
        <v>20</v>
      </c>
      <c r="E341" s="35" t="s">
        <v>20</v>
      </c>
      <c r="F341" s="35" t="s">
        <v>20</v>
      </c>
      <c r="G341" t="b">
        <f t="shared" si="17"/>
        <v>0</v>
      </c>
      <c r="H341" t="b">
        <f t="shared" si="18"/>
        <v>0</v>
      </c>
      <c r="I341" s="29">
        <f t="shared" si="19"/>
        <v>39557</v>
      </c>
    </row>
    <row r="342" spans="1:9" ht="25.5" hidden="1" x14ac:dyDescent="0.2">
      <c r="A342" s="28">
        <v>39557</v>
      </c>
      <c r="B342" s="26" t="s">
        <v>1729</v>
      </c>
      <c r="C342" s="26" t="s">
        <v>1380</v>
      </c>
      <c r="D342" s="35" t="s">
        <v>20</v>
      </c>
      <c r="E342" s="35" t="s">
        <v>20</v>
      </c>
      <c r="F342" s="35">
        <v>10536987</v>
      </c>
      <c r="G342" t="b">
        <f t="shared" si="17"/>
        <v>0</v>
      </c>
      <c r="H342" t="b">
        <f t="shared" si="18"/>
        <v>0</v>
      </c>
      <c r="I342" s="29">
        <f t="shared" si="19"/>
        <v>39557</v>
      </c>
    </row>
    <row r="343" spans="1:9" ht="12.75" hidden="1" customHeight="1" x14ac:dyDescent="0.2">
      <c r="A343" s="28">
        <v>39561</v>
      </c>
      <c r="B343" s="26" t="s">
        <v>320</v>
      </c>
      <c r="C343" s="26" t="s">
        <v>9</v>
      </c>
      <c r="D343" s="35" t="s">
        <v>20</v>
      </c>
      <c r="E343" s="35" t="s">
        <v>20</v>
      </c>
      <c r="F343" s="35">
        <v>11738256</v>
      </c>
      <c r="G343" t="b">
        <f t="shared" si="17"/>
        <v>0</v>
      </c>
      <c r="H343" t="b">
        <f t="shared" si="18"/>
        <v>0</v>
      </c>
      <c r="I343" s="29">
        <f t="shared" si="19"/>
        <v>39561</v>
      </c>
    </row>
    <row r="344" spans="1:9" ht="12.75" hidden="1" customHeight="1" x14ac:dyDescent="0.2">
      <c r="A344" s="28">
        <v>39561</v>
      </c>
      <c r="B344" s="26" t="s">
        <v>2124</v>
      </c>
      <c r="C344" s="26" t="s">
        <v>510</v>
      </c>
      <c r="D344" s="35" t="s">
        <v>20</v>
      </c>
      <c r="E344" s="35" t="s">
        <v>20</v>
      </c>
      <c r="F344" s="35" t="s">
        <v>20</v>
      </c>
      <c r="G344" t="b">
        <f t="shared" si="17"/>
        <v>0</v>
      </c>
      <c r="H344" t="b">
        <f t="shared" si="18"/>
        <v>0</v>
      </c>
      <c r="I344" s="29">
        <f t="shared" si="19"/>
        <v>39561</v>
      </c>
    </row>
    <row r="345" spans="1:9" ht="38.25" hidden="1" x14ac:dyDescent="0.2">
      <c r="A345" s="28">
        <v>39563</v>
      </c>
      <c r="B345" s="26" t="s">
        <v>3296</v>
      </c>
      <c r="C345" s="26" t="s">
        <v>2460</v>
      </c>
      <c r="D345" s="35">
        <v>12000000</v>
      </c>
      <c r="E345" s="35">
        <v>38108728</v>
      </c>
      <c r="F345" s="35">
        <v>43231984</v>
      </c>
      <c r="G345" t="b">
        <f t="shared" si="17"/>
        <v>0</v>
      </c>
      <c r="H345" t="b">
        <f t="shared" si="18"/>
        <v>0</v>
      </c>
      <c r="I345" s="29">
        <f t="shared" si="19"/>
        <v>39563</v>
      </c>
    </row>
    <row r="346" spans="1:9" ht="12.75" hidden="1" customHeight="1" x14ac:dyDescent="0.2">
      <c r="A346" s="28">
        <v>39563</v>
      </c>
      <c r="B346" s="26" t="s">
        <v>3045</v>
      </c>
      <c r="C346" s="26" t="s">
        <v>9</v>
      </c>
      <c r="D346" s="35" t="s">
        <v>20</v>
      </c>
      <c r="E346" s="35">
        <v>21427</v>
      </c>
      <c r="F346" s="35" t="s">
        <v>20</v>
      </c>
      <c r="G346" t="b">
        <f t="shared" si="17"/>
        <v>0</v>
      </c>
      <c r="H346" t="b">
        <f t="shared" si="18"/>
        <v>0</v>
      </c>
      <c r="I346" s="29">
        <f t="shared" si="19"/>
        <v>39563</v>
      </c>
    </row>
    <row r="347" spans="1:9" ht="12.75" hidden="1" customHeight="1" x14ac:dyDescent="0.2">
      <c r="A347" s="28">
        <v>39563</v>
      </c>
      <c r="B347" s="26" t="s">
        <v>2560</v>
      </c>
      <c r="C347" s="26" t="s">
        <v>1647</v>
      </c>
      <c r="D347" s="35" t="s">
        <v>20</v>
      </c>
      <c r="E347" s="35">
        <v>457380</v>
      </c>
      <c r="F347" s="35">
        <v>7512447</v>
      </c>
      <c r="G347" t="b">
        <f t="shared" si="17"/>
        <v>0</v>
      </c>
      <c r="H347" t="b">
        <f t="shared" si="18"/>
        <v>0</v>
      </c>
      <c r="I347" s="29">
        <f t="shared" si="19"/>
        <v>39563</v>
      </c>
    </row>
    <row r="348" spans="1:9" ht="12.75" hidden="1" customHeight="1" x14ac:dyDescent="0.2">
      <c r="A348" s="28">
        <v>39563</v>
      </c>
      <c r="B348" s="26" t="s">
        <v>578</v>
      </c>
      <c r="C348" s="26" t="s">
        <v>2314</v>
      </c>
      <c r="D348" s="35" t="s">
        <v>20</v>
      </c>
      <c r="E348" s="35">
        <v>783969</v>
      </c>
      <c r="F348" s="35" t="s">
        <v>20</v>
      </c>
      <c r="G348" t="b">
        <f t="shared" si="17"/>
        <v>0</v>
      </c>
      <c r="H348" t="b">
        <f t="shared" si="18"/>
        <v>0</v>
      </c>
      <c r="I348" s="29">
        <f t="shared" si="19"/>
        <v>39563</v>
      </c>
    </row>
    <row r="349" spans="1:9" hidden="1" x14ac:dyDescent="0.2">
      <c r="A349" s="28">
        <v>39563</v>
      </c>
      <c r="B349" s="26" t="s">
        <v>1077</v>
      </c>
      <c r="C349" s="26" t="s">
        <v>9</v>
      </c>
      <c r="D349" s="35" t="s">
        <v>20</v>
      </c>
      <c r="E349" s="35">
        <v>60668</v>
      </c>
      <c r="F349" s="35" t="s">
        <v>20</v>
      </c>
      <c r="G349" t="b">
        <f t="shared" si="17"/>
        <v>0</v>
      </c>
      <c r="H349" t="b">
        <f t="shared" si="18"/>
        <v>0</v>
      </c>
      <c r="I349" s="29">
        <f t="shared" si="19"/>
        <v>39563</v>
      </c>
    </row>
    <row r="350" spans="1:9" ht="12.75" hidden="1" customHeight="1" x14ac:dyDescent="0.2">
      <c r="A350" s="28">
        <v>39563</v>
      </c>
      <c r="B350" s="26" t="s">
        <v>2845</v>
      </c>
      <c r="C350" s="26" t="s">
        <v>2964</v>
      </c>
      <c r="D350" s="35" t="s">
        <v>20</v>
      </c>
      <c r="E350" s="35">
        <v>8663</v>
      </c>
      <c r="F350" s="35" t="s">
        <v>20</v>
      </c>
      <c r="G350" t="b">
        <f t="shared" si="17"/>
        <v>0</v>
      </c>
      <c r="H350" t="b">
        <f t="shared" si="18"/>
        <v>0</v>
      </c>
      <c r="I350" s="29">
        <f t="shared" si="19"/>
        <v>39563</v>
      </c>
    </row>
    <row r="351" spans="1:9" ht="12.75" hidden="1" customHeight="1" x14ac:dyDescent="0.2">
      <c r="A351" s="28">
        <v>39563</v>
      </c>
      <c r="B351" s="26" t="s">
        <v>477</v>
      </c>
      <c r="C351" s="26" t="s">
        <v>49</v>
      </c>
      <c r="D351" s="35" t="s">
        <v>20</v>
      </c>
      <c r="E351" s="35">
        <v>10452</v>
      </c>
      <c r="F351" s="35" t="s">
        <v>20</v>
      </c>
      <c r="G351" t="b">
        <f t="shared" si="17"/>
        <v>0</v>
      </c>
      <c r="H351" t="b">
        <f t="shared" si="18"/>
        <v>0</v>
      </c>
      <c r="I351" s="29">
        <f t="shared" si="19"/>
        <v>39563</v>
      </c>
    </row>
    <row r="352" spans="1:9" ht="25.5" hidden="1" x14ac:dyDescent="0.2">
      <c r="A352" s="28">
        <v>39563</v>
      </c>
      <c r="B352" s="26" t="s">
        <v>3092</v>
      </c>
      <c r="C352" s="26" t="s">
        <v>571</v>
      </c>
      <c r="D352" s="35" t="s">
        <v>20</v>
      </c>
      <c r="E352" s="35">
        <v>52166</v>
      </c>
      <c r="F352" s="35" t="s">
        <v>20</v>
      </c>
      <c r="G352" t="b">
        <f t="shared" si="17"/>
        <v>0</v>
      </c>
      <c r="H352" t="b">
        <f t="shared" si="18"/>
        <v>0</v>
      </c>
      <c r="I352" s="29">
        <f t="shared" si="19"/>
        <v>39563</v>
      </c>
    </row>
    <row r="353" spans="1:9" ht="12.75" hidden="1" customHeight="1" x14ac:dyDescent="0.2">
      <c r="A353" s="28">
        <v>39563</v>
      </c>
      <c r="B353" s="26" t="s">
        <v>1722</v>
      </c>
      <c r="C353" s="26" t="s">
        <v>384</v>
      </c>
      <c r="D353" s="35" t="s">
        <v>20</v>
      </c>
      <c r="E353" s="35">
        <v>4598506</v>
      </c>
      <c r="F353" s="35">
        <v>12850033</v>
      </c>
      <c r="G353" t="b">
        <f t="shared" si="17"/>
        <v>0</v>
      </c>
      <c r="H353" t="b">
        <f t="shared" si="18"/>
        <v>0</v>
      </c>
      <c r="I353" s="29">
        <f t="shared" si="19"/>
        <v>39563</v>
      </c>
    </row>
    <row r="354" spans="1:9" ht="25.5" hidden="1" x14ac:dyDescent="0.2">
      <c r="A354" s="28">
        <v>39563</v>
      </c>
      <c r="B354" s="26" t="s">
        <v>501</v>
      </c>
      <c r="C354" s="26" t="s">
        <v>3233</v>
      </c>
      <c r="D354" s="35" t="s">
        <v>20</v>
      </c>
      <c r="E354" s="35">
        <v>3735717</v>
      </c>
      <c r="F354" s="35">
        <v>7162920</v>
      </c>
      <c r="G354" t="b">
        <f t="shared" si="17"/>
        <v>0</v>
      </c>
      <c r="H354" t="b">
        <f t="shared" si="18"/>
        <v>0</v>
      </c>
      <c r="I354" s="29">
        <f t="shared" si="19"/>
        <v>39563</v>
      </c>
    </row>
    <row r="355" spans="1:9" ht="12.75" hidden="1" customHeight="1" x14ac:dyDescent="0.2">
      <c r="A355" s="28">
        <v>39563</v>
      </c>
      <c r="B355" s="26" t="s">
        <v>2694</v>
      </c>
      <c r="C355" s="26" t="s">
        <v>9</v>
      </c>
      <c r="D355" s="35" t="s">
        <v>20</v>
      </c>
      <c r="E355" s="35">
        <v>1852764</v>
      </c>
      <c r="F355" s="35">
        <v>4794615</v>
      </c>
      <c r="G355" t="b">
        <f t="shared" si="17"/>
        <v>0</v>
      </c>
      <c r="H355" t="b">
        <f t="shared" si="18"/>
        <v>0</v>
      </c>
      <c r="I355" s="29">
        <f t="shared" si="19"/>
        <v>39563</v>
      </c>
    </row>
    <row r="356" spans="1:9" ht="12.75" hidden="1" customHeight="1" x14ac:dyDescent="0.2">
      <c r="A356" s="28">
        <v>39563</v>
      </c>
      <c r="B356" s="26" t="s">
        <v>1352</v>
      </c>
      <c r="C356" s="26" t="s">
        <v>3096</v>
      </c>
      <c r="D356" s="35">
        <v>30000000</v>
      </c>
      <c r="E356" s="35">
        <v>60494212</v>
      </c>
      <c r="F356" s="35">
        <v>64391484</v>
      </c>
      <c r="G356" t="b">
        <f t="shared" si="17"/>
        <v>0</v>
      </c>
      <c r="H356" t="b">
        <f t="shared" si="18"/>
        <v>0</v>
      </c>
      <c r="I356" s="29">
        <f t="shared" si="19"/>
        <v>39563</v>
      </c>
    </row>
    <row r="357" spans="1:9" ht="12.75" hidden="1" customHeight="1" x14ac:dyDescent="0.2">
      <c r="A357" s="28">
        <v>39563</v>
      </c>
      <c r="B357" s="26" t="s">
        <v>1286</v>
      </c>
      <c r="C357" s="26" t="s">
        <v>9</v>
      </c>
      <c r="D357" s="35" t="s">
        <v>20</v>
      </c>
      <c r="E357" s="35" t="s">
        <v>20</v>
      </c>
      <c r="F357" s="35">
        <v>929672</v>
      </c>
      <c r="G357" t="b">
        <f t="shared" si="17"/>
        <v>0</v>
      </c>
      <c r="H357" t="b">
        <f t="shared" si="18"/>
        <v>0</v>
      </c>
      <c r="I357" s="29">
        <f t="shared" si="19"/>
        <v>39563</v>
      </c>
    </row>
    <row r="358" spans="1:9" ht="12.75" hidden="1" customHeight="1" x14ac:dyDescent="0.2">
      <c r="A358" s="28">
        <v>39563</v>
      </c>
      <c r="B358" s="26" t="s">
        <v>1710</v>
      </c>
      <c r="C358" s="26" t="s">
        <v>2779</v>
      </c>
      <c r="D358" s="35" t="s">
        <v>20</v>
      </c>
      <c r="E358" s="35">
        <v>61626</v>
      </c>
      <c r="F358" s="35" t="s">
        <v>20</v>
      </c>
      <c r="G358" t="b">
        <f t="shared" si="17"/>
        <v>0</v>
      </c>
      <c r="H358" t="b">
        <f t="shared" si="18"/>
        <v>0</v>
      </c>
      <c r="I358" s="29">
        <f t="shared" si="19"/>
        <v>39563</v>
      </c>
    </row>
    <row r="359" spans="1:9" ht="38.25" hidden="1" x14ac:dyDescent="0.2">
      <c r="A359" s="28">
        <v>39563</v>
      </c>
      <c r="B359" s="26" t="s">
        <v>977</v>
      </c>
      <c r="C359" s="26" t="s">
        <v>612</v>
      </c>
      <c r="D359" s="35">
        <v>5000000</v>
      </c>
      <c r="E359" s="35">
        <v>228830</v>
      </c>
      <c r="F359" s="35" t="s">
        <v>20</v>
      </c>
      <c r="G359" t="b">
        <f t="shared" si="17"/>
        <v>0</v>
      </c>
      <c r="H359" t="b">
        <f t="shared" si="18"/>
        <v>0</v>
      </c>
      <c r="I359" s="29">
        <f t="shared" si="19"/>
        <v>39563</v>
      </c>
    </row>
    <row r="360" spans="1:9" ht="12.75" hidden="1" customHeight="1" x14ac:dyDescent="0.2">
      <c r="A360" s="28">
        <v>39564</v>
      </c>
      <c r="B360" s="26" t="s">
        <v>2271</v>
      </c>
      <c r="C360" s="26" t="s">
        <v>1380</v>
      </c>
      <c r="D360" s="35" t="s">
        <v>20</v>
      </c>
      <c r="E360" s="35" t="s">
        <v>20</v>
      </c>
      <c r="F360" s="35">
        <v>12380512</v>
      </c>
      <c r="G360" t="b">
        <f t="shared" si="17"/>
        <v>0</v>
      </c>
      <c r="H360" t="b">
        <f t="shared" si="18"/>
        <v>0</v>
      </c>
      <c r="I360" s="29">
        <f t="shared" si="19"/>
        <v>39564</v>
      </c>
    </row>
    <row r="361" spans="1:9" ht="12.75" hidden="1" customHeight="1" x14ac:dyDescent="0.2">
      <c r="A361" s="28">
        <v>39564</v>
      </c>
      <c r="B361" s="26" t="s">
        <v>2073</v>
      </c>
      <c r="C361" s="26" t="s">
        <v>9</v>
      </c>
      <c r="D361" s="35" t="s">
        <v>20</v>
      </c>
      <c r="E361" s="35" t="s">
        <v>20</v>
      </c>
      <c r="F361" s="35">
        <v>6943948</v>
      </c>
      <c r="G361" t="b">
        <f t="shared" si="17"/>
        <v>0</v>
      </c>
      <c r="H361" t="b">
        <f t="shared" si="18"/>
        <v>0</v>
      </c>
      <c r="I361" s="29">
        <f t="shared" si="19"/>
        <v>39564</v>
      </c>
    </row>
    <row r="362" spans="1:9" ht="25.5" hidden="1" x14ac:dyDescent="0.2">
      <c r="A362" s="28">
        <v>39565</v>
      </c>
      <c r="B362" s="26" t="s">
        <v>747</v>
      </c>
      <c r="C362" s="26" t="s">
        <v>9</v>
      </c>
      <c r="D362" s="35" t="s">
        <v>20</v>
      </c>
      <c r="E362" s="35" t="s">
        <v>20</v>
      </c>
      <c r="F362" s="35">
        <v>3258957</v>
      </c>
      <c r="G362" t="b">
        <f t="shared" ref="G362:G423" si="20">ISBLANK(A362)</f>
        <v>0</v>
      </c>
      <c r="H362" t="b">
        <f t="shared" ref="H362:H423" si="21">ISTEXT(A362)</f>
        <v>0</v>
      </c>
      <c r="I362" s="29">
        <f t="shared" si="19"/>
        <v>39565</v>
      </c>
    </row>
    <row r="363" spans="1:9" ht="12.75" hidden="1" customHeight="1" x14ac:dyDescent="0.2">
      <c r="A363" s="28">
        <v>39567</v>
      </c>
      <c r="B363" s="26" t="s">
        <v>267</v>
      </c>
      <c r="C363" s="26" t="s">
        <v>2160</v>
      </c>
      <c r="D363" s="35" t="s">
        <v>20</v>
      </c>
      <c r="E363" s="35" t="s">
        <v>20</v>
      </c>
      <c r="F363" s="35" t="s">
        <v>20</v>
      </c>
      <c r="G363" t="b">
        <f t="shared" si="20"/>
        <v>0</v>
      </c>
      <c r="H363" t="b">
        <f t="shared" si="21"/>
        <v>0</v>
      </c>
      <c r="I363" s="29">
        <f t="shared" si="19"/>
        <v>39567</v>
      </c>
    </row>
    <row r="364" spans="1:9" ht="12.75" hidden="1" customHeight="1" x14ac:dyDescent="0.2">
      <c r="A364" s="28">
        <v>39567</v>
      </c>
      <c r="B364" s="26" t="s">
        <v>1537</v>
      </c>
      <c r="C364" s="26" t="s">
        <v>9</v>
      </c>
      <c r="D364" s="35" t="s">
        <v>20</v>
      </c>
      <c r="E364" s="35" t="s">
        <v>20</v>
      </c>
      <c r="F364" s="35" t="s">
        <v>20</v>
      </c>
      <c r="G364" t="b">
        <f t="shared" si="20"/>
        <v>0</v>
      </c>
      <c r="H364" t="b">
        <f t="shared" si="21"/>
        <v>0</v>
      </c>
      <c r="I364" s="29">
        <f t="shared" si="19"/>
        <v>39567</v>
      </c>
    </row>
    <row r="365" spans="1:9" ht="12.75" hidden="1" customHeight="1" x14ac:dyDescent="0.2">
      <c r="A365" s="28">
        <v>39568</v>
      </c>
      <c r="B365" s="26" t="s">
        <v>1004</v>
      </c>
      <c r="C365" s="26" t="s">
        <v>9</v>
      </c>
      <c r="D365" s="35" t="s">
        <v>20</v>
      </c>
      <c r="E365" s="35" t="s">
        <v>20</v>
      </c>
      <c r="F365" s="35">
        <v>2032094</v>
      </c>
      <c r="G365" t="b">
        <f t="shared" si="20"/>
        <v>0</v>
      </c>
      <c r="H365" t="b">
        <f t="shared" si="21"/>
        <v>0</v>
      </c>
      <c r="I365" s="29">
        <f t="shared" si="19"/>
        <v>39568</v>
      </c>
    </row>
    <row r="366" spans="1:9" ht="12.75" hidden="1" customHeight="1" x14ac:dyDescent="0.2">
      <c r="A366" s="28">
        <v>39568</v>
      </c>
      <c r="B366" s="26" t="s">
        <v>1726</v>
      </c>
      <c r="C366" s="26" t="s">
        <v>9</v>
      </c>
      <c r="D366" s="35" t="s">
        <v>20</v>
      </c>
      <c r="E366" s="35" t="s">
        <v>20</v>
      </c>
      <c r="F366" s="35">
        <v>2089547</v>
      </c>
      <c r="G366" t="b">
        <f t="shared" si="20"/>
        <v>0</v>
      </c>
      <c r="H366" t="b">
        <f t="shared" si="21"/>
        <v>0</v>
      </c>
      <c r="I366" s="29">
        <f t="shared" si="19"/>
        <v>39568</v>
      </c>
    </row>
    <row r="367" spans="1:9" ht="12.75" hidden="1" customHeight="1" x14ac:dyDescent="0.2">
      <c r="A367" s="28">
        <v>39568</v>
      </c>
      <c r="B367" s="26" t="s">
        <v>77</v>
      </c>
      <c r="C367" s="26" t="s">
        <v>9</v>
      </c>
      <c r="D367" s="35" t="s">
        <v>20</v>
      </c>
      <c r="E367" s="35" t="s">
        <v>20</v>
      </c>
      <c r="F367" s="35">
        <v>9196127</v>
      </c>
      <c r="G367" t="b">
        <f t="shared" si="20"/>
        <v>0</v>
      </c>
      <c r="H367" t="b">
        <f t="shared" si="21"/>
        <v>0</v>
      </c>
      <c r="I367" s="29">
        <f t="shared" si="19"/>
        <v>39568</v>
      </c>
    </row>
    <row r="368" spans="1:9" ht="25.5" hidden="1" x14ac:dyDescent="0.2">
      <c r="A368" s="28">
        <v>39568</v>
      </c>
      <c r="B368" s="26" t="s">
        <v>1151</v>
      </c>
      <c r="C368" s="26" t="s">
        <v>9</v>
      </c>
      <c r="D368" s="35" t="s">
        <v>20</v>
      </c>
      <c r="E368" s="35" t="s">
        <v>20</v>
      </c>
      <c r="F368" s="35" t="s">
        <v>20</v>
      </c>
      <c r="G368" t="b">
        <f t="shared" si="20"/>
        <v>0</v>
      </c>
      <c r="H368" t="b">
        <f t="shared" si="21"/>
        <v>0</v>
      </c>
      <c r="I368" s="29">
        <f t="shared" si="19"/>
        <v>39568</v>
      </c>
    </row>
    <row r="369" spans="1:9" ht="12.75" hidden="1" customHeight="1" x14ac:dyDescent="0.2">
      <c r="A369" s="28">
        <v>39568</v>
      </c>
      <c r="B369" s="26" t="s">
        <v>1970</v>
      </c>
      <c r="C369" s="26" t="s">
        <v>3466</v>
      </c>
      <c r="D369" s="35" t="s">
        <v>20</v>
      </c>
      <c r="E369" s="35">
        <v>165831</v>
      </c>
      <c r="F369" s="35" t="s">
        <v>20</v>
      </c>
      <c r="G369" t="b">
        <f t="shared" si="20"/>
        <v>0</v>
      </c>
      <c r="H369" t="b">
        <f t="shared" si="21"/>
        <v>0</v>
      </c>
      <c r="I369" s="29">
        <f t="shared" si="19"/>
        <v>39568</v>
      </c>
    </row>
    <row r="370" spans="1:9" ht="25.5" hidden="1" x14ac:dyDescent="0.2">
      <c r="A370" s="28">
        <v>39568</v>
      </c>
      <c r="B370" s="26" t="s">
        <v>3434</v>
      </c>
      <c r="C370" s="26" t="s">
        <v>9</v>
      </c>
      <c r="D370" s="35" t="s">
        <v>20</v>
      </c>
      <c r="E370" s="35" t="s">
        <v>20</v>
      </c>
      <c r="F370" s="35">
        <v>961448</v>
      </c>
      <c r="G370" t="b">
        <f t="shared" si="20"/>
        <v>0</v>
      </c>
      <c r="H370" t="b">
        <f t="shared" si="21"/>
        <v>0</v>
      </c>
      <c r="I370" s="29">
        <f t="shared" si="19"/>
        <v>39568</v>
      </c>
    </row>
    <row r="371" spans="1:9" ht="25.5" hidden="1" x14ac:dyDescent="0.2">
      <c r="A371" s="28">
        <v>39568</v>
      </c>
      <c r="B371" s="26" t="s">
        <v>1218</v>
      </c>
      <c r="C371" s="26" t="s">
        <v>9</v>
      </c>
      <c r="D371" s="35" t="s">
        <v>20</v>
      </c>
      <c r="E371" s="35" t="s">
        <v>20</v>
      </c>
      <c r="F371" s="35">
        <v>2894758</v>
      </c>
      <c r="G371" t="b">
        <f t="shared" si="20"/>
        <v>0</v>
      </c>
      <c r="H371" t="b">
        <f t="shared" si="21"/>
        <v>0</v>
      </c>
      <c r="I371" s="29">
        <f t="shared" si="19"/>
        <v>39568</v>
      </c>
    </row>
    <row r="372" spans="1:9" ht="12.75" hidden="1" customHeight="1" x14ac:dyDescent="0.2">
      <c r="A372" s="28">
        <v>39569</v>
      </c>
      <c r="B372" s="26" t="s">
        <v>985</v>
      </c>
      <c r="C372" s="26" t="s">
        <v>9</v>
      </c>
      <c r="D372" s="35" t="s">
        <v>20</v>
      </c>
      <c r="E372" s="35" t="s">
        <v>20</v>
      </c>
      <c r="F372" s="35">
        <v>4205499</v>
      </c>
      <c r="G372" t="b">
        <f t="shared" si="20"/>
        <v>0</v>
      </c>
      <c r="H372" t="b">
        <f t="shared" si="21"/>
        <v>0</v>
      </c>
      <c r="I372" s="29">
        <f t="shared" si="19"/>
        <v>39569</v>
      </c>
    </row>
    <row r="373" spans="1:9" ht="25.5" hidden="1" x14ac:dyDescent="0.2">
      <c r="A373" s="28">
        <v>39570</v>
      </c>
      <c r="B373" s="26" t="s">
        <v>919</v>
      </c>
      <c r="C373" s="26" t="s">
        <v>2554</v>
      </c>
      <c r="D373" s="35" t="s">
        <v>20</v>
      </c>
      <c r="E373" s="35">
        <v>552984</v>
      </c>
      <c r="F373" s="35" t="s">
        <v>20</v>
      </c>
      <c r="G373" t="b">
        <f t="shared" si="20"/>
        <v>0</v>
      </c>
      <c r="H373" t="b">
        <f t="shared" si="21"/>
        <v>0</v>
      </c>
      <c r="I373" s="29">
        <f t="shared" si="19"/>
        <v>39570</v>
      </c>
    </row>
    <row r="374" spans="1:9" ht="12.75" hidden="1" customHeight="1" x14ac:dyDescent="0.2">
      <c r="A374" s="28">
        <v>39570</v>
      </c>
      <c r="B374" s="26" t="s">
        <v>3189</v>
      </c>
      <c r="C374" s="26" t="s">
        <v>9</v>
      </c>
      <c r="D374" s="35">
        <v>186000000</v>
      </c>
      <c r="E374" s="35">
        <v>318604126</v>
      </c>
      <c r="F374" s="35">
        <v>582604126</v>
      </c>
      <c r="G374" t="b">
        <f t="shared" si="20"/>
        <v>0</v>
      </c>
      <c r="H374" t="b">
        <f t="shared" si="21"/>
        <v>0</v>
      </c>
      <c r="I374" s="29">
        <f t="shared" si="19"/>
        <v>39570</v>
      </c>
    </row>
    <row r="375" spans="1:9" ht="12.75" hidden="1" customHeight="1" x14ac:dyDescent="0.2">
      <c r="A375" s="28">
        <v>39570</v>
      </c>
      <c r="B375" s="26" t="s">
        <v>2169</v>
      </c>
      <c r="C375" s="26" t="s">
        <v>2775</v>
      </c>
      <c r="D375" s="35" t="s">
        <v>20</v>
      </c>
      <c r="E375" s="35">
        <v>30316</v>
      </c>
      <c r="F375" s="35" t="s">
        <v>20</v>
      </c>
      <c r="G375" t="b">
        <f t="shared" si="20"/>
        <v>0</v>
      </c>
      <c r="H375" t="b">
        <f t="shared" si="21"/>
        <v>0</v>
      </c>
      <c r="I375" s="29">
        <f t="shared" si="19"/>
        <v>39570</v>
      </c>
    </row>
    <row r="376" spans="1:9" hidden="1" x14ac:dyDescent="0.2">
      <c r="A376" s="28">
        <v>39570</v>
      </c>
      <c r="B376" s="26" t="s">
        <v>2834</v>
      </c>
      <c r="C376" s="26" t="s">
        <v>1095</v>
      </c>
      <c r="D376" s="35" t="s">
        <v>20</v>
      </c>
      <c r="E376" s="35">
        <v>79842</v>
      </c>
      <c r="F376" s="35" t="s">
        <v>20</v>
      </c>
      <c r="G376" t="b">
        <f t="shared" si="20"/>
        <v>0</v>
      </c>
      <c r="H376" t="b">
        <f t="shared" si="21"/>
        <v>0</v>
      </c>
      <c r="I376" s="29">
        <f t="shared" si="19"/>
        <v>39570</v>
      </c>
    </row>
    <row r="377" spans="1:9" ht="25.5" hidden="1" x14ac:dyDescent="0.2">
      <c r="A377" s="28">
        <v>39570</v>
      </c>
      <c r="B377" s="26" t="s">
        <v>1466</v>
      </c>
      <c r="C377" s="26" t="s">
        <v>9</v>
      </c>
      <c r="D377" s="35" t="s">
        <v>20</v>
      </c>
      <c r="E377" s="35" t="s">
        <v>20</v>
      </c>
      <c r="F377" s="35">
        <v>39314819</v>
      </c>
      <c r="G377" t="b">
        <f t="shared" si="20"/>
        <v>0</v>
      </c>
      <c r="H377" t="b">
        <f t="shared" si="21"/>
        <v>0</v>
      </c>
      <c r="I377" s="29">
        <f t="shared" si="19"/>
        <v>39570</v>
      </c>
    </row>
    <row r="378" spans="1:9" ht="12.75" hidden="1" customHeight="1" x14ac:dyDescent="0.2">
      <c r="A378" s="28">
        <v>39570</v>
      </c>
      <c r="B378" s="26" t="s">
        <v>6</v>
      </c>
      <c r="C378" s="26" t="s">
        <v>9</v>
      </c>
      <c r="D378" s="35" t="s">
        <v>20</v>
      </c>
      <c r="E378" s="35">
        <v>46011</v>
      </c>
      <c r="F378" s="35" t="s">
        <v>20</v>
      </c>
      <c r="G378" t="b">
        <f t="shared" si="20"/>
        <v>0</v>
      </c>
      <c r="H378" t="b">
        <f t="shared" si="21"/>
        <v>0</v>
      </c>
      <c r="I378" s="29">
        <f t="shared" si="19"/>
        <v>39570</v>
      </c>
    </row>
    <row r="379" spans="1:9" ht="12.75" hidden="1" customHeight="1" x14ac:dyDescent="0.2">
      <c r="A379" s="28">
        <v>39570</v>
      </c>
      <c r="B379" s="26" t="s">
        <v>469</v>
      </c>
      <c r="C379" s="26" t="s">
        <v>2160</v>
      </c>
      <c r="D379" s="35">
        <v>40000000</v>
      </c>
      <c r="E379" s="35">
        <v>46012734</v>
      </c>
      <c r="F379" s="35">
        <v>105508112</v>
      </c>
      <c r="G379" t="b">
        <f t="shared" si="20"/>
        <v>0</v>
      </c>
      <c r="H379" t="b">
        <f t="shared" si="21"/>
        <v>0</v>
      </c>
      <c r="I379" s="29">
        <f t="shared" si="19"/>
        <v>39570</v>
      </c>
    </row>
    <row r="380" spans="1:9" ht="12.75" hidden="1" customHeight="1" x14ac:dyDescent="0.2">
      <c r="A380" s="28">
        <v>39570</v>
      </c>
      <c r="B380" s="26" t="s">
        <v>1910</v>
      </c>
      <c r="C380" s="26" t="s">
        <v>1319</v>
      </c>
      <c r="D380" s="35" t="s">
        <v>20</v>
      </c>
      <c r="E380" s="35">
        <v>634379</v>
      </c>
      <c r="F380" s="35" t="s">
        <v>20</v>
      </c>
      <c r="G380" t="b">
        <f t="shared" si="20"/>
        <v>0</v>
      </c>
      <c r="H380" t="b">
        <f t="shared" si="21"/>
        <v>0</v>
      </c>
      <c r="I380" s="29">
        <f t="shared" si="19"/>
        <v>39570</v>
      </c>
    </row>
    <row r="381" spans="1:9" ht="12.75" hidden="1" customHeight="1" x14ac:dyDescent="0.2">
      <c r="A381" s="28">
        <v>39570</v>
      </c>
      <c r="B381" s="26" t="s">
        <v>521</v>
      </c>
      <c r="C381" s="26" t="s">
        <v>612</v>
      </c>
      <c r="D381" s="35" t="s">
        <v>20</v>
      </c>
      <c r="E381" s="35">
        <v>2344847</v>
      </c>
      <c r="F381" s="35">
        <v>2667084</v>
      </c>
      <c r="G381" t="b">
        <f t="shared" si="20"/>
        <v>0</v>
      </c>
      <c r="H381" t="b">
        <f t="shared" si="21"/>
        <v>0</v>
      </c>
      <c r="I381" s="29">
        <f t="shared" si="19"/>
        <v>39570</v>
      </c>
    </row>
    <row r="382" spans="1:9" ht="25.5" hidden="1" x14ac:dyDescent="0.2">
      <c r="A382" s="28">
        <v>39570</v>
      </c>
      <c r="B382" s="26" t="s">
        <v>2572</v>
      </c>
      <c r="C382" s="26" t="s">
        <v>2992</v>
      </c>
      <c r="D382" s="35">
        <v>2000000</v>
      </c>
      <c r="E382" s="35">
        <v>1785505</v>
      </c>
      <c r="F382" s="35">
        <v>10573083</v>
      </c>
      <c r="G382" t="b">
        <f t="shared" si="20"/>
        <v>0</v>
      </c>
      <c r="H382" t="b">
        <f t="shared" si="21"/>
        <v>0</v>
      </c>
      <c r="I382" s="29">
        <f t="shared" si="19"/>
        <v>39570</v>
      </c>
    </row>
    <row r="383" spans="1:9" ht="25.5" hidden="1" x14ac:dyDescent="0.2">
      <c r="A383" s="28">
        <v>39574</v>
      </c>
      <c r="B383" s="26" t="s">
        <v>138</v>
      </c>
      <c r="C383" s="26" t="s">
        <v>9</v>
      </c>
      <c r="D383" s="35" t="s">
        <v>20</v>
      </c>
      <c r="E383" s="35" t="s">
        <v>20</v>
      </c>
      <c r="F383" s="35" t="s">
        <v>20</v>
      </c>
      <c r="G383" t="b">
        <f t="shared" si="20"/>
        <v>0</v>
      </c>
      <c r="H383" t="b">
        <f t="shared" si="21"/>
        <v>0</v>
      </c>
      <c r="I383" s="29">
        <f t="shared" si="19"/>
        <v>39574</v>
      </c>
    </row>
    <row r="384" spans="1:9" ht="12.75" hidden="1" customHeight="1" x14ac:dyDescent="0.2">
      <c r="A384" s="28">
        <v>39575</v>
      </c>
      <c r="B384" s="26" t="s">
        <v>2815</v>
      </c>
      <c r="C384" s="26" t="s">
        <v>3124</v>
      </c>
      <c r="D384" s="35" t="s">
        <v>20</v>
      </c>
      <c r="E384" s="35">
        <v>8443</v>
      </c>
      <c r="F384" s="35" t="s">
        <v>20</v>
      </c>
      <c r="G384" t="b">
        <f t="shared" si="20"/>
        <v>0</v>
      </c>
      <c r="H384" t="b">
        <f t="shared" si="21"/>
        <v>0</v>
      </c>
      <c r="I384" s="29">
        <f t="shared" si="19"/>
        <v>39575</v>
      </c>
    </row>
    <row r="385" spans="1:9" ht="12.75" hidden="1" customHeight="1" x14ac:dyDescent="0.2">
      <c r="A385" s="28">
        <v>39577</v>
      </c>
      <c r="B385" s="26" t="s">
        <v>1608</v>
      </c>
      <c r="C385" s="26" t="s">
        <v>3209</v>
      </c>
      <c r="D385" s="35">
        <v>120000000</v>
      </c>
      <c r="E385" s="35">
        <v>43945766</v>
      </c>
      <c r="F385" s="35">
        <v>93394462</v>
      </c>
      <c r="G385" t="b">
        <f t="shared" si="20"/>
        <v>0</v>
      </c>
      <c r="H385" t="b">
        <f t="shared" si="21"/>
        <v>0</v>
      </c>
      <c r="I385" s="29">
        <f t="shared" si="19"/>
        <v>39577</v>
      </c>
    </row>
    <row r="386" spans="1:9" ht="12.75" hidden="1" customHeight="1" x14ac:dyDescent="0.2">
      <c r="A386" s="28">
        <v>39577</v>
      </c>
      <c r="B386" s="26" t="s">
        <v>2803</v>
      </c>
      <c r="C386" s="26" t="s">
        <v>9</v>
      </c>
      <c r="D386" s="35" t="s">
        <v>20</v>
      </c>
      <c r="E386" s="35">
        <v>449776</v>
      </c>
      <c r="F386" s="35">
        <v>11532795</v>
      </c>
      <c r="G386" t="b">
        <f t="shared" si="20"/>
        <v>0</v>
      </c>
      <c r="H386" t="b">
        <f t="shared" si="21"/>
        <v>0</v>
      </c>
      <c r="I386" s="29">
        <f t="shared" si="19"/>
        <v>39577</v>
      </c>
    </row>
    <row r="387" spans="1:9" ht="12.75" hidden="1" customHeight="1" x14ac:dyDescent="0.2">
      <c r="A387" s="28">
        <v>39577</v>
      </c>
      <c r="B387" s="26" t="s">
        <v>1897</v>
      </c>
      <c r="C387" s="26" t="s">
        <v>1074</v>
      </c>
      <c r="D387" s="35" t="s">
        <v>20</v>
      </c>
      <c r="E387" s="35">
        <v>62248</v>
      </c>
      <c r="F387" s="35" t="s">
        <v>20</v>
      </c>
      <c r="G387" t="b">
        <f t="shared" si="20"/>
        <v>0</v>
      </c>
      <c r="H387" t="b">
        <f t="shared" si="21"/>
        <v>0</v>
      </c>
      <c r="I387" s="29">
        <f t="shared" ref="I387:I450" si="22">DATE(2008,MONTH(A387), DAY(A387))</f>
        <v>39577</v>
      </c>
    </row>
    <row r="388" spans="1:9" ht="38.25" hidden="1" x14ac:dyDescent="0.2">
      <c r="A388" s="28">
        <v>39577</v>
      </c>
      <c r="B388" s="26" t="s">
        <v>853</v>
      </c>
      <c r="C388" s="26" t="s">
        <v>9</v>
      </c>
      <c r="D388" s="35" t="s">
        <v>20</v>
      </c>
      <c r="E388" s="35">
        <v>13804</v>
      </c>
      <c r="F388" s="35" t="s">
        <v>20</v>
      </c>
      <c r="G388" t="b">
        <f t="shared" si="20"/>
        <v>0</v>
      </c>
      <c r="H388" t="b">
        <f t="shared" si="21"/>
        <v>0</v>
      </c>
      <c r="I388" s="29">
        <f t="shared" si="22"/>
        <v>39577</v>
      </c>
    </row>
    <row r="389" spans="1:9" ht="12.75" hidden="1" customHeight="1" x14ac:dyDescent="0.2">
      <c r="A389" s="28">
        <v>39577</v>
      </c>
      <c r="B389" s="26" t="s">
        <v>383</v>
      </c>
      <c r="C389" s="26" t="s">
        <v>9</v>
      </c>
      <c r="D389" s="35" t="s">
        <v>20</v>
      </c>
      <c r="E389" s="35">
        <v>9913</v>
      </c>
      <c r="F389" s="35" t="s">
        <v>20</v>
      </c>
      <c r="G389" t="b">
        <f t="shared" si="20"/>
        <v>0</v>
      </c>
      <c r="H389" t="b">
        <f t="shared" si="21"/>
        <v>0</v>
      </c>
      <c r="I389" s="29">
        <f t="shared" si="22"/>
        <v>39577</v>
      </c>
    </row>
    <row r="390" spans="1:9" ht="25.5" hidden="1" x14ac:dyDescent="0.2">
      <c r="A390" s="28">
        <v>39577</v>
      </c>
      <c r="B390" s="26" t="s">
        <v>2589</v>
      </c>
      <c r="C390" s="26" t="s">
        <v>2775</v>
      </c>
      <c r="D390" s="35" t="s">
        <v>20</v>
      </c>
      <c r="E390" s="35">
        <v>1677</v>
      </c>
      <c r="F390" s="35" t="s">
        <v>20</v>
      </c>
      <c r="G390" t="b">
        <f t="shared" si="20"/>
        <v>0</v>
      </c>
      <c r="H390" t="b">
        <f t="shared" si="21"/>
        <v>0</v>
      </c>
      <c r="I390" s="29">
        <f t="shared" si="22"/>
        <v>39577</v>
      </c>
    </row>
    <row r="391" spans="1:9" ht="25.5" hidden="1" x14ac:dyDescent="0.2">
      <c r="A391" s="28">
        <v>39577</v>
      </c>
      <c r="B391" s="26" t="s">
        <v>3285</v>
      </c>
      <c r="C391" s="26" t="s">
        <v>384</v>
      </c>
      <c r="D391" s="35" t="s">
        <v>20</v>
      </c>
      <c r="E391" s="35">
        <v>80277646</v>
      </c>
      <c r="F391" s="35">
        <v>219375797</v>
      </c>
      <c r="G391" t="b">
        <f t="shared" si="20"/>
        <v>0</v>
      </c>
      <c r="H391" t="b">
        <f t="shared" si="21"/>
        <v>0</v>
      </c>
      <c r="I391" s="29">
        <f t="shared" si="22"/>
        <v>39577</v>
      </c>
    </row>
    <row r="392" spans="1:9" ht="25.5" hidden="1" x14ac:dyDescent="0.2">
      <c r="A392" s="28">
        <v>39577</v>
      </c>
      <c r="B392" s="26" t="s">
        <v>1627</v>
      </c>
      <c r="C392" s="26" t="s">
        <v>1992</v>
      </c>
      <c r="D392" s="35" t="s">
        <v>20</v>
      </c>
      <c r="E392" s="35">
        <v>2900</v>
      </c>
      <c r="F392" s="35" t="s">
        <v>20</v>
      </c>
      <c r="G392" t="b">
        <f t="shared" si="20"/>
        <v>0</v>
      </c>
      <c r="H392" t="b">
        <f t="shared" si="21"/>
        <v>0</v>
      </c>
      <c r="I392" s="29">
        <f t="shared" si="22"/>
        <v>39577</v>
      </c>
    </row>
    <row r="393" spans="1:9" ht="25.5" hidden="1" x14ac:dyDescent="0.2">
      <c r="A393" s="28">
        <v>39577</v>
      </c>
      <c r="B393" s="26" t="s">
        <v>1818</v>
      </c>
      <c r="C393" s="26" t="s">
        <v>9</v>
      </c>
      <c r="D393" s="35" t="s">
        <v>20</v>
      </c>
      <c r="E393" s="35">
        <v>76173</v>
      </c>
      <c r="F393" s="35" t="s">
        <v>20</v>
      </c>
      <c r="G393" t="b">
        <f t="shared" si="20"/>
        <v>0</v>
      </c>
      <c r="H393" t="b">
        <f t="shared" si="21"/>
        <v>0</v>
      </c>
      <c r="I393" s="29">
        <f t="shared" si="22"/>
        <v>39577</v>
      </c>
    </row>
    <row r="394" spans="1:9" ht="12.75" hidden="1" customHeight="1" x14ac:dyDescent="0.2">
      <c r="A394" s="28">
        <v>39577</v>
      </c>
      <c r="B394" s="26" t="s">
        <v>2588</v>
      </c>
      <c r="C394" s="26" t="s">
        <v>3241</v>
      </c>
      <c r="D394" s="35" t="s">
        <v>20</v>
      </c>
      <c r="E394" s="35">
        <v>89375</v>
      </c>
      <c r="F394" s="35">
        <v>18242109</v>
      </c>
      <c r="G394" t="b">
        <f t="shared" si="20"/>
        <v>0</v>
      </c>
      <c r="H394" t="b">
        <f t="shared" si="21"/>
        <v>0</v>
      </c>
      <c r="I394" s="29">
        <f t="shared" si="22"/>
        <v>39577</v>
      </c>
    </row>
    <row r="395" spans="1:9" ht="12.75" hidden="1" customHeight="1" x14ac:dyDescent="0.2">
      <c r="A395" s="28">
        <v>39577</v>
      </c>
      <c r="B395" s="26" t="s">
        <v>2330</v>
      </c>
      <c r="C395" s="26" t="s">
        <v>3233</v>
      </c>
      <c r="D395" s="35" t="s">
        <v>20</v>
      </c>
      <c r="E395" s="35">
        <v>16513</v>
      </c>
      <c r="F395" s="35" t="s">
        <v>20</v>
      </c>
      <c r="G395" t="b">
        <f t="shared" si="20"/>
        <v>0</v>
      </c>
      <c r="H395" t="b">
        <f t="shared" si="21"/>
        <v>0</v>
      </c>
      <c r="I395" s="29">
        <f t="shared" si="22"/>
        <v>39577</v>
      </c>
    </row>
    <row r="396" spans="1:9" ht="12.75" hidden="1" customHeight="1" x14ac:dyDescent="0.2">
      <c r="A396" s="28">
        <v>39577</v>
      </c>
      <c r="B396" s="26" t="s">
        <v>1669</v>
      </c>
      <c r="C396" s="26" t="s">
        <v>9</v>
      </c>
      <c r="D396" s="35" t="s">
        <v>20</v>
      </c>
      <c r="E396" s="35">
        <v>12000</v>
      </c>
      <c r="F396" s="35" t="s">
        <v>20</v>
      </c>
      <c r="G396" t="b">
        <f t="shared" si="20"/>
        <v>0</v>
      </c>
      <c r="H396" t="b">
        <f t="shared" si="21"/>
        <v>0</v>
      </c>
      <c r="I396" s="29">
        <f t="shared" si="22"/>
        <v>39577</v>
      </c>
    </row>
    <row r="397" spans="1:9" ht="25.5" hidden="1" x14ac:dyDescent="0.2">
      <c r="A397" s="28">
        <v>39577</v>
      </c>
      <c r="B397" s="26" t="s">
        <v>2035</v>
      </c>
      <c r="C397" s="26" t="s">
        <v>2180</v>
      </c>
      <c r="D397" s="35" t="s">
        <v>20</v>
      </c>
      <c r="E397" s="35">
        <v>1037128</v>
      </c>
      <c r="F397" s="35">
        <v>1057128</v>
      </c>
      <c r="G397" t="b">
        <f t="shared" si="20"/>
        <v>0</v>
      </c>
      <c r="H397" t="b">
        <f t="shared" si="21"/>
        <v>0</v>
      </c>
      <c r="I397" s="29">
        <f t="shared" si="22"/>
        <v>39577</v>
      </c>
    </row>
    <row r="398" spans="1:9" ht="25.5" hidden="1" x14ac:dyDescent="0.2">
      <c r="A398" s="28">
        <v>39577</v>
      </c>
      <c r="B398" s="26" t="s">
        <v>2617</v>
      </c>
      <c r="C398" s="26" t="s">
        <v>3100</v>
      </c>
      <c r="D398" s="35" t="s">
        <v>20</v>
      </c>
      <c r="E398" s="35">
        <v>44852</v>
      </c>
      <c r="F398" s="35" t="s">
        <v>20</v>
      </c>
      <c r="G398" t="b">
        <f t="shared" si="20"/>
        <v>0</v>
      </c>
      <c r="H398" t="b">
        <f t="shared" si="21"/>
        <v>0</v>
      </c>
      <c r="I398" s="29">
        <f t="shared" si="22"/>
        <v>39577</v>
      </c>
    </row>
    <row r="399" spans="1:9" ht="12.75" hidden="1" customHeight="1" x14ac:dyDescent="0.2">
      <c r="A399" s="28">
        <v>39577</v>
      </c>
      <c r="B399" s="26" t="s">
        <v>1221</v>
      </c>
      <c r="C399" s="26" t="s">
        <v>117</v>
      </c>
      <c r="D399" s="35" t="s">
        <v>20</v>
      </c>
      <c r="E399" s="35">
        <v>2280348</v>
      </c>
      <c r="F399" s="35">
        <v>2580348</v>
      </c>
      <c r="G399" t="b">
        <f t="shared" si="20"/>
        <v>0</v>
      </c>
      <c r="H399" t="b">
        <f t="shared" si="21"/>
        <v>0</v>
      </c>
      <c r="I399" s="29">
        <f t="shared" si="22"/>
        <v>39577</v>
      </c>
    </row>
    <row r="400" spans="1:9" ht="25.5" hidden="1" x14ac:dyDescent="0.2">
      <c r="A400" s="28">
        <v>39577</v>
      </c>
      <c r="B400" s="26" t="s">
        <v>3374</v>
      </c>
      <c r="C400" s="26" t="s">
        <v>1829</v>
      </c>
      <c r="D400" s="35" t="s">
        <v>20</v>
      </c>
      <c r="E400" s="35" t="s">
        <v>20</v>
      </c>
      <c r="F400" s="35" t="s">
        <v>20</v>
      </c>
      <c r="G400" t="b">
        <f t="shared" si="20"/>
        <v>0</v>
      </c>
      <c r="H400" t="b">
        <f t="shared" si="21"/>
        <v>0</v>
      </c>
      <c r="I400" s="29">
        <f t="shared" si="22"/>
        <v>39577</v>
      </c>
    </row>
    <row r="401" spans="1:9" ht="12.75" hidden="1" customHeight="1" x14ac:dyDescent="0.2">
      <c r="A401" s="28">
        <v>39577</v>
      </c>
      <c r="B401" s="26" t="s">
        <v>60</v>
      </c>
      <c r="C401" s="26" t="s">
        <v>2621</v>
      </c>
      <c r="D401" s="35" t="s">
        <v>20</v>
      </c>
      <c r="E401" s="35">
        <v>269994</v>
      </c>
      <c r="F401" s="35" t="s">
        <v>20</v>
      </c>
      <c r="G401" t="b">
        <f t="shared" si="20"/>
        <v>0</v>
      </c>
      <c r="H401" t="b">
        <f t="shared" si="21"/>
        <v>0</v>
      </c>
      <c r="I401" s="29">
        <f t="shared" si="22"/>
        <v>39577</v>
      </c>
    </row>
    <row r="402" spans="1:9" ht="25.5" hidden="1" x14ac:dyDescent="0.2">
      <c r="A402" s="28">
        <v>39578</v>
      </c>
      <c r="B402" s="26" t="s">
        <v>3034</v>
      </c>
      <c r="C402" s="26" t="s">
        <v>9</v>
      </c>
      <c r="D402" s="35" t="s">
        <v>20</v>
      </c>
      <c r="E402" s="35" t="s">
        <v>20</v>
      </c>
      <c r="F402" s="35">
        <v>7095183</v>
      </c>
      <c r="G402" t="b">
        <f t="shared" si="20"/>
        <v>0</v>
      </c>
      <c r="H402" t="b">
        <f t="shared" si="21"/>
        <v>0</v>
      </c>
      <c r="I402" s="29">
        <f t="shared" si="22"/>
        <v>39578</v>
      </c>
    </row>
    <row r="403" spans="1:9" ht="38.25" hidden="1" x14ac:dyDescent="0.2">
      <c r="A403" s="28">
        <v>39581</v>
      </c>
      <c r="B403" s="26" t="s">
        <v>1445</v>
      </c>
      <c r="C403" s="26" t="s">
        <v>9</v>
      </c>
      <c r="D403" s="35" t="s">
        <v>20</v>
      </c>
      <c r="E403" s="35" t="s">
        <v>20</v>
      </c>
      <c r="F403" s="35" t="s">
        <v>20</v>
      </c>
      <c r="G403" t="b">
        <f t="shared" si="20"/>
        <v>0</v>
      </c>
      <c r="H403" t="b">
        <f t="shared" si="21"/>
        <v>0</v>
      </c>
      <c r="I403" s="29">
        <f t="shared" si="22"/>
        <v>39581</v>
      </c>
    </row>
    <row r="404" spans="1:9" ht="12.75" hidden="1" customHeight="1" x14ac:dyDescent="0.2">
      <c r="A404" s="28">
        <v>39582</v>
      </c>
      <c r="B404" s="26" t="s">
        <v>2348</v>
      </c>
      <c r="C404" s="26" t="s">
        <v>3466</v>
      </c>
      <c r="D404" s="35" t="s">
        <v>20</v>
      </c>
      <c r="E404" s="35">
        <v>54166</v>
      </c>
      <c r="F404" s="35" t="s">
        <v>20</v>
      </c>
      <c r="G404" t="b">
        <f t="shared" si="20"/>
        <v>0</v>
      </c>
      <c r="H404" t="b">
        <f t="shared" si="21"/>
        <v>0</v>
      </c>
      <c r="I404" s="29">
        <f t="shared" si="22"/>
        <v>39582</v>
      </c>
    </row>
    <row r="405" spans="1:9" ht="38.25" hidden="1" x14ac:dyDescent="0.2">
      <c r="A405" s="28">
        <v>39584</v>
      </c>
      <c r="B405" s="26" t="s">
        <v>945</v>
      </c>
      <c r="C405" s="26" t="s">
        <v>3176</v>
      </c>
      <c r="D405" s="35" t="s">
        <v>20</v>
      </c>
      <c r="E405" s="35" t="s">
        <v>20</v>
      </c>
      <c r="F405" s="35" t="s">
        <v>20</v>
      </c>
      <c r="G405" t="b">
        <f t="shared" si="20"/>
        <v>0</v>
      </c>
      <c r="H405" t="b">
        <f t="shared" si="21"/>
        <v>0</v>
      </c>
      <c r="I405" s="29">
        <f t="shared" si="22"/>
        <v>39584</v>
      </c>
    </row>
    <row r="406" spans="1:9" ht="12.75" hidden="1" customHeight="1" x14ac:dyDescent="0.2">
      <c r="A406" s="28">
        <v>39584</v>
      </c>
      <c r="B406" s="26" t="s">
        <v>572</v>
      </c>
      <c r="C406" s="26" t="s">
        <v>9</v>
      </c>
      <c r="D406" s="35" t="s">
        <v>20</v>
      </c>
      <c r="E406" s="35">
        <v>203304</v>
      </c>
      <c r="F406" s="35" t="s">
        <v>20</v>
      </c>
      <c r="G406" t="b">
        <f t="shared" si="20"/>
        <v>0</v>
      </c>
      <c r="H406" t="b">
        <f t="shared" si="21"/>
        <v>0</v>
      </c>
      <c r="I406" s="29">
        <f t="shared" si="22"/>
        <v>39584</v>
      </c>
    </row>
    <row r="407" spans="1:9" ht="12.75" hidden="1" customHeight="1" x14ac:dyDescent="0.2">
      <c r="A407" s="28">
        <v>39584</v>
      </c>
      <c r="B407" s="26" t="s">
        <v>63</v>
      </c>
      <c r="C407" s="26" t="s">
        <v>9</v>
      </c>
      <c r="D407" s="35" t="s">
        <v>20</v>
      </c>
      <c r="E407" s="35">
        <v>30316</v>
      </c>
      <c r="F407" s="35">
        <v>6634682</v>
      </c>
      <c r="G407" t="b">
        <f t="shared" si="20"/>
        <v>0</v>
      </c>
      <c r="H407" t="b">
        <f t="shared" si="21"/>
        <v>0</v>
      </c>
      <c r="I407" s="29">
        <f t="shared" si="22"/>
        <v>39584</v>
      </c>
    </row>
    <row r="408" spans="1:9" ht="12.75" hidden="1" customHeight="1" x14ac:dyDescent="0.2">
      <c r="A408" s="28">
        <v>39584</v>
      </c>
      <c r="B408" s="26" t="s">
        <v>1861</v>
      </c>
      <c r="C408" s="26" t="s">
        <v>9</v>
      </c>
      <c r="D408" s="35" t="s">
        <v>20</v>
      </c>
      <c r="E408" s="35">
        <v>6389</v>
      </c>
      <c r="F408" s="35">
        <v>2397451</v>
      </c>
      <c r="G408" t="b">
        <f t="shared" si="20"/>
        <v>0</v>
      </c>
      <c r="H408" t="b">
        <f t="shared" si="21"/>
        <v>0</v>
      </c>
      <c r="I408" s="29">
        <f t="shared" si="22"/>
        <v>39584</v>
      </c>
    </row>
    <row r="409" spans="1:9" ht="12.75" hidden="1" customHeight="1" x14ac:dyDescent="0.2">
      <c r="A409" s="28">
        <v>39584</v>
      </c>
      <c r="B409" s="26" t="s">
        <v>536</v>
      </c>
      <c r="C409" s="26" t="s">
        <v>595</v>
      </c>
      <c r="D409" s="35" t="s">
        <v>20</v>
      </c>
      <c r="E409" s="35">
        <v>30309</v>
      </c>
      <c r="F409" s="35" t="s">
        <v>20</v>
      </c>
      <c r="G409" t="b">
        <f t="shared" si="20"/>
        <v>0</v>
      </c>
      <c r="H409" t="b">
        <f t="shared" si="21"/>
        <v>0</v>
      </c>
      <c r="I409" s="29">
        <f t="shared" si="22"/>
        <v>39584</v>
      </c>
    </row>
    <row r="410" spans="1:9" ht="12.75" hidden="1" customHeight="1" x14ac:dyDescent="0.2">
      <c r="A410" s="28">
        <v>39584</v>
      </c>
      <c r="B410" s="26" t="s">
        <v>3450</v>
      </c>
      <c r="C410" s="26" t="s">
        <v>2542</v>
      </c>
      <c r="D410" s="35" t="s">
        <v>20</v>
      </c>
      <c r="E410" s="35" t="s">
        <v>20</v>
      </c>
      <c r="F410" s="35" t="s">
        <v>20</v>
      </c>
      <c r="G410" t="b">
        <f t="shared" si="20"/>
        <v>0</v>
      </c>
      <c r="H410" t="b">
        <f t="shared" si="21"/>
        <v>0</v>
      </c>
      <c r="I410" s="29">
        <f t="shared" si="22"/>
        <v>39584</v>
      </c>
    </row>
    <row r="411" spans="1:9" ht="25.5" hidden="1" x14ac:dyDescent="0.2">
      <c r="A411" s="28">
        <v>39584</v>
      </c>
      <c r="B411" s="26" t="s">
        <v>3307</v>
      </c>
      <c r="C411" s="26" t="s">
        <v>9</v>
      </c>
      <c r="D411" s="35" t="s">
        <v>20</v>
      </c>
      <c r="E411" s="35" t="s">
        <v>20</v>
      </c>
      <c r="F411" s="35">
        <v>640596</v>
      </c>
      <c r="G411" t="b">
        <f t="shared" si="20"/>
        <v>0</v>
      </c>
      <c r="H411" t="b">
        <f t="shared" si="21"/>
        <v>0</v>
      </c>
      <c r="I411" s="29">
        <f t="shared" si="22"/>
        <v>39584</v>
      </c>
    </row>
    <row r="412" spans="1:9" ht="12.75" hidden="1" customHeight="1" x14ac:dyDescent="0.2">
      <c r="A412" s="28">
        <v>39584</v>
      </c>
      <c r="B412" s="26" t="s">
        <v>367</v>
      </c>
      <c r="C412" s="26" t="s">
        <v>9</v>
      </c>
      <c r="D412" s="35" t="s">
        <v>20</v>
      </c>
      <c r="E412" s="35" t="s">
        <v>20</v>
      </c>
      <c r="F412" s="35">
        <v>1973088</v>
      </c>
      <c r="G412" t="b">
        <f t="shared" si="20"/>
        <v>0</v>
      </c>
      <c r="H412" t="b">
        <f t="shared" si="21"/>
        <v>0</v>
      </c>
      <c r="I412" s="29">
        <f t="shared" si="22"/>
        <v>39584</v>
      </c>
    </row>
    <row r="413" spans="1:9" ht="12.75" hidden="1" customHeight="1" x14ac:dyDescent="0.2">
      <c r="A413" s="28">
        <v>39584</v>
      </c>
      <c r="B413" s="26" t="s">
        <v>1851</v>
      </c>
      <c r="C413" s="26" t="s">
        <v>3218</v>
      </c>
      <c r="D413" s="35" t="s">
        <v>20</v>
      </c>
      <c r="E413" s="35">
        <v>554826</v>
      </c>
      <c r="F413" s="35">
        <v>1162184</v>
      </c>
      <c r="G413" t="b">
        <f t="shared" si="20"/>
        <v>0</v>
      </c>
      <c r="H413" t="b">
        <f t="shared" si="21"/>
        <v>0</v>
      </c>
      <c r="I413" s="29">
        <f t="shared" si="22"/>
        <v>39584</v>
      </c>
    </row>
    <row r="414" spans="1:9" ht="25.5" hidden="1" x14ac:dyDescent="0.2">
      <c r="A414" s="28">
        <v>39584</v>
      </c>
      <c r="B414" s="26" t="s">
        <v>763</v>
      </c>
      <c r="C414" s="26" t="s">
        <v>1619</v>
      </c>
      <c r="D414" s="35" t="s">
        <v>20</v>
      </c>
      <c r="E414" s="35">
        <v>407447</v>
      </c>
      <c r="F414" s="35" t="s">
        <v>20</v>
      </c>
      <c r="G414" t="b">
        <f t="shared" si="20"/>
        <v>0</v>
      </c>
      <c r="H414" t="b">
        <f t="shared" si="21"/>
        <v>0</v>
      </c>
      <c r="I414" s="29">
        <f t="shared" si="22"/>
        <v>39584</v>
      </c>
    </row>
    <row r="415" spans="1:9" ht="38.25" hidden="1" x14ac:dyDescent="0.2">
      <c r="A415" s="28">
        <v>39584</v>
      </c>
      <c r="B415" s="26" t="s">
        <v>1412</v>
      </c>
      <c r="C415" s="26" t="s">
        <v>3390</v>
      </c>
      <c r="D415" s="35">
        <v>225000000</v>
      </c>
      <c r="E415" s="35">
        <v>141621490</v>
      </c>
      <c r="F415" s="35">
        <v>419490286</v>
      </c>
      <c r="G415" t="b">
        <f t="shared" si="20"/>
        <v>0</v>
      </c>
      <c r="H415" t="b">
        <f t="shared" si="21"/>
        <v>0</v>
      </c>
      <c r="I415" s="29">
        <f t="shared" si="22"/>
        <v>39584</v>
      </c>
    </row>
    <row r="416" spans="1:9" ht="12.75" hidden="1" customHeight="1" x14ac:dyDescent="0.2">
      <c r="A416" s="28">
        <v>39584</v>
      </c>
      <c r="B416" s="26" t="s">
        <v>1739</v>
      </c>
      <c r="C416" s="26" t="s">
        <v>9</v>
      </c>
      <c r="D416" s="35" t="s">
        <v>20</v>
      </c>
      <c r="E416" s="35" t="s">
        <v>20</v>
      </c>
      <c r="F416" s="35" t="s">
        <v>20</v>
      </c>
      <c r="G416" t="b">
        <f t="shared" si="20"/>
        <v>0</v>
      </c>
      <c r="H416" t="b">
        <f t="shared" si="21"/>
        <v>0</v>
      </c>
      <c r="I416" s="29">
        <f t="shared" si="22"/>
        <v>39584</v>
      </c>
    </row>
    <row r="417" spans="1:9" ht="12.75" hidden="1" customHeight="1" x14ac:dyDescent="0.2">
      <c r="A417" s="28">
        <v>39588</v>
      </c>
      <c r="B417" s="26" t="s">
        <v>3384</v>
      </c>
      <c r="C417" s="26" t="s">
        <v>9</v>
      </c>
      <c r="D417" s="35" t="s">
        <v>20</v>
      </c>
      <c r="E417" s="35" t="s">
        <v>20</v>
      </c>
      <c r="F417" s="35" t="s">
        <v>20</v>
      </c>
      <c r="G417" t="b">
        <f t="shared" si="20"/>
        <v>0</v>
      </c>
      <c r="H417" t="b">
        <f t="shared" si="21"/>
        <v>0</v>
      </c>
      <c r="I417" s="29">
        <f t="shared" si="22"/>
        <v>39588</v>
      </c>
    </row>
    <row r="418" spans="1:9" ht="12.75" hidden="1" customHeight="1" x14ac:dyDescent="0.2">
      <c r="A418" s="28">
        <v>39589</v>
      </c>
      <c r="B418" s="26" t="s">
        <v>22</v>
      </c>
      <c r="C418" s="26" t="s">
        <v>2964</v>
      </c>
      <c r="D418" s="35" t="s">
        <v>20</v>
      </c>
      <c r="E418" s="35">
        <v>105651</v>
      </c>
      <c r="F418" s="35" t="s">
        <v>20</v>
      </c>
      <c r="G418" t="b">
        <f t="shared" si="20"/>
        <v>0</v>
      </c>
      <c r="H418" t="b">
        <f t="shared" si="21"/>
        <v>0</v>
      </c>
      <c r="I418" s="29">
        <f t="shared" si="22"/>
        <v>39589</v>
      </c>
    </row>
    <row r="419" spans="1:9" ht="25.5" hidden="1" x14ac:dyDescent="0.2">
      <c r="A419" s="28">
        <v>39589</v>
      </c>
      <c r="B419" s="26" t="s">
        <v>1460</v>
      </c>
      <c r="C419" s="26" t="s">
        <v>9</v>
      </c>
      <c r="D419" s="35" t="s">
        <v>20</v>
      </c>
      <c r="E419" s="35">
        <v>121240</v>
      </c>
      <c r="F419" s="35" t="s">
        <v>20</v>
      </c>
      <c r="G419" t="b">
        <f t="shared" si="20"/>
        <v>0</v>
      </c>
      <c r="H419" t="b">
        <f t="shared" si="21"/>
        <v>0</v>
      </c>
      <c r="I419" s="29">
        <f t="shared" si="22"/>
        <v>39589</v>
      </c>
    </row>
    <row r="420" spans="1:9" ht="25.5" hidden="1" x14ac:dyDescent="0.2">
      <c r="A420" s="28">
        <v>39589</v>
      </c>
      <c r="B420" s="26" t="s">
        <v>1342</v>
      </c>
      <c r="C420" s="26" t="s">
        <v>9</v>
      </c>
      <c r="D420" s="35" t="s">
        <v>20</v>
      </c>
      <c r="E420" s="35">
        <v>742349</v>
      </c>
      <c r="F420" s="35">
        <v>17388117</v>
      </c>
      <c r="G420" t="b">
        <f t="shared" si="20"/>
        <v>0</v>
      </c>
      <c r="H420" t="b">
        <f t="shared" si="21"/>
        <v>0</v>
      </c>
      <c r="I420" s="29">
        <f t="shared" si="22"/>
        <v>39589</v>
      </c>
    </row>
    <row r="421" spans="1:9" ht="38.25" hidden="1" x14ac:dyDescent="0.2">
      <c r="A421" s="28">
        <v>39590</v>
      </c>
      <c r="B421" s="26" t="s">
        <v>2338</v>
      </c>
      <c r="C421" s="26" t="s">
        <v>2168</v>
      </c>
      <c r="D421" s="35">
        <v>185000000</v>
      </c>
      <c r="E421" s="35">
        <v>317023851</v>
      </c>
      <c r="F421" s="35">
        <v>786558145</v>
      </c>
      <c r="G421" t="b">
        <f t="shared" si="20"/>
        <v>0</v>
      </c>
      <c r="H421" t="b">
        <f t="shared" si="21"/>
        <v>0</v>
      </c>
      <c r="I421" s="29">
        <f t="shared" si="22"/>
        <v>39590</v>
      </c>
    </row>
    <row r="422" spans="1:9" ht="12.75" hidden="1" customHeight="1" x14ac:dyDescent="0.2">
      <c r="A422" s="28">
        <v>39591</v>
      </c>
      <c r="B422" s="26" t="s">
        <v>1773</v>
      </c>
      <c r="C422" s="26" t="s">
        <v>2865</v>
      </c>
      <c r="D422" s="35">
        <v>10000000</v>
      </c>
      <c r="E422" s="35">
        <v>580862</v>
      </c>
      <c r="F422" s="35">
        <v>1296184</v>
      </c>
      <c r="G422" t="b">
        <f t="shared" si="20"/>
        <v>0</v>
      </c>
      <c r="H422" t="b">
        <f t="shared" si="21"/>
        <v>0</v>
      </c>
      <c r="I422" s="29">
        <f t="shared" si="22"/>
        <v>39591</v>
      </c>
    </row>
    <row r="423" spans="1:9" ht="25.5" hidden="1" x14ac:dyDescent="0.2">
      <c r="A423" s="28">
        <v>39591</v>
      </c>
      <c r="B423" s="26" t="s">
        <v>3320</v>
      </c>
      <c r="C423" s="26" t="s">
        <v>3160</v>
      </c>
      <c r="D423" s="35" t="s">
        <v>20</v>
      </c>
      <c r="E423" s="35">
        <v>4070</v>
      </c>
      <c r="F423" s="35" t="s">
        <v>20</v>
      </c>
      <c r="G423" t="b">
        <f t="shared" si="20"/>
        <v>0</v>
      </c>
      <c r="H423" t="b">
        <f t="shared" si="21"/>
        <v>0</v>
      </c>
      <c r="I423" s="29">
        <f t="shared" si="22"/>
        <v>39591</v>
      </c>
    </row>
    <row r="424" spans="1:9" ht="25.5" hidden="1" x14ac:dyDescent="0.2">
      <c r="A424" s="28">
        <v>39591</v>
      </c>
      <c r="B424" s="26" t="s">
        <v>1030</v>
      </c>
      <c r="C424" s="26" t="s">
        <v>9</v>
      </c>
      <c r="D424" s="35" t="s">
        <v>20</v>
      </c>
      <c r="E424" s="35">
        <v>4345</v>
      </c>
      <c r="F424" s="35" t="s">
        <v>20</v>
      </c>
      <c r="G424" t="b">
        <f t="shared" ref="G424:G485" si="23">ISBLANK(A424)</f>
        <v>0</v>
      </c>
      <c r="H424" t="b">
        <f t="shared" ref="H424:H485" si="24">ISTEXT(A424)</f>
        <v>0</v>
      </c>
      <c r="I424" s="29">
        <f t="shared" si="22"/>
        <v>39591</v>
      </c>
    </row>
    <row r="425" spans="1:9" ht="25.5" hidden="1" x14ac:dyDescent="0.2">
      <c r="A425" s="28">
        <v>39591</v>
      </c>
      <c r="B425" s="26" t="s">
        <v>1448</v>
      </c>
      <c r="C425" s="26" t="s">
        <v>9</v>
      </c>
      <c r="D425" s="35">
        <v>20000000</v>
      </c>
      <c r="E425" s="35">
        <v>1031872</v>
      </c>
      <c r="F425" s="35">
        <v>5527507</v>
      </c>
      <c r="G425" t="b">
        <f t="shared" si="23"/>
        <v>0</v>
      </c>
      <c r="H425" t="b">
        <f t="shared" si="24"/>
        <v>0</v>
      </c>
      <c r="I425" s="29">
        <f t="shared" si="22"/>
        <v>39591</v>
      </c>
    </row>
    <row r="426" spans="1:9" ht="25.5" hidden="1" x14ac:dyDescent="0.2">
      <c r="A426" s="28">
        <v>39591</v>
      </c>
      <c r="B426" s="26" t="s">
        <v>939</v>
      </c>
      <c r="C426" s="26" t="s">
        <v>827</v>
      </c>
      <c r="D426" s="35" t="s">
        <v>20</v>
      </c>
      <c r="E426" s="35">
        <v>5508</v>
      </c>
      <c r="F426" s="35" t="s">
        <v>20</v>
      </c>
      <c r="G426" t="b">
        <f t="shared" si="23"/>
        <v>0</v>
      </c>
      <c r="H426" t="b">
        <f t="shared" si="24"/>
        <v>0</v>
      </c>
      <c r="I426" s="29">
        <f t="shared" si="22"/>
        <v>39591</v>
      </c>
    </row>
    <row r="427" spans="1:9" ht="12.75" hidden="1" customHeight="1" x14ac:dyDescent="0.2">
      <c r="A427" s="28">
        <v>39591</v>
      </c>
      <c r="B427" s="26" t="s">
        <v>706</v>
      </c>
      <c r="C427" s="26" t="s">
        <v>9</v>
      </c>
      <c r="D427" s="35" t="s">
        <v>20</v>
      </c>
      <c r="E427" s="35" t="s">
        <v>20</v>
      </c>
      <c r="F427" s="35">
        <v>579872</v>
      </c>
      <c r="G427" t="b">
        <f t="shared" si="23"/>
        <v>0</v>
      </c>
      <c r="H427" t="b">
        <f t="shared" si="24"/>
        <v>0</v>
      </c>
      <c r="I427" s="29">
        <f t="shared" si="22"/>
        <v>39591</v>
      </c>
    </row>
    <row r="428" spans="1:9" ht="25.5" hidden="1" x14ac:dyDescent="0.2">
      <c r="A428" s="28">
        <v>39592</v>
      </c>
      <c r="B428" s="26" t="s">
        <v>2239</v>
      </c>
      <c r="C428" s="26" t="s">
        <v>9</v>
      </c>
      <c r="D428" s="35" t="s">
        <v>20</v>
      </c>
      <c r="E428" s="35" t="s">
        <v>20</v>
      </c>
      <c r="F428" s="35">
        <v>512213</v>
      </c>
      <c r="G428" t="b">
        <f t="shared" si="23"/>
        <v>0</v>
      </c>
      <c r="H428" t="b">
        <f t="shared" si="24"/>
        <v>0</v>
      </c>
      <c r="I428" s="29">
        <f t="shared" si="22"/>
        <v>39592</v>
      </c>
    </row>
    <row r="429" spans="1:9" hidden="1" x14ac:dyDescent="0.2">
      <c r="A429" s="28">
        <v>39592</v>
      </c>
      <c r="B429" s="26" t="s">
        <v>3048</v>
      </c>
      <c r="C429" s="26" t="s">
        <v>9</v>
      </c>
      <c r="D429" s="35" t="s">
        <v>20</v>
      </c>
      <c r="E429" s="35" t="s">
        <v>20</v>
      </c>
      <c r="F429" s="35">
        <v>1930109</v>
      </c>
      <c r="G429" t="b">
        <f t="shared" si="23"/>
        <v>0</v>
      </c>
      <c r="H429" t="b">
        <f t="shared" si="24"/>
        <v>0</v>
      </c>
      <c r="I429" s="29">
        <f t="shared" si="22"/>
        <v>39592</v>
      </c>
    </row>
    <row r="430" spans="1:9" ht="12.75" hidden="1" customHeight="1" x14ac:dyDescent="0.2">
      <c r="A430" s="28">
        <v>39595</v>
      </c>
      <c r="B430" s="26" t="s">
        <v>67</v>
      </c>
      <c r="C430" s="26" t="s">
        <v>9</v>
      </c>
      <c r="D430" s="35" t="s">
        <v>20</v>
      </c>
      <c r="E430" s="35" t="s">
        <v>20</v>
      </c>
      <c r="F430" s="35">
        <v>3768452</v>
      </c>
      <c r="G430" t="b">
        <f t="shared" si="23"/>
        <v>0</v>
      </c>
      <c r="H430" t="b">
        <f t="shared" si="24"/>
        <v>0</v>
      </c>
      <c r="I430" s="29">
        <f t="shared" si="22"/>
        <v>39595</v>
      </c>
    </row>
    <row r="431" spans="1:9" ht="12.75" hidden="1" customHeight="1" x14ac:dyDescent="0.2">
      <c r="A431" s="28">
        <v>39595</v>
      </c>
      <c r="B431" s="26" t="s">
        <v>799</v>
      </c>
      <c r="C431" s="26" t="s">
        <v>9</v>
      </c>
      <c r="D431" s="35" t="s">
        <v>20</v>
      </c>
      <c r="E431" s="35" t="s">
        <v>20</v>
      </c>
      <c r="F431" s="35" t="s">
        <v>20</v>
      </c>
      <c r="G431" t="b">
        <f t="shared" si="23"/>
        <v>0</v>
      </c>
      <c r="H431" t="b">
        <f t="shared" si="24"/>
        <v>0</v>
      </c>
      <c r="I431" s="29">
        <f t="shared" si="22"/>
        <v>39595</v>
      </c>
    </row>
    <row r="432" spans="1:9" ht="25.5" hidden="1" x14ac:dyDescent="0.2">
      <c r="A432" s="28">
        <v>39595</v>
      </c>
      <c r="B432" s="26" t="s">
        <v>2670</v>
      </c>
      <c r="C432" s="26" t="s">
        <v>9</v>
      </c>
      <c r="D432" s="35" t="s">
        <v>20</v>
      </c>
      <c r="E432" s="35" t="s">
        <v>20</v>
      </c>
      <c r="F432" s="35" t="s">
        <v>20</v>
      </c>
      <c r="G432" t="b">
        <f t="shared" si="23"/>
        <v>0</v>
      </c>
      <c r="H432" t="b">
        <f t="shared" si="24"/>
        <v>0</v>
      </c>
      <c r="I432" s="29">
        <f t="shared" si="22"/>
        <v>39595</v>
      </c>
    </row>
    <row r="433" spans="1:9" ht="25.5" hidden="1" x14ac:dyDescent="0.2">
      <c r="A433" s="28">
        <v>39596</v>
      </c>
      <c r="B433" s="26" t="s">
        <v>2723</v>
      </c>
      <c r="C433" s="26" t="s">
        <v>9</v>
      </c>
      <c r="D433" s="35" t="s">
        <v>20</v>
      </c>
      <c r="E433" s="35" t="s">
        <v>20</v>
      </c>
      <c r="F433" s="35">
        <v>5506234</v>
      </c>
      <c r="G433" t="b">
        <f t="shared" si="23"/>
        <v>0</v>
      </c>
      <c r="H433" t="b">
        <f t="shared" si="24"/>
        <v>0</v>
      </c>
      <c r="I433" s="29">
        <f t="shared" si="22"/>
        <v>39596</v>
      </c>
    </row>
    <row r="434" spans="1:9" ht="12.75" hidden="1" customHeight="1" x14ac:dyDescent="0.2">
      <c r="A434" s="28">
        <v>39596</v>
      </c>
      <c r="B434" s="26" t="s">
        <v>51</v>
      </c>
      <c r="C434" s="26" t="s">
        <v>9</v>
      </c>
      <c r="D434" s="35">
        <v>4600000</v>
      </c>
      <c r="E434" s="35">
        <v>434417</v>
      </c>
      <c r="F434" s="35">
        <v>968805</v>
      </c>
      <c r="G434" t="b">
        <f t="shared" si="23"/>
        <v>0</v>
      </c>
      <c r="H434" t="b">
        <f t="shared" si="24"/>
        <v>0</v>
      </c>
      <c r="I434" s="29">
        <f t="shared" si="22"/>
        <v>39596</v>
      </c>
    </row>
    <row r="435" spans="1:9" ht="12.75" hidden="1" customHeight="1" x14ac:dyDescent="0.2">
      <c r="A435" s="28">
        <v>39596</v>
      </c>
      <c r="B435" s="26" t="s">
        <v>1045</v>
      </c>
      <c r="C435" s="26" t="s">
        <v>9</v>
      </c>
      <c r="D435" s="35" t="s">
        <v>20</v>
      </c>
      <c r="E435" s="35" t="s">
        <v>20</v>
      </c>
      <c r="F435" s="35">
        <v>2547894</v>
      </c>
      <c r="G435" t="b">
        <f t="shared" si="23"/>
        <v>0</v>
      </c>
      <c r="H435" t="b">
        <f t="shared" si="24"/>
        <v>0</v>
      </c>
      <c r="I435" s="29">
        <f t="shared" si="22"/>
        <v>39596</v>
      </c>
    </row>
    <row r="436" spans="1:9" ht="12.75" hidden="1" customHeight="1" x14ac:dyDescent="0.2">
      <c r="A436" s="28">
        <v>39596</v>
      </c>
      <c r="B436" s="26" t="s">
        <v>2264</v>
      </c>
      <c r="C436" s="26" t="s">
        <v>9</v>
      </c>
      <c r="D436" s="35" t="s">
        <v>20</v>
      </c>
      <c r="E436" s="35">
        <v>240159</v>
      </c>
      <c r="F436" s="35">
        <v>6420093</v>
      </c>
      <c r="G436" t="b">
        <f t="shared" si="23"/>
        <v>0</v>
      </c>
      <c r="H436" t="b">
        <f t="shared" si="24"/>
        <v>0</v>
      </c>
      <c r="I436" s="29">
        <f t="shared" si="22"/>
        <v>39596</v>
      </c>
    </row>
    <row r="437" spans="1:9" hidden="1" x14ac:dyDescent="0.2">
      <c r="A437" s="28">
        <v>39597</v>
      </c>
      <c r="B437" s="26" t="s">
        <v>291</v>
      </c>
      <c r="C437" s="26" t="s">
        <v>9</v>
      </c>
      <c r="D437" s="35" t="s">
        <v>20</v>
      </c>
      <c r="E437" s="35" t="s">
        <v>20</v>
      </c>
      <c r="F437" s="35">
        <v>720600</v>
      </c>
      <c r="G437" t="b">
        <f t="shared" si="23"/>
        <v>0</v>
      </c>
      <c r="H437" t="b">
        <f t="shared" si="24"/>
        <v>0</v>
      </c>
      <c r="I437" s="29">
        <f t="shared" si="22"/>
        <v>39597</v>
      </c>
    </row>
    <row r="438" spans="1:9" ht="12.75" hidden="1" customHeight="1" x14ac:dyDescent="0.2">
      <c r="A438" s="28">
        <v>39598</v>
      </c>
      <c r="B438" s="26" t="s">
        <v>2226</v>
      </c>
      <c r="C438" s="26" t="s">
        <v>698</v>
      </c>
      <c r="D438" s="35">
        <v>9000000</v>
      </c>
      <c r="E438" s="35">
        <v>52597610</v>
      </c>
      <c r="F438" s="35">
        <v>80597610</v>
      </c>
      <c r="G438" t="b">
        <f t="shared" si="23"/>
        <v>0</v>
      </c>
      <c r="H438" t="b">
        <f t="shared" si="24"/>
        <v>0</v>
      </c>
      <c r="I438" s="29">
        <f t="shared" si="22"/>
        <v>39598</v>
      </c>
    </row>
    <row r="439" spans="1:9" ht="12.75" hidden="1" customHeight="1" x14ac:dyDescent="0.2">
      <c r="A439" s="28">
        <v>39598</v>
      </c>
      <c r="B439" s="26" t="s">
        <v>1471</v>
      </c>
      <c r="C439" s="26" t="s">
        <v>9</v>
      </c>
      <c r="D439" s="35" t="s">
        <v>20</v>
      </c>
      <c r="E439" s="35">
        <v>67505</v>
      </c>
      <c r="F439" s="35" t="s">
        <v>20</v>
      </c>
      <c r="G439" t="b">
        <f t="shared" si="23"/>
        <v>0</v>
      </c>
      <c r="H439" t="b">
        <f t="shared" si="24"/>
        <v>0</v>
      </c>
      <c r="I439" s="29">
        <f t="shared" si="22"/>
        <v>39598</v>
      </c>
    </row>
    <row r="440" spans="1:9" ht="25.5" hidden="1" x14ac:dyDescent="0.2">
      <c r="A440" s="28">
        <v>39598</v>
      </c>
      <c r="B440" s="26" t="s">
        <v>121</v>
      </c>
      <c r="C440" s="26" t="s">
        <v>2621</v>
      </c>
      <c r="D440" s="35" t="s">
        <v>20</v>
      </c>
      <c r="E440" s="35">
        <v>308575</v>
      </c>
      <c r="F440" s="35" t="s">
        <v>20</v>
      </c>
      <c r="G440" t="b">
        <f t="shared" si="23"/>
        <v>0</v>
      </c>
      <c r="H440" t="b">
        <f t="shared" si="24"/>
        <v>0</v>
      </c>
      <c r="I440" s="29">
        <f t="shared" si="22"/>
        <v>39598</v>
      </c>
    </row>
    <row r="441" spans="1:9" ht="12.75" hidden="1" customHeight="1" x14ac:dyDescent="0.2">
      <c r="A441" s="28">
        <v>39598</v>
      </c>
      <c r="B441" s="26" t="s">
        <v>305</v>
      </c>
      <c r="C441" s="26" t="s">
        <v>2460</v>
      </c>
      <c r="D441" s="35">
        <v>57500000</v>
      </c>
      <c r="E441" s="35">
        <v>152647258</v>
      </c>
      <c r="F441" s="35">
        <v>410684724</v>
      </c>
      <c r="G441" t="b">
        <f t="shared" si="23"/>
        <v>0</v>
      </c>
      <c r="H441" t="b">
        <f t="shared" si="24"/>
        <v>0</v>
      </c>
      <c r="I441" s="29">
        <f t="shared" si="22"/>
        <v>39598</v>
      </c>
    </row>
    <row r="442" spans="1:9" ht="51" hidden="1" x14ac:dyDescent="0.2">
      <c r="A442" s="28">
        <v>39598</v>
      </c>
      <c r="B442" s="26" t="s">
        <v>2058</v>
      </c>
      <c r="C442" s="26" t="s">
        <v>9</v>
      </c>
      <c r="D442" s="35" t="s">
        <v>20</v>
      </c>
      <c r="E442" s="35">
        <v>19712</v>
      </c>
      <c r="F442" s="35" t="s">
        <v>20</v>
      </c>
      <c r="G442" t="b">
        <f t="shared" si="23"/>
        <v>0</v>
      </c>
      <c r="H442" t="b">
        <f t="shared" si="24"/>
        <v>0</v>
      </c>
      <c r="I442" s="29">
        <f t="shared" si="22"/>
        <v>39598</v>
      </c>
    </row>
    <row r="443" spans="1:9" ht="25.5" hidden="1" x14ac:dyDescent="0.2">
      <c r="A443" s="28">
        <v>39598</v>
      </c>
      <c r="B443" s="26" t="s">
        <v>2445</v>
      </c>
      <c r="C443" s="26" t="s">
        <v>999</v>
      </c>
      <c r="D443" s="35" t="s">
        <v>20</v>
      </c>
      <c r="E443" s="35">
        <v>234286</v>
      </c>
      <c r="F443" s="35" t="s">
        <v>20</v>
      </c>
      <c r="G443" t="b">
        <f t="shared" si="23"/>
        <v>0</v>
      </c>
      <c r="H443" t="b">
        <f t="shared" si="24"/>
        <v>0</v>
      </c>
      <c r="I443" s="29">
        <f t="shared" si="22"/>
        <v>39598</v>
      </c>
    </row>
    <row r="444" spans="1:9" ht="12.75" hidden="1" customHeight="1" x14ac:dyDescent="0.2">
      <c r="A444" s="28">
        <v>39602</v>
      </c>
      <c r="B444" s="26" t="s">
        <v>56</v>
      </c>
      <c r="C444" s="26" t="s">
        <v>9</v>
      </c>
      <c r="D444" s="35" t="s">
        <v>20</v>
      </c>
      <c r="E444" s="35" t="s">
        <v>20</v>
      </c>
      <c r="F444" s="35" t="s">
        <v>20</v>
      </c>
      <c r="G444" t="b">
        <f t="shared" si="23"/>
        <v>0</v>
      </c>
      <c r="H444" t="b">
        <f t="shared" si="24"/>
        <v>0</v>
      </c>
      <c r="I444" s="29">
        <f t="shared" si="22"/>
        <v>39602</v>
      </c>
    </row>
    <row r="445" spans="1:9" ht="25.5" hidden="1" x14ac:dyDescent="0.2">
      <c r="A445" s="28">
        <v>39603</v>
      </c>
      <c r="B445" s="26" t="s">
        <v>1887</v>
      </c>
      <c r="C445" s="26" t="s">
        <v>400</v>
      </c>
      <c r="D445" s="35" t="s">
        <v>20</v>
      </c>
      <c r="E445" s="35" t="s">
        <v>20</v>
      </c>
      <c r="F445" s="35" t="s">
        <v>20</v>
      </c>
      <c r="G445" t="b">
        <f t="shared" si="23"/>
        <v>0</v>
      </c>
      <c r="H445" t="b">
        <f t="shared" si="24"/>
        <v>0</v>
      </c>
      <c r="I445" s="29">
        <f t="shared" si="22"/>
        <v>39603</v>
      </c>
    </row>
    <row r="446" spans="1:9" hidden="1" x14ac:dyDescent="0.2">
      <c r="A446" s="28">
        <v>39603</v>
      </c>
      <c r="B446" s="26" t="s">
        <v>2878</v>
      </c>
      <c r="C446" s="26" t="s">
        <v>9</v>
      </c>
      <c r="D446" s="35" t="s">
        <v>20</v>
      </c>
      <c r="E446" s="35" t="s">
        <v>20</v>
      </c>
      <c r="F446" s="35">
        <v>494371</v>
      </c>
      <c r="G446" t="b">
        <f t="shared" si="23"/>
        <v>0</v>
      </c>
      <c r="H446" t="b">
        <f t="shared" si="24"/>
        <v>0</v>
      </c>
      <c r="I446" s="29">
        <f t="shared" si="22"/>
        <v>39603</v>
      </c>
    </row>
    <row r="447" spans="1:9" ht="25.5" hidden="1" x14ac:dyDescent="0.2">
      <c r="A447" s="28">
        <v>39603</v>
      </c>
      <c r="B447" s="26" t="s">
        <v>3480</v>
      </c>
      <c r="C447" s="26" t="s">
        <v>2479</v>
      </c>
      <c r="D447" s="35" t="s">
        <v>20</v>
      </c>
      <c r="E447" s="35">
        <v>11573</v>
      </c>
      <c r="F447" s="35" t="s">
        <v>20</v>
      </c>
      <c r="G447" t="b">
        <f t="shared" si="23"/>
        <v>0</v>
      </c>
      <c r="H447" t="b">
        <f t="shared" si="24"/>
        <v>0</v>
      </c>
      <c r="I447" s="29">
        <f t="shared" si="22"/>
        <v>39603</v>
      </c>
    </row>
    <row r="448" spans="1:9" ht="12.75" hidden="1" customHeight="1" x14ac:dyDescent="0.2">
      <c r="A448" s="28">
        <v>39603</v>
      </c>
      <c r="B448" s="26" t="s">
        <v>3415</v>
      </c>
      <c r="C448" s="26" t="s">
        <v>9</v>
      </c>
      <c r="D448" s="35" t="s">
        <v>20</v>
      </c>
      <c r="E448" s="35" t="s">
        <v>20</v>
      </c>
      <c r="F448" s="35">
        <v>1405432</v>
      </c>
      <c r="G448" t="b">
        <f t="shared" si="23"/>
        <v>0</v>
      </c>
      <c r="H448" t="b">
        <f t="shared" si="24"/>
        <v>0</v>
      </c>
      <c r="I448" s="29">
        <f t="shared" si="22"/>
        <v>39603</v>
      </c>
    </row>
    <row r="449" spans="1:9" ht="25.5" hidden="1" x14ac:dyDescent="0.2">
      <c r="A449" s="28">
        <v>39603</v>
      </c>
      <c r="B449" s="26" t="s">
        <v>3193</v>
      </c>
      <c r="C449" s="26" t="s">
        <v>661</v>
      </c>
      <c r="D449" s="35" t="s">
        <v>20</v>
      </c>
      <c r="E449" s="35" t="s">
        <v>20</v>
      </c>
      <c r="F449" s="35" t="s">
        <v>20</v>
      </c>
      <c r="G449" t="b">
        <f t="shared" si="23"/>
        <v>0</v>
      </c>
      <c r="H449" t="b">
        <f t="shared" si="24"/>
        <v>0</v>
      </c>
      <c r="I449" s="29">
        <f t="shared" si="22"/>
        <v>39603</v>
      </c>
    </row>
    <row r="450" spans="1:9" ht="12.75" hidden="1" customHeight="1" x14ac:dyDescent="0.2">
      <c r="A450" s="28">
        <v>39604</v>
      </c>
      <c r="B450" s="26" t="s">
        <v>2125</v>
      </c>
      <c r="C450" s="26" t="s">
        <v>9</v>
      </c>
      <c r="D450" s="35" t="s">
        <v>20</v>
      </c>
      <c r="E450" s="35" t="s">
        <v>20</v>
      </c>
      <c r="F450" s="35">
        <v>1048530</v>
      </c>
      <c r="G450" t="b">
        <f t="shared" si="23"/>
        <v>0</v>
      </c>
      <c r="H450" t="b">
        <f t="shared" si="24"/>
        <v>0</v>
      </c>
      <c r="I450" s="29">
        <f t="shared" si="22"/>
        <v>39604</v>
      </c>
    </row>
    <row r="451" spans="1:9" ht="12.75" hidden="1" customHeight="1" x14ac:dyDescent="0.2">
      <c r="A451" s="28">
        <v>39604</v>
      </c>
      <c r="B451" s="26" t="s">
        <v>2261</v>
      </c>
      <c r="C451" s="26" t="s">
        <v>9</v>
      </c>
      <c r="D451" s="35" t="s">
        <v>20</v>
      </c>
      <c r="E451" s="35" t="s">
        <v>20</v>
      </c>
      <c r="F451" s="35">
        <v>4968755</v>
      </c>
      <c r="G451" t="b">
        <f t="shared" si="23"/>
        <v>0</v>
      </c>
      <c r="H451" t="b">
        <f t="shared" si="24"/>
        <v>0</v>
      </c>
      <c r="I451" s="29">
        <f t="shared" ref="I451:I514" si="25">DATE(2008,MONTH(A451), DAY(A451))</f>
        <v>39604</v>
      </c>
    </row>
    <row r="452" spans="1:9" ht="12.75" hidden="1" customHeight="1" x14ac:dyDescent="0.2">
      <c r="A452" s="28">
        <v>39605</v>
      </c>
      <c r="B452" s="26" t="s">
        <v>3472</v>
      </c>
      <c r="C452" s="26" t="s">
        <v>9</v>
      </c>
      <c r="D452" s="35" t="s">
        <v>20</v>
      </c>
      <c r="E452" s="35">
        <v>54947</v>
      </c>
      <c r="F452" s="35" t="s">
        <v>20</v>
      </c>
      <c r="G452" t="b">
        <f t="shared" si="23"/>
        <v>0</v>
      </c>
      <c r="H452" t="b">
        <f t="shared" si="24"/>
        <v>0</v>
      </c>
      <c r="I452" s="29">
        <f t="shared" si="25"/>
        <v>39605</v>
      </c>
    </row>
    <row r="453" spans="1:9" ht="12.75" hidden="1" customHeight="1" x14ac:dyDescent="0.2">
      <c r="A453" s="28">
        <v>39605</v>
      </c>
      <c r="B453" s="26" t="s">
        <v>914</v>
      </c>
      <c r="C453" s="26" t="s">
        <v>849</v>
      </c>
      <c r="D453" s="35" t="s">
        <v>20</v>
      </c>
      <c r="E453" s="35">
        <v>5705761</v>
      </c>
      <c r="F453" s="35">
        <v>25021422</v>
      </c>
      <c r="G453" t="b">
        <f t="shared" si="23"/>
        <v>0</v>
      </c>
      <c r="H453" t="b">
        <f t="shared" si="24"/>
        <v>0</v>
      </c>
      <c r="I453" s="29">
        <f t="shared" si="25"/>
        <v>39605</v>
      </c>
    </row>
    <row r="454" spans="1:9" ht="12.75" hidden="1" customHeight="1" x14ac:dyDescent="0.2">
      <c r="A454" s="28">
        <v>39605</v>
      </c>
      <c r="B454" s="26" t="s">
        <v>335</v>
      </c>
      <c r="C454" s="26" t="s">
        <v>3240</v>
      </c>
      <c r="D454" s="35" t="s">
        <v>20</v>
      </c>
      <c r="E454" s="35">
        <v>215434591</v>
      </c>
      <c r="F454" s="35">
        <v>631910531</v>
      </c>
      <c r="G454" t="b">
        <f t="shared" si="23"/>
        <v>0</v>
      </c>
      <c r="H454" t="b">
        <f t="shared" si="24"/>
        <v>0</v>
      </c>
      <c r="I454" s="29">
        <f t="shared" si="25"/>
        <v>39605</v>
      </c>
    </row>
    <row r="455" spans="1:9" ht="12.75" hidden="1" customHeight="1" x14ac:dyDescent="0.2">
      <c r="A455" s="28">
        <v>39605</v>
      </c>
      <c r="B455" s="26" t="s">
        <v>2791</v>
      </c>
      <c r="C455" s="26" t="s">
        <v>647</v>
      </c>
      <c r="D455" s="35" t="s">
        <v>20</v>
      </c>
      <c r="E455" s="35">
        <v>1009065</v>
      </c>
      <c r="F455" s="35">
        <v>17722998</v>
      </c>
      <c r="G455" t="b">
        <f t="shared" si="23"/>
        <v>0</v>
      </c>
      <c r="H455" t="b">
        <f t="shared" si="24"/>
        <v>0</v>
      </c>
      <c r="I455" s="29">
        <f t="shared" si="25"/>
        <v>39605</v>
      </c>
    </row>
    <row r="456" spans="1:9" ht="12.75" hidden="1" customHeight="1" x14ac:dyDescent="0.2">
      <c r="A456" s="28">
        <v>39605</v>
      </c>
      <c r="B456" s="26" t="s">
        <v>3305</v>
      </c>
      <c r="C456" s="26" t="s">
        <v>3051</v>
      </c>
      <c r="D456" s="35" t="s">
        <v>20</v>
      </c>
      <c r="E456" s="35">
        <v>69816</v>
      </c>
      <c r="F456" s="35" t="s">
        <v>20</v>
      </c>
      <c r="G456" t="b">
        <f t="shared" si="23"/>
        <v>0</v>
      </c>
      <c r="H456" t="b">
        <f t="shared" si="24"/>
        <v>0</v>
      </c>
      <c r="I456" s="29">
        <f t="shared" si="25"/>
        <v>39605</v>
      </c>
    </row>
    <row r="457" spans="1:9" ht="25.5" hidden="1" x14ac:dyDescent="0.2">
      <c r="A457" s="28">
        <v>39605</v>
      </c>
      <c r="B457" s="26" t="s">
        <v>660</v>
      </c>
      <c r="C457" s="26" t="s">
        <v>9</v>
      </c>
      <c r="D457" s="35" t="s">
        <v>20</v>
      </c>
      <c r="E457" s="35">
        <v>2237</v>
      </c>
      <c r="F457" s="35" t="s">
        <v>20</v>
      </c>
      <c r="G457" t="b">
        <f t="shared" si="23"/>
        <v>0</v>
      </c>
      <c r="H457" t="b">
        <f t="shared" si="24"/>
        <v>0</v>
      </c>
      <c r="I457" s="29">
        <f t="shared" si="25"/>
        <v>39605</v>
      </c>
    </row>
    <row r="458" spans="1:9" ht="25.5" hidden="1" x14ac:dyDescent="0.2">
      <c r="A458" s="28">
        <v>39605</v>
      </c>
      <c r="B458" s="26" t="s">
        <v>1733</v>
      </c>
      <c r="C458" s="26" t="s">
        <v>2160</v>
      </c>
      <c r="D458" s="35" t="s">
        <v>20</v>
      </c>
      <c r="E458" s="35">
        <v>100018837</v>
      </c>
      <c r="F458" s="35">
        <v>201802891</v>
      </c>
      <c r="G458" t="b">
        <f t="shared" si="23"/>
        <v>0</v>
      </c>
      <c r="H458" t="b">
        <f t="shared" si="24"/>
        <v>0</v>
      </c>
      <c r="I458" s="29">
        <f t="shared" si="25"/>
        <v>39605</v>
      </c>
    </row>
    <row r="459" spans="1:9" ht="12.75" hidden="1" customHeight="1" x14ac:dyDescent="0.2">
      <c r="A459" s="28">
        <v>39605</v>
      </c>
      <c r="B459" s="26" t="s">
        <v>1243</v>
      </c>
      <c r="C459" s="26" t="s">
        <v>1414</v>
      </c>
      <c r="D459" s="35" t="s">
        <v>20</v>
      </c>
      <c r="E459" s="35">
        <v>276454</v>
      </c>
      <c r="F459" s="35">
        <v>3776454</v>
      </c>
      <c r="G459" t="b">
        <f t="shared" si="23"/>
        <v>0</v>
      </c>
      <c r="H459" t="b">
        <f t="shared" si="24"/>
        <v>0</v>
      </c>
      <c r="I459" s="29">
        <f t="shared" si="25"/>
        <v>39605</v>
      </c>
    </row>
    <row r="460" spans="1:9" ht="12.75" hidden="1" customHeight="1" x14ac:dyDescent="0.2">
      <c r="A460" s="28">
        <v>39605</v>
      </c>
      <c r="B460" s="26" t="s">
        <v>2216</v>
      </c>
      <c r="C460" s="26" t="s">
        <v>49</v>
      </c>
      <c r="D460" s="35" t="s">
        <v>20</v>
      </c>
      <c r="E460" s="35">
        <v>406252</v>
      </c>
      <c r="F460" s="35" t="s">
        <v>20</v>
      </c>
      <c r="G460" t="b">
        <f t="shared" si="23"/>
        <v>0</v>
      </c>
      <c r="H460" t="b">
        <f t="shared" si="24"/>
        <v>0</v>
      </c>
      <c r="I460" s="29">
        <f t="shared" si="25"/>
        <v>39605</v>
      </c>
    </row>
    <row r="461" spans="1:9" ht="12.75" hidden="1" customHeight="1" x14ac:dyDescent="0.2">
      <c r="A461" s="28">
        <v>39605</v>
      </c>
      <c r="B461" s="26" t="s">
        <v>1791</v>
      </c>
      <c r="C461" s="26" t="s">
        <v>2865</v>
      </c>
      <c r="D461" s="35" t="s">
        <v>20</v>
      </c>
      <c r="E461" s="35">
        <v>1503</v>
      </c>
      <c r="F461" s="35" t="s">
        <v>20</v>
      </c>
      <c r="G461" t="b">
        <f t="shared" si="23"/>
        <v>0</v>
      </c>
      <c r="H461" t="b">
        <f t="shared" si="24"/>
        <v>0</v>
      </c>
      <c r="I461" s="29">
        <f t="shared" si="25"/>
        <v>39605</v>
      </c>
    </row>
    <row r="462" spans="1:9" ht="12.75" hidden="1" customHeight="1" x14ac:dyDescent="0.2">
      <c r="A462" s="28">
        <v>39605</v>
      </c>
      <c r="B462" s="26" t="s">
        <v>177</v>
      </c>
      <c r="C462" s="26" t="s">
        <v>2775</v>
      </c>
      <c r="D462" s="35" t="s">
        <v>20</v>
      </c>
      <c r="E462" s="35">
        <v>4098</v>
      </c>
      <c r="F462" s="35" t="s">
        <v>20</v>
      </c>
      <c r="G462" t="b">
        <f t="shared" si="23"/>
        <v>0</v>
      </c>
      <c r="H462" t="b">
        <f t="shared" si="24"/>
        <v>0</v>
      </c>
      <c r="I462" s="29">
        <f t="shared" si="25"/>
        <v>39605</v>
      </c>
    </row>
    <row r="463" spans="1:9" ht="12.75" hidden="1" customHeight="1" x14ac:dyDescent="0.2">
      <c r="A463" s="28">
        <v>39605</v>
      </c>
      <c r="B463" s="26" t="s">
        <v>1718</v>
      </c>
      <c r="C463" s="26" t="s">
        <v>2775</v>
      </c>
      <c r="D463" s="35" t="s">
        <v>20</v>
      </c>
      <c r="E463" s="35">
        <v>2377</v>
      </c>
      <c r="F463" s="35" t="s">
        <v>20</v>
      </c>
      <c r="G463" t="b">
        <f t="shared" si="23"/>
        <v>0</v>
      </c>
      <c r="H463" t="b">
        <f t="shared" si="24"/>
        <v>0</v>
      </c>
      <c r="I463" s="29">
        <f t="shared" si="25"/>
        <v>39605</v>
      </c>
    </row>
    <row r="464" spans="1:9" ht="12.75" hidden="1" customHeight="1" x14ac:dyDescent="0.2">
      <c r="A464" s="28">
        <v>39605</v>
      </c>
      <c r="B464" s="26" t="s">
        <v>254</v>
      </c>
      <c r="C464" s="26" t="s">
        <v>9</v>
      </c>
      <c r="D464" s="35" t="s">
        <v>20</v>
      </c>
      <c r="E464" s="35">
        <v>11931</v>
      </c>
      <c r="F464" s="35" t="s">
        <v>20</v>
      </c>
      <c r="G464" t="b">
        <f t="shared" si="23"/>
        <v>0</v>
      </c>
      <c r="H464" t="b">
        <f t="shared" si="24"/>
        <v>0</v>
      </c>
      <c r="I464" s="29">
        <f t="shared" si="25"/>
        <v>39605</v>
      </c>
    </row>
    <row r="465" spans="1:9" ht="38.25" hidden="1" x14ac:dyDescent="0.2">
      <c r="A465" s="28">
        <v>39605</v>
      </c>
      <c r="B465" s="26" t="s">
        <v>1514</v>
      </c>
      <c r="C465" s="26" t="s">
        <v>612</v>
      </c>
      <c r="D465" s="35">
        <v>8000000</v>
      </c>
      <c r="E465" s="35">
        <v>1071240</v>
      </c>
      <c r="F465" s="35">
        <v>2476491</v>
      </c>
      <c r="G465" t="b">
        <f t="shared" si="23"/>
        <v>0</v>
      </c>
      <c r="H465" t="b">
        <f t="shared" si="24"/>
        <v>0</v>
      </c>
      <c r="I465" s="29">
        <f t="shared" si="25"/>
        <v>39605</v>
      </c>
    </row>
    <row r="466" spans="1:9" ht="25.5" hidden="1" x14ac:dyDescent="0.2">
      <c r="A466" s="28">
        <v>39605</v>
      </c>
      <c r="B466" s="26" t="s">
        <v>1925</v>
      </c>
      <c r="C466" s="26" t="s">
        <v>2964</v>
      </c>
      <c r="D466" s="35" t="s">
        <v>20</v>
      </c>
      <c r="E466" s="35">
        <v>1698</v>
      </c>
      <c r="F466" s="35" t="s">
        <v>20</v>
      </c>
      <c r="G466" t="b">
        <f t="shared" si="23"/>
        <v>0</v>
      </c>
      <c r="H466" t="b">
        <f t="shared" si="24"/>
        <v>0</v>
      </c>
      <c r="I466" s="29">
        <f t="shared" si="25"/>
        <v>39605</v>
      </c>
    </row>
    <row r="467" spans="1:9" ht="25.5" hidden="1" x14ac:dyDescent="0.2">
      <c r="A467" s="28">
        <v>39606</v>
      </c>
      <c r="B467" s="26" t="s">
        <v>2657</v>
      </c>
      <c r="C467" s="26" t="s">
        <v>9</v>
      </c>
      <c r="D467" s="35" t="s">
        <v>20</v>
      </c>
      <c r="E467" s="35" t="s">
        <v>20</v>
      </c>
      <c r="F467" s="35">
        <v>469202</v>
      </c>
      <c r="G467" t="b">
        <f t="shared" si="23"/>
        <v>0</v>
      </c>
      <c r="H467" t="b">
        <f t="shared" si="24"/>
        <v>0</v>
      </c>
      <c r="I467" s="29">
        <f t="shared" si="25"/>
        <v>39606</v>
      </c>
    </row>
    <row r="468" spans="1:9" ht="12.75" hidden="1" customHeight="1" x14ac:dyDescent="0.2">
      <c r="A468" s="28">
        <v>39606</v>
      </c>
      <c r="B468" s="26" t="s">
        <v>750</v>
      </c>
      <c r="C468" s="26" t="s">
        <v>9</v>
      </c>
      <c r="D468" s="35" t="s">
        <v>20</v>
      </c>
      <c r="E468" s="35" t="s">
        <v>20</v>
      </c>
      <c r="F468" s="35">
        <v>32813807</v>
      </c>
      <c r="G468" t="b">
        <f t="shared" si="23"/>
        <v>0</v>
      </c>
      <c r="H468" t="b">
        <f t="shared" si="24"/>
        <v>0</v>
      </c>
      <c r="I468" s="29">
        <f t="shared" si="25"/>
        <v>39606</v>
      </c>
    </row>
    <row r="469" spans="1:9" ht="25.5" hidden="1" x14ac:dyDescent="0.2">
      <c r="A469" s="28">
        <v>39609</v>
      </c>
      <c r="B469" s="26" t="s">
        <v>3250</v>
      </c>
      <c r="C469" s="26" t="s">
        <v>1857</v>
      </c>
      <c r="D469" s="35" t="s">
        <v>20</v>
      </c>
      <c r="E469" s="35" t="s">
        <v>20</v>
      </c>
      <c r="F469" s="35" t="s">
        <v>20</v>
      </c>
      <c r="G469" t="b">
        <f t="shared" si="23"/>
        <v>0</v>
      </c>
      <c r="H469" t="b">
        <f t="shared" si="24"/>
        <v>0</v>
      </c>
      <c r="I469" s="29">
        <f t="shared" si="25"/>
        <v>39609</v>
      </c>
    </row>
    <row r="470" spans="1:9" ht="12.75" hidden="1" customHeight="1" x14ac:dyDescent="0.2">
      <c r="A470" s="28">
        <v>39610</v>
      </c>
      <c r="B470" s="26" t="s">
        <v>296</v>
      </c>
      <c r="C470" s="26" t="s">
        <v>9</v>
      </c>
      <c r="D470" s="35" t="s">
        <v>20</v>
      </c>
      <c r="E470" s="35" t="s">
        <v>20</v>
      </c>
      <c r="F470" s="35">
        <v>3375087</v>
      </c>
      <c r="G470" t="b">
        <f t="shared" si="23"/>
        <v>0</v>
      </c>
      <c r="H470" t="b">
        <f t="shared" si="24"/>
        <v>0</v>
      </c>
      <c r="I470" s="29">
        <f t="shared" si="25"/>
        <v>39610</v>
      </c>
    </row>
    <row r="471" spans="1:9" ht="12.75" hidden="1" customHeight="1" x14ac:dyDescent="0.2">
      <c r="A471" s="28">
        <v>39610</v>
      </c>
      <c r="B471" s="26" t="s">
        <v>2649</v>
      </c>
      <c r="C471" s="26" t="s">
        <v>9</v>
      </c>
      <c r="D471" s="35" t="s">
        <v>20</v>
      </c>
      <c r="E471" s="35" t="s">
        <v>20</v>
      </c>
      <c r="F471" s="35">
        <v>452158</v>
      </c>
      <c r="G471" t="b">
        <f t="shared" si="23"/>
        <v>0</v>
      </c>
      <c r="H471" t="b">
        <f t="shared" si="24"/>
        <v>0</v>
      </c>
      <c r="I471" s="29">
        <f t="shared" si="25"/>
        <v>39610</v>
      </c>
    </row>
    <row r="472" spans="1:9" ht="25.5" hidden="1" x14ac:dyDescent="0.2">
      <c r="A472" s="28">
        <v>39610</v>
      </c>
      <c r="B472" s="26" t="s">
        <v>2193</v>
      </c>
      <c r="C472" s="26" t="s">
        <v>3233</v>
      </c>
      <c r="D472" s="35" t="s">
        <v>20</v>
      </c>
      <c r="E472" s="35">
        <v>944933</v>
      </c>
      <c r="F472" s="35">
        <v>1252613</v>
      </c>
      <c r="G472" t="b">
        <f t="shared" si="23"/>
        <v>0</v>
      </c>
      <c r="H472" t="b">
        <f t="shared" si="24"/>
        <v>0</v>
      </c>
      <c r="I472" s="29">
        <f t="shared" si="25"/>
        <v>39610</v>
      </c>
    </row>
    <row r="473" spans="1:9" ht="12.75" hidden="1" customHeight="1" x14ac:dyDescent="0.2">
      <c r="A473" s="28">
        <v>39610</v>
      </c>
      <c r="B473" s="26" t="s">
        <v>1756</v>
      </c>
      <c r="C473" s="26" t="s">
        <v>9</v>
      </c>
      <c r="D473" s="35" t="s">
        <v>20</v>
      </c>
      <c r="E473" s="35" t="s">
        <v>20</v>
      </c>
      <c r="F473" s="35">
        <v>418378</v>
      </c>
      <c r="G473" t="b">
        <f t="shared" si="23"/>
        <v>0</v>
      </c>
      <c r="H473" t="b">
        <f t="shared" si="24"/>
        <v>0</v>
      </c>
      <c r="I473" s="29">
        <f t="shared" si="25"/>
        <v>39610</v>
      </c>
    </row>
    <row r="474" spans="1:9" ht="25.5" hidden="1" x14ac:dyDescent="0.2">
      <c r="A474" s="28">
        <v>39612</v>
      </c>
      <c r="B474" s="26" t="s">
        <v>341</v>
      </c>
      <c r="C474" s="26" t="s">
        <v>1760</v>
      </c>
      <c r="D474" s="35" t="s">
        <v>20</v>
      </c>
      <c r="E474" s="35">
        <v>77458</v>
      </c>
      <c r="F474" s="35" t="s">
        <v>20</v>
      </c>
      <c r="G474" t="b">
        <f t="shared" si="23"/>
        <v>0</v>
      </c>
      <c r="H474" t="b">
        <f t="shared" si="24"/>
        <v>0</v>
      </c>
      <c r="I474" s="29">
        <f t="shared" si="25"/>
        <v>39612</v>
      </c>
    </row>
    <row r="475" spans="1:9" ht="38.25" hidden="1" x14ac:dyDescent="0.2">
      <c r="A475" s="28">
        <v>39612</v>
      </c>
      <c r="B475" s="26" t="s">
        <v>576</v>
      </c>
      <c r="C475" s="26" t="s">
        <v>2743</v>
      </c>
      <c r="D475" s="35" t="s">
        <v>20</v>
      </c>
      <c r="E475" s="35">
        <v>72451</v>
      </c>
      <c r="F475" s="35" t="s">
        <v>20</v>
      </c>
      <c r="G475" t="b">
        <f t="shared" si="23"/>
        <v>0</v>
      </c>
      <c r="H475" t="b">
        <f t="shared" si="24"/>
        <v>0</v>
      </c>
      <c r="I475" s="29">
        <f t="shared" si="25"/>
        <v>39612</v>
      </c>
    </row>
    <row r="476" spans="1:9" ht="25.5" hidden="1" x14ac:dyDescent="0.2">
      <c r="A476" s="28">
        <v>39612</v>
      </c>
      <c r="B476" s="26" t="s">
        <v>1528</v>
      </c>
      <c r="C476" s="26" t="s">
        <v>9</v>
      </c>
      <c r="D476" s="35" t="s">
        <v>20</v>
      </c>
      <c r="E476" s="35">
        <v>113576</v>
      </c>
      <c r="F476" s="35">
        <v>5937699</v>
      </c>
      <c r="G476" t="b">
        <f t="shared" si="23"/>
        <v>0</v>
      </c>
      <c r="H476" t="b">
        <f t="shared" si="24"/>
        <v>0</v>
      </c>
      <c r="I476" s="29">
        <f t="shared" si="25"/>
        <v>39612</v>
      </c>
    </row>
    <row r="477" spans="1:9" ht="12.75" hidden="1" customHeight="1" x14ac:dyDescent="0.2">
      <c r="A477" s="28">
        <v>39612</v>
      </c>
      <c r="B477" s="26" t="s">
        <v>2334</v>
      </c>
      <c r="C477" s="26" t="s">
        <v>2964</v>
      </c>
      <c r="D477" s="35" t="s">
        <v>20</v>
      </c>
      <c r="E477" s="35">
        <v>18254</v>
      </c>
      <c r="F477" s="35" t="s">
        <v>20</v>
      </c>
      <c r="G477" t="b">
        <f t="shared" si="23"/>
        <v>0</v>
      </c>
      <c r="H477" t="b">
        <f t="shared" si="24"/>
        <v>0</v>
      </c>
      <c r="I477" s="29">
        <f t="shared" si="25"/>
        <v>39612</v>
      </c>
    </row>
    <row r="478" spans="1:9" ht="25.5" hidden="1" x14ac:dyDescent="0.2">
      <c r="A478" s="28">
        <v>39612</v>
      </c>
      <c r="B478" s="26" t="s">
        <v>690</v>
      </c>
      <c r="C478" s="26" t="s">
        <v>3096</v>
      </c>
      <c r="D478" s="35">
        <v>137500000</v>
      </c>
      <c r="E478" s="35">
        <v>134806913</v>
      </c>
      <c r="F478" s="35">
        <v>263349257</v>
      </c>
      <c r="G478" t="b">
        <f t="shared" si="23"/>
        <v>0</v>
      </c>
      <c r="H478" t="b">
        <f t="shared" si="24"/>
        <v>0</v>
      </c>
      <c r="I478" s="29">
        <f t="shared" si="25"/>
        <v>39612</v>
      </c>
    </row>
    <row r="479" spans="1:9" ht="12.75" hidden="1" customHeight="1" x14ac:dyDescent="0.2">
      <c r="A479" s="28">
        <v>39612</v>
      </c>
      <c r="B479" s="26" t="s">
        <v>64</v>
      </c>
      <c r="C479" s="26" t="s">
        <v>9</v>
      </c>
      <c r="D479" s="35" t="s">
        <v>20</v>
      </c>
      <c r="E479" s="35" t="s">
        <v>20</v>
      </c>
      <c r="F479" s="35">
        <v>16227750</v>
      </c>
      <c r="G479" t="b">
        <f t="shared" si="23"/>
        <v>0</v>
      </c>
      <c r="H479" t="b">
        <f t="shared" si="24"/>
        <v>0</v>
      </c>
      <c r="I479" s="29">
        <f t="shared" si="25"/>
        <v>39612</v>
      </c>
    </row>
    <row r="480" spans="1:9" ht="25.5" hidden="1" x14ac:dyDescent="0.2">
      <c r="A480" s="28">
        <v>39612</v>
      </c>
      <c r="B480" s="26" t="s">
        <v>1118</v>
      </c>
      <c r="C480" s="26" t="s">
        <v>2314</v>
      </c>
      <c r="D480" s="35" t="s">
        <v>20</v>
      </c>
      <c r="E480" s="35">
        <v>216110</v>
      </c>
      <c r="F480" s="35" t="s">
        <v>20</v>
      </c>
      <c r="G480" t="b">
        <f t="shared" si="23"/>
        <v>0</v>
      </c>
      <c r="H480" t="b">
        <f t="shared" si="24"/>
        <v>0</v>
      </c>
      <c r="I480" s="29">
        <f t="shared" si="25"/>
        <v>39612</v>
      </c>
    </row>
    <row r="481" spans="1:9" ht="12.75" hidden="1" customHeight="1" x14ac:dyDescent="0.2">
      <c r="A481" s="28">
        <v>39612</v>
      </c>
      <c r="B481" s="26" t="s">
        <v>1044</v>
      </c>
      <c r="C481" s="26" t="s">
        <v>2621</v>
      </c>
      <c r="D481" s="35" t="s">
        <v>20</v>
      </c>
      <c r="E481" s="35">
        <v>11864</v>
      </c>
      <c r="F481" s="35" t="s">
        <v>20</v>
      </c>
      <c r="G481" t="b">
        <f t="shared" si="23"/>
        <v>0</v>
      </c>
      <c r="H481" t="b">
        <f t="shared" si="24"/>
        <v>0</v>
      </c>
      <c r="I481" s="29">
        <f t="shared" si="25"/>
        <v>39612</v>
      </c>
    </row>
    <row r="482" spans="1:9" ht="12.75" hidden="1" customHeight="1" x14ac:dyDescent="0.2">
      <c r="A482" s="28">
        <v>39612</v>
      </c>
      <c r="B482" s="26" t="s">
        <v>3253</v>
      </c>
      <c r="C482" s="26" t="s">
        <v>1393</v>
      </c>
      <c r="D482" s="35" t="s">
        <v>20</v>
      </c>
      <c r="E482" s="35">
        <v>156629</v>
      </c>
      <c r="F482" s="35" t="s">
        <v>20</v>
      </c>
      <c r="G482" t="b">
        <f t="shared" si="23"/>
        <v>0</v>
      </c>
      <c r="H482" t="b">
        <f t="shared" si="24"/>
        <v>0</v>
      </c>
      <c r="I482" s="29">
        <f t="shared" si="25"/>
        <v>39612</v>
      </c>
    </row>
    <row r="483" spans="1:9" ht="25.5" hidden="1" x14ac:dyDescent="0.2">
      <c r="A483" s="28">
        <v>39612</v>
      </c>
      <c r="B483" s="26" t="s">
        <v>2823</v>
      </c>
      <c r="C483" s="26" t="s">
        <v>9</v>
      </c>
      <c r="D483" s="35" t="s">
        <v>20</v>
      </c>
      <c r="E483" s="35">
        <v>19300</v>
      </c>
      <c r="F483" s="35" t="s">
        <v>20</v>
      </c>
      <c r="G483" t="b">
        <f t="shared" si="23"/>
        <v>0</v>
      </c>
      <c r="H483" t="b">
        <f t="shared" si="24"/>
        <v>0</v>
      </c>
      <c r="I483" s="29">
        <f t="shared" si="25"/>
        <v>39612</v>
      </c>
    </row>
    <row r="484" spans="1:9" ht="12.75" hidden="1" customHeight="1" x14ac:dyDescent="0.2">
      <c r="A484" s="28">
        <v>39612</v>
      </c>
      <c r="B484" s="26" t="s">
        <v>1544</v>
      </c>
      <c r="C484" s="26" t="s">
        <v>9</v>
      </c>
      <c r="D484" s="35" t="s">
        <v>20</v>
      </c>
      <c r="E484" s="35" t="s">
        <v>20</v>
      </c>
      <c r="F484" s="35">
        <v>3964925</v>
      </c>
      <c r="G484" t="b">
        <f t="shared" si="23"/>
        <v>0</v>
      </c>
      <c r="H484" t="b">
        <f t="shared" si="24"/>
        <v>0</v>
      </c>
      <c r="I484" s="29">
        <f t="shared" si="25"/>
        <v>39612</v>
      </c>
    </row>
    <row r="485" spans="1:9" ht="12.75" hidden="1" customHeight="1" x14ac:dyDescent="0.2">
      <c r="A485" s="28">
        <v>39612</v>
      </c>
      <c r="B485" s="26" t="s">
        <v>2531</v>
      </c>
      <c r="C485" s="26" t="s">
        <v>384</v>
      </c>
      <c r="D485" s="35">
        <v>60000000</v>
      </c>
      <c r="E485" s="35">
        <v>64506874</v>
      </c>
      <c r="F485" s="35">
        <v>163403799</v>
      </c>
      <c r="G485" t="b">
        <f t="shared" si="23"/>
        <v>0</v>
      </c>
      <c r="H485" t="b">
        <f t="shared" si="24"/>
        <v>0</v>
      </c>
      <c r="I485" s="29">
        <f t="shared" si="25"/>
        <v>39612</v>
      </c>
    </row>
    <row r="486" spans="1:9" ht="12.75" hidden="1" customHeight="1" x14ac:dyDescent="0.2">
      <c r="A486" s="28">
        <v>39612</v>
      </c>
      <c r="B486" s="26" t="s">
        <v>555</v>
      </c>
      <c r="C486" s="26" t="s">
        <v>612</v>
      </c>
      <c r="D486" s="35" t="s">
        <v>20</v>
      </c>
      <c r="E486" s="35">
        <v>140016</v>
      </c>
      <c r="F486" s="35" t="s">
        <v>20</v>
      </c>
      <c r="G486" t="b">
        <f t="shared" ref="G486:G547" si="26">ISBLANK(A486)</f>
        <v>0</v>
      </c>
      <c r="H486" t="b">
        <f t="shared" ref="H486:H547" si="27">ISTEXT(A486)</f>
        <v>0</v>
      </c>
      <c r="I486" s="29">
        <f t="shared" si="25"/>
        <v>39612</v>
      </c>
    </row>
    <row r="487" spans="1:9" ht="12.75" hidden="1" customHeight="1" x14ac:dyDescent="0.2">
      <c r="A487" s="28">
        <v>39612</v>
      </c>
      <c r="B487" s="26" t="s">
        <v>567</v>
      </c>
      <c r="C487" s="26" t="s">
        <v>9</v>
      </c>
      <c r="D487" s="35" t="s">
        <v>20</v>
      </c>
      <c r="E487" s="35">
        <v>2669</v>
      </c>
      <c r="F487" s="35" t="s">
        <v>20</v>
      </c>
      <c r="G487" t="b">
        <f t="shared" si="26"/>
        <v>0</v>
      </c>
      <c r="H487" t="b">
        <f t="shared" si="27"/>
        <v>0</v>
      </c>
      <c r="I487" s="29">
        <f t="shared" si="25"/>
        <v>39612</v>
      </c>
    </row>
    <row r="488" spans="1:9" ht="25.5" hidden="1" x14ac:dyDescent="0.2">
      <c r="A488" s="28">
        <v>39616</v>
      </c>
      <c r="B488" s="26" t="s">
        <v>2685</v>
      </c>
      <c r="C488" s="26" t="s">
        <v>9</v>
      </c>
      <c r="D488" s="35" t="s">
        <v>20</v>
      </c>
      <c r="E488" s="35" t="s">
        <v>20</v>
      </c>
      <c r="F488" s="35">
        <v>3161218</v>
      </c>
      <c r="G488" t="b">
        <f t="shared" si="26"/>
        <v>0</v>
      </c>
      <c r="H488" t="b">
        <f t="shared" si="27"/>
        <v>0</v>
      </c>
      <c r="I488" s="29">
        <f t="shared" si="25"/>
        <v>39616</v>
      </c>
    </row>
    <row r="489" spans="1:9" ht="25.5" hidden="1" x14ac:dyDescent="0.2">
      <c r="A489" s="28">
        <v>39617</v>
      </c>
      <c r="B489" s="26" t="s">
        <v>3136</v>
      </c>
      <c r="C489" s="26" t="s">
        <v>9</v>
      </c>
      <c r="D489" s="35" t="s">
        <v>20</v>
      </c>
      <c r="E489" s="35" t="s">
        <v>20</v>
      </c>
      <c r="F489" s="35">
        <v>1477623</v>
      </c>
      <c r="G489" t="b">
        <f t="shared" si="26"/>
        <v>0</v>
      </c>
      <c r="H489" t="b">
        <f t="shared" si="27"/>
        <v>0</v>
      </c>
      <c r="I489" s="29">
        <f t="shared" si="25"/>
        <v>39617</v>
      </c>
    </row>
    <row r="490" spans="1:9" ht="12.75" hidden="1" customHeight="1" x14ac:dyDescent="0.2">
      <c r="A490" s="28">
        <v>39618</v>
      </c>
      <c r="B490" s="26" t="s">
        <v>1624</v>
      </c>
      <c r="C490" s="26" t="s">
        <v>9</v>
      </c>
      <c r="D490" s="35" t="s">
        <v>20</v>
      </c>
      <c r="E490" s="35" t="s">
        <v>20</v>
      </c>
      <c r="F490" s="35">
        <v>26497132</v>
      </c>
      <c r="G490" t="b">
        <f t="shared" si="26"/>
        <v>0</v>
      </c>
      <c r="H490" t="b">
        <f t="shared" si="27"/>
        <v>0</v>
      </c>
      <c r="I490" s="29">
        <f t="shared" si="25"/>
        <v>39618</v>
      </c>
    </row>
    <row r="491" spans="1:9" ht="25.5" hidden="1" x14ac:dyDescent="0.2">
      <c r="A491" s="28">
        <v>39618</v>
      </c>
      <c r="B491" s="26" t="s">
        <v>1100</v>
      </c>
      <c r="C491" s="26" t="s">
        <v>9</v>
      </c>
      <c r="D491" s="35" t="s">
        <v>20</v>
      </c>
      <c r="E491" s="35" t="s">
        <v>20</v>
      </c>
      <c r="F491" s="35" t="s">
        <v>20</v>
      </c>
      <c r="G491" t="b">
        <f t="shared" si="26"/>
        <v>0</v>
      </c>
      <c r="H491" t="b">
        <f t="shared" si="27"/>
        <v>0</v>
      </c>
      <c r="I491" s="29">
        <f t="shared" si="25"/>
        <v>39618</v>
      </c>
    </row>
    <row r="492" spans="1:9" ht="12.75" hidden="1" customHeight="1" x14ac:dyDescent="0.2">
      <c r="A492" s="28">
        <v>39619</v>
      </c>
      <c r="B492" s="26" t="s">
        <v>958</v>
      </c>
      <c r="C492" s="26" t="s">
        <v>3209</v>
      </c>
      <c r="D492" s="35" t="s">
        <v>20</v>
      </c>
      <c r="E492" s="35">
        <v>130319208</v>
      </c>
      <c r="F492" s="35">
        <v>228742913</v>
      </c>
      <c r="G492" t="b">
        <f t="shared" si="26"/>
        <v>0</v>
      </c>
      <c r="H492" t="b">
        <f t="shared" si="27"/>
        <v>0</v>
      </c>
      <c r="I492" s="29">
        <f t="shared" si="25"/>
        <v>39619</v>
      </c>
    </row>
    <row r="493" spans="1:9" ht="12.75" hidden="1" customHeight="1" x14ac:dyDescent="0.2">
      <c r="A493" s="28">
        <v>39619</v>
      </c>
      <c r="B493" s="26" t="s">
        <v>2850</v>
      </c>
      <c r="C493" s="26" t="s">
        <v>9</v>
      </c>
      <c r="D493" s="35" t="s">
        <v>20</v>
      </c>
      <c r="E493" s="35">
        <v>6596</v>
      </c>
      <c r="F493" s="35" t="s">
        <v>20</v>
      </c>
      <c r="G493" t="b">
        <f t="shared" si="26"/>
        <v>0</v>
      </c>
      <c r="H493" t="b">
        <f t="shared" si="27"/>
        <v>0</v>
      </c>
      <c r="I493" s="29">
        <f t="shared" si="25"/>
        <v>39619</v>
      </c>
    </row>
    <row r="494" spans="1:9" ht="12.75" hidden="1" customHeight="1" x14ac:dyDescent="0.2">
      <c r="A494" s="28">
        <v>39619</v>
      </c>
      <c r="B494" s="26" t="s">
        <v>2101</v>
      </c>
      <c r="C494" s="26" t="s">
        <v>9</v>
      </c>
      <c r="D494" s="35" t="s">
        <v>20</v>
      </c>
      <c r="E494" s="35">
        <v>7197</v>
      </c>
      <c r="F494" s="35" t="s">
        <v>20</v>
      </c>
      <c r="G494" t="b">
        <f t="shared" si="26"/>
        <v>0</v>
      </c>
      <c r="H494" t="b">
        <f t="shared" si="27"/>
        <v>0</v>
      </c>
      <c r="I494" s="29">
        <f t="shared" si="25"/>
        <v>39619</v>
      </c>
    </row>
    <row r="495" spans="1:9" ht="12.75" hidden="1" customHeight="1" x14ac:dyDescent="0.2">
      <c r="A495" s="28">
        <v>39619</v>
      </c>
      <c r="B495" s="26" t="s">
        <v>1446</v>
      </c>
      <c r="C495" s="26" t="s">
        <v>612</v>
      </c>
      <c r="D495" s="35" t="s">
        <v>20</v>
      </c>
      <c r="E495" s="35">
        <v>1094998</v>
      </c>
      <c r="F495" s="35">
        <v>3794998</v>
      </c>
      <c r="G495" t="b">
        <f t="shared" si="26"/>
        <v>0</v>
      </c>
      <c r="H495" t="b">
        <f t="shared" si="27"/>
        <v>0</v>
      </c>
      <c r="I495" s="29">
        <f t="shared" si="25"/>
        <v>39619</v>
      </c>
    </row>
    <row r="496" spans="1:9" ht="12.75" hidden="1" customHeight="1" x14ac:dyDescent="0.2">
      <c r="A496" s="28">
        <v>39619</v>
      </c>
      <c r="B496" s="26" t="s">
        <v>3394</v>
      </c>
      <c r="C496" s="26" t="s">
        <v>9</v>
      </c>
      <c r="D496" s="35" t="s">
        <v>20</v>
      </c>
      <c r="E496" s="35" t="s">
        <v>20</v>
      </c>
      <c r="F496" s="35">
        <v>2818022</v>
      </c>
      <c r="G496" t="b">
        <f t="shared" si="26"/>
        <v>0</v>
      </c>
      <c r="H496" t="b">
        <f t="shared" si="27"/>
        <v>0</v>
      </c>
      <c r="I496" s="29">
        <f t="shared" si="25"/>
        <v>39619</v>
      </c>
    </row>
    <row r="497" spans="1:9" ht="25.5" hidden="1" x14ac:dyDescent="0.2">
      <c r="A497" s="28">
        <v>39619</v>
      </c>
      <c r="B497" s="26" t="s">
        <v>3069</v>
      </c>
      <c r="C497" s="26" t="s">
        <v>2168</v>
      </c>
      <c r="D497" s="35" t="s">
        <v>20</v>
      </c>
      <c r="E497" s="35">
        <v>32200122</v>
      </c>
      <c r="F497" s="35">
        <v>40123346</v>
      </c>
      <c r="G497" t="b">
        <f t="shared" si="26"/>
        <v>0</v>
      </c>
      <c r="H497" t="b">
        <f t="shared" si="27"/>
        <v>0</v>
      </c>
      <c r="I497" s="29">
        <f t="shared" si="25"/>
        <v>39619</v>
      </c>
    </row>
    <row r="498" spans="1:9" ht="12.75" hidden="1" customHeight="1" x14ac:dyDescent="0.2">
      <c r="A498" s="28">
        <v>39619</v>
      </c>
      <c r="B498" s="26" t="s">
        <v>1209</v>
      </c>
      <c r="C498" s="26" t="s">
        <v>9</v>
      </c>
      <c r="D498" s="35" t="s">
        <v>20</v>
      </c>
      <c r="E498" s="35" t="s">
        <v>20</v>
      </c>
      <c r="F498" s="35">
        <v>659482</v>
      </c>
      <c r="G498" t="b">
        <f t="shared" si="26"/>
        <v>0</v>
      </c>
      <c r="H498" t="b">
        <f t="shared" si="27"/>
        <v>0</v>
      </c>
      <c r="I498" s="29">
        <f t="shared" si="25"/>
        <v>39619</v>
      </c>
    </row>
    <row r="499" spans="1:9" ht="12.75" hidden="1" customHeight="1" x14ac:dyDescent="0.2">
      <c r="A499" s="28">
        <v>39619</v>
      </c>
      <c r="B499" s="26" t="s">
        <v>3102</v>
      </c>
      <c r="C499" s="26" t="s">
        <v>9</v>
      </c>
      <c r="D499" s="35" t="s">
        <v>20</v>
      </c>
      <c r="E499" s="35" t="s">
        <v>20</v>
      </c>
      <c r="F499" s="35">
        <v>5922805</v>
      </c>
      <c r="G499" t="b">
        <f t="shared" si="26"/>
        <v>0</v>
      </c>
      <c r="H499" t="b">
        <f t="shared" si="27"/>
        <v>0</v>
      </c>
      <c r="I499" s="29">
        <f t="shared" si="25"/>
        <v>39619</v>
      </c>
    </row>
    <row r="500" spans="1:9" ht="25.5" hidden="1" x14ac:dyDescent="0.2">
      <c r="A500" s="28">
        <v>39619</v>
      </c>
      <c r="B500" s="26" t="s">
        <v>478</v>
      </c>
      <c r="C500" s="26" t="s">
        <v>849</v>
      </c>
      <c r="D500" s="35" t="s">
        <v>20</v>
      </c>
      <c r="E500" s="35">
        <v>17657973</v>
      </c>
      <c r="F500" s="35" t="s">
        <v>20</v>
      </c>
      <c r="G500" t="b">
        <f t="shared" si="26"/>
        <v>0</v>
      </c>
      <c r="H500" t="b">
        <f t="shared" si="27"/>
        <v>0</v>
      </c>
      <c r="I500" s="29">
        <f t="shared" si="25"/>
        <v>39619</v>
      </c>
    </row>
    <row r="501" spans="1:9" ht="12.75" hidden="1" customHeight="1" x14ac:dyDescent="0.2">
      <c r="A501" s="28">
        <v>39619</v>
      </c>
      <c r="B501" s="26" t="s">
        <v>1470</v>
      </c>
      <c r="C501" s="26" t="s">
        <v>9</v>
      </c>
      <c r="D501" s="35" t="s">
        <v>20</v>
      </c>
      <c r="E501" s="35" t="s">
        <v>20</v>
      </c>
      <c r="F501" s="35">
        <v>604416</v>
      </c>
      <c r="G501" t="b">
        <f t="shared" si="26"/>
        <v>0</v>
      </c>
      <c r="H501" t="b">
        <f t="shared" si="27"/>
        <v>0</v>
      </c>
      <c r="I501" s="29">
        <f t="shared" si="25"/>
        <v>39619</v>
      </c>
    </row>
    <row r="502" spans="1:9" ht="25.5" hidden="1" x14ac:dyDescent="0.2">
      <c r="A502" s="28">
        <v>39620</v>
      </c>
      <c r="B502" s="26" t="s">
        <v>3386</v>
      </c>
      <c r="C502" s="26" t="s">
        <v>9</v>
      </c>
      <c r="D502" s="35" t="s">
        <v>20</v>
      </c>
      <c r="E502" s="35" t="s">
        <v>20</v>
      </c>
      <c r="F502" s="35">
        <v>465521</v>
      </c>
      <c r="G502" t="b">
        <f t="shared" si="26"/>
        <v>0</v>
      </c>
      <c r="H502" t="b">
        <f t="shared" si="27"/>
        <v>0</v>
      </c>
      <c r="I502" s="29">
        <f t="shared" si="25"/>
        <v>39620</v>
      </c>
    </row>
    <row r="503" spans="1:9" ht="38.25" hidden="1" x14ac:dyDescent="0.2">
      <c r="A503" s="28">
        <v>39623</v>
      </c>
      <c r="B503" s="26" t="s">
        <v>3035</v>
      </c>
      <c r="C503" s="26" t="s">
        <v>2504</v>
      </c>
      <c r="D503" s="35" t="s">
        <v>20</v>
      </c>
      <c r="E503" s="35" t="s">
        <v>20</v>
      </c>
      <c r="F503" s="35" t="s">
        <v>20</v>
      </c>
      <c r="G503" t="b">
        <f t="shared" si="26"/>
        <v>0</v>
      </c>
      <c r="H503" t="b">
        <f t="shared" si="27"/>
        <v>0</v>
      </c>
      <c r="I503" s="29">
        <f t="shared" si="25"/>
        <v>39623</v>
      </c>
    </row>
    <row r="504" spans="1:9" ht="12.75" hidden="1" customHeight="1" x14ac:dyDescent="0.2">
      <c r="A504" s="28">
        <v>39624</v>
      </c>
      <c r="B504" s="26" t="s">
        <v>1188</v>
      </c>
      <c r="C504" s="26" t="s">
        <v>9</v>
      </c>
      <c r="D504" s="35" t="s">
        <v>20</v>
      </c>
      <c r="E504" s="35">
        <v>13716</v>
      </c>
      <c r="F504" s="35" t="s">
        <v>20</v>
      </c>
      <c r="G504" t="b">
        <f t="shared" si="26"/>
        <v>0</v>
      </c>
      <c r="H504" t="b">
        <f t="shared" si="27"/>
        <v>0</v>
      </c>
      <c r="I504" s="29">
        <f t="shared" si="25"/>
        <v>39624</v>
      </c>
    </row>
    <row r="505" spans="1:9" ht="12.75" hidden="1" customHeight="1" x14ac:dyDescent="0.2">
      <c r="A505" s="28">
        <v>39624</v>
      </c>
      <c r="B505" s="26" t="s">
        <v>3358</v>
      </c>
      <c r="C505" s="26" t="s">
        <v>9</v>
      </c>
      <c r="D505" s="35" t="s">
        <v>20</v>
      </c>
      <c r="E505" s="35" t="s">
        <v>20</v>
      </c>
      <c r="F505" s="35">
        <v>8659809</v>
      </c>
      <c r="G505" t="b">
        <f t="shared" si="26"/>
        <v>0</v>
      </c>
      <c r="H505" t="b">
        <f t="shared" si="27"/>
        <v>0</v>
      </c>
      <c r="I505" s="29">
        <f t="shared" si="25"/>
        <v>39624</v>
      </c>
    </row>
    <row r="506" spans="1:9" ht="12.75" hidden="1" customHeight="1" x14ac:dyDescent="0.2">
      <c r="A506" s="28">
        <v>39624</v>
      </c>
      <c r="B506" s="26" t="s">
        <v>530</v>
      </c>
      <c r="C506" s="26" t="s">
        <v>2314</v>
      </c>
      <c r="D506" s="35" t="s">
        <v>20</v>
      </c>
      <c r="E506" s="35">
        <v>95865</v>
      </c>
      <c r="F506" s="35" t="s">
        <v>20</v>
      </c>
      <c r="G506" t="b">
        <f t="shared" si="26"/>
        <v>0</v>
      </c>
      <c r="H506" t="b">
        <f t="shared" si="27"/>
        <v>0</v>
      </c>
      <c r="I506" s="29">
        <f t="shared" si="25"/>
        <v>39624</v>
      </c>
    </row>
    <row r="507" spans="1:9" ht="25.5" hidden="1" x14ac:dyDescent="0.2">
      <c r="A507" s="28">
        <v>39626</v>
      </c>
      <c r="B507" s="26" t="s">
        <v>1202</v>
      </c>
      <c r="C507" s="26" t="s">
        <v>9</v>
      </c>
      <c r="D507" s="35" t="s">
        <v>20</v>
      </c>
      <c r="E507" s="35">
        <v>335874</v>
      </c>
      <c r="F507" s="35">
        <v>4950879</v>
      </c>
      <c r="G507" t="b">
        <f t="shared" si="26"/>
        <v>0</v>
      </c>
      <c r="H507" t="b">
        <f t="shared" si="27"/>
        <v>0</v>
      </c>
      <c r="I507" s="29">
        <f t="shared" si="25"/>
        <v>39626</v>
      </c>
    </row>
    <row r="508" spans="1:9" hidden="1" x14ac:dyDescent="0.2">
      <c r="A508" s="28">
        <v>39626</v>
      </c>
      <c r="B508" s="26" t="s">
        <v>3404</v>
      </c>
      <c r="C508" s="26" t="s">
        <v>9</v>
      </c>
      <c r="D508" s="35" t="s">
        <v>20</v>
      </c>
      <c r="E508" s="35" t="s">
        <v>20</v>
      </c>
      <c r="F508" s="35">
        <v>6845033</v>
      </c>
      <c r="G508" t="b">
        <f t="shared" si="26"/>
        <v>0</v>
      </c>
      <c r="H508" t="b">
        <f t="shared" si="27"/>
        <v>0</v>
      </c>
      <c r="I508" s="29">
        <f t="shared" si="25"/>
        <v>39626</v>
      </c>
    </row>
    <row r="509" spans="1:9" ht="12.75" hidden="1" customHeight="1" x14ac:dyDescent="0.2">
      <c r="A509" s="28">
        <v>39626</v>
      </c>
      <c r="B509" s="26" t="s">
        <v>282</v>
      </c>
      <c r="C509" s="26" t="s">
        <v>2621</v>
      </c>
      <c r="D509" s="35" t="s">
        <v>20</v>
      </c>
      <c r="E509" s="35">
        <v>57297</v>
      </c>
      <c r="F509" s="35" t="s">
        <v>20</v>
      </c>
      <c r="G509" t="b">
        <f t="shared" si="26"/>
        <v>0</v>
      </c>
      <c r="H509" t="b">
        <f t="shared" si="27"/>
        <v>0</v>
      </c>
      <c r="I509" s="29">
        <f t="shared" si="25"/>
        <v>39626</v>
      </c>
    </row>
    <row r="510" spans="1:9" ht="12.75" hidden="1" customHeight="1" x14ac:dyDescent="0.2">
      <c r="A510" s="28">
        <v>39626</v>
      </c>
      <c r="B510" s="26" t="s">
        <v>2652</v>
      </c>
      <c r="C510" s="26" t="s">
        <v>9</v>
      </c>
      <c r="D510" s="35" t="s">
        <v>20</v>
      </c>
      <c r="E510" s="35" t="s">
        <v>20</v>
      </c>
      <c r="F510" s="35">
        <v>1920400</v>
      </c>
      <c r="G510" t="b">
        <f t="shared" si="26"/>
        <v>0</v>
      </c>
      <c r="H510" t="b">
        <f t="shared" si="27"/>
        <v>0</v>
      </c>
      <c r="I510" s="29">
        <f t="shared" si="25"/>
        <v>39626</v>
      </c>
    </row>
    <row r="511" spans="1:9" ht="25.5" hidden="1" x14ac:dyDescent="0.2">
      <c r="A511" s="28">
        <v>39626</v>
      </c>
      <c r="B511" s="26" t="s">
        <v>2116</v>
      </c>
      <c r="C511" s="26" t="s">
        <v>2428</v>
      </c>
      <c r="D511" s="35" t="s">
        <v>20</v>
      </c>
      <c r="E511" s="35">
        <v>6000</v>
      </c>
      <c r="F511" s="35" t="s">
        <v>20</v>
      </c>
      <c r="G511" t="b">
        <f t="shared" si="26"/>
        <v>0</v>
      </c>
      <c r="H511" t="b">
        <f t="shared" si="27"/>
        <v>0</v>
      </c>
      <c r="I511" s="29">
        <f t="shared" si="25"/>
        <v>39626</v>
      </c>
    </row>
    <row r="512" spans="1:9" ht="12.75" hidden="1" customHeight="1" x14ac:dyDescent="0.2">
      <c r="A512" s="28">
        <v>39626</v>
      </c>
      <c r="B512" s="26" t="s">
        <v>1087</v>
      </c>
      <c r="C512" s="26" t="s">
        <v>1619</v>
      </c>
      <c r="D512" s="35" t="s">
        <v>20</v>
      </c>
      <c r="E512" s="35">
        <v>3554434</v>
      </c>
      <c r="F512" s="35" t="s">
        <v>20</v>
      </c>
      <c r="G512" t="b">
        <f t="shared" si="26"/>
        <v>0</v>
      </c>
      <c r="H512" t="b">
        <f t="shared" si="27"/>
        <v>0</v>
      </c>
      <c r="I512" s="29">
        <f t="shared" si="25"/>
        <v>39626</v>
      </c>
    </row>
    <row r="513" spans="1:9" ht="12.75" hidden="1" customHeight="1" x14ac:dyDescent="0.2">
      <c r="A513" s="28">
        <v>39626</v>
      </c>
      <c r="B513" s="26" t="s">
        <v>1881</v>
      </c>
      <c r="C513" s="26" t="s">
        <v>3390</v>
      </c>
      <c r="D513" s="35">
        <v>180000000</v>
      </c>
      <c r="E513" s="35">
        <v>223808164</v>
      </c>
      <c r="F513" s="35">
        <v>532743103</v>
      </c>
      <c r="G513" t="b">
        <f t="shared" si="26"/>
        <v>0</v>
      </c>
      <c r="H513" t="b">
        <f t="shared" si="27"/>
        <v>0</v>
      </c>
      <c r="I513" s="29">
        <f t="shared" si="25"/>
        <v>39626</v>
      </c>
    </row>
    <row r="514" spans="1:9" ht="12.75" hidden="1" customHeight="1" x14ac:dyDescent="0.2">
      <c r="A514" s="28">
        <v>39626</v>
      </c>
      <c r="B514" s="26" t="s">
        <v>482</v>
      </c>
      <c r="C514" s="26" t="s">
        <v>3096</v>
      </c>
      <c r="D514" s="35">
        <v>75000000</v>
      </c>
      <c r="E514" s="35">
        <v>134508551</v>
      </c>
      <c r="F514" s="35">
        <v>340934768</v>
      </c>
      <c r="G514" t="b">
        <f t="shared" si="26"/>
        <v>0</v>
      </c>
      <c r="H514" t="b">
        <f t="shared" si="27"/>
        <v>0</v>
      </c>
      <c r="I514" s="29">
        <f t="shared" si="25"/>
        <v>39626</v>
      </c>
    </row>
    <row r="515" spans="1:9" ht="12.75" hidden="1" customHeight="1" x14ac:dyDescent="0.2">
      <c r="A515" s="28">
        <v>39626</v>
      </c>
      <c r="B515" s="26" t="s">
        <v>2615</v>
      </c>
      <c r="C515" s="26" t="s">
        <v>9</v>
      </c>
      <c r="D515" s="35" t="s">
        <v>20</v>
      </c>
      <c r="E515" s="35">
        <v>189024</v>
      </c>
      <c r="F515" s="35">
        <v>2847024</v>
      </c>
      <c r="G515" t="b">
        <f t="shared" si="26"/>
        <v>0</v>
      </c>
      <c r="H515" t="b">
        <f t="shared" si="27"/>
        <v>0</v>
      </c>
      <c r="I515" s="29">
        <f t="shared" ref="I515:I578" si="28">DATE(2008,MONTH(A515), DAY(A515))</f>
        <v>39626</v>
      </c>
    </row>
    <row r="516" spans="1:9" ht="25.5" hidden="1" x14ac:dyDescent="0.2">
      <c r="A516" s="28">
        <v>39626</v>
      </c>
      <c r="B516" s="26" t="s">
        <v>1987</v>
      </c>
      <c r="C516" s="26" t="s">
        <v>431</v>
      </c>
      <c r="D516" s="35" t="s">
        <v>20</v>
      </c>
      <c r="E516" s="35">
        <v>50804</v>
      </c>
      <c r="F516" s="35" t="s">
        <v>20</v>
      </c>
      <c r="G516" t="b">
        <f t="shared" si="26"/>
        <v>0</v>
      </c>
      <c r="H516" t="b">
        <f t="shared" si="27"/>
        <v>0</v>
      </c>
      <c r="I516" s="29">
        <f t="shared" si="28"/>
        <v>39626</v>
      </c>
    </row>
    <row r="517" spans="1:9" ht="25.5" hidden="1" x14ac:dyDescent="0.2">
      <c r="A517" s="28">
        <v>39626</v>
      </c>
      <c r="B517" s="26" t="s">
        <v>766</v>
      </c>
      <c r="C517" s="26" t="s">
        <v>3466</v>
      </c>
      <c r="D517" s="35" t="s">
        <v>20</v>
      </c>
      <c r="E517" s="35">
        <v>785671</v>
      </c>
      <c r="F517" s="35">
        <v>1697774</v>
      </c>
      <c r="G517" t="b">
        <f t="shared" si="26"/>
        <v>0</v>
      </c>
      <c r="H517" t="b">
        <f t="shared" si="27"/>
        <v>0</v>
      </c>
      <c r="I517" s="29">
        <f t="shared" si="28"/>
        <v>39626</v>
      </c>
    </row>
    <row r="518" spans="1:9" ht="12.75" hidden="1" customHeight="1" x14ac:dyDescent="0.2">
      <c r="A518" s="28">
        <v>39626</v>
      </c>
      <c r="B518" s="26" t="s">
        <v>3247</v>
      </c>
      <c r="C518" s="26" t="s">
        <v>1319</v>
      </c>
      <c r="D518" s="35" t="s">
        <v>20</v>
      </c>
      <c r="E518" s="35">
        <v>108280</v>
      </c>
      <c r="F518" s="35" t="s">
        <v>20</v>
      </c>
      <c r="G518" t="b">
        <f t="shared" si="26"/>
        <v>0</v>
      </c>
      <c r="H518" t="b">
        <f t="shared" si="27"/>
        <v>0</v>
      </c>
      <c r="I518" s="29">
        <f t="shared" si="28"/>
        <v>39626</v>
      </c>
    </row>
    <row r="519" spans="1:9" ht="25.5" hidden="1" x14ac:dyDescent="0.2">
      <c r="A519" s="28">
        <v>39627</v>
      </c>
      <c r="B519" s="26" t="s">
        <v>2550</v>
      </c>
      <c r="C519" s="26" t="s">
        <v>9</v>
      </c>
      <c r="D519" s="35" t="s">
        <v>20</v>
      </c>
      <c r="E519" s="35" t="s">
        <v>20</v>
      </c>
      <c r="F519" s="35">
        <v>73000000</v>
      </c>
      <c r="G519" t="b">
        <f t="shared" si="26"/>
        <v>0</v>
      </c>
      <c r="H519" t="b">
        <f t="shared" si="27"/>
        <v>0</v>
      </c>
      <c r="I519" s="29">
        <f t="shared" si="28"/>
        <v>39627</v>
      </c>
    </row>
    <row r="520" spans="1:9" ht="38.25" hidden="1" x14ac:dyDescent="0.2">
      <c r="A520" s="28">
        <v>39630</v>
      </c>
      <c r="B520" s="26" t="s">
        <v>184</v>
      </c>
      <c r="C520" s="26" t="s">
        <v>9</v>
      </c>
      <c r="D520" s="35" t="s">
        <v>20</v>
      </c>
      <c r="E520" s="35" t="s">
        <v>20</v>
      </c>
      <c r="F520" s="35" t="s">
        <v>20</v>
      </c>
      <c r="G520" t="b">
        <f t="shared" si="26"/>
        <v>0</v>
      </c>
      <c r="H520" t="b">
        <f t="shared" si="27"/>
        <v>0</v>
      </c>
      <c r="I520" s="29">
        <f t="shared" si="28"/>
        <v>39630</v>
      </c>
    </row>
    <row r="521" spans="1:9" ht="12.75" hidden="1" customHeight="1" x14ac:dyDescent="0.2">
      <c r="A521" s="28">
        <v>39631</v>
      </c>
      <c r="B521" s="26" t="s">
        <v>2962</v>
      </c>
      <c r="C521" s="26" t="s">
        <v>2160</v>
      </c>
      <c r="D521" s="35">
        <v>150000000</v>
      </c>
      <c r="E521" s="35">
        <v>227946274</v>
      </c>
      <c r="F521" s="35">
        <v>624346274</v>
      </c>
      <c r="G521" t="b">
        <f t="shared" si="26"/>
        <v>0</v>
      </c>
      <c r="H521" t="b">
        <f t="shared" si="27"/>
        <v>0</v>
      </c>
      <c r="I521" s="29">
        <f t="shared" si="28"/>
        <v>39631</v>
      </c>
    </row>
    <row r="522" spans="1:9" ht="25.5" hidden="1" x14ac:dyDescent="0.2">
      <c r="A522" s="28">
        <v>39631</v>
      </c>
      <c r="B522" s="26" t="s">
        <v>2308</v>
      </c>
      <c r="C522" s="26" t="s">
        <v>9</v>
      </c>
      <c r="D522" s="35" t="s">
        <v>20</v>
      </c>
      <c r="E522" s="35">
        <v>6177192</v>
      </c>
      <c r="F522" s="35">
        <v>34655192</v>
      </c>
      <c r="G522" t="b">
        <f t="shared" si="26"/>
        <v>0</v>
      </c>
      <c r="H522" t="b">
        <f t="shared" si="27"/>
        <v>0</v>
      </c>
      <c r="I522" s="29">
        <f t="shared" si="28"/>
        <v>39631</v>
      </c>
    </row>
    <row r="523" spans="1:9" ht="25.5" hidden="1" x14ac:dyDescent="0.2">
      <c r="A523" s="28">
        <v>39631</v>
      </c>
      <c r="B523" s="26" t="s">
        <v>421</v>
      </c>
      <c r="C523" s="26" t="s">
        <v>9</v>
      </c>
      <c r="D523" s="35" t="s">
        <v>20</v>
      </c>
      <c r="E523" s="35" t="s">
        <v>20</v>
      </c>
      <c r="F523" s="35">
        <v>5051954</v>
      </c>
      <c r="G523" t="b">
        <f t="shared" si="26"/>
        <v>0</v>
      </c>
      <c r="H523" t="b">
        <f t="shared" si="27"/>
        <v>0</v>
      </c>
      <c r="I523" s="29">
        <f t="shared" si="28"/>
        <v>39631</v>
      </c>
    </row>
    <row r="524" spans="1:9" ht="51" hidden="1" x14ac:dyDescent="0.2">
      <c r="A524" s="28">
        <v>39632</v>
      </c>
      <c r="B524" s="26" t="s">
        <v>1329</v>
      </c>
      <c r="C524" s="26" t="s">
        <v>2621</v>
      </c>
      <c r="D524" s="35" t="s">
        <v>20</v>
      </c>
      <c r="E524" s="35">
        <v>1252100</v>
      </c>
      <c r="F524" s="35" t="s">
        <v>20</v>
      </c>
      <c r="G524" t="b">
        <f t="shared" si="26"/>
        <v>0</v>
      </c>
      <c r="H524" t="b">
        <f t="shared" si="27"/>
        <v>0</v>
      </c>
      <c r="I524" s="29">
        <f t="shared" si="28"/>
        <v>39632</v>
      </c>
    </row>
    <row r="525" spans="1:9" ht="12.75" hidden="1" customHeight="1" x14ac:dyDescent="0.2">
      <c r="A525" s="28">
        <v>39632</v>
      </c>
      <c r="B525" s="26" t="s">
        <v>1408</v>
      </c>
      <c r="C525" s="26" t="s">
        <v>612</v>
      </c>
      <c r="D525" s="35">
        <v>6000000</v>
      </c>
      <c r="E525" s="35">
        <v>2077046</v>
      </c>
      <c r="F525" s="35">
        <v>2635650</v>
      </c>
      <c r="G525" t="b">
        <f t="shared" si="26"/>
        <v>0</v>
      </c>
      <c r="H525" t="b">
        <f t="shared" si="27"/>
        <v>0</v>
      </c>
      <c r="I525" s="29">
        <f t="shared" si="28"/>
        <v>39632</v>
      </c>
    </row>
    <row r="526" spans="1:9" ht="25.5" hidden="1" x14ac:dyDescent="0.2">
      <c r="A526" s="28">
        <v>39632</v>
      </c>
      <c r="B526" s="26" t="s">
        <v>1296</v>
      </c>
      <c r="C526" s="26" t="s">
        <v>9</v>
      </c>
      <c r="D526" s="35" t="s">
        <v>20</v>
      </c>
      <c r="E526" s="35">
        <v>600922</v>
      </c>
      <c r="F526" s="35">
        <v>16869504</v>
      </c>
      <c r="G526" t="b">
        <f t="shared" si="26"/>
        <v>0</v>
      </c>
      <c r="H526" t="b">
        <f t="shared" si="27"/>
        <v>0</v>
      </c>
      <c r="I526" s="29">
        <f t="shared" si="28"/>
        <v>39632</v>
      </c>
    </row>
    <row r="527" spans="1:9" ht="25.5" hidden="1" x14ac:dyDescent="0.2">
      <c r="A527" s="28">
        <v>39633</v>
      </c>
      <c r="B527" s="26" t="s">
        <v>364</v>
      </c>
      <c r="C527" s="26" t="s">
        <v>3466</v>
      </c>
      <c r="D527" s="35" t="s">
        <v>20</v>
      </c>
      <c r="E527" s="35">
        <v>21291</v>
      </c>
      <c r="F527" s="35" t="s">
        <v>20</v>
      </c>
      <c r="G527" t="b">
        <f t="shared" si="26"/>
        <v>0</v>
      </c>
      <c r="H527" t="b">
        <f t="shared" si="27"/>
        <v>0</v>
      </c>
      <c r="I527" s="29">
        <f t="shared" si="28"/>
        <v>39633</v>
      </c>
    </row>
    <row r="528" spans="1:9" ht="12.75" hidden="1" customHeight="1" x14ac:dyDescent="0.2">
      <c r="A528" s="28">
        <v>39633</v>
      </c>
      <c r="B528" s="26" t="s">
        <v>274</v>
      </c>
      <c r="C528" s="26" t="s">
        <v>9</v>
      </c>
      <c r="D528" s="35" t="s">
        <v>20</v>
      </c>
      <c r="E528" s="35" t="s">
        <v>20</v>
      </c>
      <c r="F528" s="35">
        <v>4432928</v>
      </c>
      <c r="G528" t="b">
        <f t="shared" si="26"/>
        <v>0</v>
      </c>
      <c r="H528" t="b">
        <f t="shared" si="27"/>
        <v>0</v>
      </c>
      <c r="I528" s="29">
        <f t="shared" si="28"/>
        <v>39633</v>
      </c>
    </row>
    <row r="529" spans="1:9" ht="12.75" hidden="1" customHeight="1" x14ac:dyDescent="0.2">
      <c r="A529" s="28">
        <v>39633</v>
      </c>
      <c r="B529" s="26" t="s">
        <v>1704</v>
      </c>
      <c r="C529" s="26" t="s">
        <v>2051</v>
      </c>
      <c r="D529" s="35" t="s">
        <v>20</v>
      </c>
      <c r="E529" s="35">
        <v>83506</v>
      </c>
      <c r="F529" s="35" t="s">
        <v>20</v>
      </c>
      <c r="G529" t="b">
        <f t="shared" si="26"/>
        <v>0</v>
      </c>
      <c r="H529" t="b">
        <f t="shared" si="27"/>
        <v>0</v>
      </c>
      <c r="I529" s="29">
        <f t="shared" si="28"/>
        <v>39633</v>
      </c>
    </row>
    <row r="530" spans="1:9" ht="12.75" hidden="1" customHeight="1" x14ac:dyDescent="0.2">
      <c r="A530" s="28">
        <v>39633</v>
      </c>
      <c r="B530" s="26" t="s">
        <v>3359</v>
      </c>
      <c r="C530" s="26" t="s">
        <v>2051</v>
      </c>
      <c r="D530" s="35" t="s">
        <v>20</v>
      </c>
      <c r="E530" s="35">
        <v>16814</v>
      </c>
      <c r="F530" s="35" t="s">
        <v>20</v>
      </c>
      <c r="G530" t="b">
        <f t="shared" si="26"/>
        <v>0</v>
      </c>
      <c r="H530" t="b">
        <f t="shared" si="27"/>
        <v>0</v>
      </c>
      <c r="I530" s="29">
        <f t="shared" si="28"/>
        <v>39633</v>
      </c>
    </row>
    <row r="531" spans="1:9" hidden="1" x14ac:dyDescent="0.2">
      <c r="A531" s="28">
        <v>39634</v>
      </c>
      <c r="B531" s="26" t="s">
        <v>2745</v>
      </c>
      <c r="C531" s="26" t="s">
        <v>9</v>
      </c>
      <c r="D531" s="35" t="s">
        <v>20</v>
      </c>
      <c r="E531" s="35" t="s">
        <v>20</v>
      </c>
      <c r="F531" s="35">
        <v>8667202</v>
      </c>
      <c r="G531" t="b">
        <f t="shared" si="26"/>
        <v>0</v>
      </c>
      <c r="H531" t="b">
        <f t="shared" si="27"/>
        <v>0</v>
      </c>
      <c r="I531" s="29">
        <f t="shared" si="28"/>
        <v>39634</v>
      </c>
    </row>
    <row r="532" spans="1:9" ht="12.75" hidden="1" customHeight="1" x14ac:dyDescent="0.2">
      <c r="A532" s="28">
        <v>39634</v>
      </c>
      <c r="B532" s="26" t="s">
        <v>3063</v>
      </c>
      <c r="C532" s="26" t="s">
        <v>9</v>
      </c>
      <c r="D532" s="35" t="s">
        <v>20</v>
      </c>
      <c r="E532" s="35" t="s">
        <v>20</v>
      </c>
      <c r="F532" s="35" t="s">
        <v>20</v>
      </c>
      <c r="G532" t="b">
        <f t="shared" si="26"/>
        <v>0</v>
      </c>
      <c r="H532" t="b">
        <f t="shared" si="27"/>
        <v>0</v>
      </c>
      <c r="I532" s="29">
        <f t="shared" si="28"/>
        <v>39634</v>
      </c>
    </row>
    <row r="533" spans="1:9" ht="25.5" hidden="1" x14ac:dyDescent="0.2">
      <c r="A533" s="28">
        <v>39637</v>
      </c>
      <c r="B533" s="26" t="s">
        <v>584</v>
      </c>
      <c r="C533" s="26" t="s">
        <v>9</v>
      </c>
      <c r="D533" s="35" t="s">
        <v>20</v>
      </c>
      <c r="E533" s="35" t="s">
        <v>20</v>
      </c>
      <c r="F533" s="35" t="s">
        <v>20</v>
      </c>
      <c r="G533" t="b">
        <f t="shared" si="26"/>
        <v>0</v>
      </c>
      <c r="H533" t="b">
        <f t="shared" si="27"/>
        <v>0</v>
      </c>
      <c r="I533" s="29">
        <f t="shared" si="28"/>
        <v>39637</v>
      </c>
    </row>
    <row r="534" spans="1:9" ht="12.75" hidden="1" customHeight="1" x14ac:dyDescent="0.2">
      <c r="A534" s="28">
        <v>39639</v>
      </c>
      <c r="B534" s="26" t="s">
        <v>1920</v>
      </c>
      <c r="C534" s="26" t="s">
        <v>9</v>
      </c>
      <c r="D534" s="35">
        <v>15000000</v>
      </c>
      <c r="E534" s="35" t="s">
        <v>20</v>
      </c>
      <c r="F534" s="35">
        <v>3436763</v>
      </c>
      <c r="G534" t="b">
        <f t="shared" si="26"/>
        <v>0</v>
      </c>
      <c r="H534" t="b">
        <f t="shared" si="27"/>
        <v>0</v>
      </c>
      <c r="I534" s="29">
        <f t="shared" si="28"/>
        <v>39639</v>
      </c>
    </row>
    <row r="535" spans="1:9" ht="12.75" hidden="1" customHeight="1" x14ac:dyDescent="0.2">
      <c r="A535" s="28">
        <v>39640</v>
      </c>
      <c r="B535" s="26" t="s">
        <v>2561</v>
      </c>
      <c r="C535" s="26" t="s">
        <v>2865</v>
      </c>
      <c r="D535" s="35" t="s">
        <v>20</v>
      </c>
      <c r="E535" s="35">
        <v>11762</v>
      </c>
      <c r="F535" s="35" t="s">
        <v>20</v>
      </c>
      <c r="G535" t="b">
        <f t="shared" si="26"/>
        <v>0</v>
      </c>
      <c r="H535" t="b">
        <f t="shared" si="27"/>
        <v>0</v>
      </c>
      <c r="I535" s="29">
        <f t="shared" si="28"/>
        <v>39640</v>
      </c>
    </row>
    <row r="536" spans="1:9" ht="38.25" hidden="1" x14ac:dyDescent="0.2">
      <c r="A536" s="28">
        <v>39640</v>
      </c>
      <c r="B536" s="26" t="s">
        <v>2642</v>
      </c>
      <c r="C536" s="26" t="s">
        <v>3233</v>
      </c>
      <c r="D536" s="35" t="s">
        <v>20</v>
      </c>
      <c r="E536" s="35">
        <v>59192</v>
      </c>
      <c r="F536" s="35" t="s">
        <v>20</v>
      </c>
      <c r="G536" t="b">
        <f t="shared" si="26"/>
        <v>0</v>
      </c>
      <c r="H536" t="b">
        <f t="shared" si="27"/>
        <v>0</v>
      </c>
      <c r="I536" s="29">
        <f t="shared" si="28"/>
        <v>39640</v>
      </c>
    </row>
    <row r="537" spans="1:9" ht="12.75" hidden="1" customHeight="1" x14ac:dyDescent="0.2">
      <c r="A537" s="28">
        <v>39640</v>
      </c>
      <c r="B537" s="26" t="s">
        <v>2646</v>
      </c>
      <c r="C537" s="26" t="s">
        <v>384</v>
      </c>
      <c r="D537" s="35">
        <v>60000000</v>
      </c>
      <c r="E537" s="35">
        <v>11803254</v>
      </c>
      <c r="F537" s="35">
        <v>50648806</v>
      </c>
      <c r="G537" t="b">
        <f t="shared" si="26"/>
        <v>0</v>
      </c>
      <c r="H537" t="b">
        <f t="shared" si="27"/>
        <v>0</v>
      </c>
      <c r="I537" s="29">
        <f t="shared" si="28"/>
        <v>39640</v>
      </c>
    </row>
    <row r="538" spans="1:9" ht="12.75" hidden="1" customHeight="1" x14ac:dyDescent="0.2">
      <c r="A538" s="28">
        <v>39640</v>
      </c>
      <c r="B538" s="26" t="s">
        <v>641</v>
      </c>
      <c r="C538" s="26" t="s">
        <v>9</v>
      </c>
      <c r="D538" s="35" t="s">
        <v>20</v>
      </c>
      <c r="E538" s="35">
        <v>14059</v>
      </c>
      <c r="F538" s="35" t="s">
        <v>20</v>
      </c>
      <c r="G538" t="b">
        <f t="shared" si="26"/>
        <v>0</v>
      </c>
      <c r="H538" t="b">
        <f t="shared" si="27"/>
        <v>0</v>
      </c>
      <c r="I538" s="29">
        <f t="shared" si="28"/>
        <v>39640</v>
      </c>
    </row>
    <row r="539" spans="1:9" ht="12.75" hidden="1" customHeight="1" x14ac:dyDescent="0.2">
      <c r="A539" s="28">
        <v>39640</v>
      </c>
      <c r="B539" s="26" t="s">
        <v>3071</v>
      </c>
      <c r="C539" s="26" t="s">
        <v>9</v>
      </c>
      <c r="D539" s="35" t="s">
        <v>20</v>
      </c>
      <c r="E539" s="35">
        <v>13229</v>
      </c>
      <c r="F539" s="35" t="s">
        <v>20</v>
      </c>
      <c r="G539" t="b">
        <f t="shared" si="26"/>
        <v>0</v>
      </c>
      <c r="H539" t="b">
        <f t="shared" si="27"/>
        <v>0</v>
      </c>
      <c r="I539" s="29">
        <f t="shared" si="28"/>
        <v>39640</v>
      </c>
    </row>
    <row r="540" spans="1:9" ht="25.5" hidden="1" x14ac:dyDescent="0.2">
      <c r="A540" s="28">
        <v>39640</v>
      </c>
      <c r="B540" s="26" t="s">
        <v>3393</v>
      </c>
      <c r="C540" s="26" t="s">
        <v>1148</v>
      </c>
      <c r="D540" s="35" t="s">
        <v>20</v>
      </c>
      <c r="E540" s="35">
        <v>19853</v>
      </c>
      <c r="F540" s="35" t="s">
        <v>20</v>
      </c>
      <c r="G540" t="b">
        <f t="shared" si="26"/>
        <v>0</v>
      </c>
      <c r="H540" t="b">
        <f t="shared" si="27"/>
        <v>0</v>
      </c>
      <c r="I540" s="29">
        <f t="shared" si="28"/>
        <v>39640</v>
      </c>
    </row>
    <row r="541" spans="1:9" ht="12.75" hidden="1" customHeight="1" x14ac:dyDescent="0.2">
      <c r="A541" s="28">
        <v>39640</v>
      </c>
      <c r="B541" s="26" t="s">
        <v>414</v>
      </c>
      <c r="C541" s="26" t="s">
        <v>2812</v>
      </c>
      <c r="D541" s="35" t="s">
        <v>20</v>
      </c>
      <c r="E541" s="35" t="s">
        <v>20</v>
      </c>
      <c r="F541" s="35" t="s">
        <v>20</v>
      </c>
      <c r="G541" t="b">
        <f t="shared" si="26"/>
        <v>0</v>
      </c>
      <c r="H541" t="b">
        <f t="shared" si="27"/>
        <v>0</v>
      </c>
      <c r="I541" s="29">
        <f t="shared" si="28"/>
        <v>39640</v>
      </c>
    </row>
    <row r="542" spans="1:9" ht="12.75" hidden="1" customHeight="1" x14ac:dyDescent="0.2">
      <c r="A542" s="28">
        <v>39640</v>
      </c>
      <c r="B542" s="26" t="s">
        <v>915</v>
      </c>
      <c r="C542" s="26" t="s">
        <v>9</v>
      </c>
      <c r="D542" s="35" t="s">
        <v>20</v>
      </c>
      <c r="E542" s="35">
        <v>2070</v>
      </c>
      <c r="F542" s="35" t="s">
        <v>20</v>
      </c>
      <c r="G542" t="b">
        <f t="shared" si="26"/>
        <v>0</v>
      </c>
      <c r="H542" t="b">
        <f t="shared" si="27"/>
        <v>0</v>
      </c>
      <c r="I542" s="29">
        <f t="shared" si="28"/>
        <v>39640</v>
      </c>
    </row>
    <row r="543" spans="1:9" ht="12.75" hidden="1" customHeight="1" x14ac:dyDescent="0.2">
      <c r="A543" s="28">
        <v>39640</v>
      </c>
      <c r="B543" s="26" t="s">
        <v>1357</v>
      </c>
      <c r="C543" s="26" t="s">
        <v>3212</v>
      </c>
      <c r="D543" s="35" t="s">
        <v>20</v>
      </c>
      <c r="E543" s="35">
        <v>12306</v>
      </c>
      <c r="F543" s="35" t="s">
        <v>20</v>
      </c>
      <c r="G543" t="b">
        <f t="shared" si="26"/>
        <v>0</v>
      </c>
      <c r="H543" t="b">
        <f t="shared" si="27"/>
        <v>0</v>
      </c>
      <c r="I543" s="29">
        <f t="shared" si="28"/>
        <v>39640</v>
      </c>
    </row>
    <row r="544" spans="1:9" ht="12.75" hidden="1" customHeight="1" x14ac:dyDescent="0.2">
      <c r="A544" s="28">
        <v>39640</v>
      </c>
      <c r="B544" s="26" t="s">
        <v>2293</v>
      </c>
      <c r="C544" s="26" t="s">
        <v>2853</v>
      </c>
      <c r="D544" s="35" t="s">
        <v>20</v>
      </c>
      <c r="E544" s="35">
        <v>75139</v>
      </c>
      <c r="F544" s="35" t="s">
        <v>20</v>
      </c>
      <c r="G544" t="b">
        <f t="shared" si="26"/>
        <v>0</v>
      </c>
      <c r="H544" t="b">
        <f t="shared" si="27"/>
        <v>0</v>
      </c>
      <c r="I544" s="29">
        <f t="shared" si="28"/>
        <v>39640</v>
      </c>
    </row>
    <row r="545" spans="1:9" ht="12.75" hidden="1" customHeight="1" x14ac:dyDescent="0.2">
      <c r="A545" s="28">
        <v>39640</v>
      </c>
      <c r="B545" s="26" t="s">
        <v>3432</v>
      </c>
      <c r="C545" s="26" t="s">
        <v>9</v>
      </c>
      <c r="D545" s="35" t="s">
        <v>20</v>
      </c>
      <c r="E545" s="35">
        <v>112103</v>
      </c>
      <c r="F545" s="35" t="s">
        <v>20</v>
      </c>
      <c r="G545" t="b">
        <f t="shared" si="26"/>
        <v>0</v>
      </c>
      <c r="H545" t="b">
        <f t="shared" si="27"/>
        <v>0</v>
      </c>
      <c r="I545" s="29">
        <f t="shared" si="28"/>
        <v>39640</v>
      </c>
    </row>
    <row r="546" spans="1:9" ht="25.5" hidden="1" x14ac:dyDescent="0.2">
      <c r="A546" s="28">
        <v>39640</v>
      </c>
      <c r="B546" s="26" t="s">
        <v>206</v>
      </c>
      <c r="C546" s="26" t="s">
        <v>9</v>
      </c>
      <c r="D546" s="35" t="s">
        <v>20</v>
      </c>
      <c r="E546" s="35">
        <v>3561</v>
      </c>
      <c r="F546" s="35" t="s">
        <v>20</v>
      </c>
      <c r="G546" t="b">
        <f t="shared" si="26"/>
        <v>0</v>
      </c>
      <c r="H546" t="b">
        <f t="shared" si="27"/>
        <v>0</v>
      </c>
      <c r="I546" s="29">
        <f t="shared" si="28"/>
        <v>39640</v>
      </c>
    </row>
    <row r="547" spans="1:9" ht="12.75" hidden="1" customHeight="1" x14ac:dyDescent="0.2">
      <c r="A547" s="28">
        <v>39640</v>
      </c>
      <c r="B547" s="26" t="s">
        <v>1254</v>
      </c>
      <c r="C547" s="26" t="s">
        <v>9</v>
      </c>
      <c r="D547" s="35" t="s">
        <v>20</v>
      </c>
      <c r="E547" s="35" t="s">
        <v>20</v>
      </c>
      <c r="F547" s="35" t="s">
        <v>20</v>
      </c>
      <c r="G547" t="b">
        <f t="shared" si="26"/>
        <v>0</v>
      </c>
      <c r="H547" t="b">
        <f t="shared" si="27"/>
        <v>0</v>
      </c>
      <c r="I547" s="29">
        <f t="shared" si="28"/>
        <v>39640</v>
      </c>
    </row>
    <row r="548" spans="1:9" ht="12.75" hidden="1" customHeight="1" x14ac:dyDescent="0.2">
      <c r="A548" s="28">
        <v>39640</v>
      </c>
      <c r="B548" s="26" t="s">
        <v>3263</v>
      </c>
      <c r="C548" s="26" t="s">
        <v>9</v>
      </c>
      <c r="D548" s="35" t="s">
        <v>20</v>
      </c>
      <c r="E548" s="35">
        <v>26516</v>
      </c>
      <c r="F548" s="35" t="s">
        <v>20</v>
      </c>
      <c r="G548" t="b">
        <f t="shared" ref="G548:G609" si="29">ISBLANK(A548)</f>
        <v>0</v>
      </c>
      <c r="H548" t="b">
        <f t="shared" ref="H548:H609" si="30">ISTEXT(A548)</f>
        <v>0</v>
      </c>
      <c r="I548" s="29">
        <f t="shared" si="28"/>
        <v>39640</v>
      </c>
    </row>
    <row r="549" spans="1:9" ht="25.5" hidden="1" x14ac:dyDescent="0.2">
      <c r="A549" s="28">
        <v>39640</v>
      </c>
      <c r="B549" s="26" t="s">
        <v>2989</v>
      </c>
      <c r="C549" s="26" t="s">
        <v>2460</v>
      </c>
      <c r="D549" s="35">
        <v>45000000</v>
      </c>
      <c r="E549" s="35">
        <v>101704370</v>
      </c>
      <c r="F549" s="35">
        <v>240904370</v>
      </c>
      <c r="G549" t="b">
        <f t="shared" si="29"/>
        <v>0</v>
      </c>
      <c r="H549" t="b">
        <f t="shared" si="30"/>
        <v>0</v>
      </c>
      <c r="I549" s="29">
        <f t="shared" si="28"/>
        <v>39640</v>
      </c>
    </row>
    <row r="550" spans="1:9" ht="25.5" hidden="1" x14ac:dyDescent="0.2">
      <c r="A550" s="28">
        <v>39640</v>
      </c>
      <c r="B550" s="26" t="s">
        <v>596</v>
      </c>
      <c r="C550" s="26" t="s">
        <v>3096</v>
      </c>
      <c r="D550" s="35">
        <v>82500000</v>
      </c>
      <c r="E550" s="35">
        <v>75986503</v>
      </c>
      <c r="F550" s="35">
        <v>160388063</v>
      </c>
      <c r="G550" t="b">
        <f t="shared" si="29"/>
        <v>0</v>
      </c>
      <c r="H550" t="b">
        <f t="shared" si="30"/>
        <v>0</v>
      </c>
      <c r="I550" s="29">
        <f t="shared" si="28"/>
        <v>39640</v>
      </c>
    </row>
    <row r="551" spans="1:9" ht="12.75" hidden="1" customHeight="1" x14ac:dyDescent="0.2">
      <c r="A551" s="28">
        <v>39640</v>
      </c>
      <c r="B551" s="26" t="s">
        <v>2221</v>
      </c>
      <c r="C551" s="26" t="s">
        <v>9</v>
      </c>
      <c r="D551" s="35" t="s">
        <v>20</v>
      </c>
      <c r="E551" s="35" t="s">
        <v>20</v>
      </c>
      <c r="F551" s="35">
        <v>1032758</v>
      </c>
      <c r="G551" t="b">
        <f t="shared" si="29"/>
        <v>0</v>
      </c>
      <c r="H551" t="b">
        <f t="shared" si="30"/>
        <v>0</v>
      </c>
      <c r="I551" s="29">
        <f t="shared" si="28"/>
        <v>39640</v>
      </c>
    </row>
    <row r="552" spans="1:9" ht="25.5" hidden="1" x14ac:dyDescent="0.2">
      <c r="A552" s="28">
        <v>39641</v>
      </c>
      <c r="B552" s="26" t="s">
        <v>1903</v>
      </c>
      <c r="C552" s="26" t="s">
        <v>9</v>
      </c>
      <c r="D552" s="35" t="s">
        <v>20</v>
      </c>
      <c r="E552" s="35" t="s">
        <v>20</v>
      </c>
      <c r="F552" s="35">
        <v>8864234</v>
      </c>
      <c r="G552" t="b">
        <f t="shared" si="29"/>
        <v>0</v>
      </c>
      <c r="H552" t="b">
        <f t="shared" si="30"/>
        <v>0</v>
      </c>
      <c r="I552" s="29">
        <f t="shared" si="28"/>
        <v>39641</v>
      </c>
    </row>
    <row r="553" spans="1:9" ht="25.5" hidden="1" x14ac:dyDescent="0.2">
      <c r="A553" s="28">
        <v>39641</v>
      </c>
      <c r="B553" s="26" t="s">
        <v>2498</v>
      </c>
      <c r="C553" s="26" t="s">
        <v>9</v>
      </c>
      <c r="D553" s="35" t="s">
        <v>20</v>
      </c>
      <c r="E553" s="35" t="s">
        <v>20</v>
      </c>
      <c r="F553" s="35">
        <v>16224319</v>
      </c>
      <c r="G553" t="b">
        <f t="shared" si="29"/>
        <v>0</v>
      </c>
      <c r="H553" t="b">
        <f t="shared" si="30"/>
        <v>0</v>
      </c>
      <c r="I553" s="29">
        <f t="shared" si="28"/>
        <v>39641</v>
      </c>
    </row>
    <row r="554" spans="1:9" ht="12.75" hidden="1" customHeight="1" x14ac:dyDescent="0.2">
      <c r="A554" s="28">
        <v>39645</v>
      </c>
      <c r="B554" s="26" t="s">
        <v>1458</v>
      </c>
      <c r="C554" s="26" t="s">
        <v>9</v>
      </c>
      <c r="D554" s="35" t="s">
        <v>20</v>
      </c>
      <c r="E554" s="35" t="s">
        <v>20</v>
      </c>
      <c r="F554" s="35">
        <v>3156149</v>
      </c>
      <c r="G554" t="b">
        <f t="shared" si="29"/>
        <v>0</v>
      </c>
      <c r="H554" t="b">
        <f t="shared" si="30"/>
        <v>0</v>
      </c>
      <c r="I554" s="29">
        <f t="shared" si="28"/>
        <v>39645</v>
      </c>
    </row>
    <row r="555" spans="1:9" ht="12.75" hidden="1" customHeight="1" x14ac:dyDescent="0.2">
      <c r="A555" s="28">
        <v>39646</v>
      </c>
      <c r="B555" s="26" t="s">
        <v>2810</v>
      </c>
      <c r="C555" s="26" t="s">
        <v>9</v>
      </c>
      <c r="D555" s="35" t="s">
        <v>20</v>
      </c>
      <c r="E555" s="35" t="s">
        <v>20</v>
      </c>
      <c r="F555" s="35">
        <v>5752203</v>
      </c>
      <c r="G555" t="b">
        <f t="shared" si="29"/>
        <v>0</v>
      </c>
      <c r="H555" t="b">
        <f t="shared" si="30"/>
        <v>0</v>
      </c>
      <c r="I555" s="29">
        <f t="shared" si="28"/>
        <v>39646</v>
      </c>
    </row>
    <row r="556" spans="1:9" ht="12.75" hidden="1" customHeight="1" x14ac:dyDescent="0.2">
      <c r="A556" s="28">
        <v>39647</v>
      </c>
      <c r="B556" s="26" t="s">
        <v>983</v>
      </c>
      <c r="C556" s="26" t="s">
        <v>9</v>
      </c>
      <c r="D556" s="35" t="s">
        <v>20</v>
      </c>
      <c r="E556" s="35" t="s">
        <v>20</v>
      </c>
      <c r="F556" s="35">
        <v>3651400</v>
      </c>
      <c r="G556" t="b">
        <f t="shared" si="29"/>
        <v>0</v>
      </c>
      <c r="H556" t="b">
        <f t="shared" si="30"/>
        <v>0</v>
      </c>
      <c r="I556" s="29">
        <f t="shared" si="28"/>
        <v>39647</v>
      </c>
    </row>
    <row r="557" spans="1:9" ht="12.75" customHeight="1" x14ac:dyDescent="0.2">
      <c r="A557" s="28">
        <v>39647</v>
      </c>
      <c r="B557" s="26" t="s">
        <v>3140</v>
      </c>
      <c r="C557" s="26" t="s">
        <v>3209</v>
      </c>
      <c r="D557" s="35">
        <v>185000000</v>
      </c>
      <c r="E557" s="35">
        <v>533345358</v>
      </c>
      <c r="F557" s="35">
        <v>1001945358</v>
      </c>
      <c r="G557" t="b">
        <f t="shared" si="29"/>
        <v>0</v>
      </c>
      <c r="H557" t="b">
        <f t="shared" si="30"/>
        <v>0</v>
      </c>
      <c r="I557" s="29">
        <f t="shared" si="28"/>
        <v>39647</v>
      </c>
    </row>
    <row r="558" spans="1:9" ht="12.75" hidden="1" customHeight="1" x14ac:dyDescent="0.2">
      <c r="A558" s="28">
        <v>39647</v>
      </c>
      <c r="B558" s="26" t="s">
        <v>2471</v>
      </c>
      <c r="C558" s="26" t="s">
        <v>1450</v>
      </c>
      <c r="D558" s="35" t="s">
        <v>20</v>
      </c>
      <c r="E558" s="35">
        <v>26697</v>
      </c>
      <c r="F558" s="35" t="s">
        <v>20</v>
      </c>
      <c r="G558" t="b">
        <f t="shared" si="29"/>
        <v>0</v>
      </c>
      <c r="H558" t="b">
        <f t="shared" si="30"/>
        <v>0</v>
      </c>
      <c r="I558" s="29">
        <f t="shared" si="28"/>
        <v>39647</v>
      </c>
    </row>
    <row r="559" spans="1:9" ht="12.75" hidden="1" customHeight="1" x14ac:dyDescent="0.2">
      <c r="A559" s="28">
        <v>39647</v>
      </c>
      <c r="B559" s="26" t="s">
        <v>752</v>
      </c>
      <c r="C559" s="26" t="s">
        <v>3096</v>
      </c>
      <c r="D559" s="35" t="s">
        <v>20</v>
      </c>
      <c r="E559" s="35">
        <v>144130063</v>
      </c>
      <c r="F559" s="35">
        <v>602500560</v>
      </c>
      <c r="G559" t="b">
        <f t="shared" si="29"/>
        <v>0</v>
      </c>
      <c r="H559" t="b">
        <f t="shared" si="30"/>
        <v>0</v>
      </c>
      <c r="I559" s="29">
        <f t="shared" si="28"/>
        <v>39647</v>
      </c>
    </row>
    <row r="560" spans="1:9" ht="25.5" hidden="1" x14ac:dyDescent="0.2">
      <c r="A560" s="28">
        <v>39647</v>
      </c>
      <c r="B560" s="26" t="s">
        <v>713</v>
      </c>
      <c r="C560" s="26" t="s">
        <v>571</v>
      </c>
      <c r="D560" s="35" t="s">
        <v>20</v>
      </c>
      <c r="E560" s="35">
        <v>243768</v>
      </c>
      <c r="F560" s="35" t="s">
        <v>20</v>
      </c>
      <c r="G560" t="b">
        <f t="shared" si="29"/>
        <v>0</v>
      </c>
      <c r="H560" t="b">
        <f t="shared" si="30"/>
        <v>0</v>
      </c>
      <c r="I560" s="29">
        <f t="shared" si="28"/>
        <v>39647</v>
      </c>
    </row>
    <row r="561" spans="1:9" ht="12.75" hidden="1" customHeight="1" x14ac:dyDescent="0.2">
      <c r="A561" s="28">
        <v>39647</v>
      </c>
      <c r="B561" s="26" t="s">
        <v>250</v>
      </c>
      <c r="C561" s="26" t="s">
        <v>2865</v>
      </c>
      <c r="D561" s="35" t="s">
        <v>20</v>
      </c>
      <c r="E561" s="35">
        <v>2203641</v>
      </c>
      <c r="F561" s="35" t="s">
        <v>20</v>
      </c>
      <c r="G561" t="b">
        <f t="shared" si="29"/>
        <v>0</v>
      </c>
      <c r="H561" t="b">
        <f t="shared" si="30"/>
        <v>0</v>
      </c>
      <c r="I561" s="29">
        <f t="shared" si="28"/>
        <v>39647</v>
      </c>
    </row>
    <row r="562" spans="1:9" ht="12.75" hidden="1" customHeight="1" x14ac:dyDescent="0.2">
      <c r="A562" s="28">
        <v>39647</v>
      </c>
      <c r="B562" s="26" t="s">
        <v>815</v>
      </c>
      <c r="C562" s="26" t="s">
        <v>1760</v>
      </c>
      <c r="D562" s="35" t="s">
        <v>20</v>
      </c>
      <c r="E562" s="35">
        <v>3239</v>
      </c>
      <c r="F562" s="35" t="s">
        <v>20</v>
      </c>
      <c r="G562" t="b">
        <f t="shared" si="29"/>
        <v>0</v>
      </c>
      <c r="H562" t="b">
        <f t="shared" si="30"/>
        <v>0</v>
      </c>
      <c r="I562" s="29">
        <f t="shared" si="28"/>
        <v>39647</v>
      </c>
    </row>
    <row r="563" spans="1:9" ht="25.5" hidden="1" x14ac:dyDescent="0.2">
      <c r="A563" s="28">
        <v>39647</v>
      </c>
      <c r="B563" s="26" t="s">
        <v>218</v>
      </c>
      <c r="C563" s="26" t="s">
        <v>3426</v>
      </c>
      <c r="D563" s="35" t="s">
        <v>20</v>
      </c>
      <c r="E563" s="35">
        <v>479759</v>
      </c>
      <c r="F563" s="35">
        <v>10903927</v>
      </c>
      <c r="G563" t="b">
        <f t="shared" si="29"/>
        <v>0</v>
      </c>
      <c r="H563" t="b">
        <f t="shared" si="30"/>
        <v>0</v>
      </c>
      <c r="I563" s="29">
        <f t="shared" si="28"/>
        <v>39647</v>
      </c>
    </row>
    <row r="564" spans="1:9" ht="12.75" hidden="1" customHeight="1" x14ac:dyDescent="0.2">
      <c r="A564" s="28">
        <v>39647</v>
      </c>
      <c r="B564" s="26" t="s">
        <v>1590</v>
      </c>
      <c r="C564" s="26" t="s">
        <v>1074</v>
      </c>
      <c r="D564" s="35" t="s">
        <v>20</v>
      </c>
      <c r="E564" s="35">
        <v>586</v>
      </c>
      <c r="F564" s="35" t="s">
        <v>20</v>
      </c>
      <c r="G564" t="b">
        <f t="shared" si="29"/>
        <v>0</v>
      </c>
      <c r="H564" t="b">
        <f t="shared" si="30"/>
        <v>0</v>
      </c>
      <c r="I564" s="29">
        <f t="shared" si="28"/>
        <v>39647</v>
      </c>
    </row>
    <row r="565" spans="1:9" ht="25.5" hidden="1" x14ac:dyDescent="0.2">
      <c r="A565" s="28">
        <v>39647</v>
      </c>
      <c r="B565" s="26" t="s">
        <v>1771</v>
      </c>
      <c r="C565" s="26" t="s">
        <v>1324</v>
      </c>
      <c r="D565" s="35" t="s">
        <v>20</v>
      </c>
      <c r="E565" s="35">
        <v>9746</v>
      </c>
      <c r="F565" s="35" t="s">
        <v>20</v>
      </c>
      <c r="G565" t="b">
        <f t="shared" si="29"/>
        <v>0</v>
      </c>
      <c r="H565" t="b">
        <f t="shared" si="30"/>
        <v>0</v>
      </c>
      <c r="I565" s="29">
        <f t="shared" si="28"/>
        <v>39647</v>
      </c>
    </row>
    <row r="566" spans="1:9" ht="12.75" hidden="1" customHeight="1" x14ac:dyDescent="0.2">
      <c r="A566" s="28">
        <v>39647</v>
      </c>
      <c r="B566" s="26" t="s">
        <v>931</v>
      </c>
      <c r="C566" s="26" t="s">
        <v>384</v>
      </c>
      <c r="D566" s="35">
        <v>37000000</v>
      </c>
      <c r="E566" s="35">
        <v>30105968</v>
      </c>
      <c r="F566" s="35">
        <v>59517784</v>
      </c>
      <c r="G566" t="b">
        <f t="shared" si="29"/>
        <v>0</v>
      </c>
      <c r="H566" t="b">
        <f t="shared" si="30"/>
        <v>0</v>
      </c>
      <c r="I566" s="29">
        <f t="shared" si="28"/>
        <v>39647</v>
      </c>
    </row>
    <row r="567" spans="1:9" ht="51" hidden="1" x14ac:dyDescent="0.2">
      <c r="A567" s="28">
        <v>39647</v>
      </c>
      <c r="B567" s="26" t="s">
        <v>2925</v>
      </c>
      <c r="C567" s="26" t="s">
        <v>2775</v>
      </c>
      <c r="D567" s="35" t="s">
        <v>20</v>
      </c>
      <c r="E567" s="35">
        <v>2892</v>
      </c>
      <c r="F567" s="35" t="s">
        <v>20</v>
      </c>
      <c r="G567" t="b">
        <f t="shared" si="29"/>
        <v>0</v>
      </c>
      <c r="H567" t="b">
        <f t="shared" si="30"/>
        <v>0</v>
      </c>
      <c r="I567" s="29">
        <f t="shared" si="28"/>
        <v>39647</v>
      </c>
    </row>
    <row r="568" spans="1:9" ht="12.75" hidden="1" customHeight="1" x14ac:dyDescent="0.2">
      <c r="A568" s="28">
        <v>39647</v>
      </c>
      <c r="B568" s="26" t="s">
        <v>2993</v>
      </c>
      <c r="C568" s="26" t="s">
        <v>2016</v>
      </c>
      <c r="D568" s="35" t="s">
        <v>20</v>
      </c>
      <c r="E568" s="35">
        <v>6627</v>
      </c>
      <c r="F568" s="35" t="s">
        <v>20</v>
      </c>
      <c r="G568" t="b">
        <f t="shared" si="29"/>
        <v>0</v>
      </c>
      <c r="H568" t="b">
        <f t="shared" si="30"/>
        <v>0</v>
      </c>
      <c r="I568" s="29">
        <f t="shared" si="28"/>
        <v>39647</v>
      </c>
    </row>
    <row r="569" spans="1:9" ht="12.75" hidden="1" customHeight="1" x14ac:dyDescent="0.2">
      <c r="A569" s="28">
        <v>39647</v>
      </c>
      <c r="B569" s="26" t="s">
        <v>2846</v>
      </c>
      <c r="C569" s="26" t="s">
        <v>1600</v>
      </c>
      <c r="D569" s="35" t="s">
        <v>20</v>
      </c>
      <c r="E569" s="35" t="s">
        <v>20</v>
      </c>
      <c r="F569" s="35" t="s">
        <v>20</v>
      </c>
      <c r="G569" t="b">
        <f t="shared" si="29"/>
        <v>0</v>
      </c>
      <c r="H569" t="b">
        <f t="shared" si="30"/>
        <v>0</v>
      </c>
      <c r="I569" s="29">
        <f t="shared" si="28"/>
        <v>39647</v>
      </c>
    </row>
    <row r="570" spans="1:9" ht="12.75" hidden="1" customHeight="1" x14ac:dyDescent="0.2">
      <c r="A570" s="28">
        <v>39647</v>
      </c>
      <c r="B570" s="26" t="s">
        <v>1531</v>
      </c>
      <c r="C570" s="26" t="s">
        <v>9</v>
      </c>
      <c r="D570" s="35" t="s">
        <v>20</v>
      </c>
      <c r="E570" s="35">
        <v>4629</v>
      </c>
      <c r="F570" s="35" t="s">
        <v>20</v>
      </c>
      <c r="G570" t="b">
        <f t="shared" si="29"/>
        <v>0</v>
      </c>
      <c r="H570" t="b">
        <f t="shared" si="30"/>
        <v>0</v>
      </c>
      <c r="I570" s="29">
        <f t="shared" si="28"/>
        <v>39647</v>
      </c>
    </row>
    <row r="571" spans="1:9" ht="12.75" hidden="1" customHeight="1" x14ac:dyDescent="0.2">
      <c r="A571" s="28">
        <v>39647</v>
      </c>
      <c r="B571" s="26" t="s">
        <v>113</v>
      </c>
      <c r="C571" s="26" t="s">
        <v>49</v>
      </c>
      <c r="D571" s="35" t="s">
        <v>20</v>
      </c>
      <c r="E571" s="35">
        <v>29692</v>
      </c>
      <c r="F571" s="35" t="s">
        <v>20</v>
      </c>
      <c r="G571" t="b">
        <f t="shared" si="29"/>
        <v>0</v>
      </c>
      <c r="H571" t="b">
        <f t="shared" si="30"/>
        <v>0</v>
      </c>
      <c r="I571" s="29">
        <f t="shared" si="28"/>
        <v>39647</v>
      </c>
    </row>
    <row r="572" spans="1:9" ht="25.5" hidden="1" x14ac:dyDescent="0.2">
      <c r="A572" s="28">
        <v>39647</v>
      </c>
      <c r="B572" s="26" t="s">
        <v>1392</v>
      </c>
      <c r="C572" s="26" t="s">
        <v>1121</v>
      </c>
      <c r="D572" s="35" t="s">
        <v>20</v>
      </c>
      <c r="E572" s="35" t="s">
        <v>20</v>
      </c>
      <c r="F572" s="35" t="s">
        <v>20</v>
      </c>
      <c r="G572" t="b">
        <f t="shared" si="29"/>
        <v>0</v>
      </c>
      <c r="H572" t="b">
        <f t="shared" si="30"/>
        <v>0</v>
      </c>
      <c r="I572" s="29">
        <f t="shared" si="28"/>
        <v>39647</v>
      </c>
    </row>
    <row r="573" spans="1:9" ht="12.75" hidden="1" customHeight="1" x14ac:dyDescent="0.2">
      <c r="A573" s="28">
        <v>39647</v>
      </c>
      <c r="B573" s="26" t="s">
        <v>681</v>
      </c>
      <c r="C573" s="26" t="s">
        <v>2285</v>
      </c>
      <c r="D573" s="35" t="s">
        <v>20</v>
      </c>
      <c r="E573" s="35">
        <v>25209</v>
      </c>
      <c r="F573" s="35" t="s">
        <v>20</v>
      </c>
      <c r="G573" t="b">
        <f t="shared" si="29"/>
        <v>0</v>
      </c>
      <c r="H573" t="b">
        <f t="shared" si="30"/>
        <v>0</v>
      </c>
      <c r="I573" s="29">
        <f t="shared" si="28"/>
        <v>39647</v>
      </c>
    </row>
    <row r="574" spans="1:9" ht="25.5" hidden="1" x14ac:dyDescent="0.2">
      <c r="A574" s="28">
        <v>39647</v>
      </c>
      <c r="B574" s="26" t="s">
        <v>594</v>
      </c>
      <c r="C574" s="26" t="s">
        <v>9</v>
      </c>
      <c r="D574" s="35" t="s">
        <v>20</v>
      </c>
      <c r="E574" s="35">
        <v>54828</v>
      </c>
      <c r="F574" s="35" t="s">
        <v>20</v>
      </c>
      <c r="G574" t="b">
        <f t="shared" si="29"/>
        <v>0</v>
      </c>
      <c r="H574" t="b">
        <f t="shared" si="30"/>
        <v>0</v>
      </c>
      <c r="I574" s="29">
        <f t="shared" si="28"/>
        <v>39647</v>
      </c>
    </row>
    <row r="575" spans="1:9" ht="12.75" hidden="1" customHeight="1" x14ac:dyDescent="0.2">
      <c r="A575" s="28">
        <v>39648</v>
      </c>
      <c r="B575" s="26" t="s">
        <v>3456</v>
      </c>
      <c r="C575" s="26" t="s">
        <v>9</v>
      </c>
      <c r="D575" s="35" t="s">
        <v>20</v>
      </c>
      <c r="E575" s="35" t="s">
        <v>20</v>
      </c>
      <c r="F575" s="35">
        <v>42563360</v>
      </c>
      <c r="G575" t="b">
        <f t="shared" si="29"/>
        <v>0</v>
      </c>
      <c r="H575" t="b">
        <f t="shared" si="30"/>
        <v>0</v>
      </c>
      <c r="I575" s="29">
        <f t="shared" si="28"/>
        <v>39648</v>
      </c>
    </row>
    <row r="576" spans="1:9" ht="12.75" hidden="1" customHeight="1" x14ac:dyDescent="0.2">
      <c r="A576" s="28">
        <v>39651</v>
      </c>
      <c r="B576" s="26" t="s">
        <v>1966</v>
      </c>
      <c r="C576" s="26" t="s">
        <v>9</v>
      </c>
      <c r="D576" s="35" t="s">
        <v>20</v>
      </c>
      <c r="E576" s="35" t="s">
        <v>20</v>
      </c>
      <c r="F576" s="35" t="s">
        <v>20</v>
      </c>
      <c r="G576" t="b">
        <f t="shared" si="29"/>
        <v>0</v>
      </c>
      <c r="H576" t="b">
        <f t="shared" si="30"/>
        <v>0</v>
      </c>
      <c r="I576" s="29">
        <f t="shared" si="28"/>
        <v>39651</v>
      </c>
    </row>
    <row r="577" spans="1:9" ht="12.75" hidden="1" customHeight="1" x14ac:dyDescent="0.2">
      <c r="A577" s="28">
        <v>39652</v>
      </c>
      <c r="B577" s="26" t="s">
        <v>1752</v>
      </c>
      <c r="C577" s="26" t="s">
        <v>49</v>
      </c>
      <c r="D577" s="35" t="s">
        <v>20</v>
      </c>
      <c r="E577" s="35">
        <v>106368</v>
      </c>
      <c r="F577" s="35" t="s">
        <v>20</v>
      </c>
      <c r="G577" t="b">
        <f t="shared" si="29"/>
        <v>0</v>
      </c>
      <c r="H577" t="b">
        <f t="shared" si="30"/>
        <v>0</v>
      </c>
      <c r="I577" s="29">
        <f t="shared" si="28"/>
        <v>39652</v>
      </c>
    </row>
    <row r="578" spans="1:9" ht="25.5" hidden="1" x14ac:dyDescent="0.2">
      <c r="A578" s="28">
        <v>39652</v>
      </c>
      <c r="B578" s="26" t="s">
        <v>1869</v>
      </c>
      <c r="C578" s="26" t="s">
        <v>9</v>
      </c>
      <c r="D578" s="35" t="s">
        <v>20</v>
      </c>
      <c r="E578" s="35" t="s">
        <v>20</v>
      </c>
      <c r="F578" s="35">
        <v>9046096</v>
      </c>
      <c r="G578" t="b">
        <f t="shared" si="29"/>
        <v>0</v>
      </c>
      <c r="H578" t="b">
        <f t="shared" si="30"/>
        <v>0</v>
      </c>
      <c r="I578" s="29">
        <f t="shared" si="28"/>
        <v>39652</v>
      </c>
    </row>
    <row r="579" spans="1:9" ht="12.75" hidden="1" customHeight="1" x14ac:dyDescent="0.2">
      <c r="A579" s="28">
        <v>39652</v>
      </c>
      <c r="B579" s="26" t="s">
        <v>2956</v>
      </c>
      <c r="C579" s="26" t="s">
        <v>9</v>
      </c>
      <c r="D579" s="35" t="s">
        <v>20</v>
      </c>
      <c r="E579" s="35" t="s">
        <v>20</v>
      </c>
      <c r="F579" s="35">
        <v>8909089</v>
      </c>
      <c r="G579" t="b">
        <f t="shared" si="29"/>
        <v>0</v>
      </c>
      <c r="H579" t="b">
        <f t="shared" si="30"/>
        <v>0</v>
      </c>
      <c r="I579" s="29">
        <f t="shared" ref="I579:I642" si="31">DATE(2008,MONTH(A579), DAY(A579))</f>
        <v>39652</v>
      </c>
    </row>
    <row r="580" spans="1:9" ht="25.5" hidden="1" x14ac:dyDescent="0.2">
      <c r="A580" s="28">
        <v>39654</v>
      </c>
      <c r="B580" s="26" t="s">
        <v>956</v>
      </c>
      <c r="C580" s="26" t="s">
        <v>9</v>
      </c>
      <c r="D580" s="35" t="s">
        <v>20</v>
      </c>
      <c r="E580" s="35" t="s">
        <v>20</v>
      </c>
      <c r="F580" s="35">
        <v>1362184</v>
      </c>
      <c r="G580" t="b">
        <f t="shared" si="29"/>
        <v>0</v>
      </c>
      <c r="H580" t="b">
        <f t="shared" si="30"/>
        <v>0</v>
      </c>
      <c r="I580" s="29">
        <f t="shared" si="31"/>
        <v>39654</v>
      </c>
    </row>
    <row r="581" spans="1:9" ht="25.5" hidden="1" x14ac:dyDescent="0.2">
      <c r="A581" s="28">
        <v>39654</v>
      </c>
      <c r="B581" s="26" t="s">
        <v>745</v>
      </c>
      <c r="C581" s="26" t="s">
        <v>729</v>
      </c>
      <c r="D581" s="35" t="s">
        <v>20</v>
      </c>
      <c r="E581" s="35">
        <v>106100</v>
      </c>
      <c r="F581" s="35" t="s">
        <v>20</v>
      </c>
      <c r="G581" t="b">
        <f t="shared" si="29"/>
        <v>0</v>
      </c>
      <c r="H581" t="b">
        <f t="shared" si="30"/>
        <v>0</v>
      </c>
      <c r="I581" s="29">
        <f t="shared" si="31"/>
        <v>39654</v>
      </c>
    </row>
    <row r="582" spans="1:9" ht="12.75" hidden="1" customHeight="1" x14ac:dyDescent="0.2">
      <c r="A582" s="28">
        <v>39654</v>
      </c>
      <c r="B582" s="26" t="s">
        <v>2713</v>
      </c>
      <c r="C582" s="26" t="s">
        <v>2777</v>
      </c>
      <c r="D582" s="35" t="s">
        <v>20</v>
      </c>
      <c r="E582" s="35" t="s">
        <v>20</v>
      </c>
      <c r="F582" s="35" t="s">
        <v>20</v>
      </c>
      <c r="G582" t="b">
        <f t="shared" si="29"/>
        <v>0</v>
      </c>
      <c r="H582" t="b">
        <f t="shared" si="30"/>
        <v>0</v>
      </c>
      <c r="I582" s="29">
        <f t="shared" si="31"/>
        <v>39654</v>
      </c>
    </row>
    <row r="583" spans="1:9" ht="25.5" hidden="1" x14ac:dyDescent="0.2">
      <c r="A583" s="28">
        <v>39654</v>
      </c>
      <c r="B583" s="26" t="s">
        <v>2948</v>
      </c>
      <c r="C583" s="26" t="s">
        <v>842</v>
      </c>
      <c r="D583" s="35" t="s">
        <v>20</v>
      </c>
      <c r="E583" s="35">
        <v>59400</v>
      </c>
      <c r="F583" s="35" t="s">
        <v>20</v>
      </c>
      <c r="G583" t="b">
        <f t="shared" si="29"/>
        <v>0</v>
      </c>
      <c r="H583" t="b">
        <f t="shared" si="30"/>
        <v>0</v>
      </c>
      <c r="I583" s="29">
        <f t="shared" si="31"/>
        <v>39654</v>
      </c>
    </row>
    <row r="584" spans="1:9" ht="12.75" hidden="1" customHeight="1" x14ac:dyDescent="0.2">
      <c r="A584" s="28">
        <v>39654</v>
      </c>
      <c r="B584" s="26" t="s">
        <v>2440</v>
      </c>
      <c r="C584" s="26" t="s">
        <v>2621</v>
      </c>
      <c r="D584" s="35" t="s">
        <v>20</v>
      </c>
      <c r="E584" s="35">
        <v>2962242</v>
      </c>
      <c r="F584" s="35">
        <v>5416599</v>
      </c>
      <c r="G584" t="b">
        <f t="shared" si="29"/>
        <v>0</v>
      </c>
      <c r="H584" t="b">
        <f t="shared" si="30"/>
        <v>0</v>
      </c>
      <c r="I584" s="29">
        <f t="shared" si="31"/>
        <v>39654</v>
      </c>
    </row>
    <row r="585" spans="1:9" ht="25.5" hidden="1" x14ac:dyDescent="0.2">
      <c r="A585" s="28">
        <v>39654</v>
      </c>
      <c r="B585" s="26" t="s">
        <v>896</v>
      </c>
      <c r="C585" s="26" t="s">
        <v>384</v>
      </c>
      <c r="D585" s="35">
        <v>35000000</v>
      </c>
      <c r="E585" s="35">
        <v>20982478</v>
      </c>
      <c r="F585" s="35">
        <v>68369434</v>
      </c>
      <c r="G585" t="b">
        <f t="shared" si="29"/>
        <v>0</v>
      </c>
      <c r="H585" t="b">
        <f t="shared" si="30"/>
        <v>0</v>
      </c>
      <c r="I585" s="29">
        <f t="shared" si="31"/>
        <v>39654</v>
      </c>
    </row>
    <row r="586" spans="1:9" ht="25.5" hidden="1" x14ac:dyDescent="0.2">
      <c r="A586" s="28">
        <v>39654</v>
      </c>
      <c r="B586" s="26" t="s">
        <v>879</v>
      </c>
      <c r="C586" s="26" t="s">
        <v>2180</v>
      </c>
      <c r="D586" s="35" t="s">
        <v>20</v>
      </c>
      <c r="E586" s="35">
        <v>65025</v>
      </c>
      <c r="F586" s="35">
        <v>170226</v>
      </c>
      <c r="G586" t="b">
        <f t="shared" si="29"/>
        <v>0</v>
      </c>
      <c r="H586" t="b">
        <f t="shared" si="30"/>
        <v>0</v>
      </c>
      <c r="I586" s="29">
        <f t="shared" si="31"/>
        <v>39654</v>
      </c>
    </row>
    <row r="587" spans="1:9" ht="38.25" hidden="1" x14ac:dyDescent="0.2">
      <c r="A587" s="28">
        <v>39654</v>
      </c>
      <c r="B587" s="26" t="s">
        <v>3184</v>
      </c>
      <c r="C587" s="26" t="s">
        <v>9</v>
      </c>
      <c r="D587" s="35" t="s">
        <v>20</v>
      </c>
      <c r="E587" s="35" t="s">
        <v>20</v>
      </c>
      <c r="F587" s="35">
        <v>13835569</v>
      </c>
      <c r="G587" t="b">
        <f t="shared" si="29"/>
        <v>0</v>
      </c>
      <c r="H587" t="b">
        <f t="shared" si="30"/>
        <v>0</v>
      </c>
      <c r="I587" s="29">
        <f t="shared" si="31"/>
        <v>39654</v>
      </c>
    </row>
    <row r="588" spans="1:9" ht="25.5" hidden="1" x14ac:dyDescent="0.2">
      <c r="A588" s="28">
        <v>39654</v>
      </c>
      <c r="B588" s="26" t="s">
        <v>2936</v>
      </c>
      <c r="C588" s="26" t="s">
        <v>9</v>
      </c>
      <c r="D588" s="35">
        <v>16000000</v>
      </c>
      <c r="E588" s="35">
        <v>1477650</v>
      </c>
      <c r="F588" s="35">
        <v>247474497</v>
      </c>
      <c r="G588" t="b">
        <f t="shared" si="29"/>
        <v>0</v>
      </c>
      <c r="H588" t="b">
        <f t="shared" si="30"/>
        <v>0</v>
      </c>
      <c r="I588" s="29">
        <f t="shared" si="31"/>
        <v>39654</v>
      </c>
    </row>
    <row r="589" spans="1:9" ht="12.75" hidden="1" customHeight="1" x14ac:dyDescent="0.2">
      <c r="A589" s="28">
        <v>39654</v>
      </c>
      <c r="B589" s="26" t="s">
        <v>3264</v>
      </c>
      <c r="C589" s="26" t="s">
        <v>9</v>
      </c>
      <c r="D589" s="35" t="s">
        <v>20</v>
      </c>
      <c r="E589" s="35">
        <v>29269</v>
      </c>
      <c r="F589" s="35">
        <v>2997278</v>
      </c>
      <c r="G589" t="b">
        <f t="shared" si="29"/>
        <v>0</v>
      </c>
      <c r="H589" t="b">
        <f t="shared" si="30"/>
        <v>0</v>
      </c>
      <c r="I589" s="29">
        <f t="shared" si="31"/>
        <v>39654</v>
      </c>
    </row>
    <row r="590" spans="1:9" ht="38.25" hidden="1" x14ac:dyDescent="0.2">
      <c r="A590" s="28">
        <v>39654</v>
      </c>
      <c r="B590" s="26" t="s">
        <v>1688</v>
      </c>
      <c r="C590" s="26" t="s">
        <v>2837</v>
      </c>
      <c r="D590" s="35" t="s">
        <v>20</v>
      </c>
      <c r="E590" s="35">
        <v>6432256</v>
      </c>
      <c r="F590" s="35">
        <v>7848036</v>
      </c>
      <c r="G590" t="b">
        <f t="shared" si="29"/>
        <v>0</v>
      </c>
      <c r="H590" t="b">
        <f t="shared" si="30"/>
        <v>0</v>
      </c>
      <c r="I590" s="29">
        <f t="shared" si="31"/>
        <v>39654</v>
      </c>
    </row>
    <row r="591" spans="1:9" ht="25.5" hidden="1" x14ac:dyDescent="0.2">
      <c r="A591" s="28">
        <v>39654</v>
      </c>
      <c r="B591" s="26" t="s">
        <v>2671</v>
      </c>
      <c r="C591" s="26" t="s">
        <v>999</v>
      </c>
      <c r="D591" s="35" t="s">
        <v>20</v>
      </c>
      <c r="E591" s="35">
        <v>942441</v>
      </c>
      <c r="F591" s="35">
        <v>989319</v>
      </c>
      <c r="G591" t="b">
        <f t="shared" si="29"/>
        <v>0</v>
      </c>
      <c r="H591" t="b">
        <f t="shared" si="30"/>
        <v>0</v>
      </c>
      <c r="I591" s="29">
        <f t="shared" si="31"/>
        <v>39654</v>
      </c>
    </row>
    <row r="592" spans="1:9" ht="12.75" hidden="1" customHeight="1" x14ac:dyDescent="0.2">
      <c r="A592" s="28">
        <v>39654</v>
      </c>
      <c r="B592" s="26" t="s">
        <v>66</v>
      </c>
      <c r="C592" s="26" t="s">
        <v>2160</v>
      </c>
      <c r="D592" s="35">
        <v>65000000</v>
      </c>
      <c r="E592" s="35">
        <v>100468793</v>
      </c>
      <c r="F592" s="35">
        <v>128468793</v>
      </c>
      <c r="G592" t="b">
        <f t="shared" si="29"/>
        <v>0</v>
      </c>
      <c r="H592" t="b">
        <f t="shared" si="30"/>
        <v>0</v>
      </c>
      <c r="I592" s="29">
        <f t="shared" si="31"/>
        <v>39654</v>
      </c>
    </row>
    <row r="593" spans="1:9" ht="25.5" hidden="1" x14ac:dyDescent="0.2">
      <c r="A593" s="28">
        <v>39658</v>
      </c>
      <c r="B593" s="26" t="s">
        <v>2698</v>
      </c>
      <c r="C593" s="26" t="s">
        <v>9</v>
      </c>
      <c r="D593" s="35" t="s">
        <v>20</v>
      </c>
      <c r="E593" s="35" t="s">
        <v>20</v>
      </c>
      <c r="F593" s="35" t="s">
        <v>20</v>
      </c>
      <c r="G593" t="b">
        <f t="shared" si="29"/>
        <v>0</v>
      </c>
      <c r="H593" t="b">
        <f t="shared" si="30"/>
        <v>0</v>
      </c>
      <c r="I593" s="29">
        <f t="shared" si="31"/>
        <v>39658</v>
      </c>
    </row>
    <row r="594" spans="1:9" ht="25.5" hidden="1" x14ac:dyDescent="0.2">
      <c r="A594" s="28">
        <v>39658</v>
      </c>
      <c r="B594" s="26" t="s">
        <v>436</v>
      </c>
      <c r="C594" s="26" t="s">
        <v>3209</v>
      </c>
      <c r="D594" s="35" t="s">
        <v>20</v>
      </c>
      <c r="E594" s="35" t="s">
        <v>20</v>
      </c>
      <c r="F594" s="35" t="s">
        <v>20</v>
      </c>
      <c r="G594" t="b">
        <f t="shared" si="29"/>
        <v>0</v>
      </c>
      <c r="H594" t="b">
        <f t="shared" si="30"/>
        <v>0</v>
      </c>
      <c r="I594" s="29">
        <f t="shared" si="31"/>
        <v>39658</v>
      </c>
    </row>
    <row r="595" spans="1:9" ht="25.5" hidden="1" x14ac:dyDescent="0.2">
      <c r="A595" s="28">
        <v>39660</v>
      </c>
      <c r="B595" s="26" t="s">
        <v>2910</v>
      </c>
      <c r="C595" s="26" t="s">
        <v>9</v>
      </c>
      <c r="D595" s="35" t="s">
        <v>20</v>
      </c>
      <c r="E595" s="35" t="s">
        <v>20</v>
      </c>
      <c r="F595" s="35">
        <v>1870552</v>
      </c>
      <c r="G595" t="b">
        <f t="shared" si="29"/>
        <v>0</v>
      </c>
      <c r="H595" t="b">
        <f t="shared" si="30"/>
        <v>0</v>
      </c>
      <c r="I595" s="29">
        <f t="shared" si="31"/>
        <v>39660</v>
      </c>
    </row>
    <row r="596" spans="1:9" ht="12.75" hidden="1" customHeight="1" x14ac:dyDescent="0.2">
      <c r="A596" s="28">
        <v>39660</v>
      </c>
      <c r="B596" s="26" t="s">
        <v>666</v>
      </c>
      <c r="C596" s="26" t="s">
        <v>9</v>
      </c>
      <c r="D596" s="35" t="s">
        <v>20</v>
      </c>
      <c r="E596" s="35" t="s">
        <v>20</v>
      </c>
      <c r="F596" s="35">
        <v>12314832</v>
      </c>
      <c r="G596" t="b">
        <f t="shared" si="29"/>
        <v>0</v>
      </c>
      <c r="H596" t="b">
        <f t="shared" si="30"/>
        <v>0</v>
      </c>
      <c r="I596" s="29">
        <f t="shared" si="31"/>
        <v>39660</v>
      </c>
    </row>
    <row r="597" spans="1:9" ht="12.75" hidden="1" customHeight="1" x14ac:dyDescent="0.2">
      <c r="A597" s="28">
        <v>39661</v>
      </c>
      <c r="B597" s="26" t="s">
        <v>710</v>
      </c>
      <c r="C597" s="26" t="s">
        <v>9</v>
      </c>
      <c r="D597" s="35">
        <v>21000000</v>
      </c>
      <c r="E597" s="35">
        <v>16289867</v>
      </c>
      <c r="F597" s="35">
        <v>17589867</v>
      </c>
      <c r="G597" t="b">
        <f t="shared" si="29"/>
        <v>0</v>
      </c>
      <c r="H597" t="b">
        <f t="shared" si="30"/>
        <v>0</v>
      </c>
      <c r="I597" s="29">
        <f t="shared" si="31"/>
        <v>39661</v>
      </c>
    </row>
    <row r="598" spans="1:9" ht="25.5" hidden="1" x14ac:dyDescent="0.2">
      <c r="A598" s="28">
        <v>39661</v>
      </c>
      <c r="B598" s="26" t="s">
        <v>1474</v>
      </c>
      <c r="C598" s="26" t="s">
        <v>9</v>
      </c>
      <c r="D598" s="35" t="s">
        <v>20</v>
      </c>
      <c r="E598" s="35">
        <v>86356</v>
      </c>
      <c r="F598" s="35">
        <v>11090730</v>
      </c>
      <c r="G598" t="b">
        <f t="shared" si="29"/>
        <v>0</v>
      </c>
      <c r="H598" t="b">
        <f t="shared" si="30"/>
        <v>0</v>
      </c>
      <c r="I598" s="29">
        <f t="shared" si="31"/>
        <v>39661</v>
      </c>
    </row>
    <row r="599" spans="1:9" ht="25.5" hidden="1" x14ac:dyDescent="0.2">
      <c r="A599" s="28">
        <v>39661</v>
      </c>
      <c r="B599" s="26" t="s">
        <v>1184</v>
      </c>
      <c r="C599" s="26" t="s">
        <v>1542</v>
      </c>
      <c r="D599" s="35" t="s">
        <v>20</v>
      </c>
      <c r="E599" s="35">
        <v>224614</v>
      </c>
      <c r="F599" s="35" t="s">
        <v>20</v>
      </c>
      <c r="G599" t="b">
        <f t="shared" si="29"/>
        <v>0</v>
      </c>
      <c r="H599" t="b">
        <f t="shared" si="30"/>
        <v>0</v>
      </c>
      <c r="I599" s="29">
        <f t="shared" si="31"/>
        <v>39661</v>
      </c>
    </row>
    <row r="600" spans="1:9" ht="25.5" hidden="1" x14ac:dyDescent="0.2">
      <c r="A600" s="28">
        <v>39661</v>
      </c>
      <c r="B600" s="26" t="s">
        <v>2733</v>
      </c>
      <c r="C600" s="26" t="s">
        <v>2118</v>
      </c>
      <c r="D600" s="35" t="s">
        <v>20</v>
      </c>
      <c r="E600" s="35">
        <v>4740</v>
      </c>
      <c r="F600" s="35" t="s">
        <v>20</v>
      </c>
      <c r="G600" t="b">
        <f t="shared" si="29"/>
        <v>0</v>
      </c>
      <c r="H600" t="b">
        <f t="shared" si="30"/>
        <v>0</v>
      </c>
      <c r="I600" s="29">
        <f t="shared" si="31"/>
        <v>39661</v>
      </c>
    </row>
    <row r="601" spans="1:9" ht="25.5" hidden="1" x14ac:dyDescent="0.2">
      <c r="A601" s="28">
        <v>39661</v>
      </c>
      <c r="B601" s="26" t="s">
        <v>1592</v>
      </c>
      <c r="C601" s="26" t="s">
        <v>1393</v>
      </c>
      <c r="D601" s="35" t="s">
        <v>20</v>
      </c>
      <c r="E601" s="35">
        <v>172177</v>
      </c>
      <c r="F601" s="35" t="s">
        <v>20</v>
      </c>
      <c r="G601" t="b">
        <f t="shared" si="29"/>
        <v>0</v>
      </c>
      <c r="H601" t="b">
        <f t="shared" si="30"/>
        <v>0</v>
      </c>
      <c r="I601" s="29">
        <f t="shared" si="31"/>
        <v>39661</v>
      </c>
    </row>
    <row r="602" spans="1:9" ht="25.5" hidden="1" x14ac:dyDescent="0.2">
      <c r="A602" s="28">
        <v>39661</v>
      </c>
      <c r="B602" s="26" t="s">
        <v>3323</v>
      </c>
      <c r="C602" s="26" t="s">
        <v>2797</v>
      </c>
      <c r="D602" s="35" t="s">
        <v>20</v>
      </c>
      <c r="E602" s="35">
        <v>712036</v>
      </c>
      <c r="F602" s="35" t="s">
        <v>20</v>
      </c>
      <c r="G602" t="b">
        <f t="shared" si="29"/>
        <v>0</v>
      </c>
      <c r="H602" t="b">
        <f t="shared" si="30"/>
        <v>0</v>
      </c>
      <c r="I602" s="29">
        <f t="shared" si="31"/>
        <v>39661</v>
      </c>
    </row>
    <row r="603" spans="1:9" ht="12.75" hidden="1" customHeight="1" x14ac:dyDescent="0.2">
      <c r="A603" s="28">
        <v>39661</v>
      </c>
      <c r="B603" s="26" t="s">
        <v>2691</v>
      </c>
      <c r="C603" s="26" t="s">
        <v>1712</v>
      </c>
      <c r="D603" s="35" t="s">
        <v>20</v>
      </c>
      <c r="E603" s="35">
        <v>7362</v>
      </c>
      <c r="F603" s="35">
        <v>1051100</v>
      </c>
      <c r="G603" t="b">
        <f t="shared" si="29"/>
        <v>0</v>
      </c>
      <c r="H603" t="b">
        <f t="shared" si="30"/>
        <v>0</v>
      </c>
      <c r="I603" s="29">
        <f t="shared" si="31"/>
        <v>39661</v>
      </c>
    </row>
    <row r="604" spans="1:9" ht="12.75" hidden="1" customHeight="1" x14ac:dyDescent="0.2">
      <c r="A604" s="28">
        <v>39661</v>
      </c>
      <c r="B604" s="26" t="s">
        <v>1576</v>
      </c>
      <c r="C604" s="26" t="s">
        <v>612</v>
      </c>
      <c r="D604" s="35">
        <v>1000000</v>
      </c>
      <c r="E604" s="35">
        <v>2503902</v>
      </c>
      <c r="F604" s="35">
        <v>5281776</v>
      </c>
      <c r="G604" t="b">
        <f t="shared" si="29"/>
        <v>0</v>
      </c>
      <c r="H604" t="b">
        <f t="shared" si="30"/>
        <v>0</v>
      </c>
      <c r="I604" s="29">
        <f t="shared" si="31"/>
        <v>39661</v>
      </c>
    </row>
    <row r="605" spans="1:9" ht="12.75" hidden="1" customHeight="1" x14ac:dyDescent="0.2">
      <c r="A605" s="28">
        <v>39661</v>
      </c>
      <c r="B605" s="26" t="s">
        <v>2689</v>
      </c>
      <c r="C605" s="26" t="s">
        <v>9</v>
      </c>
      <c r="D605" s="35" t="s">
        <v>20</v>
      </c>
      <c r="E605" s="35" t="s">
        <v>20</v>
      </c>
      <c r="F605" s="35">
        <v>6282049</v>
      </c>
      <c r="G605" t="b">
        <f t="shared" si="29"/>
        <v>0</v>
      </c>
      <c r="H605" t="b">
        <f t="shared" si="30"/>
        <v>0</v>
      </c>
      <c r="I605" s="29">
        <f t="shared" si="31"/>
        <v>39661</v>
      </c>
    </row>
    <row r="606" spans="1:9" ht="25.5" hidden="1" x14ac:dyDescent="0.2">
      <c r="A606" s="28">
        <v>39661</v>
      </c>
      <c r="B606" s="26" t="s">
        <v>3362</v>
      </c>
      <c r="C606" s="26" t="s">
        <v>3419</v>
      </c>
      <c r="D606" s="35" t="s">
        <v>20</v>
      </c>
      <c r="E606" s="35">
        <v>73548</v>
      </c>
      <c r="F606" s="35">
        <v>1590246</v>
      </c>
      <c r="G606" t="b">
        <f t="shared" si="29"/>
        <v>0</v>
      </c>
      <c r="H606" t="b">
        <f t="shared" si="30"/>
        <v>0</v>
      </c>
      <c r="I606" s="29">
        <f t="shared" si="31"/>
        <v>39661</v>
      </c>
    </row>
    <row r="607" spans="1:9" ht="38.25" hidden="1" x14ac:dyDescent="0.2">
      <c r="A607" s="28">
        <v>39661</v>
      </c>
      <c r="B607" s="26" t="s">
        <v>143</v>
      </c>
      <c r="C607" s="26" t="s">
        <v>3096</v>
      </c>
      <c r="D607" s="35">
        <v>175000000</v>
      </c>
      <c r="E607" s="35">
        <v>102491776</v>
      </c>
      <c r="F607" s="35">
        <v>397912118</v>
      </c>
      <c r="G607" t="b">
        <f t="shared" si="29"/>
        <v>0</v>
      </c>
      <c r="H607" t="b">
        <f t="shared" si="30"/>
        <v>0</v>
      </c>
      <c r="I607" s="29">
        <f t="shared" si="31"/>
        <v>39661</v>
      </c>
    </row>
    <row r="608" spans="1:9" ht="38.25" hidden="1" x14ac:dyDescent="0.2">
      <c r="A608" s="28">
        <v>39662</v>
      </c>
      <c r="B608" s="26" t="s">
        <v>1130</v>
      </c>
      <c r="C608" s="26" t="s">
        <v>9</v>
      </c>
      <c r="D608" s="35" t="s">
        <v>20</v>
      </c>
      <c r="E608" s="35" t="s">
        <v>20</v>
      </c>
      <c r="F608" s="35" t="s">
        <v>20</v>
      </c>
      <c r="G608" t="b">
        <f t="shared" si="29"/>
        <v>0</v>
      </c>
      <c r="H608" t="b">
        <f t="shared" si="30"/>
        <v>0</v>
      </c>
      <c r="I608" s="29">
        <f t="shared" si="31"/>
        <v>39662</v>
      </c>
    </row>
    <row r="609" spans="1:9" ht="12.75" hidden="1" customHeight="1" x14ac:dyDescent="0.2">
      <c r="A609" s="28">
        <v>39662</v>
      </c>
      <c r="B609" s="26" t="s">
        <v>246</v>
      </c>
      <c r="C609" s="26" t="s">
        <v>9</v>
      </c>
      <c r="D609" s="35" t="s">
        <v>20</v>
      </c>
      <c r="E609" s="35" t="s">
        <v>20</v>
      </c>
      <c r="F609" s="35">
        <v>2707659</v>
      </c>
      <c r="G609" t="b">
        <f t="shared" si="29"/>
        <v>0</v>
      </c>
      <c r="H609" t="b">
        <f t="shared" si="30"/>
        <v>0</v>
      </c>
      <c r="I609" s="29">
        <f t="shared" si="31"/>
        <v>39662</v>
      </c>
    </row>
    <row r="610" spans="1:9" ht="25.5" hidden="1" x14ac:dyDescent="0.2">
      <c r="A610" s="28">
        <v>39665</v>
      </c>
      <c r="B610" s="26" t="s">
        <v>36</v>
      </c>
      <c r="C610" s="26" t="s">
        <v>2160</v>
      </c>
      <c r="D610" s="35" t="s">
        <v>20</v>
      </c>
      <c r="E610" s="35" t="s">
        <v>20</v>
      </c>
      <c r="F610" s="35" t="s">
        <v>20</v>
      </c>
      <c r="G610" t="b">
        <f t="shared" ref="G610:G673" si="32">ISBLANK(A610)</f>
        <v>0</v>
      </c>
      <c r="H610" t="b">
        <f t="shared" ref="H610:H673" si="33">ISTEXT(A610)</f>
        <v>0</v>
      </c>
      <c r="I610" s="29">
        <f t="shared" si="31"/>
        <v>39665</v>
      </c>
    </row>
    <row r="611" spans="1:9" ht="12.75" hidden="1" customHeight="1" x14ac:dyDescent="0.2">
      <c r="A611" s="28">
        <v>39666</v>
      </c>
      <c r="B611" s="26" t="s">
        <v>256</v>
      </c>
      <c r="C611" s="26" t="s">
        <v>9</v>
      </c>
      <c r="D611" s="35" t="s">
        <v>20</v>
      </c>
      <c r="E611" s="35" t="s">
        <v>20</v>
      </c>
      <c r="F611" s="35">
        <v>9370310</v>
      </c>
      <c r="G611" t="b">
        <f t="shared" si="32"/>
        <v>0</v>
      </c>
      <c r="H611" t="b">
        <f t="shared" si="33"/>
        <v>0</v>
      </c>
      <c r="I611" s="29">
        <f t="shared" si="31"/>
        <v>39666</v>
      </c>
    </row>
    <row r="612" spans="1:9" ht="25.5" hidden="1" x14ac:dyDescent="0.2">
      <c r="A612" s="28">
        <v>39666</v>
      </c>
      <c r="B612" s="26" t="s">
        <v>1321</v>
      </c>
      <c r="C612" s="26" t="s">
        <v>2160</v>
      </c>
      <c r="D612" s="35">
        <v>26000000</v>
      </c>
      <c r="E612" s="35">
        <v>87341380</v>
      </c>
      <c r="F612" s="35">
        <v>101549277</v>
      </c>
      <c r="G612" t="b">
        <f t="shared" si="32"/>
        <v>0</v>
      </c>
      <c r="H612" t="b">
        <f t="shared" si="33"/>
        <v>0</v>
      </c>
      <c r="I612" s="29">
        <f t="shared" si="31"/>
        <v>39666</v>
      </c>
    </row>
    <row r="613" spans="1:9" ht="25.5" hidden="1" x14ac:dyDescent="0.2">
      <c r="A613" s="28">
        <v>39666</v>
      </c>
      <c r="B613" s="26" t="s">
        <v>2490</v>
      </c>
      <c r="C613" s="26" t="s">
        <v>150</v>
      </c>
      <c r="D613" s="35" t="s">
        <v>20</v>
      </c>
      <c r="E613" s="35">
        <v>4078607</v>
      </c>
      <c r="F613" s="35">
        <v>4118745</v>
      </c>
      <c r="G613" t="b">
        <f t="shared" si="32"/>
        <v>0</v>
      </c>
      <c r="H613" t="b">
        <f t="shared" si="33"/>
        <v>0</v>
      </c>
      <c r="I613" s="29">
        <f t="shared" si="31"/>
        <v>39666</v>
      </c>
    </row>
    <row r="614" spans="1:9" ht="38.25" hidden="1" x14ac:dyDescent="0.2">
      <c r="A614" s="28">
        <v>39666</v>
      </c>
      <c r="B614" s="26" t="s">
        <v>701</v>
      </c>
      <c r="C614" s="26" t="s">
        <v>3209</v>
      </c>
      <c r="D614" s="35">
        <v>27000000</v>
      </c>
      <c r="E614" s="35">
        <v>44089964</v>
      </c>
      <c r="F614" s="35">
        <v>44154645</v>
      </c>
      <c r="G614" t="b">
        <f t="shared" si="32"/>
        <v>0</v>
      </c>
      <c r="H614" t="b">
        <f t="shared" si="33"/>
        <v>0</v>
      </c>
      <c r="I614" s="29">
        <f t="shared" si="31"/>
        <v>39666</v>
      </c>
    </row>
    <row r="615" spans="1:9" ht="12.75" hidden="1" customHeight="1" x14ac:dyDescent="0.2">
      <c r="A615" s="28">
        <v>39668</v>
      </c>
      <c r="B615" s="26" t="s">
        <v>1270</v>
      </c>
      <c r="C615" s="26" t="s">
        <v>2582</v>
      </c>
      <c r="D615" s="35" t="s">
        <v>20</v>
      </c>
      <c r="E615" s="35">
        <v>2523511</v>
      </c>
      <c r="F615" s="35">
        <v>29339790</v>
      </c>
      <c r="G615" t="b">
        <f t="shared" si="32"/>
        <v>0</v>
      </c>
      <c r="H615" t="b">
        <f t="shared" si="33"/>
        <v>0</v>
      </c>
      <c r="I615" s="29">
        <f t="shared" si="31"/>
        <v>39668</v>
      </c>
    </row>
    <row r="616" spans="1:9" ht="12.75" hidden="1" customHeight="1" x14ac:dyDescent="0.2">
      <c r="A616" s="28">
        <v>39668</v>
      </c>
      <c r="B616" s="26" t="s">
        <v>627</v>
      </c>
      <c r="C616" s="26" t="s">
        <v>3105</v>
      </c>
      <c r="D616" s="35" t="s">
        <v>20</v>
      </c>
      <c r="E616" s="35">
        <v>56386</v>
      </c>
      <c r="F616" s="35" t="s">
        <v>20</v>
      </c>
      <c r="G616" t="b">
        <f t="shared" si="32"/>
        <v>0</v>
      </c>
      <c r="H616" t="b">
        <f t="shared" si="33"/>
        <v>0</v>
      </c>
      <c r="I616" s="29">
        <f t="shared" si="31"/>
        <v>39668</v>
      </c>
    </row>
    <row r="617" spans="1:9" ht="12.75" hidden="1" customHeight="1" x14ac:dyDescent="0.2">
      <c r="A617" s="28">
        <v>39668</v>
      </c>
      <c r="B617" s="26" t="s">
        <v>3313</v>
      </c>
      <c r="C617" s="26" t="s">
        <v>49</v>
      </c>
      <c r="D617" s="35" t="s">
        <v>20</v>
      </c>
      <c r="E617" s="35">
        <v>213608</v>
      </c>
      <c r="F617" s="35" t="s">
        <v>20</v>
      </c>
      <c r="G617" t="b">
        <f t="shared" si="32"/>
        <v>0</v>
      </c>
      <c r="H617" t="b">
        <f t="shared" si="33"/>
        <v>0</v>
      </c>
      <c r="I617" s="29">
        <f t="shared" si="31"/>
        <v>39668</v>
      </c>
    </row>
    <row r="618" spans="1:9" ht="25.5" hidden="1" x14ac:dyDescent="0.2">
      <c r="A618" s="28">
        <v>39668</v>
      </c>
      <c r="B618" s="26" t="s">
        <v>2381</v>
      </c>
      <c r="C618" s="26" t="s">
        <v>610</v>
      </c>
      <c r="D618" s="35" t="s">
        <v>20</v>
      </c>
      <c r="E618" s="35">
        <v>58776</v>
      </c>
      <c r="F618" s="35" t="s">
        <v>20</v>
      </c>
      <c r="G618" t="b">
        <f t="shared" si="32"/>
        <v>0</v>
      </c>
      <c r="H618" t="b">
        <f t="shared" si="33"/>
        <v>0</v>
      </c>
      <c r="I618" s="29">
        <f t="shared" si="31"/>
        <v>39668</v>
      </c>
    </row>
    <row r="619" spans="1:9" ht="12.75" hidden="1" customHeight="1" x14ac:dyDescent="0.2">
      <c r="A619" s="28">
        <v>39668</v>
      </c>
      <c r="B619" s="26" t="s">
        <v>1179</v>
      </c>
      <c r="C619" s="26" t="s">
        <v>2779</v>
      </c>
      <c r="D619" s="35" t="s">
        <v>20</v>
      </c>
      <c r="E619" s="35">
        <v>3577210</v>
      </c>
      <c r="F619" s="35">
        <v>11459039</v>
      </c>
      <c r="G619" t="b">
        <f t="shared" si="32"/>
        <v>0</v>
      </c>
      <c r="H619" t="b">
        <f t="shared" si="33"/>
        <v>0</v>
      </c>
      <c r="I619" s="29">
        <f t="shared" si="31"/>
        <v>39668</v>
      </c>
    </row>
    <row r="620" spans="1:9" ht="25.5" hidden="1" x14ac:dyDescent="0.2">
      <c r="A620" s="28">
        <v>39668</v>
      </c>
      <c r="B620" s="26" t="s">
        <v>2424</v>
      </c>
      <c r="C620" s="26" t="s">
        <v>9</v>
      </c>
      <c r="D620" s="35" t="s">
        <v>20</v>
      </c>
      <c r="E620" s="35">
        <v>666045</v>
      </c>
      <c r="F620" s="35" t="s">
        <v>20</v>
      </c>
      <c r="G620" t="b">
        <f t="shared" si="32"/>
        <v>0</v>
      </c>
      <c r="H620" t="b">
        <f t="shared" si="33"/>
        <v>0</v>
      </c>
      <c r="I620" s="29">
        <f t="shared" si="31"/>
        <v>39668</v>
      </c>
    </row>
    <row r="621" spans="1:9" ht="12.75" hidden="1" customHeight="1" x14ac:dyDescent="0.2">
      <c r="A621" s="28">
        <v>39668</v>
      </c>
      <c r="B621" s="26" t="s">
        <v>1758</v>
      </c>
      <c r="C621" s="26" t="s">
        <v>2621</v>
      </c>
      <c r="D621" s="35" t="s">
        <v>20</v>
      </c>
      <c r="E621" s="35">
        <v>4643</v>
      </c>
      <c r="F621" s="35" t="s">
        <v>20</v>
      </c>
      <c r="G621" t="b">
        <f t="shared" si="32"/>
        <v>0</v>
      </c>
      <c r="H621" t="b">
        <f t="shared" si="33"/>
        <v>0</v>
      </c>
      <c r="I621" s="29">
        <f t="shared" si="31"/>
        <v>39668</v>
      </c>
    </row>
    <row r="622" spans="1:9" ht="38.25" hidden="1" x14ac:dyDescent="0.2">
      <c r="A622" s="28">
        <v>39669</v>
      </c>
      <c r="B622" s="26" t="s">
        <v>525</v>
      </c>
      <c r="C622" s="26" t="s">
        <v>9</v>
      </c>
      <c r="D622" s="35" t="s">
        <v>20</v>
      </c>
      <c r="E622" s="35" t="s">
        <v>20</v>
      </c>
      <c r="F622" s="35">
        <v>6569478</v>
      </c>
      <c r="G622" t="b">
        <f t="shared" si="32"/>
        <v>0</v>
      </c>
      <c r="H622" t="b">
        <f t="shared" si="33"/>
        <v>0</v>
      </c>
      <c r="I622" s="29">
        <f t="shared" si="31"/>
        <v>39669</v>
      </c>
    </row>
    <row r="623" spans="1:9" ht="12.75" hidden="1" customHeight="1" x14ac:dyDescent="0.2">
      <c r="A623" s="28">
        <v>39672</v>
      </c>
      <c r="B623" s="26" t="s">
        <v>1407</v>
      </c>
      <c r="C623" s="26" t="s">
        <v>9</v>
      </c>
      <c r="D623" s="35" t="s">
        <v>20</v>
      </c>
      <c r="E623" s="35" t="s">
        <v>20</v>
      </c>
      <c r="F623" s="35" t="s">
        <v>20</v>
      </c>
      <c r="G623" t="b">
        <f t="shared" si="32"/>
        <v>0</v>
      </c>
      <c r="H623" t="b">
        <f t="shared" si="33"/>
        <v>0</v>
      </c>
      <c r="I623" s="29">
        <f t="shared" si="31"/>
        <v>39672</v>
      </c>
    </row>
    <row r="624" spans="1:9" ht="25.5" hidden="1" x14ac:dyDescent="0.2">
      <c r="A624" s="28">
        <v>39672</v>
      </c>
      <c r="B624" s="26" t="s">
        <v>2729</v>
      </c>
      <c r="C624" s="26" t="s">
        <v>3419</v>
      </c>
      <c r="D624" s="35" t="s">
        <v>20</v>
      </c>
      <c r="E624" s="35" t="s">
        <v>20</v>
      </c>
      <c r="F624" s="35" t="s">
        <v>20</v>
      </c>
      <c r="G624" t="b">
        <f t="shared" si="32"/>
        <v>0</v>
      </c>
      <c r="H624" t="b">
        <f t="shared" si="33"/>
        <v>0</v>
      </c>
      <c r="I624" s="29">
        <f t="shared" si="31"/>
        <v>39672</v>
      </c>
    </row>
    <row r="625" spans="1:9" ht="12.75" hidden="1" customHeight="1" x14ac:dyDescent="0.2">
      <c r="A625" s="28">
        <v>39672</v>
      </c>
      <c r="B625" s="26" t="s">
        <v>94</v>
      </c>
      <c r="C625" s="26" t="s">
        <v>3055</v>
      </c>
      <c r="D625" s="35" t="s">
        <v>20</v>
      </c>
      <c r="E625" s="35" t="s">
        <v>20</v>
      </c>
      <c r="F625" s="35" t="s">
        <v>20</v>
      </c>
      <c r="G625" t="b">
        <f t="shared" si="32"/>
        <v>0</v>
      </c>
      <c r="H625" t="b">
        <f t="shared" si="33"/>
        <v>0</v>
      </c>
      <c r="I625" s="29">
        <f t="shared" si="31"/>
        <v>39672</v>
      </c>
    </row>
    <row r="626" spans="1:9" ht="25.5" hidden="1" x14ac:dyDescent="0.2">
      <c r="A626" s="28">
        <v>39672</v>
      </c>
      <c r="B626" s="26" t="s">
        <v>2061</v>
      </c>
      <c r="C626" s="26" t="s">
        <v>2160</v>
      </c>
      <c r="D626" s="35" t="s">
        <v>20</v>
      </c>
      <c r="E626" s="35" t="s">
        <v>20</v>
      </c>
      <c r="F626" s="35" t="s">
        <v>20</v>
      </c>
      <c r="G626" t="b">
        <f t="shared" si="32"/>
        <v>0</v>
      </c>
      <c r="H626" t="b">
        <f t="shared" si="33"/>
        <v>0</v>
      </c>
      <c r="I626" s="29">
        <f t="shared" si="31"/>
        <v>39672</v>
      </c>
    </row>
    <row r="627" spans="1:9" ht="12.75" hidden="1" customHeight="1" x14ac:dyDescent="0.2">
      <c r="A627" s="28">
        <v>39672</v>
      </c>
      <c r="B627" s="26" t="s">
        <v>818</v>
      </c>
      <c r="C627" s="26" t="s">
        <v>9</v>
      </c>
      <c r="D627" s="35" t="s">
        <v>20</v>
      </c>
      <c r="E627" s="35" t="s">
        <v>20</v>
      </c>
      <c r="F627" s="35">
        <v>3229037</v>
      </c>
      <c r="G627" t="b">
        <f t="shared" si="32"/>
        <v>0</v>
      </c>
      <c r="H627" t="b">
        <f t="shared" si="33"/>
        <v>0</v>
      </c>
      <c r="I627" s="29">
        <f t="shared" si="31"/>
        <v>39672</v>
      </c>
    </row>
    <row r="628" spans="1:9" ht="12.75" hidden="1" customHeight="1" x14ac:dyDescent="0.2">
      <c r="A628" s="28">
        <v>39672</v>
      </c>
      <c r="B628" s="26" t="s">
        <v>333</v>
      </c>
      <c r="C628" s="26" t="s">
        <v>2160</v>
      </c>
      <c r="D628" s="35" t="s">
        <v>20</v>
      </c>
      <c r="E628" s="35" t="s">
        <v>20</v>
      </c>
      <c r="F628" s="35" t="s">
        <v>20</v>
      </c>
      <c r="G628" t="b">
        <f t="shared" si="32"/>
        <v>0</v>
      </c>
      <c r="H628" t="b">
        <f t="shared" si="33"/>
        <v>0</v>
      </c>
      <c r="I628" s="29">
        <f t="shared" si="31"/>
        <v>39672</v>
      </c>
    </row>
    <row r="629" spans="1:9" ht="25.5" hidden="1" x14ac:dyDescent="0.2">
      <c r="A629" s="28">
        <v>39673</v>
      </c>
      <c r="B629" s="26" t="s">
        <v>2433</v>
      </c>
      <c r="C629" s="26" t="s">
        <v>9</v>
      </c>
      <c r="D629" s="35" t="s">
        <v>20</v>
      </c>
      <c r="E629" s="35" t="s">
        <v>20</v>
      </c>
      <c r="F629" s="35">
        <v>4112292</v>
      </c>
      <c r="G629" t="b">
        <f t="shared" si="32"/>
        <v>0</v>
      </c>
      <c r="H629" t="b">
        <f t="shared" si="33"/>
        <v>0</v>
      </c>
      <c r="I629" s="29">
        <f t="shared" si="31"/>
        <v>39673</v>
      </c>
    </row>
    <row r="630" spans="1:9" ht="12.75" hidden="1" customHeight="1" x14ac:dyDescent="0.2">
      <c r="A630" s="28">
        <v>39673</v>
      </c>
      <c r="B630" s="26" t="s">
        <v>1127</v>
      </c>
      <c r="C630" s="26" t="s">
        <v>3240</v>
      </c>
      <c r="D630" s="35">
        <v>90000000</v>
      </c>
      <c r="E630" s="35">
        <v>110461307</v>
      </c>
      <c r="F630" s="35">
        <v>188163455</v>
      </c>
      <c r="G630" t="b">
        <f t="shared" si="32"/>
        <v>0</v>
      </c>
      <c r="H630" t="b">
        <f t="shared" si="33"/>
        <v>0</v>
      </c>
      <c r="I630" s="29">
        <f t="shared" si="31"/>
        <v>39673</v>
      </c>
    </row>
    <row r="631" spans="1:9" ht="12.75" hidden="1" customHeight="1" x14ac:dyDescent="0.2">
      <c r="A631" s="28">
        <v>39674</v>
      </c>
      <c r="B631" s="26" t="s">
        <v>3120</v>
      </c>
      <c r="C631" s="26" t="s">
        <v>9</v>
      </c>
      <c r="D631" s="35" t="s">
        <v>20</v>
      </c>
      <c r="E631" s="35" t="s">
        <v>20</v>
      </c>
      <c r="F631" s="35">
        <v>1113693</v>
      </c>
      <c r="G631" t="b">
        <f t="shared" si="32"/>
        <v>0</v>
      </c>
      <c r="H631" t="b">
        <f t="shared" si="33"/>
        <v>0</v>
      </c>
      <c r="I631" s="29">
        <f t="shared" si="31"/>
        <v>39674</v>
      </c>
    </row>
    <row r="632" spans="1:9" ht="25.5" hidden="1" x14ac:dyDescent="0.2">
      <c r="A632" s="28">
        <v>39674</v>
      </c>
      <c r="B632" s="26" t="s">
        <v>2128</v>
      </c>
      <c r="C632" s="26" t="s">
        <v>2260</v>
      </c>
      <c r="D632" s="35">
        <v>10000</v>
      </c>
      <c r="E632" s="35">
        <v>401</v>
      </c>
      <c r="F632" s="35" t="s">
        <v>20</v>
      </c>
      <c r="G632" t="b">
        <f t="shared" si="32"/>
        <v>0</v>
      </c>
      <c r="H632" t="b">
        <f t="shared" si="33"/>
        <v>0</v>
      </c>
      <c r="I632" s="29">
        <f t="shared" si="31"/>
        <v>39674</v>
      </c>
    </row>
    <row r="633" spans="1:9" ht="25.5" hidden="1" x14ac:dyDescent="0.2">
      <c r="A633" s="28">
        <v>39675</v>
      </c>
      <c r="B633" s="26" t="s">
        <v>46</v>
      </c>
      <c r="C633" s="26" t="s">
        <v>435</v>
      </c>
      <c r="D633" s="35" t="s">
        <v>20</v>
      </c>
      <c r="E633" s="35">
        <v>6703</v>
      </c>
      <c r="F633" s="35" t="s">
        <v>20</v>
      </c>
      <c r="G633" t="b">
        <f t="shared" si="32"/>
        <v>0</v>
      </c>
      <c r="H633" t="b">
        <f t="shared" si="33"/>
        <v>0</v>
      </c>
      <c r="I633" s="29">
        <f t="shared" si="31"/>
        <v>39675</v>
      </c>
    </row>
    <row r="634" spans="1:9" ht="25.5" hidden="1" x14ac:dyDescent="0.2">
      <c r="A634" s="28">
        <v>39675</v>
      </c>
      <c r="B634" s="26" t="s">
        <v>1973</v>
      </c>
      <c r="C634" s="26" t="s">
        <v>9</v>
      </c>
      <c r="D634" s="35" t="s">
        <v>20</v>
      </c>
      <c r="E634" s="35">
        <v>409658</v>
      </c>
      <c r="F634" s="35">
        <v>7909658</v>
      </c>
      <c r="G634" t="b">
        <f t="shared" si="32"/>
        <v>0</v>
      </c>
      <c r="H634" t="b">
        <f t="shared" si="33"/>
        <v>0</v>
      </c>
      <c r="I634" s="29">
        <f t="shared" si="31"/>
        <v>39675</v>
      </c>
    </row>
    <row r="635" spans="1:9" ht="25.5" hidden="1" x14ac:dyDescent="0.2">
      <c r="A635" s="28">
        <v>39675</v>
      </c>
      <c r="B635" s="26" t="s">
        <v>511</v>
      </c>
      <c r="C635" s="26" t="s">
        <v>9</v>
      </c>
      <c r="D635" s="35">
        <v>16000000</v>
      </c>
      <c r="E635" s="35">
        <v>23213577</v>
      </c>
      <c r="F635" s="35">
        <v>77213577</v>
      </c>
      <c r="G635" t="b">
        <f t="shared" si="32"/>
        <v>0</v>
      </c>
      <c r="H635" t="b">
        <f t="shared" si="33"/>
        <v>0</v>
      </c>
      <c r="I635" s="29">
        <f t="shared" si="31"/>
        <v>39675</v>
      </c>
    </row>
    <row r="636" spans="1:9" ht="25.5" hidden="1" x14ac:dyDescent="0.2">
      <c r="A636" s="28">
        <v>39675</v>
      </c>
      <c r="B636" s="26" t="s">
        <v>2596</v>
      </c>
      <c r="C636" s="26" t="s">
        <v>2779</v>
      </c>
      <c r="D636" s="35" t="s">
        <v>20</v>
      </c>
      <c r="E636" s="35">
        <v>1835293</v>
      </c>
      <c r="F636" s="35">
        <v>1852777</v>
      </c>
      <c r="G636" t="b">
        <f t="shared" si="32"/>
        <v>0</v>
      </c>
      <c r="H636" t="b">
        <f t="shared" si="33"/>
        <v>0</v>
      </c>
      <c r="I636" s="29">
        <f t="shared" si="31"/>
        <v>39675</v>
      </c>
    </row>
    <row r="637" spans="1:9" ht="38.25" hidden="1" x14ac:dyDescent="0.2">
      <c r="A637" s="28">
        <v>39675</v>
      </c>
      <c r="B637" s="26" t="s">
        <v>636</v>
      </c>
      <c r="C637" s="26" t="s">
        <v>435</v>
      </c>
      <c r="D637" s="35" t="s">
        <v>20</v>
      </c>
      <c r="E637" s="35" t="s">
        <v>20</v>
      </c>
      <c r="F637" s="35" t="s">
        <v>20</v>
      </c>
      <c r="G637" t="b">
        <f t="shared" si="32"/>
        <v>0</v>
      </c>
      <c r="H637" t="b">
        <f t="shared" si="33"/>
        <v>0</v>
      </c>
      <c r="I637" s="29">
        <f t="shared" si="31"/>
        <v>39675</v>
      </c>
    </row>
    <row r="638" spans="1:9" ht="25.5" hidden="1" x14ac:dyDescent="0.2">
      <c r="A638" s="28">
        <v>39675</v>
      </c>
      <c r="B638" s="26" t="s">
        <v>656</v>
      </c>
      <c r="C638" s="26" t="s">
        <v>2990</v>
      </c>
      <c r="D638" s="35" t="s">
        <v>20</v>
      </c>
      <c r="E638" s="35" t="s">
        <v>20</v>
      </c>
      <c r="F638" s="35" t="s">
        <v>20</v>
      </c>
      <c r="G638" t="b">
        <f t="shared" si="32"/>
        <v>0</v>
      </c>
      <c r="H638" t="b">
        <f t="shared" si="33"/>
        <v>0</v>
      </c>
      <c r="I638" s="29">
        <f t="shared" si="31"/>
        <v>39675</v>
      </c>
    </row>
    <row r="639" spans="1:9" ht="25.5" hidden="1" x14ac:dyDescent="0.2">
      <c r="A639" s="28">
        <v>39675</v>
      </c>
      <c r="B639" s="26" t="s">
        <v>1737</v>
      </c>
      <c r="C639" s="26" t="s">
        <v>9</v>
      </c>
      <c r="D639" s="35">
        <v>25000000</v>
      </c>
      <c r="E639" s="35">
        <v>14543943</v>
      </c>
      <c r="F639" s="35">
        <v>40098231</v>
      </c>
      <c r="G639" t="b">
        <f t="shared" si="32"/>
        <v>0</v>
      </c>
      <c r="H639" t="b">
        <f t="shared" si="33"/>
        <v>0</v>
      </c>
      <c r="I639" s="29">
        <f t="shared" si="31"/>
        <v>39675</v>
      </c>
    </row>
    <row r="640" spans="1:9" ht="12.75" hidden="1" customHeight="1" x14ac:dyDescent="0.2">
      <c r="A640" s="28">
        <v>39675</v>
      </c>
      <c r="B640" s="26" t="s">
        <v>2391</v>
      </c>
      <c r="C640" s="26" t="s">
        <v>9</v>
      </c>
      <c r="D640" s="35" t="s">
        <v>20</v>
      </c>
      <c r="E640" s="35">
        <v>144110</v>
      </c>
      <c r="F640" s="35" t="s">
        <v>20</v>
      </c>
      <c r="G640" t="b">
        <f t="shared" si="32"/>
        <v>0</v>
      </c>
      <c r="H640" t="b">
        <f t="shared" si="33"/>
        <v>0</v>
      </c>
      <c r="I640" s="29">
        <f t="shared" si="31"/>
        <v>39675</v>
      </c>
    </row>
    <row r="641" spans="1:9" ht="25.5" hidden="1" x14ac:dyDescent="0.2">
      <c r="A641" s="28">
        <v>39675</v>
      </c>
      <c r="B641" s="26" t="s">
        <v>2108</v>
      </c>
      <c r="C641" s="26" t="s">
        <v>3209</v>
      </c>
      <c r="D641" s="35">
        <v>8500000</v>
      </c>
      <c r="E641" s="35">
        <v>35161554</v>
      </c>
      <c r="F641" s="35">
        <v>68161554</v>
      </c>
      <c r="G641" t="b">
        <f t="shared" si="32"/>
        <v>0</v>
      </c>
      <c r="H641" t="b">
        <f t="shared" si="33"/>
        <v>0</v>
      </c>
      <c r="I641" s="29">
        <f t="shared" si="31"/>
        <v>39675</v>
      </c>
    </row>
    <row r="642" spans="1:9" ht="12.75" hidden="1" customHeight="1" x14ac:dyDescent="0.2">
      <c r="A642" s="28">
        <v>39675</v>
      </c>
      <c r="B642" s="26" t="s">
        <v>893</v>
      </c>
      <c r="C642" s="26" t="s">
        <v>9</v>
      </c>
      <c r="D642" s="35" t="s">
        <v>20</v>
      </c>
      <c r="E642" s="35" t="s">
        <v>20</v>
      </c>
      <c r="F642" s="35">
        <v>993758</v>
      </c>
      <c r="G642" t="b">
        <f t="shared" si="32"/>
        <v>0</v>
      </c>
      <c r="H642" t="b">
        <f t="shared" si="33"/>
        <v>0</v>
      </c>
      <c r="I642" s="29">
        <f t="shared" si="31"/>
        <v>39675</v>
      </c>
    </row>
    <row r="643" spans="1:9" ht="12.75" hidden="1" customHeight="1" x14ac:dyDescent="0.2">
      <c r="A643" s="28">
        <v>39675</v>
      </c>
      <c r="B643" s="26" t="s">
        <v>1817</v>
      </c>
      <c r="C643" s="26" t="s">
        <v>9</v>
      </c>
      <c r="D643" s="35" t="s">
        <v>20</v>
      </c>
      <c r="E643" s="35" t="s">
        <v>20</v>
      </c>
      <c r="F643" s="35">
        <v>1097992</v>
      </c>
      <c r="G643" t="b">
        <f t="shared" si="32"/>
        <v>0</v>
      </c>
      <c r="H643" t="b">
        <f t="shared" si="33"/>
        <v>0</v>
      </c>
      <c r="I643" s="29">
        <f t="shared" ref="I643:I706" si="34">DATE(2008,MONTH(A643), DAY(A643))</f>
        <v>39675</v>
      </c>
    </row>
    <row r="644" spans="1:9" ht="25.5" hidden="1" x14ac:dyDescent="0.2">
      <c r="A644" s="28">
        <v>39675</v>
      </c>
      <c r="B644" s="26" t="s">
        <v>1836</v>
      </c>
      <c r="C644" s="26" t="s">
        <v>9</v>
      </c>
      <c r="D644" s="35" t="s">
        <v>20</v>
      </c>
      <c r="E644" s="35" t="s">
        <v>20</v>
      </c>
      <c r="F644" s="35">
        <v>7836499</v>
      </c>
      <c r="G644" t="b">
        <f t="shared" si="32"/>
        <v>0</v>
      </c>
      <c r="H644" t="b">
        <f t="shared" si="33"/>
        <v>0</v>
      </c>
      <c r="I644" s="29">
        <f t="shared" si="34"/>
        <v>39675</v>
      </c>
    </row>
    <row r="645" spans="1:9" ht="12.75" hidden="1" customHeight="1" x14ac:dyDescent="0.2">
      <c r="A645" s="28">
        <v>39675</v>
      </c>
      <c r="B645" s="26" t="s">
        <v>1475</v>
      </c>
      <c r="C645" s="26" t="s">
        <v>384</v>
      </c>
      <c r="D645" s="35" t="s">
        <v>20</v>
      </c>
      <c r="E645" s="35">
        <v>30691439</v>
      </c>
      <c r="F645" s="35">
        <v>77220596</v>
      </c>
      <c r="G645" t="b">
        <f t="shared" si="32"/>
        <v>0</v>
      </c>
      <c r="H645" t="b">
        <f t="shared" si="33"/>
        <v>0</v>
      </c>
      <c r="I645" s="29">
        <f t="shared" si="34"/>
        <v>39675</v>
      </c>
    </row>
    <row r="646" spans="1:9" ht="25.5" hidden="1" x14ac:dyDescent="0.2">
      <c r="A646" s="28">
        <v>39675</v>
      </c>
      <c r="B646" s="26" t="s">
        <v>3197</v>
      </c>
      <c r="C646" s="26" t="s">
        <v>9</v>
      </c>
      <c r="D646" s="35" t="s">
        <v>20</v>
      </c>
      <c r="E646" s="35">
        <v>702166</v>
      </c>
      <c r="F646" s="35">
        <v>7202166</v>
      </c>
      <c r="G646" t="b">
        <f t="shared" si="32"/>
        <v>0</v>
      </c>
      <c r="H646" t="b">
        <f t="shared" si="33"/>
        <v>0</v>
      </c>
      <c r="I646" s="29">
        <f t="shared" si="34"/>
        <v>39675</v>
      </c>
    </row>
    <row r="647" spans="1:9" ht="25.5" hidden="1" x14ac:dyDescent="0.2">
      <c r="A647" s="28">
        <v>39675</v>
      </c>
      <c r="B647" s="26" t="s">
        <v>702</v>
      </c>
      <c r="C647" s="26" t="s">
        <v>647</v>
      </c>
      <c r="D647" s="35" t="s">
        <v>20</v>
      </c>
      <c r="E647" s="35">
        <v>121432</v>
      </c>
      <c r="F647" s="35">
        <v>2874504</v>
      </c>
      <c r="G647" t="b">
        <f t="shared" si="32"/>
        <v>0</v>
      </c>
      <c r="H647" t="b">
        <f t="shared" si="33"/>
        <v>0</v>
      </c>
      <c r="I647" s="29">
        <f t="shared" si="34"/>
        <v>39675</v>
      </c>
    </row>
    <row r="648" spans="1:9" ht="12.75" hidden="1" customHeight="1" x14ac:dyDescent="0.2">
      <c r="A648" s="28">
        <v>39679</v>
      </c>
      <c r="B648" s="26" t="s">
        <v>2986</v>
      </c>
      <c r="C648" s="26" t="s">
        <v>9</v>
      </c>
      <c r="D648" s="35" t="s">
        <v>20</v>
      </c>
      <c r="E648" s="35" t="s">
        <v>20</v>
      </c>
      <c r="F648" s="35" t="s">
        <v>20</v>
      </c>
      <c r="G648" t="b">
        <f t="shared" si="32"/>
        <v>0</v>
      </c>
      <c r="H648" t="b">
        <f t="shared" si="33"/>
        <v>0</v>
      </c>
      <c r="I648" s="29">
        <f t="shared" si="34"/>
        <v>39679</v>
      </c>
    </row>
    <row r="649" spans="1:9" ht="25.5" hidden="1" x14ac:dyDescent="0.2">
      <c r="A649" s="28">
        <v>39679</v>
      </c>
      <c r="B649" s="26" t="s">
        <v>3195</v>
      </c>
      <c r="C649" s="26" t="s">
        <v>9</v>
      </c>
      <c r="D649" s="35" t="s">
        <v>20</v>
      </c>
      <c r="E649" s="35" t="s">
        <v>20</v>
      </c>
      <c r="F649" s="35" t="s">
        <v>20</v>
      </c>
      <c r="G649" t="b">
        <f t="shared" si="32"/>
        <v>0</v>
      </c>
      <c r="H649" t="b">
        <f t="shared" si="33"/>
        <v>0</v>
      </c>
      <c r="I649" s="29">
        <f t="shared" si="34"/>
        <v>39679</v>
      </c>
    </row>
    <row r="650" spans="1:9" ht="25.5" hidden="1" x14ac:dyDescent="0.2">
      <c r="A650" s="28">
        <v>39679</v>
      </c>
      <c r="B650" s="26" t="s">
        <v>1278</v>
      </c>
      <c r="C650" s="26" t="s">
        <v>9</v>
      </c>
      <c r="D650" s="35" t="s">
        <v>20</v>
      </c>
      <c r="E650" s="35" t="s">
        <v>20</v>
      </c>
      <c r="F650" s="35" t="s">
        <v>20</v>
      </c>
      <c r="G650" t="b">
        <f t="shared" si="32"/>
        <v>0</v>
      </c>
      <c r="H650" t="b">
        <f t="shared" si="33"/>
        <v>0</v>
      </c>
      <c r="I650" s="29">
        <f t="shared" si="34"/>
        <v>39679</v>
      </c>
    </row>
    <row r="651" spans="1:9" ht="12.75" hidden="1" customHeight="1" x14ac:dyDescent="0.2">
      <c r="A651" s="28">
        <v>39679</v>
      </c>
      <c r="B651" s="26" t="s">
        <v>2886</v>
      </c>
      <c r="C651" s="26" t="s">
        <v>3209</v>
      </c>
      <c r="D651" s="35" t="s">
        <v>20</v>
      </c>
      <c r="E651" s="35" t="s">
        <v>20</v>
      </c>
      <c r="F651" s="35" t="s">
        <v>20</v>
      </c>
      <c r="G651" t="b">
        <f t="shared" si="32"/>
        <v>0</v>
      </c>
      <c r="H651" t="b">
        <f t="shared" si="33"/>
        <v>0</v>
      </c>
      <c r="I651" s="29">
        <f t="shared" si="34"/>
        <v>39679</v>
      </c>
    </row>
    <row r="652" spans="1:9" ht="12.75" hidden="1" customHeight="1" x14ac:dyDescent="0.2">
      <c r="A652" s="28">
        <v>39680</v>
      </c>
      <c r="B652" s="26" t="s">
        <v>1315</v>
      </c>
      <c r="C652" s="26" t="s">
        <v>384</v>
      </c>
      <c r="D652" s="35">
        <v>15000000</v>
      </c>
      <c r="E652" s="35">
        <v>6409528</v>
      </c>
      <c r="F652" s="35">
        <v>8767338</v>
      </c>
      <c r="G652" t="b">
        <f t="shared" si="32"/>
        <v>0</v>
      </c>
      <c r="H652" t="b">
        <f t="shared" si="33"/>
        <v>0</v>
      </c>
      <c r="I652" s="29">
        <f t="shared" si="34"/>
        <v>39680</v>
      </c>
    </row>
    <row r="653" spans="1:9" ht="12.75" hidden="1" customHeight="1" x14ac:dyDescent="0.2">
      <c r="A653" s="28">
        <v>39682</v>
      </c>
      <c r="B653" s="26" t="s">
        <v>1260</v>
      </c>
      <c r="C653" s="26" t="s">
        <v>9</v>
      </c>
      <c r="D653" s="35" t="s">
        <v>20</v>
      </c>
      <c r="E653" s="35" t="s">
        <v>20</v>
      </c>
      <c r="F653" s="35">
        <v>958722</v>
      </c>
      <c r="G653" t="b">
        <f t="shared" si="32"/>
        <v>0</v>
      </c>
      <c r="H653" t="b">
        <f t="shared" si="33"/>
        <v>0</v>
      </c>
      <c r="I653" s="29">
        <f t="shared" si="34"/>
        <v>39682</v>
      </c>
    </row>
    <row r="654" spans="1:9" ht="12.75" hidden="1" customHeight="1" x14ac:dyDescent="0.2">
      <c r="A654" s="28">
        <v>39682</v>
      </c>
      <c r="B654" s="26" t="s">
        <v>796</v>
      </c>
      <c r="C654" s="26" t="s">
        <v>9</v>
      </c>
      <c r="D654" s="35" t="s">
        <v>20</v>
      </c>
      <c r="E654" s="35" t="s">
        <v>20</v>
      </c>
      <c r="F654" s="35">
        <v>12000000</v>
      </c>
      <c r="G654" t="b">
        <f t="shared" si="32"/>
        <v>0</v>
      </c>
      <c r="H654" t="b">
        <f t="shared" si="33"/>
        <v>0</v>
      </c>
      <c r="I654" s="29">
        <f t="shared" si="34"/>
        <v>39682</v>
      </c>
    </row>
    <row r="655" spans="1:9" ht="12.75" hidden="1" customHeight="1" x14ac:dyDescent="0.2">
      <c r="A655" s="28">
        <v>39682</v>
      </c>
      <c r="B655" s="26" t="s">
        <v>2888</v>
      </c>
      <c r="C655" s="26" t="s">
        <v>9</v>
      </c>
      <c r="D655" s="35">
        <v>25000000</v>
      </c>
      <c r="E655" s="35">
        <v>48237389</v>
      </c>
      <c r="F655" s="35">
        <v>70237389</v>
      </c>
      <c r="G655" t="b">
        <f t="shared" si="32"/>
        <v>0</v>
      </c>
      <c r="H655" t="b">
        <f t="shared" si="33"/>
        <v>0</v>
      </c>
      <c r="I655" s="29">
        <f t="shared" si="34"/>
        <v>39682</v>
      </c>
    </row>
    <row r="656" spans="1:9" ht="12.75" hidden="1" customHeight="1" x14ac:dyDescent="0.2">
      <c r="A656" s="28">
        <v>39682</v>
      </c>
      <c r="B656" s="26" t="s">
        <v>2609</v>
      </c>
      <c r="C656" s="26" t="s">
        <v>2775</v>
      </c>
      <c r="D656" s="35" t="s">
        <v>20</v>
      </c>
      <c r="E656" s="35">
        <v>15513</v>
      </c>
      <c r="F656" s="35" t="s">
        <v>20</v>
      </c>
      <c r="G656" t="b">
        <f t="shared" si="32"/>
        <v>0</v>
      </c>
      <c r="H656" t="b">
        <f t="shared" si="33"/>
        <v>0</v>
      </c>
      <c r="I656" s="29">
        <f t="shared" si="34"/>
        <v>39682</v>
      </c>
    </row>
    <row r="657" spans="1:9" ht="25.5" hidden="1" x14ac:dyDescent="0.2">
      <c r="A657" s="28">
        <v>39682</v>
      </c>
      <c r="B657" s="26" t="s">
        <v>2237</v>
      </c>
      <c r="C657" s="26" t="s">
        <v>2180</v>
      </c>
      <c r="D657" s="35" t="s">
        <v>20</v>
      </c>
      <c r="E657" s="35">
        <v>821046</v>
      </c>
      <c r="F657" s="35" t="s">
        <v>20</v>
      </c>
      <c r="G657" t="b">
        <f t="shared" si="32"/>
        <v>0</v>
      </c>
      <c r="H657" t="b">
        <f t="shared" si="33"/>
        <v>0</v>
      </c>
      <c r="I657" s="29">
        <f t="shared" si="34"/>
        <v>39682</v>
      </c>
    </row>
    <row r="658" spans="1:9" ht="12.75" hidden="1" customHeight="1" x14ac:dyDescent="0.2">
      <c r="A658" s="28">
        <v>39682</v>
      </c>
      <c r="B658" s="26" t="s">
        <v>2423</v>
      </c>
      <c r="C658" s="26" t="s">
        <v>698</v>
      </c>
      <c r="D658" s="35">
        <v>9000000</v>
      </c>
      <c r="E658" s="35">
        <v>4886216</v>
      </c>
      <c r="F658" s="35">
        <v>4898285</v>
      </c>
      <c r="G658" t="b">
        <f t="shared" si="32"/>
        <v>0</v>
      </c>
      <c r="H658" t="b">
        <f t="shared" si="33"/>
        <v>0</v>
      </c>
      <c r="I658" s="29">
        <f t="shared" si="34"/>
        <v>39682</v>
      </c>
    </row>
    <row r="659" spans="1:9" ht="12.75" hidden="1" customHeight="1" x14ac:dyDescent="0.2">
      <c r="A659" s="28">
        <v>39682</v>
      </c>
      <c r="B659" s="26" t="s">
        <v>900</v>
      </c>
      <c r="C659" s="26" t="s">
        <v>2314</v>
      </c>
      <c r="D659" s="35" t="s">
        <v>20</v>
      </c>
      <c r="E659" s="35">
        <v>520151</v>
      </c>
      <c r="F659" s="35" t="s">
        <v>20</v>
      </c>
      <c r="G659" t="b">
        <f t="shared" si="32"/>
        <v>0</v>
      </c>
      <c r="H659" t="b">
        <f t="shared" si="33"/>
        <v>0</v>
      </c>
      <c r="I659" s="29">
        <f t="shared" si="34"/>
        <v>39682</v>
      </c>
    </row>
    <row r="660" spans="1:9" ht="25.5" hidden="1" x14ac:dyDescent="0.2">
      <c r="A660" s="28">
        <v>39682</v>
      </c>
      <c r="B660" s="26" t="s">
        <v>2857</v>
      </c>
      <c r="C660" s="26" t="s">
        <v>2168</v>
      </c>
      <c r="D660" s="35">
        <v>65000000</v>
      </c>
      <c r="E660" s="35">
        <v>36316032</v>
      </c>
      <c r="F660" s="35">
        <v>72516819</v>
      </c>
      <c r="G660" t="b">
        <f t="shared" si="32"/>
        <v>0</v>
      </c>
      <c r="H660" t="b">
        <f t="shared" si="33"/>
        <v>0</v>
      </c>
      <c r="I660" s="29">
        <f t="shared" si="34"/>
        <v>39682</v>
      </c>
    </row>
    <row r="661" spans="1:9" ht="38.25" hidden="1" x14ac:dyDescent="0.2">
      <c r="A661" s="28">
        <v>39682</v>
      </c>
      <c r="B661" s="26" t="s">
        <v>3470</v>
      </c>
      <c r="C661" s="26" t="s">
        <v>9</v>
      </c>
      <c r="D661" s="35" t="s">
        <v>20</v>
      </c>
      <c r="E661" s="35" t="s">
        <v>20</v>
      </c>
      <c r="F661" s="35">
        <v>2064565</v>
      </c>
      <c r="G661" t="b">
        <f t="shared" si="32"/>
        <v>0</v>
      </c>
      <c r="H661" t="b">
        <f t="shared" si="33"/>
        <v>0</v>
      </c>
      <c r="I661" s="29">
        <f t="shared" si="34"/>
        <v>39682</v>
      </c>
    </row>
    <row r="662" spans="1:9" ht="12.75" hidden="1" customHeight="1" x14ac:dyDescent="0.2">
      <c r="A662" s="28">
        <v>39682</v>
      </c>
      <c r="B662" s="26" t="s">
        <v>2151</v>
      </c>
      <c r="C662" s="26" t="s">
        <v>2779</v>
      </c>
      <c r="D662" s="35" t="s">
        <v>20</v>
      </c>
      <c r="E662" s="35">
        <v>11511323</v>
      </c>
      <c r="F662" s="35" t="s">
        <v>20</v>
      </c>
      <c r="G662" t="b">
        <f t="shared" si="32"/>
        <v>0</v>
      </c>
      <c r="H662" t="b">
        <f t="shared" si="33"/>
        <v>0</v>
      </c>
      <c r="I662" s="29">
        <f t="shared" si="34"/>
        <v>39682</v>
      </c>
    </row>
    <row r="663" spans="1:9" ht="25.5" hidden="1" x14ac:dyDescent="0.2">
      <c r="A663" s="28">
        <v>39682</v>
      </c>
      <c r="B663" s="26" t="s">
        <v>1376</v>
      </c>
      <c r="C663" s="26" t="s">
        <v>9</v>
      </c>
      <c r="D663" s="35" t="s">
        <v>20</v>
      </c>
      <c r="E663" s="35" t="s">
        <v>20</v>
      </c>
      <c r="F663" s="35">
        <v>6998907</v>
      </c>
      <c r="G663" t="b">
        <f t="shared" si="32"/>
        <v>0</v>
      </c>
      <c r="H663" t="b">
        <f t="shared" si="33"/>
        <v>0</v>
      </c>
      <c r="I663" s="29">
        <f t="shared" si="34"/>
        <v>39682</v>
      </c>
    </row>
    <row r="664" spans="1:9" ht="25.5" hidden="1" x14ac:dyDescent="0.2">
      <c r="A664" s="28">
        <v>39682</v>
      </c>
      <c r="B664" s="26" t="s">
        <v>1522</v>
      </c>
      <c r="C664" s="26" t="s">
        <v>969</v>
      </c>
      <c r="D664" s="35" t="s">
        <v>20</v>
      </c>
      <c r="E664" s="35">
        <v>195184</v>
      </c>
      <c r="F664" s="35" t="s">
        <v>20</v>
      </c>
      <c r="G664" t="b">
        <f t="shared" si="32"/>
        <v>0</v>
      </c>
      <c r="H664" t="b">
        <f t="shared" si="33"/>
        <v>0</v>
      </c>
      <c r="I664" s="29">
        <f t="shared" si="34"/>
        <v>39682</v>
      </c>
    </row>
    <row r="665" spans="1:9" ht="12.75" hidden="1" customHeight="1" x14ac:dyDescent="0.2">
      <c r="A665" s="28">
        <v>39683</v>
      </c>
      <c r="B665" s="26" t="s">
        <v>1947</v>
      </c>
      <c r="C665" s="26" t="s">
        <v>9</v>
      </c>
      <c r="D665" s="35" t="s">
        <v>20</v>
      </c>
      <c r="E665" s="35" t="s">
        <v>20</v>
      </c>
      <c r="F665" s="35">
        <v>18569470</v>
      </c>
      <c r="G665" t="b">
        <f t="shared" si="32"/>
        <v>0</v>
      </c>
      <c r="H665" t="b">
        <f t="shared" si="33"/>
        <v>0</v>
      </c>
      <c r="I665" s="29">
        <f t="shared" si="34"/>
        <v>39683</v>
      </c>
    </row>
    <row r="666" spans="1:9" ht="12.75" hidden="1" customHeight="1" x14ac:dyDescent="0.2">
      <c r="A666" s="28">
        <v>39686</v>
      </c>
      <c r="B666" s="26" t="s">
        <v>2552</v>
      </c>
      <c r="C666" s="26" t="s">
        <v>49</v>
      </c>
      <c r="D666" s="35" t="s">
        <v>20</v>
      </c>
      <c r="E666" s="35" t="s">
        <v>20</v>
      </c>
      <c r="F666" s="35" t="s">
        <v>20</v>
      </c>
      <c r="G666" t="b">
        <f t="shared" si="32"/>
        <v>0</v>
      </c>
      <c r="H666" t="b">
        <f t="shared" si="33"/>
        <v>0</v>
      </c>
      <c r="I666" s="29">
        <f t="shared" si="34"/>
        <v>39686</v>
      </c>
    </row>
    <row r="667" spans="1:9" ht="12.75" hidden="1" customHeight="1" x14ac:dyDescent="0.2">
      <c r="A667" s="28">
        <v>39686</v>
      </c>
      <c r="B667" s="26" t="s">
        <v>2107</v>
      </c>
      <c r="C667" s="26" t="s">
        <v>9</v>
      </c>
      <c r="D667" s="35" t="s">
        <v>20</v>
      </c>
      <c r="E667" s="35" t="s">
        <v>20</v>
      </c>
      <c r="F667" s="35" t="s">
        <v>20</v>
      </c>
      <c r="G667" t="b">
        <f t="shared" si="32"/>
        <v>0</v>
      </c>
      <c r="H667" t="b">
        <f t="shared" si="33"/>
        <v>0</v>
      </c>
      <c r="I667" s="29">
        <f t="shared" si="34"/>
        <v>39686</v>
      </c>
    </row>
    <row r="668" spans="1:9" ht="12.75" hidden="1" customHeight="1" x14ac:dyDescent="0.2">
      <c r="A668" s="28">
        <v>39686</v>
      </c>
      <c r="B668" s="26" t="s">
        <v>1223</v>
      </c>
      <c r="C668" s="26" t="s">
        <v>2776</v>
      </c>
      <c r="D668" s="35" t="s">
        <v>20</v>
      </c>
      <c r="E668" s="35" t="s">
        <v>20</v>
      </c>
      <c r="F668" s="35" t="s">
        <v>20</v>
      </c>
      <c r="G668" t="b">
        <f t="shared" si="32"/>
        <v>0</v>
      </c>
      <c r="H668" t="b">
        <f t="shared" si="33"/>
        <v>0</v>
      </c>
      <c r="I668" s="29">
        <f t="shared" si="34"/>
        <v>39686</v>
      </c>
    </row>
    <row r="669" spans="1:9" ht="38.25" hidden="1" x14ac:dyDescent="0.2">
      <c r="A669" s="28">
        <v>39686</v>
      </c>
      <c r="B669" s="26" t="s">
        <v>1777</v>
      </c>
      <c r="C669" s="26" t="s">
        <v>2158</v>
      </c>
      <c r="D669" s="35" t="s">
        <v>20</v>
      </c>
      <c r="E669" s="35" t="s">
        <v>20</v>
      </c>
      <c r="F669" s="35" t="s">
        <v>20</v>
      </c>
      <c r="G669" t="b">
        <f t="shared" si="32"/>
        <v>0</v>
      </c>
      <c r="H669" t="b">
        <f t="shared" si="33"/>
        <v>0</v>
      </c>
      <c r="I669" s="29">
        <f t="shared" si="34"/>
        <v>39686</v>
      </c>
    </row>
    <row r="670" spans="1:9" ht="12.75" hidden="1" customHeight="1" x14ac:dyDescent="0.2">
      <c r="A670" s="28">
        <v>39687</v>
      </c>
      <c r="B670" s="26" t="s">
        <v>2324</v>
      </c>
      <c r="C670" s="26" t="s">
        <v>980</v>
      </c>
      <c r="D670" s="35">
        <v>22000000</v>
      </c>
      <c r="E670" s="35">
        <v>23530831</v>
      </c>
      <c r="F670" s="35">
        <v>27664173</v>
      </c>
      <c r="G670" t="b">
        <f t="shared" si="32"/>
        <v>0</v>
      </c>
      <c r="H670" t="b">
        <f t="shared" si="33"/>
        <v>0</v>
      </c>
      <c r="I670" s="29">
        <f t="shared" si="34"/>
        <v>39687</v>
      </c>
    </row>
    <row r="671" spans="1:9" ht="25.5" hidden="1" x14ac:dyDescent="0.2">
      <c r="A671" s="28">
        <v>39688</v>
      </c>
      <c r="B671" s="26" t="s">
        <v>2985</v>
      </c>
      <c r="C671" s="26" t="s">
        <v>9</v>
      </c>
      <c r="D671" s="35" t="s">
        <v>20</v>
      </c>
      <c r="E671" s="35" t="s">
        <v>20</v>
      </c>
      <c r="F671" s="35">
        <v>21122661</v>
      </c>
      <c r="G671" t="b">
        <f t="shared" si="32"/>
        <v>0</v>
      </c>
      <c r="H671" t="b">
        <f t="shared" si="33"/>
        <v>0</v>
      </c>
      <c r="I671" s="29">
        <f t="shared" si="34"/>
        <v>39688</v>
      </c>
    </row>
    <row r="672" spans="1:9" ht="12.75" hidden="1" customHeight="1" x14ac:dyDescent="0.2">
      <c r="A672" s="28">
        <v>39689</v>
      </c>
      <c r="B672" s="26" t="s">
        <v>2978</v>
      </c>
      <c r="C672" s="26" t="s">
        <v>9</v>
      </c>
      <c r="D672" s="35">
        <v>2000000</v>
      </c>
      <c r="E672" s="35">
        <v>7294</v>
      </c>
      <c r="F672" s="35" t="s">
        <v>20</v>
      </c>
      <c r="G672" t="b">
        <f t="shared" si="32"/>
        <v>0</v>
      </c>
      <c r="H672" t="b">
        <f t="shared" si="33"/>
        <v>0</v>
      </c>
      <c r="I672" s="29">
        <f t="shared" si="34"/>
        <v>39689</v>
      </c>
    </row>
    <row r="673" spans="1:9" ht="12.75" hidden="1" customHeight="1" x14ac:dyDescent="0.2">
      <c r="A673" s="28">
        <v>39689</v>
      </c>
      <c r="B673" s="26" t="s">
        <v>1274</v>
      </c>
      <c r="C673" s="26" t="s">
        <v>9</v>
      </c>
      <c r="D673" s="35" t="s">
        <v>20</v>
      </c>
      <c r="E673" s="35" t="s">
        <v>20</v>
      </c>
      <c r="F673" s="35">
        <v>3443103</v>
      </c>
      <c r="G673" t="b">
        <f t="shared" si="32"/>
        <v>0</v>
      </c>
      <c r="H673" t="b">
        <f t="shared" si="33"/>
        <v>0</v>
      </c>
      <c r="I673" s="29">
        <f t="shared" si="34"/>
        <v>39689</v>
      </c>
    </row>
    <row r="674" spans="1:9" ht="25.5" hidden="1" x14ac:dyDescent="0.2">
      <c r="A674" s="28">
        <v>39689</v>
      </c>
      <c r="B674" s="26" t="s">
        <v>3340</v>
      </c>
      <c r="C674" s="26" t="s">
        <v>3390</v>
      </c>
      <c r="D674" s="35" t="s">
        <v>20</v>
      </c>
      <c r="E674" s="35">
        <v>225067</v>
      </c>
      <c r="F674" s="35">
        <v>4259067</v>
      </c>
      <c r="G674" t="b">
        <f t="shared" ref="G674:G735" si="35">ISBLANK(A674)</f>
        <v>0</v>
      </c>
      <c r="H674" t="b">
        <f t="shared" ref="H674:H735" si="36">ISTEXT(A674)</f>
        <v>0</v>
      </c>
      <c r="I674" s="29">
        <f t="shared" si="34"/>
        <v>39689</v>
      </c>
    </row>
    <row r="675" spans="1:9" ht="38.25" hidden="1" x14ac:dyDescent="0.2">
      <c r="A675" s="28">
        <v>39689</v>
      </c>
      <c r="B675" s="26" t="s">
        <v>239</v>
      </c>
      <c r="C675" s="26" t="s">
        <v>9</v>
      </c>
      <c r="D675" s="35" t="s">
        <v>20</v>
      </c>
      <c r="E675" s="35" t="s">
        <v>20</v>
      </c>
      <c r="F675" s="35">
        <v>1948185</v>
      </c>
      <c r="G675" t="b">
        <f t="shared" si="35"/>
        <v>0</v>
      </c>
      <c r="H675" t="b">
        <f t="shared" si="36"/>
        <v>0</v>
      </c>
      <c r="I675" s="29">
        <f t="shared" si="34"/>
        <v>39689</v>
      </c>
    </row>
    <row r="676" spans="1:9" ht="25.5" hidden="1" x14ac:dyDescent="0.2">
      <c r="A676" s="28">
        <v>39689</v>
      </c>
      <c r="B676" s="26" t="s">
        <v>1003</v>
      </c>
      <c r="C676" s="26" t="s">
        <v>9</v>
      </c>
      <c r="D676" s="35" t="s">
        <v>20</v>
      </c>
      <c r="E676" s="35">
        <v>104828</v>
      </c>
      <c r="F676" s="35" t="s">
        <v>20</v>
      </c>
      <c r="G676" t="b">
        <f t="shared" si="35"/>
        <v>0</v>
      </c>
      <c r="H676" t="b">
        <f t="shared" si="36"/>
        <v>0</v>
      </c>
      <c r="I676" s="29">
        <f t="shared" si="34"/>
        <v>39689</v>
      </c>
    </row>
    <row r="677" spans="1:9" ht="25.5" hidden="1" x14ac:dyDescent="0.2">
      <c r="A677" s="28">
        <v>39689</v>
      </c>
      <c r="B677" s="26" t="s">
        <v>1101</v>
      </c>
      <c r="C677" s="26" t="s">
        <v>2865</v>
      </c>
      <c r="D677" s="35" t="s">
        <v>20</v>
      </c>
      <c r="E677" s="35">
        <v>50659</v>
      </c>
      <c r="F677" s="35" t="s">
        <v>20</v>
      </c>
      <c r="G677" t="b">
        <f t="shared" si="35"/>
        <v>0</v>
      </c>
      <c r="H677" t="b">
        <f t="shared" si="36"/>
        <v>0</v>
      </c>
      <c r="I677" s="29">
        <f t="shared" si="34"/>
        <v>39689</v>
      </c>
    </row>
    <row r="678" spans="1:9" ht="25.5" hidden="1" x14ac:dyDescent="0.2">
      <c r="A678" s="28">
        <v>39689</v>
      </c>
      <c r="B678" s="26" t="s">
        <v>2311</v>
      </c>
      <c r="C678" s="26" t="s">
        <v>612</v>
      </c>
      <c r="D678" s="35">
        <v>4900000</v>
      </c>
      <c r="E678" s="35">
        <v>617228</v>
      </c>
      <c r="F678" s="35">
        <v>7174984</v>
      </c>
      <c r="G678" t="b">
        <f t="shared" si="35"/>
        <v>0</v>
      </c>
      <c r="H678" t="b">
        <f t="shared" si="36"/>
        <v>0</v>
      </c>
      <c r="I678" s="29">
        <f t="shared" si="34"/>
        <v>39689</v>
      </c>
    </row>
    <row r="679" spans="1:9" ht="25.5" hidden="1" x14ac:dyDescent="0.2">
      <c r="A679" s="28">
        <v>39689</v>
      </c>
      <c r="B679" s="26" t="s">
        <v>2858</v>
      </c>
      <c r="C679" s="26" t="s">
        <v>1095</v>
      </c>
      <c r="D679" s="35" t="s">
        <v>20</v>
      </c>
      <c r="E679" s="35" t="s">
        <v>20</v>
      </c>
      <c r="F679" s="35" t="s">
        <v>20</v>
      </c>
      <c r="G679" t="b">
        <f t="shared" si="35"/>
        <v>0</v>
      </c>
      <c r="H679" t="b">
        <f t="shared" si="36"/>
        <v>0</v>
      </c>
      <c r="I679" s="29">
        <f t="shared" si="34"/>
        <v>39689</v>
      </c>
    </row>
    <row r="680" spans="1:9" ht="12.75" hidden="1" customHeight="1" x14ac:dyDescent="0.2">
      <c r="A680" s="28">
        <v>39689</v>
      </c>
      <c r="B680" s="26" t="s">
        <v>2523</v>
      </c>
      <c r="C680" s="26" t="s">
        <v>1600</v>
      </c>
      <c r="D680" s="35" t="s">
        <v>20</v>
      </c>
      <c r="E680" s="35" t="s">
        <v>20</v>
      </c>
      <c r="F680" s="35" t="s">
        <v>20</v>
      </c>
      <c r="G680" t="b">
        <f t="shared" si="35"/>
        <v>0</v>
      </c>
      <c r="H680" t="b">
        <f t="shared" si="36"/>
        <v>0</v>
      </c>
      <c r="I680" s="29">
        <f t="shared" si="34"/>
        <v>39689</v>
      </c>
    </row>
    <row r="681" spans="1:9" ht="25.5" hidden="1" x14ac:dyDescent="0.2">
      <c r="A681" s="28">
        <v>39689</v>
      </c>
      <c r="B681" s="26" t="s">
        <v>892</v>
      </c>
      <c r="C681" s="26" t="s">
        <v>3233</v>
      </c>
      <c r="D681" s="35" t="s">
        <v>20</v>
      </c>
      <c r="E681" s="35">
        <v>8340</v>
      </c>
      <c r="F681" s="35" t="s">
        <v>20</v>
      </c>
      <c r="G681" t="b">
        <f t="shared" si="35"/>
        <v>0</v>
      </c>
      <c r="H681" t="b">
        <f t="shared" si="36"/>
        <v>0</v>
      </c>
      <c r="I681" s="29">
        <f t="shared" si="34"/>
        <v>39689</v>
      </c>
    </row>
    <row r="682" spans="1:9" ht="12.75" hidden="1" customHeight="1" x14ac:dyDescent="0.2">
      <c r="A682" s="28">
        <v>39689</v>
      </c>
      <c r="B682" s="26" t="s">
        <v>2312</v>
      </c>
      <c r="C682" s="26" t="s">
        <v>3419</v>
      </c>
      <c r="D682" s="35">
        <v>6000000</v>
      </c>
      <c r="E682" s="35">
        <v>4694491</v>
      </c>
      <c r="F682" s="35">
        <v>5629618</v>
      </c>
      <c r="G682" t="b">
        <f t="shared" si="35"/>
        <v>0</v>
      </c>
      <c r="H682" t="b">
        <f t="shared" si="36"/>
        <v>0</v>
      </c>
      <c r="I682" s="29">
        <f t="shared" si="34"/>
        <v>39689</v>
      </c>
    </row>
    <row r="683" spans="1:9" ht="25.5" hidden="1" x14ac:dyDescent="0.2">
      <c r="A683" s="28">
        <v>39689</v>
      </c>
      <c r="B683" s="26" t="s">
        <v>2626</v>
      </c>
      <c r="C683" s="26" t="s">
        <v>1324</v>
      </c>
      <c r="D683" s="35" t="s">
        <v>20</v>
      </c>
      <c r="E683" s="35">
        <v>1858</v>
      </c>
      <c r="F683" s="35" t="s">
        <v>20</v>
      </c>
      <c r="G683" t="b">
        <f t="shared" si="35"/>
        <v>0</v>
      </c>
      <c r="H683" t="b">
        <f t="shared" si="36"/>
        <v>0</v>
      </c>
      <c r="I683" s="29">
        <f t="shared" si="34"/>
        <v>39689</v>
      </c>
    </row>
    <row r="684" spans="1:9" ht="25.5" hidden="1" x14ac:dyDescent="0.2">
      <c r="A684" s="28">
        <v>39689</v>
      </c>
      <c r="B684" s="26" t="s">
        <v>2457</v>
      </c>
      <c r="C684" s="26" t="s">
        <v>1095</v>
      </c>
      <c r="D684" s="35" t="s">
        <v>20</v>
      </c>
      <c r="E684" s="35">
        <v>13042</v>
      </c>
      <c r="F684" s="35" t="s">
        <v>20</v>
      </c>
      <c r="G684" t="b">
        <f t="shared" si="35"/>
        <v>0</v>
      </c>
      <c r="H684" t="b">
        <f t="shared" si="36"/>
        <v>0</v>
      </c>
      <c r="I684" s="29">
        <f t="shared" si="34"/>
        <v>39689</v>
      </c>
    </row>
    <row r="685" spans="1:9" ht="12.75" hidden="1" customHeight="1" x14ac:dyDescent="0.2">
      <c r="A685" s="28">
        <v>39689</v>
      </c>
      <c r="B685" s="26" t="s">
        <v>3082</v>
      </c>
      <c r="C685" s="26" t="s">
        <v>384</v>
      </c>
      <c r="D685" s="35">
        <v>45000000</v>
      </c>
      <c r="E685" s="35">
        <v>22532572</v>
      </c>
      <c r="F685" s="35">
        <v>70216497</v>
      </c>
      <c r="G685" t="b">
        <f t="shared" si="35"/>
        <v>0</v>
      </c>
      <c r="H685" t="b">
        <f t="shared" si="36"/>
        <v>0</v>
      </c>
      <c r="I685" s="29">
        <f t="shared" si="34"/>
        <v>39689</v>
      </c>
    </row>
    <row r="686" spans="1:9" ht="12.75" hidden="1" customHeight="1" x14ac:dyDescent="0.2">
      <c r="A686" s="28">
        <v>39689</v>
      </c>
      <c r="B686" s="26" t="s">
        <v>195</v>
      </c>
      <c r="C686" s="26" t="s">
        <v>3419</v>
      </c>
      <c r="D686" s="35">
        <v>20000000</v>
      </c>
      <c r="E686" s="35">
        <v>14190901</v>
      </c>
      <c r="F686" s="35">
        <v>34690901</v>
      </c>
      <c r="G686" t="b">
        <f t="shared" si="35"/>
        <v>0</v>
      </c>
      <c r="H686" t="b">
        <f t="shared" si="36"/>
        <v>0</v>
      </c>
      <c r="I686" s="29">
        <f t="shared" si="34"/>
        <v>39689</v>
      </c>
    </row>
    <row r="687" spans="1:9" ht="25.5" hidden="1" x14ac:dyDescent="0.2">
      <c r="A687" s="28">
        <v>39689</v>
      </c>
      <c r="B687" s="26" t="s">
        <v>2297</v>
      </c>
      <c r="C687" s="26" t="s">
        <v>1464</v>
      </c>
      <c r="D687" s="35" t="s">
        <v>20</v>
      </c>
      <c r="E687" s="35">
        <v>170543</v>
      </c>
      <c r="F687" s="35" t="s">
        <v>20</v>
      </c>
      <c r="G687" t="b">
        <f t="shared" si="35"/>
        <v>0</v>
      </c>
      <c r="H687" t="b">
        <f t="shared" si="36"/>
        <v>0</v>
      </c>
      <c r="I687" s="29">
        <f t="shared" si="34"/>
        <v>39689</v>
      </c>
    </row>
    <row r="688" spans="1:9" ht="12.75" hidden="1" customHeight="1" x14ac:dyDescent="0.2">
      <c r="A688" s="28">
        <v>39689</v>
      </c>
      <c r="B688" s="26" t="s">
        <v>283</v>
      </c>
      <c r="C688" s="26" t="s">
        <v>9</v>
      </c>
      <c r="D688" s="35" t="s">
        <v>20</v>
      </c>
      <c r="E688" s="35">
        <v>21445</v>
      </c>
      <c r="F688" s="35" t="s">
        <v>20</v>
      </c>
      <c r="G688" t="b">
        <f t="shared" si="35"/>
        <v>0</v>
      </c>
      <c r="H688" t="b">
        <f t="shared" si="36"/>
        <v>0</v>
      </c>
      <c r="I688" s="29">
        <f t="shared" si="34"/>
        <v>39689</v>
      </c>
    </row>
    <row r="689" spans="1:9" ht="12.75" hidden="1" customHeight="1" x14ac:dyDescent="0.2">
      <c r="A689" s="28">
        <v>39689</v>
      </c>
      <c r="B689" s="26" t="s">
        <v>3334</v>
      </c>
      <c r="C689" s="26" t="s">
        <v>9</v>
      </c>
      <c r="D689" s="35" t="s">
        <v>20</v>
      </c>
      <c r="E689" s="35" t="s">
        <v>20</v>
      </c>
      <c r="F689" s="35">
        <v>931416</v>
      </c>
      <c r="G689" t="b">
        <f t="shared" si="35"/>
        <v>0</v>
      </c>
      <c r="H689" t="b">
        <f t="shared" si="36"/>
        <v>0</v>
      </c>
      <c r="I689" s="29">
        <f t="shared" si="34"/>
        <v>39689</v>
      </c>
    </row>
    <row r="690" spans="1:9" ht="25.5" hidden="1" x14ac:dyDescent="0.2">
      <c r="A690" s="28">
        <v>39689</v>
      </c>
      <c r="B690" s="26" t="s">
        <v>714</v>
      </c>
      <c r="C690" s="26" t="s">
        <v>9</v>
      </c>
      <c r="D690" s="35" t="s">
        <v>20</v>
      </c>
      <c r="E690" s="35" t="s">
        <v>20</v>
      </c>
      <c r="F690" s="35">
        <v>4579058</v>
      </c>
      <c r="G690" t="b">
        <f t="shared" si="35"/>
        <v>0</v>
      </c>
      <c r="H690" t="b">
        <f t="shared" si="36"/>
        <v>0</v>
      </c>
      <c r="I690" s="29">
        <f t="shared" si="34"/>
        <v>39689</v>
      </c>
    </row>
    <row r="691" spans="1:9" ht="12.75" hidden="1" customHeight="1" x14ac:dyDescent="0.2">
      <c r="A691" s="28">
        <v>39690</v>
      </c>
      <c r="B691" s="26" t="s">
        <v>149</v>
      </c>
      <c r="C691" s="26" t="s">
        <v>9</v>
      </c>
      <c r="D691" s="35" t="s">
        <v>20</v>
      </c>
      <c r="E691" s="35" t="s">
        <v>20</v>
      </c>
      <c r="F691" s="35" t="s">
        <v>20</v>
      </c>
      <c r="G691" t="b">
        <f t="shared" si="35"/>
        <v>0</v>
      </c>
      <c r="H691" t="b">
        <f t="shared" si="36"/>
        <v>0</v>
      </c>
      <c r="I691" s="29">
        <f t="shared" si="34"/>
        <v>39690</v>
      </c>
    </row>
    <row r="692" spans="1:9" ht="25.5" hidden="1" x14ac:dyDescent="0.2">
      <c r="A692" s="28">
        <v>39690</v>
      </c>
      <c r="B692" s="26" t="s">
        <v>316</v>
      </c>
      <c r="C692" s="26" t="s">
        <v>9</v>
      </c>
      <c r="D692" s="35" t="s">
        <v>20</v>
      </c>
      <c r="E692" s="35" t="s">
        <v>20</v>
      </c>
      <c r="F692" s="35">
        <v>34571688</v>
      </c>
      <c r="G692" t="b">
        <f t="shared" si="35"/>
        <v>0</v>
      </c>
      <c r="H692" t="b">
        <f t="shared" si="36"/>
        <v>0</v>
      </c>
      <c r="I692" s="29">
        <f t="shared" si="34"/>
        <v>39690</v>
      </c>
    </row>
    <row r="693" spans="1:9" ht="12.75" hidden="1" customHeight="1" x14ac:dyDescent="0.2">
      <c r="A693" s="28">
        <v>39692</v>
      </c>
      <c r="B693" s="26" t="s">
        <v>1314</v>
      </c>
      <c r="C693" s="26" t="s">
        <v>9</v>
      </c>
      <c r="D693" s="35" t="s">
        <v>20</v>
      </c>
      <c r="E693" s="35" t="s">
        <v>20</v>
      </c>
      <c r="F693" s="35" t="s">
        <v>20</v>
      </c>
      <c r="G693" t="b">
        <f t="shared" si="35"/>
        <v>0</v>
      </c>
      <c r="H693" t="b">
        <f t="shared" si="36"/>
        <v>0</v>
      </c>
      <c r="I693" s="29">
        <f t="shared" si="34"/>
        <v>39692</v>
      </c>
    </row>
    <row r="694" spans="1:9" ht="63.75" hidden="1" x14ac:dyDescent="0.2">
      <c r="A694" s="28">
        <v>39693</v>
      </c>
      <c r="B694" s="26" t="s">
        <v>1106</v>
      </c>
      <c r="C694" s="26" t="s">
        <v>9</v>
      </c>
      <c r="D694" s="35" t="s">
        <v>20</v>
      </c>
      <c r="E694" s="35" t="s">
        <v>20</v>
      </c>
      <c r="F694" s="35" t="s">
        <v>20</v>
      </c>
      <c r="G694" t="b">
        <f t="shared" si="35"/>
        <v>0</v>
      </c>
      <c r="H694" t="b">
        <f t="shared" si="36"/>
        <v>0</v>
      </c>
      <c r="I694" s="29">
        <f t="shared" si="34"/>
        <v>39693</v>
      </c>
    </row>
    <row r="695" spans="1:9" ht="25.5" hidden="1" x14ac:dyDescent="0.2">
      <c r="A695" s="28">
        <v>39693</v>
      </c>
      <c r="B695" s="26" t="s">
        <v>1485</v>
      </c>
      <c r="C695" s="26" t="s">
        <v>2784</v>
      </c>
      <c r="D695" s="35" t="s">
        <v>20</v>
      </c>
      <c r="E695" s="35" t="s">
        <v>20</v>
      </c>
      <c r="F695" s="35" t="s">
        <v>20</v>
      </c>
      <c r="G695" t="b">
        <f t="shared" si="35"/>
        <v>0</v>
      </c>
      <c r="H695" t="b">
        <f t="shared" si="36"/>
        <v>0</v>
      </c>
      <c r="I695" s="29">
        <f t="shared" si="34"/>
        <v>39693</v>
      </c>
    </row>
    <row r="696" spans="1:9" ht="25.5" hidden="1" x14ac:dyDescent="0.2">
      <c r="A696" s="28">
        <v>39693</v>
      </c>
      <c r="B696" s="26" t="s">
        <v>1513</v>
      </c>
      <c r="C696" s="26" t="s">
        <v>9</v>
      </c>
      <c r="D696" s="35" t="s">
        <v>20</v>
      </c>
      <c r="E696" s="35" t="s">
        <v>20</v>
      </c>
      <c r="F696" s="35" t="s">
        <v>20</v>
      </c>
      <c r="G696" t="b">
        <f t="shared" si="35"/>
        <v>0</v>
      </c>
      <c r="H696" t="b">
        <f t="shared" si="36"/>
        <v>0</v>
      </c>
      <c r="I696" s="29">
        <f t="shared" si="34"/>
        <v>39693</v>
      </c>
    </row>
    <row r="697" spans="1:9" ht="38.25" hidden="1" x14ac:dyDescent="0.2">
      <c r="A697" s="28">
        <v>39693</v>
      </c>
      <c r="B697" s="26" t="s">
        <v>2983</v>
      </c>
      <c r="C697" s="26" t="s">
        <v>9</v>
      </c>
      <c r="D697" s="35" t="s">
        <v>20</v>
      </c>
      <c r="E697" s="35" t="s">
        <v>20</v>
      </c>
      <c r="F697" s="35" t="s">
        <v>20</v>
      </c>
      <c r="G697" t="b">
        <f t="shared" si="35"/>
        <v>0</v>
      </c>
      <c r="H697" t="b">
        <f t="shared" si="36"/>
        <v>0</v>
      </c>
      <c r="I697" s="29">
        <f t="shared" si="34"/>
        <v>39693</v>
      </c>
    </row>
    <row r="698" spans="1:9" ht="12.75" hidden="1" customHeight="1" x14ac:dyDescent="0.2">
      <c r="A698" s="28">
        <v>39693</v>
      </c>
      <c r="B698" s="26" t="s">
        <v>1273</v>
      </c>
      <c r="C698" s="26" t="s">
        <v>9</v>
      </c>
      <c r="D698" s="35" t="s">
        <v>20</v>
      </c>
      <c r="E698" s="35" t="s">
        <v>20</v>
      </c>
      <c r="F698" s="35" t="s">
        <v>20</v>
      </c>
      <c r="G698" t="b">
        <f t="shared" si="35"/>
        <v>0</v>
      </c>
      <c r="H698" t="b">
        <f t="shared" si="36"/>
        <v>0</v>
      </c>
      <c r="I698" s="29">
        <f t="shared" si="34"/>
        <v>39693</v>
      </c>
    </row>
    <row r="699" spans="1:9" ht="38.25" hidden="1" x14ac:dyDescent="0.2">
      <c r="A699" s="28">
        <v>39693</v>
      </c>
      <c r="B699" s="26" t="s">
        <v>3015</v>
      </c>
      <c r="C699" s="26" t="s">
        <v>9</v>
      </c>
      <c r="D699" s="35" t="s">
        <v>20</v>
      </c>
      <c r="E699" s="35" t="s">
        <v>20</v>
      </c>
      <c r="F699" s="35" t="s">
        <v>20</v>
      </c>
      <c r="G699" t="b">
        <f t="shared" si="35"/>
        <v>0</v>
      </c>
      <c r="H699" t="b">
        <f t="shared" si="36"/>
        <v>0</v>
      </c>
      <c r="I699" s="29">
        <f t="shared" si="34"/>
        <v>39693</v>
      </c>
    </row>
    <row r="700" spans="1:9" ht="12.75" hidden="1" customHeight="1" x14ac:dyDescent="0.2">
      <c r="A700" s="28">
        <v>39696</v>
      </c>
      <c r="B700" s="26" t="s">
        <v>260</v>
      </c>
      <c r="C700" s="26" t="s">
        <v>9</v>
      </c>
      <c r="D700" s="35" t="s">
        <v>20</v>
      </c>
      <c r="E700" s="35">
        <v>74494</v>
      </c>
      <c r="F700" s="35" t="s">
        <v>20</v>
      </c>
      <c r="G700" t="b">
        <f t="shared" si="35"/>
        <v>0</v>
      </c>
      <c r="H700" t="b">
        <f t="shared" si="36"/>
        <v>0</v>
      </c>
      <c r="I700" s="29">
        <f t="shared" si="34"/>
        <v>39696</v>
      </c>
    </row>
    <row r="701" spans="1:9" ht="12.75" hidden="1" customHeight="1" x14ac:dyDescent="0.2">
      <c r="A701" s="28">
        <v>39696</v>
      </c>
      <c r="B701" s="26" t="s">
        <v>1311</v>
      </c>
      <c r="C701" s="26" t="s">
        <v>2964</v>
      </c>
      <c r="D701" s="35" t="s">
        <v>20</v>
      </c>
      <c r="E701" s="35">
        <v>83397</v>
      </c>
      <c r="F701" s="35" t="s">
        <v>20</v>
      </c>
      <c r="G701" t="b">
        <f t="shared" si="35"/>
        <v>0</v>
      </c>
      <c r="H701" t="b">
        <f t="shared" si="36"/>
        <v>0</v>
      </c>
      <c r="I701" s="29">
        <f t="shared" si="34"/>
        <v>39696</v>
      </c>
    </row>
    <row r="702" spans="1:9" ht="12.75" hidden="1" customHeight="1" x14ac:dyDescent="0.2">
      <c r="A702" s="28">
        <v>39696</v>
      </c>
      <c r="B702" s="26" t="s">
        <v>2197</v>
      </c>
      <c r="C702" s="26" t="s">
        <v>3466</v>
      </c>
      <c r="D702" s="35" t="s">
        <v>20</v>
      </c>
      <c r="E702" s="35">
        <v>77907</v>
      </c>
      <c r="F702" s="35" t="s">
        <v>20</v>
      </c>
      <c r="G702" t="b">
        <f t="shared" si="35"/>
        <v>0</v>
      </c>
      <c r="H702" t="b">
        <f t="shared" si="36"/>
        <v>0</v>
      </c>
      <c r="I702" s="29">
        <f t="shared" si="34"/>
        <v>39696</v>
      </c>
    </row>
    <row r="703" spans="1:9" hidden="1" x14ac:dyDescent="0.2">
      <c r="A703" s="28">
        <v>39696</v>
      </c>
      <c r="B703" s="26" t="s">
        <v>2969</v>
      </c>
      <c r="C703" s="26" t="s">
        <v>9</v>
      </c>
      <c r="D703" s="35" t="s">
        <v>20</v>
      </c>
      <c r="E703" s="35" t="s">
        <v>20</v>
      </c>
      <c r="F703" s="35">
        <v>2815026</v>
      </c>
      <c r="G703" t="b">
        <f t="shared" si="35"/>
        <v>0</v>
      </c>
      <c r="H703" t="b">
        <f t="shared" si="36"/>
        <v>0</v>
      </c>
      <c r="I703" s="29">
        <f t="shared" si="34"/>
        <v>39696</v>
      </c>
    </row>
    <row r="704" spans="1:9" ht="25.5" hidden="1" x14ac:dyDescent="0.2">
      <c r="A704" s="28">
        <v>39696</v>
      </c>
      <c r="B704" s="26" t="s">
        <v>968</v>
      </c>
      <c r="C704" s="26" t="s">
        <v>9</v>
      </c>
      <c r="D704" s="35" t="s">
        <v>20</v>
      </c>
      <c r="E704" s="35" t="s">
        <v>20</v>
      </c>
      <c r="F704" s="35">
        <v>4884392</v>
      </c>
      <c r="G704" t="b">
        <f t="shared" si="35"/>
        <v>0</v>
      </c>
      <c r="H704" t="b">
        <f t="shared" si="36"/>
        <v>0</v>
      </c>
      <c r="I704" s="29">
        <f t="shared" si="34"/>
        <v>39696</v>
      </c>
    </row>
    <row r="705" spans="1:9" hidden="1" x14ac:dyDescent="0.2">
      <c r="A705" s="28">
        <v>39696</v>
      </c>
      <c r="B705" s="26" t="s">
        <v>906</v>
      </c>
      <c r="C705" s="26" t="s">
        <v>9</v>
      </c>
      <c r="D705" s="35" t="s">
        <v>20</v>
      </c>
      <c r="E705" s="35" t="s">
        <v>20</v>
      </c>
      <c r="F705" s="35">
        <v>4130967</v>
      </c>
      <c r="G705" t="b">
        <f t="shared" si="35"/>
        <v>0</v>
      </c>
      <c r="H705" t="b">
        <f t="shared" si="36"/>
        <v>0</v>
      </c>
      <c r="I705" s="29">
        <f t="shared" si="34"/>
        <v>39696</v>
      </c>
    </row>
    <row r="706" spans="1:9" ht="25.5" hidden="1" x14ac:dyDescent="0.2">
      <c r="A706" s="28">
        <v>39696</v>
      </c>
      <c r="B706" s="26" t="s">
        <v>2411</v>
      </c>
      <c r="C706" s="26" t="s">
        <v>9</v>
      </c>
      <c r="D706" s="35">
        <v>45000000</v>
      </c>
      <c r="E706" s="35">
        <v>15298133</v>
      </c>
      <c r="F706" s="35">
        <v>46598133</v>
      </c>
      <c r="G706" t="b">
        <f t="shared" si="35"/>
        <v>0</v>
      </c>
      <c r="H706" t="b">
        <f t="shared" si="36"/>
        <v>0</v>
      </c>
      <c r="I706" s="29">
        <f t="shared" si="34"/>
        <v>39696</v>
      </c>
    </row>
    <row r="707" spans="1:9" ht="12.75" hidden="1" customHeight="1" x14ac:dyDescent="0.2">
      <c r="A707" s="28">
        <v>39696</v>
      </c>
      <c r="B707" s="26" t="s">
        <v>1237</v>
      </c>
      <c r="C707" s="26" t="s">
        <v>9</v>
      </c>
      <c r="D707" s="35" t="s">
        <v>20</v>
      </c>
      <c r="E707" s="35">
        <v>36497</v>
      </c>
      <c r="F707" s="35" t="s">
        <v>20</v>
      </c>
      <c r="G707" t="b">
        <f t="shared" si="35"/>
        <v>0</v>
      </c>
      <c r="H707" t="b">
        <f t="shared" si="36"/>
        <v>0</v>
      </c>
      <c r="I707" s="29">
        <f t="shared" ref="I707:I770" si="37">DATE(2008,MONTH(A707), DAY(A707))</f>
        <v>39696</v>
      </c>
    </row>
    <row r="708" spans="1:9" ht="12.75" hidden="1" customHeight="1" x14ac:dyDescent="0.2">
      <c r="A708" s="28">
        <v>39696</v>
      </c>
      <c r="B708" s="26" t="s">
        <v>1047</v>
      </c>
      <c r="C708" s="26" t="s">
        <v>9</v>
      </c>
      <c r="D708" s="35" t="s">
        <v>20</v>
      </c>
      <c r="E708" s="35">
        <v>623415</v>
      </c>
      <c r="F708" s="35">
        <v>16173415</v>
      </c>
      <c r="G708" t="b">
        <f t="shared" si="35"/>
        <v>0</v>
      </c>
      <c r="H708" t="b">
        <f t="shared" si="36"/>
        <v>0</v>
      </c>
      <c r="I708" s="29">
        <f t="shared" si="37"/>
        <v>39696</v>
      </c>
    </row>
    <row r="709" spans="1:9" ht="25.5" hidden="1" x14ac:dyDescent="0.2">
      <c r="A709" s="28">
        <v>39696</v>
      </c>
      <c r="B709" s="26" t="s">
        <v>988</v>
      </c>
      <c r="C709" s="26" t="s">
        <v>9</v>
      </c>
      <c r="D709" s="35" t="s">
        <v>20</v>
      </c>
      <c r="E709" s="35">
        <v>351416</v>
      </c>
      <c r="F709" s="35" t="s">
        <v>20</v>
      </c>
      <c r="G709" t="b">
        <f t="shared" si="35"/>
        <v>0</v>
      </c>
      <c r="H709" t="b">
        <f t="shared" si="36"/>
        <v>0</v>
      </c>
      <c r="I709" s="29">
        <f t="shared" si="37"/>
        <v>39696</v>
      </c>
    </row>
    <row r="710" spans="1:9" ht="25.5" hidden="1" x14ac:dyDescent="0.2">
      <c r="A710" s="28">
        <v>39696</v>
      </c>
      <c r="B710" s="26" t="s">
        <v>2996</v>
      </c>
      <c r="C710" s="26" t="s">
        <v>9</v>
      </c>
      <c r="D710" s="35" t="s">
        <v>20</v>
      </c>
      <c r="E710" s="35">
        <v>293708</v>
      </c>
      <c r="F710" s="35">
        <v>30118557</v>
      </c>
      <c r="G710" t="b">
        <f t="shared" si="35"/>
        <v>0</v>
      </c>
      <c r="H710" t="b">
        <f t="shared" si="36"/>
        <v>0</v>
      </c>
      <c r="I710" s="29">
        <f t="shared" si="37"/>
        <v>39696</v>
      </c>
    </row>
    <row r="711" spans="1:9" ht="12.75" hidden="1" customHeight="1" x14ac:dyDescent="0.2">
      <c r="A711" s="28">
        <v>39696</v>
      </c>
      <c r="B711" s="26" t="s">
        <v>26</v>
      </c>
      <c r="C711" s="26" t="s">
        <v>2621</v>
      </c>
      <c r="D711" s="35" t="s">
        <v>20</v>
      </c>
      <c r="E711" s="35">
        <v>60641</v>
      </c>
      <c r="F711" s="35" t="s">
        <v>20</v>
      </c>
      <c r="G711" t="b">
        <f t="shared" si="35"/>
        <v>0</v>
      </c>
      <c r="H711" t="b">
        <f t="shared" si="36"/>
        <v>0</v>
      </c>
      <c r="I711" s="29">
        <f t="shared" si="37"/>
        <v>39696</v>
      </c>
    </row>
    <row r="712" spans="1:9" ht="12.75" hidden="1" customHeight="1" x14ac:dyDescent="0.2">
      <c r="A712" s="28">
        <v>39696</v>
      </c>
      <c r="B712" s="26" t="s">
        <v>2506</v>
      </c>
      <c r="C712" s="26" t="s">
        <v>3096</v>
      </c>
      <c r="D712" s="35" t="s">
        <v>20</v>
      </c>
      <c r="E712" s="35" t="s">
        <v>20</v>
      </c>
      <c r="F712" s="35">
        <v>738899</v>
      </c>
      <c r="G712" t="b">
        <f t="shared" si="35"/>
        <v>0</v>
      </c>
      <c r="H712" t="b">
        <f t="shared" si="36"/>
        <v>0</v>
      </c>
      <c r="I712" s="29">
        <f t="shared" si="37"/>
        <v>39696</v>
      </c>
    </row>
    <row r="713" spans="1:9" hidden="1" x14ac:dyDescent="0.2">
      <c r="A713" s="28">
        <v>39696</v>
      </c>
      <c r="B713" s="26" t="s">
        <v>2960</v>
      </c>
      <c r="C713" s="26" t="s">
        <v>1095</v>
      </c>
      <c r="D713" s="35" t="s">
        <v>20</v>
      </c>
      <c r="E713" s="35">
        <v>37600</v>
      </c>
      <c r="F713" s="35" t="s">
        <v>20</v>
      </c>
      <c r="G713" t="b">
        <f t="shared" si="35"/>
        <v>0</v>
      </c>
      <c r="H713" t="b">
        <f t="shared" si="36"/>
        <v>0</v>
      </c>
      <c r="I713" s="29">
        <f t="shared" si="37"/>
        <v>39696</v>
      </c>
    </row>
    <row r="714" spans="1:9" ht="12.75" hidden="1" customHeight="1" x14ac:dyDescent="0.2">
      <c r="A714" s="28">
        <v>39700</v>
      </c>
      <c r="B714" s="26" t="s">
        <v>2822</v>
      </c>
      <c r="C714" s="26" t="s">
        <v>9</v>
      </c>
      <c r="D714" s="35" t="s">
        <v>20</v>
      </c>
      <c r="E714" s="35" t="s">
        <v>20</v>
      </c>
      <c r="F714" s="35" t="s">
        <v>20</v>
      </c>
      <c r="G714" t="b">
        <f t="shared" si="35"/>
        <v>0</v>
      </c>
      <c r="H714" t="b">
        <f t="shared" si="36"/>
        <v>0</v>
      </c>
      <c r="I714" s="29">
        <f t="shared" si="37"/>
        <v>39700</v>
      </c>
    </row>
    <row r="715" spans="1:9" ht="38.25" hidden="1" x14ac:dyDescent="0.2">
      <c r="A715" s="28">
        <v>39700</v>
      </c>
      <c r="B715" s="26" t="s">
        <v>2374</v>
      </c>
      <c r="C715" s="26" t="s">
        <v>9</v>
      </c>
      <c r="D715" s="35" t="s">
        <v>20</v>
      </c>
      <c r="E715" s="35" t="s">
        <v>20</v>
      </c>
      <c r="F715" s="35" t="s">
        <v>20</v>
      </c>
      <c r="G715" t="b">
        <f t="shared" si="35"/>
        <v>0</v>
      </c>
      <c r="H715" t="b">
        <f t="shared" si="36"/>
        <v>0</v>
      </c>
      <c r="I715" s="29">
        <f t="shared" si="37"/>
        <v>39700</v>
      </c>
    </row>
    <row r="716" spans="1:9" ht="25.5" hidden="1" x14ac:dyDescent="0.2">
      <c r="A716" s="28">
        <v>39700</v>
      </c>
      <c r="B716" s="26" t="s">
        <v>3133</v>
      </c>
      <c r="C716" s="26" t="s">
        <v>9</v>
      </c>
      <c r="D716" s="35" t="s">
        <v>20</v>
      </c>
      <c r="E716" s="35" t="s">
        <v>20</v>
      </c>
      <c r="F716" s="35" t="s">
        <v>20</v>
      </c>
      <c r="G716" t="b">
        <f t="shared" si="35"/>
        <v>0</v>
      </c>
      <c r="H716" t="b">
        <f t="shared" si="36"/>
        <v>0</v>
      </c>
      <c r="I716" s="29">
        <f t="shared" si="37"/>
        <v>39700</v>
      </c>
    </row>
    <row r="717" spans="1:9" ht="25.5" hidden="1" x14ac:dyDescent="0.2">
      <c r="A717" s="28">
        <v>39700</v>
      </c>
      <c r="B717" s="26" t="s">
        <v>2540</v>
      </c>
      <c r="C717" s="26" t="s">
        <v>9</v>
      </c>
      <c r="D717" s="35" t="s">
        <v>20</v>
      </c>
      <c r="E717" s="35" t="s">
        <v>20</v>
      </c>
      <c r="F717" s="35" t="s">
        <v>20</v>
      </c>
      <c r="G717" t="b">
        <f t="shared" si="35"/>
        <v>0</v>
      </c>
      <c r="H717" t="b">
        <f t="shared" si="36"/>
        <v>0</v>
      </c>
      <c r="I717" s="29">
        <f t="shared" si="37"/>
        <v>39700</v>
      </c>
    </row>
    <row r="718" spans="1:9" ht="12.75" hidden="1" customHeight="1" x14ac:dyDescent="0.2">
      <c r="A718" s="28">
        <v>39702</v>
      </c>
      <c r="B718" s="26" t="s">
        <v>2120</v>
      </c>
      <c r="C718" s="26" t="s">
        <v>9</v>
      </c>
      <c r="D718" s="35" t="s">
        <v>20</v>
      </c>
      <c r="E718" s="35" t="s">
        <v>20</v>
      </c>
      <c r="F718" s="35">
        <v>6547719</v>
      </c>
      <c r="G718" t="b">
        <f t="shared" si="35"/>
        <v>0</v>
      </c>
      <c r="H718" t="b">
        <f t="shared" si="36"/>
        <v>0</v>
      </c>
      <c r="I718" s="29">
        <f t="shared" si="37"/>
        <v>39702</v>
      </c>
    </row>
    <row r="719" spans="1:9" ht="12.75" hidden="1" customHeight="1" x14ac:dyDescent="0.2">
      <c r="A719" s="28">
        <v>39703</v>
      </c>
      <c r="B719" s="26" t="s">
        <v>2749</v>
      </c>
      <c r="C719" s="26" t="s">
        <v>9</v>
      </c>
      <c r="D719" s="35" t="s">
        <v>20</v>
      </c>
      <c r="E719" s="35">
        <v>131672</v>
      </c>
      <c r="F719" s="35" t="s">
        <v>20</v>
      </c>
      <c r="G719" t="b">
        <f t="shared" si="35"/>
        <v>0</v>
      </c>
      <c r="H719" t="b">
        <f t="shared" si="36"/>
        <v>0</v>
      </c>
      <c r="I719" s="29">
        <f t="shared" si="37"/>
        <v>39703</v>
      </c>
    </row>
    <row r="720" spans="1:9" ht="25.5" hidden="1" x14ac:dyDescent="0.2">
      <c r="A720" s="28">
        <v>39703</v>
      </c>
      <c r="B720" s="26" t="s">
        <v>2397</v>
      </c>
      <c r="C720" s="26" t="s">
        <v>9</v>
      </c>
      <c r="D720" s="35">
        <v>37000000</v>
      </c>
      <c r="E720" s="35">
        <v>60355347</v>
      </c>
      <c r="F720" s="35">
        <v>163415735</v>
      </c>
      <c r="G720" t="b">
        <f t="shared" si="35"/>
        <v>0</v>
      </c>
      <c r="H720" t="b">
        <f t="shared" si="36"/>
        <v>0</v>
      </c>
      <c r="I720" s="29">
        <f t="shared" si="37"/>
        <v>39703</v>
      </c>
    </row>
    <row r="721" spans="1:9" ht="25.5" hidden="1" x14ac:dyDescent="0.2">
      <c r="A721" s="28">
        <v>39703</v>
      </c>
      <c r="B721" s="26" t="s">
        <v>1568</v>
      </c>
      <c r="C721" s="26" t="s">
        <v>9</v>
      </c>
      <c r="D721" s="35" t="s">
        <v>20</v>
      </c>
      <c r="E721" s="35" t="s">
        <v>20</v>
      </c>
      <c r="F721" s="35">
        <v>3955837</v>
      </c>
      <c r="G721" t="b">
        <f t="shared" si="35"/>
        <v>0</v>
      </c>
      <c r="H721" t="b">
        <f t="shared" si="36"/>
        <v>0</v>
      </c>
      <c r="I721" s="29">
        <f t="shared" si="37"/>
        <v>39703</v>
      </c>
    </row>
    <row r="722" spans="1:9" ht="25.5" hidden="1" x14ac:dyDescent="0.2">
      <c r="A722" s="28">
        <v>39703</v>
      </c>
      <c r="B722" s="26" t="s">
        <v>2140</v>
      </c>
      <c r="C722" s="26" t="s">
        <v>33</v>
      </c>
      <c r="D722" s="35" t="s">
        <v>20</v>
      </c>
      <c r="E722" s="35">
        <v>96314</v>
      </c>
      <c r="F722" s="35" t="s">
        <v>20</v>
      </c>
      <c r="G722" t="b">
        <f t="shared" si="35"/>
        <v>0</v>
      </c>
      <c r="H722" t="b">
        <f t="shared" si="36"/>
        <v>0</v>
      </c>
      <c r="I722" s="29">
        <f t="shared" si="37"/>
        <v>39703</v>
      </c>
    </row>
    <row r="723" spans="1:9" ht="25.5" hidden="1" x14ac:dyDescent="0.2">
      <c r="A723" s="28">
        <v>39703</v>
      </c>
      <c r="B723" s="26" t="s">
        <v>3396</v>
      </c>
      <c r="C723" s="26" t="s">
        <v>2865</v>
      </c>
      <c r="D723" s="35" t="s">
        <v>20</v>
      </c>
      <c r="E723" s="35" t="s">
        <v>20</v>
      </c>
      <c r="F723" s="35" t="s">
        <v>20</v>
      </c>
      <c r="G723" t="b">
        <f t="shared" si="35"/>
        <v>0</v>
      </c>
      <c r="H723" t="b">
        <f t="shared" si="36"/>
        <v>0</v>
      </c>
      <c r="I723" s="29">
        <f t="shared" si="37"/>
        <v>39703</v>
      </c>
    </row>
    <row r="724" spans="1:9" ht="12.75" hidden="1" customHeight="1" x14ac:dyDescent="0.2">
      <c r="A724" s="28">
        <v>39703</v>
      </c>
      <c r="B724" s="26" t="s">
        <v>3040</v>
      </c>
      <c r="C724" s="26" t="s">
        <v>9</v>
      </c>
      <c r="D724" s="35">
        <v>60000000</v>
      </c>
      <c r="E724" s="35">
        <v>40081410</v>
      </c>
      <c r="F724" s="35">
        <v>76781410</v>
      </c>
      <c r="G724" t="b">
        <f t="shared" si="35"/>
        <v>0</v>
      </c>
      <c r="H724" t="b">
        <f t="shared" si="36"/>
        <v>0</v>
      </c>
      <c r="I724" s="29">
        <f t="shared" si="37"/>
        <v>39703</v>
      </c>
    </row>
    <row r="725" spans="1:9" ht="12.75" hidden="1" customHeight="1" x14ac:dyDescent="0.2">
      <c r="A725" s="28">
        <v>39703</v>
      </c>
      <c r="B725" s="26" t="s">
        <v>2916</v>
      </c>
      <c r="C725" s="26" t="s">
        <v>2964</v>
      </c>
      <c r="D725" s="35" t="s">
        <v>20</v>
      </c>
      <c r="E725" s="35">
        <v>40864</v>
      </c>
      <c r="F725" s="35" t="s">
        <v>20</v>
      </c>
      <c r="G725" t="b">
        <f t="shared" si="35"/>
        <v>0</v>
      </c>
      <c r="H725" t="b">
        <f t="shared" si="36"/>
        <v>0</v>
      </c>
      <c r="I725" s="29">
        <f t="shared" si="37"/>
        <v>39703</v>
      </c>
    </row>
    <row r="726" spans="1:9" ht="25.5" hidden="1" x14ac:dyDescent="0.2">
      <c r="A726" s="28">
        <v>39703</v>
      </c>
      <c r="B726" s="26" t="s">
        <v>1161</v>
      </c>
      <c r="C726" s="26" t="s">
        <v>2123</v>
      </c>
      <c r="D726" s="35" t="s">
        <v>20</v>
      </c>
      <c r="E726" s="35" t="s">
        <v>20</v>
      </c>
      <c r="F726" s="35" t="s">
        <v>20</v>
      </c>
      <c r="G726" t="b">
        <f t="shared" si="35"/>
        <v>0</v>
      </c>
      <c r="H726" t="b">
        <f t="shared" si="36"/>
        <v>0</v>
      </c>
      <c r="I726" s="29">
        <f t="shared" si="37"/>
        <v>39703</v>
      </c>
    </row>
    <row r="727" spans="1:9" ht="12.75" hidden="1" customHeight="1" x14ac:dyDescent="0.2">
      <c r="A727" s="28">
        <v>39703</v>
      </c>
      <c r="B727" s="26" t="s">
        <v>2855</v>
      </c>
      <c r="C727" s="26" t="s">
        <v>849</v>
      </c>
      <c r="D727" s="35">
        <v>16000000</v>
      </c>
      <c r="E727" s="35">
        <v>26902075</v>
      </c>
      <c r="F727" s="35">
        <v>50103808</v>
      </c>
      <c r="G727" t="b">
        <f t="shared" si="35"/>
        <v>0</v>
      </c>
      <c r="H727" t="b">
        <f t="shared" si="36"/>
        <v>0</v>
      </c>
      <c r="I727" s="29">
        <f t="shared" si="37"/>
        <v>39703</v>
      </c>
    </row>
    <row r="728" spans="1:9" ht="12.75" hidden="1" customHeight="1" x14ac:dyDescent="0.2">
      <c r="A728" s="28">
        <v>39703</v>
      </c>
      <c r="B728" s="26" t="s">
        <v>2196</v>
      </c>
      <c r="C728" s="26" t="s">
        <v>9</v>
      </c>
      <c r="D728" s="35" t="s">
        <v>20</v>
      </c>
      <c r="E728" s="35">
        <v>246649</v>
      </c>
      <c r="F728" s="35" t="s">
        <v>20</v>
      </c>
      <c r="G728" t="b">
        <f t="shared" si="35"/>
        <v>0</v>
      </c>
      <c r="H728" t="b">
        <f t="shared" si="36"/>
        <v>0</v>
      </c>
      <c r="I728" s="29">
        <f t="shared" si="37"/>
        <v>39703</v>
      </c>
    </row>
    <row r="729" spans="1:9" ht="12.75" hidden="1" customHeight="1" x14ac:dyDescent="0.2">
      <c r="A729" s="28">
        <v>39703</v>
      </c>
      <c r="B729" s="26" t="s">
        <v>3354</v>
      </c>
      <c r="C729" s="26" t="s">
        <v>9</v>
      </c>
      <c r="D729" s="35" t="s">
        <v>20</v>
      </c>
      <c r="E729" s="35">
        <v>372124</v>
      </c>
      <c r="F729" s="35">
        <v>400755</v>
      </c>
      <c r="G729" t="b">
        <f t="shared" si="35"/>
        <v>0</v>
      </c>
      <c r="H729" t="b">
        <f t="shared" si="36"/>
        <v>0</v>
      </c>
      <c r="I729" s="29">
        <f t="shared" si="37"/>
        <v>39703</v>
      </c>
    </row>
    <row r="730" spans="1:9" ht="25.5" hidden="1" x14ac:dyDescent="0.2">
      <c r="A730" s="28">
        <v>39703</v>
      </c>
      <c r="B730" s="26" t="s">
        <v>3087</v>
      </c>
      <c r="C730" s="26" t="s">
        <v>9</v>
      </c>
      <c r="D730" s="35" t="s">
        <v>20</v>
      </c>
      <c r="E730" s="35">
        <v>5692</v>
      </c>
      <c r="F730" s="35" t="s">
        <v>20</v>
      </c>
      <c r="G730" t="b">
        <f t="shared" si="35"/>
        <v>0</v>
      </c>
      <c r="H730" t="b">
        <f t="shared" si="36"/>
        <v>0</v>
      </c>
      <c r="I730" s="29">
        <f t="shared" si="37"/>
        <v>39703</v>
      </c>
    </row>
    <row r="731" spans="1:9" ht="25.5" hidden="1" x14ac:dyDescent="0.2">
      <c r="A731" s="28">
        <v>39703</v>
      </c>
      <c r="B731" s="26" t="s">
        <v>808</v>
      </c>
      <c r="C731" s="26" t="s">
        <v>3419</v>
      </c>
      <c r="D731" s="35" t="s">
        <v>20</v>
      </c>
      <c r="E731" s="35">
        <v>37105289</v>
      </c>
      <c r="F731" s="35" t="s">
        <v>20</v>
      </c>
      <c r="G731" t="b">
        <f t="shared" si="35"/>
        <v>0</v>
      </c>
      <c r="H731" t="b">
        <f t="shared" si="36"/>
        <v>0</v>
      </c>
      <c r="I731" s="29">
        <f t="shared" si="37"/>
        <v>39703</v>
      </c>
    </row>
    <row r="732" spans="1:9" hidden="1" x14ac:dyDescent="0.2">
      <c r="A732" s="28">
        <v>39703</v>
      </c>
      <c r="B732" s="26" t="s">
        <v>522</v>
      </c>
      <c r="C732" s="26" t="s">
        <v>9</v>
      </c>
      <c r="D732" s="35" t="s">
        <v>20</v>
      </c>
      <c r="E732" s="35" t="s">
        <v>20</v>
      </c>
      <c r="F732" s="35">
        <v>9475906</v>
      </c>
      <c r="G732" t="b">
        <f t="shared" si="35"/>
        <v>0</v>
      </c>
      <c r="H732" t="b">
        <f t="shared" si="36"/>
        <v>0</v>
      </c>
      <c r="I732" s="29">
        <f t="shared" si="37"/>
        <v>39703</v>
      </c>
    </row>
    <row r="733" spans="1:9" ht="25.5" hidden="1" x14ac:dyDescent="0.2">
      <c r="A733" s="28">
        <v>39703</v>
      </c>
      <c r="B733" s="26" t="s">
        <v>2119</v>
      </c>
      <c r="C733" s="26" t="s">
        <v>9</v>
      </c>
      <c r="D733" s="35" t="s">
        <v>20</v>
      </c>
      <c r="E733" s="35">
        <v>39891</v>
      </c>
      <c r="F733" s="35" t="s">
        <v>20</v>
      </c>
      <c r="G733" t="b">
        <f t="shared" si="35"/>
        <v>0</v>
      </c>
      <c r="H733" t="b">
        <f t="shared" si="36"/>
        <v>0</v>
      </c>
      <c r="I733" s="29">
        <f t="shared" si="37"/>
        <v>39703</v>
      </c>
    </row>
    <row r="734" spans="1:9" ht="38.25" hidden="1" x14ac:dyDescent="0.2">
      <c r="A734" s="28">
        <v>39704</v>
      </c>
      <c r="B734" s="26" t="s">
        <v>200</v>
      </c>
      <c r="C734" s="26" t="s">
        <v>9</v>
      </c>
      <c r="D734" s="35" t="s">
        <v>20</v>
      </c>
      <c r="E734" s="35" t="s">
        <v>20</v>
      </c>
      <c r="F734" s="35">
        <v>5954671</v>
      </c>
      <c r="G734" t="b">
        <f t="shared" si="35"/>
        <v>0</v>
      </c>
      <c r="H734" t="b">
        <f t="shared" si="36"/>
        <v>0</v>
      </c>
      <c r="I734" s="29">
        <f t="shared" si="37"/>
        <v>39704</v>
      </c>
    </row>
    <row r="735" spans="1:9" ht="12.75" hidden="1" customHeight="1" x14ac:dyDescent="0.2">
      <c r="A735" s="28">
        <v>39704</v>
      </c>
      <c r="B735" s="26" t="s">
        <v>2824</v>
      </c>
      <c r="C735" s="26" t="s">
        <v>9</v>
      </c>
      <c r="D735" s="35" t="s">
        <v>20</v>
      </c>
      <c r="E735" s="35" t="s">
        <v>20</v>
      </c>
      <c r="F735" s="35" t="s">
        <v>20</v>
      </c>
      <c r="G735" t="b">
        <f t="shared" si="35"/>
        <v>0</v>
      </c>
      <c r="H735" t="b">
        <f t="shared" si="36"/>
        <v>0</v>
      </c>
      <c r="I735" s="29">
        <f t="shared" si="37"/>
        <v>39704</v>
      </c>
    </row>
    <row r="736" spans="1:9" ht="12.75" hidden="1" customHeight="1" x14ac:dyDescent="0.2">
      <c r="A736" s="28">
        <v>39704</v>
      </c>
      <c r="B736" s="26" t="s">
        <v>3119</v>
      </c>
      <c r="C736" s="26" t="s">
        <v>9</v>
      </c>
      <c r="D736" s="35" t="s">
        <v>20</v>
      </c>
      <c r="E736" s="35" t="s">
        <v>20</v>
      </c>
      <c r="F736" s="35">
        <v>1283207</v>
      </c>
      <c r="G736" t="b">
        <f t="shared" ref="G736:G797" si="38">ISBLANK(A736)</f>
        <v>0</v>
      </c>
      <c r="H736" t="b">
        <f t="shared" ref="H736:H797" si="39">ISTEXT(A736)</f>
        <v>0</v>
      </c>
      <c r="I736" s="29">
        <f t="shared" si="37"/>
        <v>39704</v>
      </c>
    </row>
    <row r="737" spans="1:9" ht="25.5" hidden="1" x14ac:dyDescent="0.2">
      <c r="A737" s="28">
        <v>39704</v>
      </c>
      <c r="B737" s="26" t="s">
        <v>2231</v>
      </c>
      <c r="C737" s="26" t="s">
        <v>9</v>
      </c>
      <c r="D737" s="35" t="s">
        <v>20</v>
      </c>
      <c r="E737" s="35" t="s">
        <v>20</v>
      </c>
      <c r="F737" s="35">
        <v>18508052</v>
      </c>
      <c r="G737" t="b">
        <f t="shared" si="38"/>
        <v>0</v>
      </c>
      <c r="H737" t="b">
        <f t="shared" si="39"/>
        <v>0</v>
      </c>
      <c r="I737" s="29">
        <f t="shared" si="37"/>
        <v>39704</v>
      </c>
    </row>
    <row r="738" spans="1:9" ht="12.75" hidden="1" customHeight="1" x14ac:dyDescent="0.2">
      <c r="A738" s="28">
        <v>39707</v>
      </c>
      <c r="B738" s="26" t="s">
        <v>982</v>
      </c>
      <c r="C738" s="26" t="s">
        <v>9</v>
      </c>
      <c r="D738" s="35" t="s">
        <v>20</v>
      </c>
      <c r="E738" s="35" t="s">
        <v>20</v>
      </c>
      <c r="F738" s="35" t="s">
        <v>20</v>
      </c>
      <c r="G738" t="b">
        <f t="shared" si="38"/>
        <v>0</v>
      </c>
      <c r="H738" t="b">
        <f t="shared" si="39"/>
        <v>0</v>
      </c>
      <c r="I738" s="29">
        <f t="shared" si="37"/>
        <v>39707</v>
      </c>
    </row>
    <row r="739" spans="1:9" ht="25.5" hidden="1" x14ac:dyDescent="0.2">
      <c r="A739" s="28">
        <v>39707</v>
      </c>
      <c r="B739" s="26" t="s">
        <v>2283</v>
      </c>
      <c r="C739" s="26" t="s">
        <v>9</v>
      </c>
      <c r="D739" s="35" t="s">
        <v>20</v>
      </c>
      <c r="E739" s="35" t="s">
        <v>20</v>
      </c>
      <c r="F739" s="35" t="s">
        <v>20</v>
      </c>
      <c r="G739" t="b">
        <f t="shared" si="38"/>
        <v>0</v>
      </c>
      <c r="H739" t="b">
        <f t="shared" si="39"/>
        <v>0</v>
      </c>
      <c r="I739" s="29">
        <f t="shared" si="37"/>
        <v>39707</v>
      </c>
    </row>
    <row r="740" spans="1:9" ht="38.25" hidden="1" x14ac:dyDescent="0.2">
      <c r="A740" s="28">
        <v>39708</v>
      </c>
      <c r="B740" s="26" t="s">
        <v>3322</v>
      </c>
      <c r="C740" s="26" t="s">
        <v>9</v>
      </c>
      <c r="D740" s="35" t="s">
        <v>20</v>
      </c>
      <c r="E740" s="35" t="s">
        <v>20</v>
      </c>
      <c r="F740" s="35" t="s">
        <v>20</v>
      </c>
      <c r="G740" t="b">
        <f t="shared" si="38"/>
        <v>0</v>
      </c>
      <c r="H740" t="b">
        <f t="shared" si="39"/>
        <v>0</v>
      </c>
      <c r="I740" s="29">
        <f t="shared" si="37"/>
        <v>39708</v>
      </c>
    </row>
    <row r="741" spans="1:9" ht="25.5" hidden="1" x14ac:dyDescent="0.2">
      <c r="A741" s="28">
        <v>39708</v>
      </c>
      <c r="B741" s="26" t="s">
        <v>1390</v>
      </c>
      <c r="C741" s="26" t="s">
        <v>9</v>
      </c>
      <c r="D741" s="35" t="s">
        <v>20</v>
      </c>
      <c r="E741" s="35">
        <v>111844</v>
      </c>
      <c r="F741" s="35">
        <v>7676474</v>
      </c>
      <c r="G741" t="b">
        <f t="shared" si="38"/>
        <v>0</v>
      </c>
      <c r="H741" t="b">
        <f t="shared" si="39"/>
        <v>0</v>
      </c>
      <c r="I741" s="29">
        <f t="shared" si="37"/>
        <v>39708</v>
      </c>
    </row>
    <row r="742" spans="1:9" ht="25.5" hidden="1" x14ac:dyDescent="0.2">
      <c r="A742" s="28">
        <v>39710</v>
      </c>
      <c r="B742" s="26" t="s">
        <v>2679</v>
      </c>
      <c r="C742" s="26" t="s">
        <v>2395</v>
      </c>
      <c r="D742" s="35" t="s">
        <v>20</v>
      </c>
      <c r="E742" s="35">
        <v>20705</v>
      </c>
      <c r="F742" s="35" t="s">
        <v>20</v>
      </c>
      <c r="G742" t="b">
        <f t="shared" si="38"/>
        <v>0</v>
      </c>
      <c r="H742" t="b">
        <f t="shared" si="39"/>
        <v>0</v>
      </c>
      <c r="I742" s="29">
        <f t="shared" si="37"/>
        <v>39710</v>
      </c>
    </row>
    <row r="743" spans="1:9" ht="12.75" hidden="1" customHeight="1" x14ac:dyDescent="0.2">
      <c r="A743" s="28">
        <v>39710</v>
      </c>
      <c r="B743" s="26" t="s">
        <v>672</v>
      </c>
      <c r="C743" s="26" t="s">
        <v>9</v>
      </c>
      <c r="D743" s="35" t="s">
        <v>20</v>
      </c>
      <c r="E743" s="35" t="s">
        <v>20</v>
      </c>
      <c r="F743" s="35">
        <v>9860147</v>
      </c>
      <c r="G743" t="b">
        <f t="shared" si="38"/>
        <v>0</v>
      </c>
      <c r="H743" t="b">
        <f t="shared" si="39"/>
        <v>0</v>
      </c>
      <c r="I743" s="29">
        <f t="shared" si="37"/>
        <v>39710</v>
      </c>
    </row>
    <row r="744" spans="1:9" ht="12.75" hidden="1" customHeight="1" x14ac:dyDescent="0.2">
      <c r="A744" s="28">
        <v>39710</v>
      </c>
      <c r="B744" s="26" t="s">
        <v>537</v>
      </c>
      <c r="C744" s="26" t="s">
        <v>9</v>
      </c>
      <c r="D744" s="35" t="s">
        <v>20</v>
      </c>
      <c r="E744" s="35">
        <v>223537</v>
      </c>
      <c r="F744" s="35">
        <v>873537</v>
      </c>
      <c r="G744" t="b">
        <f t="shared" si="38"/>
        <v>0</v>
      </c>
      <c r="H744" t="b">
        <f t="shared" si="39"/>
        <v>0</v>
      </c>
      <c r="I744" s="29">
        <f t="shared" si="37"/>
        <v>39710</v>
      </c>
    </row>
    <row r="745" spans="1:9" ht="25.5" hidden="1" x14ac:dyDescent="0.2">
      <c r="A745" s="28">
        <v>39710</v>
      </c>
      <c r="B745" s="26" t="s">
        <v>1978</v>
      </c>
      <c r="C745" s="26" t="s">
        <v>2621</v>
      </c>
      <c r="D745" s="35" t="s">
        <v>20</v>
      </c>
      <c r="E745" s="35">
        <v>76806</v>
      </c>
      <c r="F745" s="35" t="s">
        <v>20</v>
      </c>
      <c r="G745" t="b">
        <f t="shared" si="38"/>
        <v>0</v>
      </c>
      <c r="H745" t="b">
        <f t="shared" si="39"/>
        <v>0</v>
      </c>
      <c r="I745" s="29">
        <f t="shared" si="37"/>
        <v>39710</v>
      </c>
    </row>
    <row r="746" spans="1:9" ht="12.75" hidden="1" customHeight="1" x14ac:dyDescent="0.2">
      <c r="A746" s="28">
        <v>39710</v>
      </c>
      <c r="B746" s="26" t="s">
        <v>1831</v>
      </c>
      <c r="C746" s="26" t="s">
        <v>9</v>
      </c>
      <c r="D746" s="35" t="s">
        <v>20</v>
      </c>
      <c r="E746" s="35">
        <v>8744</v>
      </c>
      <c r="F746" s="35">
        <v>13795672</v>
      </c>
      <c r="G746" t="b">
        <f t="shared" si="38"/>
        <v>0</v>
      </c>
      <c r="H746" t="b">
        <f t="shared" si="39"/>
        <v>0</v>
      </c>
      <c r="I746" s="29">
        <f t="shared" si="37"/>
        <v>39710</v>
      </c>
    </row>
    <row r="747" spans="1:9" ht="25.5" hidden="1" x14ac:dyDescent="0.2">
      <c r="A747" s="28">
        <v>39710</v>
      </c>
      <c r="B747" s="26" t="s">
        <v>423</v>
      </c>
      <c r="C747" s="26" t="s">
        <v>3419</v>
      </c>
      <c r="D747" s="35">
        <v>20000000</v>
      </c>
      <c r="E747" s="35">
        <v>19219250</v>
      </c>
      <c r="F747" s="35">
        <v>34787111</v>
      </c>
      <c r="G747" t="b">
        <f t="shared" si="38"/>
        <v>0</v>
      </c>
      <c r="H747" t="b">
        <f t="shared" si="39"/>
        <v>0</v>
      </c>
      <c r="I747" s="29">
        <f t="shared" si="37"/>
        <v>39710</v>
      </c>
    </row>
    <row r="748" spans="1:9" ht="12.75" hidden="1" customHeight="1" x14ac:dyDescent="0.2">
      <c r="A748" s="28">
        <v>39710</v>
      </c>
      <c r="B748" s="26" t="s">
        <v>3131</v>
      </c>
      <c r="C748" s="26" t="s">
        <v>3209</v>
      </c>
      <c r="D748" s="35">
        <v>20000000</v>
      </c>
      <c r="E748" s="35">
        <v>20211394</v>
      </c>
      <c r="F748" s="35">
        <v>26111394</v>
      </c>
      <c r="G748" t="b">
        <f t="shared" si="38"/>
        <v>0</v>
      </c>
      <c r="H748" t="b">
        <f t="shared" si="39"/>
        <v>0</v>
      </c>
      <c r="I748" s="29">
        <f t="shared" si="37"/>
        <v>39710</v>
      </c>
    </row>
    <row r="749" spans="1:9" ht="12.75" hidden="1" customHeight="1" x14ac:dyDescent="0.2">
      <c r="A749" s="28">
        <v>39710</v>
      </c>
      <c r="B749" s="26" t="s">
        <v>3149</v>
      </c>
      <c r="C749" s="26" t="s">
        <v>3240</v>
      </c>
      <c r="D749" s="35">
        <v>20000000</v>
      </c>
      <c r="E749" s="35">
        <v>13252641</v>
      </c>
      <c r="F749" s="35">
        <v>26612350</v>
      </c>
      <c r="G749" t="b">
        <f t="shared" si="38"/>
        <v>0</v>
      </c>
      <c r="H749" t="b">
        <f t="shared" si="39"/>
        <v>0</v>
      </c>
      <c r="I749" s="29">
        <f t="shared" si="37"/>
        <v>39710</v>
      </c>
    </row>
    <row r="750" spans="1:9" ht="12.75" hidden="1" customHeight="1" x14ac:dyDescent="0.2">
      <c r="A750" s="28">
        <v>39710</v>
      </c>
      <c r="B750" s="26" t="s">
        <v>832</v>
      </c>
      <c r="C750" s="26" t="s">
        <v>2389</v>
      </c>
      <c r="D750" s="35" t="s">
        <v>20</v>
      </c>
      <c r="E750" s="35" t="s">
        <v>20</v>
      </c>
      <c r="F750" s="35" t="s">
        <v>20</v>
      </c>
      <c r="G750" t="b">
        <f t="shared" si="38"/>
        <v>0</v>
      </c>
      <c r="H750" t="b">
        <f t="shared" si="39"/>
        <v>0</v>
      </c>
      <c r="I750" s="29">
        <f t="shared" si="37"/>
        <v>39710</v>
      </c>
    </row>
    <row r="751" spans="1:9" ht="12.75" hidden="1" customHeight="1" x14ac:dyDescent="0.2">
      <c r="A751" s="28">
        <v>39710</v>
      </c>
      <c r="B751" s="26" t="s">
        <v>219</v>
      </c>
      <c r="C751" s="26" t="s">
        <v>49</v>
      </c>
      <c r="D751" s="35">
        <v>30000000</v>
      </c>
      <c r="E751" s="35">
        <v>19528188</v>
      </c>
      <c r="F751" s="35">
        <v>26608350</v>
      </c>
      <c r="G751" t="b">
        <f t="shared" si="38"/>
        <v>0</v>
      </c>
      <c r="H751" t="b">
        <f t="shared" si="39"/>
        <v>0</v>
      </c>
      <c r="I751" s="29">
        <f t="shared" si="37"/>
        <v>39710</v>
      </c>
    </row>
    <row r="752" spans="1:9" ht="12.75" hidden="1" customHeight="1" x14ac:dyDescent="0.2">
      <c r="A752" s="28">
        <v>39710</v>
      </c>
      <c r="B752" s="26" t="s">
        <v>2999</v>
      </c>
      <c r="C752" s="26" t="s">
        <v>9</v>
      </c>
      <c r="D752" s="35" t="s">
        <v>20</v>
      </c>
      <c r="E752" s="35">
        <v>5715</v>
      </c>
      <c r="F752" s="35" t="s">
        <v>20</v>
      </c>
      <c r="G752" t="b">
        <f t="shared" si="38"/>
        <v>0</v>
      </c>
      <c r="H752" t="b">
        <f t="shared" si="39"/>
        <v>0</v>
      </c>
      <c r="I752" s="29">
        <f t="shared" si="37"/>
        <v>39710</v>
      </c>
    </row>
    <row r="753" spans="1:9" ht="12.75" hidden="1" customHeight="1" x14ac:dyDescent="0.2">
      <c r="A753" s="28">
        <v>39710</v>
      </c>
      <c r="B753" s="26" t="s">
        <v>3382</v>
      </c>
      <c r="C753" s="26" t="s">
        <v>9</v>
      </c>
      <c r="D753" s="35" t="s">
        <v>20</v>
      </c>
      <c r="E753" s="35">
        <v>13848978</v>
      </c>
      <c r="F753" s="35">
        <v>32530013</v>
      </c>
      <c r="G753" t="b">
        <f t="shared" si="38"/>
        <v>0</v>
      </c>
      <c r="H753" t="b">
        <f t="shared" si="39"/>
        <v>0</v>
      </c>
      <c r="I753" s="29">
        <f t="shared" si="37"/>
        <v>39710</v>
      </c>
    </row>
    <row r="754" spans="1:9" ht="12.75" hidden="1" customHeight="1" x14ac:dyDescent="0.2">
      <c r="A754" s="28">
        <v>39710</v>
      </c>
      <c r="B754" s="26" t="s">
        <v>974</v>
      </c>
      <c r="C754" s="26" t="s">
        <v>2160</v>
      </c>
      <c r="D754" s="35">
        <v>20000000</v>
      </c>
      <c r="E754" s="35">
        <v>39263506</v>
      </c>
      <c r="F754" s="35">
        <v>44663506</v>
      </c>
      <c r="G754" t="b">
        <f t="shared" si="38"/>
        <v>0</v>
      </c>
      <c r="H754" t="b">
        <f t="shared" si="39"/>
        <v>0</v>
      </c>
      <c r="I754" s="29">
        <f t="shared" si="37"/>
        <v>39710</v>
      </c>
    </row>
    <row r="755" spans="1:9" ht="12.75" hidden="1" customHeight="1" x14ac:dyDescent="0.2">
      <c r="A755" s="28">
        <v>39710</v>
      </c>
      <c r="B755" s="26" t="s">
        <v>2727</v>
      </c>
      <c r="C755" s="26" t="s">
        <v>1113</v>
      </c>
      <c r="D755" s="35" t="s">
        <v>20</v>
      </c>
      <c r="E755" s="35">
        <v>132016</v>
      </c>
      <c r="F755" s="35" t="s">
        <v>20</v>
      </c>
      <c r="G755" t="b">
        <f t="shared" si="38"/>
        <v>0</v>
      </c>
      <c r="H755" t="b">
        <f t="shared" si="39"/>
        <v>0</v>
      </c>
      <c r="I755" s="29">
        <f t="shared" si="37"/>
        <v>39710</v>
      </c>
    </row>
    <row r="756" spans="1:9" ht="25.5" hidden="1" x14ac:dyDescent="0.2">
      <c r="A756" s="28">
        <v>39714</v>
      </c>
      <c r="B756" s="26" t="s">
        <v>1167</v>
      </c>
      <c r="C756" s="26" t="s">
        <v>3209</v>
      </c>
      <c r="D756" s="35" t="s">
        <v>20</v>
      </c>
      <c r="E756" s="35" t="s">
        <v>20</v>
      </c>
      <c r="F756" s="35" t="s">
        <v>20</v>
      </c>
      <c r="G756" t="b">
        <f t="shared" si="38"/>
        <v>0</v>
      </c>
      <c r="H756" t="b">
        <f t="shared" si="39"/>
        <v>0</v>
      </c>
      <c r="I756" s="29">
        <f t="shared" si="37"/>
        <v>39714</v>
      </c>
    </row>
    <row r="757" spans="1:9" hidden="1" x14ac:dyDescent="0.2">
      <c r="A757" s="28">
        <v>39716</v>
      </c>
      <c r="B757" s="26" t="s">
        <v>3306</v>
      </c>
      <c r="C757" s="26" t="s">
        <v>9</v>
      </c>
      <c r="D757" s="35" t="s">
        <v>20</v>
      </c>
      <c r="E757" s="35" t="s">
        <v>20</v>
      </c>
      <c r="F757" s="35">
        <v>7635579</v>
      </c>
      <c r="G757" t="b">
        <f t="shared" si="38"/>
        <v>0</v>
      </c>
      <c r="H757" t="b">
        <f t="shared" si="39"/>
        <v>0</v>
      </c>
      <c r="I757" s="29">
        <f t="shared" si="37"/>
        <v>39716</v>
      </c>
    </row>
    <row r="758" spans="1:9" ht="12.75" hidden="1" customHeight="1" x14ac:dyDescent="0.2">
      <c r="A758" s="28">
        <v>39716</v>
      </c>
      <c r="B758" s="26" t="s">
        <v>1557</v>
      </c>
      <c r="C758" s="26" t="s">
        <v>9</v>
      </c>
      <c r="D758" s="35" t="s">
        <v>20</v>
      </c>
      <c r="E758" s="35" t="s">
        <v>20</v>
      </c>
      <c r="F758" s="35">
        <v>2431064</v>
      </c>
      <c r="G758" t="b">
        <f t="shared" si="38"/>
        <v>0</v>
      </c>
      <c r="H758" t="b">
        <f t="shared" si="39"/>
        <v>0</v>
      </c>
      <c r="I758" s="29">
        <f t="shared" si="37"/>
        <v>39716</v>
      </c>
    </row>
    <row r="759" spans="1:9" ht="12.75" hidden="1" customHeight="1" x14ac:dyDescent="0.2">
      <c r="A759" s="28">
        <v>39716</v>
      </c>
      <c r="B759" s="26" t="s">
        <v>2630</v>
      </c>
      <c r="C759" s="26" t="s">
        <v>9</v>
      </c>
      <c r="D759" s="35" t="s">
        <v>20</v>
      </c>
      <c r="E759" s="35" t="s">
        <v>20</v>
      </c>
      <c r="F759" s="35">
        <v>29338195</v>
      </c>
      <c r="G759" t="b">
        <f t="shared" si="38"/>
        <v>0</v>
      </c>
      <c r="H759" t="b">
        <f t="shared" si="39"/>
        <v>0</v>
      </c>
      <c r="I759" s="29">
        <f t="shared" si="37"/>
        <v>39716</v>
      </c>
    </row>
    <row r="760" spans="1:9" ht="25.5" hidden="1" x14ac:dyDescent="0.2">
      <c r="A760" s="28">
        <v>39716</v>
      </c>
      <c r="B760" s="26" t="s">
        <v>676</v>
      </c>
      <c r="C760" s="26" t="s">
        <v>9</v>
      </c>
      <c r="D760" s="35" t="s">
        <v>20</v>
      </c>
      <c r="E760" s="35">
        <v>235027</v>
      </c>
      <c r="F760" s="35" t="s">
        <v>20</v>
      </c>
      <c r="G760" t="b">
        <f t="shared" si="38"/>
        <v>0</v>
      </c>
      <c r="H760" t="b">
        <f t="shared" si="39"/>
        <v>0</v>
      </c>
      <c r="I760" s="29">
        <f t="shared" si="37"/>
        <v>39716</v>
      </c>
    </row>
    <row r="761" spans="1:9" ht="25.5" hidden="1" x14ac:dyDescent="0.2">
      <c r="A761" s="28">
        <v>39717</v>
      </c>
      <c r="B761" s="26" t="s">
        <v>1809</v>
      </c>
      <c r="C761" s="26" t="s">
        <v>2574</v>
      </c>
      <c r="D761" s="35" t="s">
        <v>20</v>
      </c>
      <c r="E761" s="35">
        <v>43905</v>
      </c>
      <c r="F761" s="35" t="s">
        <v>20</v>
      </c>
      <c r="G761" t="b">
        <f t="shared" si="38"/>
        <v>0</v>
      </c>
      <c r="H761" t="b">
        <f t="shared" si="39"/>
        <v>0</v>
      </c>
      <c r="I761" s="29">
        <f t="shared" si="37"/>
        <v>39717</v>
      </c>
    </row>
    <row r="762" spans="1:9" ht="25.5" hidden="1" x14ac:dyDescent="0.2">
      <c r="A762" s="28">
        <v>39717</v>
      </c>
      <c r="B762" s="26" t="s">
        <v>473</v>
      </c>
      <c r="C762" s="26" t="s">
        <v>2052</v>
      </c>
      <c r="D762" s="35" t="s">
        <v>20</v>
      </c>
      <c r="E762" s="35">
        <v>60332</v>
      </c>
      <c r="F762" s="35" t="s">
        <v>20</v>
      </c>
      <c r="G762" t="b">
        <f t="shared" si="38"/>
        <v>0</v>
      </c>
      <c r="H762" t="b">
        <f t="shared" si="39"/>
        <v>0</v>
      </c>
      <c r="I762" s="29">
        <f t="shared" si="37"/>
        <v>39717</v>
      </c>
    </row>
    <row r="763" spans="1:9" ht="12.75" hidden="1" customHeight="1" x14ac:dyDescent="0.2">
      <c r="A763" s="28">
        <v>39717</v>
      </c>
      <c r="B763" s="26" t="s">
        <v>1362</v>
      </c>
      <c r="C763" s="26" t="s">
        <v>9</v>
      </c>
      <c r="D763" s="35">
        <v>2700000</v>
      </c>
      <c r="E763" s="35" t="s">
        <v>20</v>
      </c>
      <c r="F763" s="35">
        <v>2783634</v>
      </c>
      <c r="G763" t="b">
        <f t="shared" si="38"/>
        <v>0</v>
      </c>
      <c r="H763" t="b">
        <f t="shared" si="39"/>
        <v>0</v>
      </c>
      <c r="I763" s="29">
        <f t="shared" si="37"/>
        <v>39717</v>
      </c>
    </row>
    <row r="764" spans="1:9" ht="25.5" hidden="1" x14ac:dyDescent="0.2">
      <c r="A764" s="28">
        <v>39717</v>
      </c>
      <c r="B764" s="26" t="s">
        <v>1090</v>
      </c>
      <c r="C764" s="26" t="s">
        <v>3209</v>
      </c>
      <c r="D764" s="35" t="s">
        <v>20</v>
      </c>
      <c r="E764" s="35">
        <v>41850659</v>
      </c>
      <c r="F764" s="35">
        <v>79350659</v>
      </c>
      <c r="G764" t="b">
        <f t="shared" si="38"/>
        <v>0</v>
      </c>
      <c r="H764" t="b">
        <f t="shared" si="39"/>
        <v>0</v>
      </c>
      <c r="I764" s="29">
        <f t="shared" si="37"/>
        <v>39717</v>
      </c>
    </row>
    <row r="765" spans="1:9" ht="25.5" hidden="1" x14ac:dyDescent="0.2">
      <c r="A765" s="28">
        <v>39717</v>
      </c>
      <c r="B765" s="26" t="s">
        <v>198</v>
      </c>
      <c r="C765" s="26" t="s">
        <v>9</v>
      </c>
      <c r="D765" s="35">
        <v>45000000</v>
      </c>
      <c r="E765" s="35">
        <v>7916887</v>
      </c>
      <c r="F765" s="35">
        <v>9110458</v>
      </c>
      <c r="G765" t="b">
        <f t="shared" si="38"/>
        <v>0</v>
      </c>
      <c r="H765" t="b">
        <f t="shared" si="39"/>
        <v>0</v>
      </c>
      <c r="I765" s="29">
        <f t="shared" si="37"/>
        <v>39717</v>
      </c>
    </row>
    <row r="766" spans="1:9" ht="12.75" hidden="1" customHeight="1" x14ac:dyDescent="0.2">
      <c r="A766" s="28">
        <v>39717</v>
      </c>
      <c r="B766" s="26" t="s">
        <v>2236</v>
      </c>
      <c r="C766" s="26" t="s">
        <v>2621</v>
      </c>
      <c r="D766" s="35" t="s">
        <v>20</v>
      </c>
      <c r="E766" s="35" t="s">
        <v>20</v>
      </c>
      <c r="F766" s="35" t="s">
        <v>20</v>
      </c>
      <c r="G766" t="b">
        <f t="shared" si="38"/>
        <v>0</v>
      </c>
      <c r="H766" t="b">
        <f t="shared" si="39"/>
        <v>0</v>
      </c>
      <c r="I766" s="29">
        <f t="shared" si="37"/>
        <v>39717</v>
      </c>
    </row>
    <row r="767" spans="1:9" ht="12.75" hidden="1" customHeight="1" x14ac:dyDescent="0.2">
      <c r="A767" s="28">
        <v>39717</v>
      </c>
      <c r="B767" s="26" t="s">
        <v>1029</v>
      </c>
      <c r="C767" s="26" t="s">
        <v>1319</v>
      </c>
      <c r="D767" s="35">
        <v>500000</v>
      </c>
      <c r="E767" s="35">
        <v>33451479</v>
      </c>
      <c r="F767" s="35" t="s">
        <v>20</v>
      </c>
      <c r="G767" t="b">
        <f t="shared" si="38"/>
        <v>0</v>
      </c>
      <c r="H767" t="b">
        <f t="shared" si="39"/>
        <v>0</v>
      </c>
      <c r="I767" s="29">
        <f t="shared" si="37"/>
        <v>39717</v>
      </c>
    </row>
    <row r="768" spans="1:9" ht="12.75" hidden="1" customHeight="1" x14ac:dyDescent="0.2">
      <c r="A768" s="28">
        <v>39717</v>
      </c>
      <c r="B768" s="26" t="s">
        <v>1041</v>
      </c>
      <c r="C768" s="26" t="s">
        <v>1115</v>
      </c>
      <c r="D768" s="35" t="s">
        <v>20</v>
      </c>
      <c r="E768" s="35" t="s">
        <v>20</v>
      </c>
      <c r="F768" s="35" t="s">
        <v>20</v>
      </c>
      <c r="G768" t="b">
        <f t="shared" si="38"/>
        <v>0</v>
      </c>
      <c r="H768" t="b">
        <f t="shared" si="39"/>
        <v>0</v>
      </c>
      <c r="I768" s="29">
        <f t="shared" si="37"/>
        <v>39717</v>
      </c>
    </row>
    <row r="769" spans="1:9" ht="12.75" hidden="1" customHeight="1" x14ac:dyDescent="0.2">
      <c r="A769" s="28">
        <v>39717</v>
      </c>
      <c r="B769" s="26" t="s">
        <v>277</v>
      </c>
      <c r="C769" s="26" t="s">
        <v>9</v>
      </c>
      <c r="D769" s="35" t="s">
        <v>20</v>
      </c>
      <c r="E769" s="35">
        <v>82357</v>
      </c>
      <c r="F769" s="35" t="s">
        <v>20</v>
      </c>
      <c r="G769" t="b">
        <f t="shared" si="38"/>
        <v>0</v>
      </c>
      <c r="H769" t="b">
        <f t="shared" si="39"/>
        <v>0</v>
      </c>
      <c r="I769" s="29">
        <f t="shared" si="37"/>
        <v>39717</v>
      </c>
    </row>
    <row r="770" spans="1:9" ht="25.5" hidden="1" x14ac:dyDescent="0.2">
      <c r="A770" s="28">
        <v>39717</v>
      </c>
      <c r="B770" s="26" t="s">
        <v>203</v>
      </c>
      <c r="C770" s="26" t="s">
        <v>2466</v>
      </c>
      <c r="D770" s="35" t="s">
        <v>20</v>
      </c>
      <c r="E770" s="35" t="s">
        <v>20</v>
      </c>
      <c r="F770" s="35" t="s">
        <v>20</v>
      </c>
      <c r="G770" t="b">
        <f t="shared" si="38"/>
        <v>0</v>
      </c>
      <c r="H770" t="b">
        <f t="shared" si="39"/>
        <v>0</v>
      </c>
      <c r="I770" s="29">
        <f t="shared" si="37"/>
        <v>39717</v>
      </c>
    </row>
    <row r="771" spans="1:9" ht="12.75" hidden="1" customHeight="1" x14ac:dyDescent="0.2">
      <c r="A771" s="28">
        <v>39717</v>
      </c>
      <c r="B771" s="26" t="s">
        <v>2355</v>
      </c>
      <c r="C771" s="26" t="s">
        <v>3419</v>
      </c>
      <c r="D771" s="35">
        <v>14000000</v>
      </c>
      <c r="E771" s="35">
        <v>266967</v>
      </c>
      <c r="F771" s="35" t="s">
        <v>20</v>
      </c>
      <c r="G771" t="b">
        <f t="shared" si="38"/>
        <v>0</v>
      </c>
      <c r="H771" t="b">
        <f t="shared" si="39"/>
        <v>0</v>
      </c>
      <c r="I771" s="29">
        <f t="shared" ref="I771:I834" si="40">DATE(2008,MONTH(A771), DAY(A771))</f>
        <v>39717</v>
      </c>
    </row>
    <row r="772" spans="1:9" ht="12.75" hidden="1" customHeight="1" x14ac:dyDescent="0.2">
      <c r="A772" s="28">
        <v>39717</v>
      </c>
      <c r="B772" s="26" t="s">
        <v>1432</v>
      </c>
      <c r="C772" s="26" t="s">
        <v>9</v>
      </c>
      <c r="D772" s="35" t="s">
        <v>20</v>
      </c>
      <c r="E772" s="35">
        <v>10584</v>
      </c>
      <c r="F772" s="35" t="s">
        <v>20</v>
      </c>
      <c r="G772" t="b">
        <f t="shared" si="38"/>
        <v>0</v>
      </c>
      <c r="H772" t="b">
        <f t="shared" si="39"/>
        <v>0</v>
      </c>
      <c r="I772" s="29">
        <f t="shared" si="40"/>
        <v>39717</v>
      </c>
    </row>
    <row r="773" spans="1:9" ht="12.75" hidden="1" customHeight="1" x14ac:dyDescent="0.2">
      <c r="A773" s="28">
        <v>39717</v>
      </c>
      <c r="B773" s="26" t="s">
        <v>3451</v>
      </c>
      <c r="C773" s="26" t="s">
        <v>9</v>
      </c>
      <c r="D773" s="35" t="s">
        <v>20</v>
      </c>
      <c r="E773" s="35">
        <v>1350230</v>
      </c>
      <c r="F773" s="35">
        <v>2992880</v>
      </c>
      <c r="G773" t="b">
        <f t="shared" si="38"/>
        <v>0</v>
      </c>
      <c r="H773" t="b">
        <f t="shared" si="39"/>
        <v>0</v>
      </c>
      <c r="I773" s="29">
        <f t="shared" si="40"/>
        <v>39717</v>
      </c>
    </row>
    <row r="774" spans="1:9" ht="12.75" hidden="1" customHeight="1" x14ac:dyDescent="0.2">
      <c r="A774" s="28">
        <v>39717</v>
      </c>
      <c r="B774" s="26" t="s">
        <v>1463</v>
      </c>
      <c r="C774" s="26" t="s">
        <v>9</v>
      </c>
      <c r="D774" s="35" t="s">
        <v>20</v>
      </c>
      <c r="E774" s="35">
        <v>719556</v>
      </c>
      <c r="F774" s="35" t="s">
        <v>20</v>
      </c>
      <c r="G774" t="b">
        <f t="shared" si="38"/>
        <v>0</v>
      </c>
      <c r="H774" t="b">
        <f t="shared" si="39"/>
        <v>0</v>
      </c>
      <c r="I774" s="29">
        <f t="shared" si="40"/>
        <v>39717</v>
      </c>
    </row>
    <row r="775" spans="1:9" ht="25.5" hidden="1" x14ac:dyDescent="0.2">
      <c r="A775" s="28">
        <v>39717</v>
      </c>
      <c r="B775" s="26" t="s">
        <v>463</v>
      </c>
      <c r="C775" s="26" t="s">
        <v>2168</v>
      </c>
      <c r="D775" s="35">
        <v>80000000</v>
      </c>
      <c r="E775" s="35">
        <v>101440743</v>
      </c>
      <c r="F775" s="35">
        <v>178066569</v>
      </c>
      <c r="G775" t="b">
        <f t="shared" si="38"/>
        <v>0</v>
      </c>
      <c r="H775" t="b">
        <f t="shared" si="39"/>
        <v>0</v>
      </c>
      <c r="I775" s="29">
        <f t="shared" si="40"/>
        <v>39717</v>
      </c>
    </row>
    <row r="776" spans="1:9" ht="12.75" hidden="1" customHeight="1" x14ac:dyDescent="0.2">
      <c r="A776" s="28">
        <v>39717</v>
      </c>
      <c r="B776" s="26" t="s">
        <v>1353</v>
      </c>
      <c r="C776" s="26" t="s">
        <v>9</v>
      </c>
      <c r="D776" s="35" t="s">
        <v>20</v>
      </c>
      <c r="E776" s="35">
        <v>2926565</v>
      </c>
      <c r="F776" s="35">
        <v>3759802</v>
      </c>
      <c r="G776" t="b">
        <f t="shared" si="38"/>
        <v>0</v>
      </c>
      <c r="H776" t="b">
        <f t="shared" si="39"/>
        <v>0</v>
      </c>
      <c r="I776" s="29">
        <f t="shared" si="40"/>
        <v>39717</v>
      </c>
    </row>
    <row r="777" spans="1:9" ht="38.25" hidden="1" x14ac:dyDescent="0.2">
      <c r="A777" s="28">
        <v>39717</v>
      </c>
      <c r="B777" s="26" t="s">
        <v>30</v>
      </c>
      <c r="C777" s="26" t="s">
        <v>2051</v>
      </c>
      <c r="D777" s="35" t="s">
        <v>20</v>
      </c>
      <c r="E777" s="35">
        <v>5597</v>
      </c>
      <c r="F777" s="35" t="s">
        <v>20</v>
      </c>
      <c r="G777" t="b">
        <f t="shared" si="38"/>
        <v>0</v>
      </c>
      <c r="H777" t="b">
        <f t="shared" si="39"/>
        <v>0</v>
      </c>
      <c r="I777" s="29">
        <f t="shared" si="40"/>
        <v>39717</v>
      </c>
    </row>
    <row r="778" spans="1:9" ht="12.75" hidden="1" customHeight="1" x14ac:dyDescent="0.2">
      <c r="A778" s="28">
        <v>39718</v>
      </c>
      <c r="B778" s="26" t="s">
        <v>3487</v>
      </c>
      <c r="C778" s="26" t="s">
        <v>9</v>
      </c>
      <c r="D778" s="35" t="s">
        <v>20</v>
      </c>
      <c r="E778" s="35" t="s">
        <v>20</v>
      </c>
      <c r="F778" s="35">
        <v>3585144</v>
      </c>
      <c r="G778" t="b">
        <f t="shared" si="38"/>
        <v>0</v>
      </c>
      <c r="H778" t="b">
        <f t="shared" si="39"/>
        <v>0</v>
      </c>
      <c r="I778" s="29">
        <f t="shared" si="40"/>
        <v>39718</v>
      </c>
    </row>
    <row r="779" spans="1:9" ht="12.75" hidden="1" customHeight="1" x14ac:dyDescent="0.2">
      <c r="A779" s="28">
        <v>39721</v>
      </c>
      <c r="B779" s="26" t="s">
        <v>1702</v>
      </c>
      <c r="C779" s="26" t="s">
        <v>9</v>
      </c>
      <c r="D779" s="35" t="s">
        <v>20</v>
      </c>
      <c r="E779" s="35" t="s">
        <v>20</v>
      </c>
      <c r="F779" s="35" t="s">
        <v>20</v>
      </c>
      <c r="G779" t="b">
        <f t="shared" si="38"/>
        <v>0</v>
      </c>
      <c r="H779" t="b">
        <f t="shared" si="39"/>
        <v>0</v>
      </c>
      <c r="I779" s="29">
        <f t="shared" si="40"/>
        <v>39721</v>
      </c>
    </row>
    <row r="780" spans="1:9" ht="12.75" hidden="1" customHeight="1" x14ac:dyDescent="0.2">
      <c r="A780" s="28">
        <v>39721</v>
      </c>
      <c r="B780" s="26" t="s">
        <v>3088</v>
      </c>
      <c r="C780" s="26" t="s">
        <v>9</v>
      </c>
      <c r="D780" s="35" t="s">
        <v>20</v>
      </c>
      <c r="E780" s="35" t="s">
        <v>20</v>
      </c>
      <c r="F780" s="35" t="s">
        <v>20</v>
      </c>
      <c r="G780" t="b">
        <f t="shared" si="38"/>
        <v>0</v>
      </c>
      <c r="H780" t="b">
        <f t="shared" si="39"/>
        <v>0</v>
      </c>
      <c r="I780" s="29">
        <f t="shared" si="40"/>
        <v>39721</v>
      </c>
    </row>
    <row r="781" spans="1:9" ht="12.75" hidden="1" customHeight="1" x14ac:dyDescent="0.2">
      <c r="A781" s="28">
        <v>39722</v>
      </c>
      <c r="B781" s="26" t="s">
        <v>2071</v>
      </c>
      <c r="C781" s="26" t="s">
        <v>9</v>
      </c>
      <c r="D781" s="35" t="s">
        <v>20</v>
      </c>
      <c r="E781" s="35" t="s">
        <v>20</v>
      </c>
      <c r="F781" s="35">
        <v>4121833</v>
      </c>
      <c r="G781" t="b">
        <f t="shared" si="38"/>
        <v>0</v>
      </c>
      <c r="H781" t="b">
        <f t="shared" si="39"/>
        <v>0</v>
      </c>
      <c r="I781" s="29">
        <f t="shared" si="40"/>
        <v>39722</v>
      </c>
    </row>
    <row r="782" spans="1:9" ht="12.75" hidden="1" customHeight="1" x14ac:dyDescent="0.2">
      <c r="A782" s="28">
        <v>39722</v>
      </c>
      <c r="B782" s="26" t="s">
        <v>1599</v>
      </c>
      <c r="C782" s="26" t="s">
        <v>3419</v>
      </c>
      <c r="D782" s="35">
        <v>2500000</v>
      </c>
      <c r="E782" s="35">
        <v>13011160</v>
      </c>
      <c r="F782" s="35">
        <v>13136074</v>
      </c>
      <c r="G782" t="b">
        <f t="shared" si="38"/>
        <v>0</v>
      </c>
      <c r="H782" t="b">
        <f t="shared" si="39"/>
        <v>0</v>
      </c>
      <c r="I782" s="29">
        <f t="shared" si="40"/>
        <v>39722</v>
      </c>
    </row>
    <row r="783" spans="1:9" ht="12.75" hidden="1" customHeight="1" x14ac:dyDescent="0.2">
      <c r="A783" s="28">
        <v>39722</v>
      </c>
      <c r="B783" s="26" t="s">
        <v>657</v>
      </c>
      <c r="C783" s="26" t="s">
        <v>3466</v>
      </c>
      <c r="D783" s="35" t="s">
        <v>20</v>
      </c>
      <c r="E783" s="35">
        <v>77556</v>
      </c>
      <c r="F783" s="35" t="s">
        <v>20</v>
      </c>
      <c r="G783" t="b">
        <f t="shared" si="38"/>
        <v>0</v>
      </c>
      <c r="H783" t="b">
        <f t="shared" si="39"/>
        <v>0</v>
      </c>
      <c r="I783" s="29">
        <f t="shared" si="40"/>
        <v>39722</v>
      </c>
    </row>
    <row r="784" spans="1:9" ht="12.75" hidden="1" customHeight="1" x14ac:dyDescent="0.2">
      <c r="A784" s="28">
        <v>39722</v>
      </c>
      <c r="B784" s="26" t="s">
        <v>1988</v>
      </c>
      <c r="C784" s="26" t="s">
        <v>9</v>
      </c>
      <c r="D784" s="35" t="s">
        <v>20</v>
      </c>
      <c r="E784" s="35" t="s">
        <v>20</v>
      </c>
      <c r="F784" s="35">
        <v>4893014</v>
      </c>
      <c r="G784" t="b">
        <f t="shared" si="38"/>
        <v>0</v>
      </c>
      <c r="H784" t="b">
        <f t="shared" si="39"/>
        <v>0</v>
      </c>
      <c r="I784" s="29">
        <f t="shared" si="40"/>
        <v>39722</v>
      </c>
    </row>
    <row r="785" spans="1:9" ht="12.75" hidden="1" customHeight="1" x14ac:dyDescent="0.2">
      <c r="A785" s="28">
        <v>39723</v>
      </c>
      <c r="B785" s="26" t="s">
        <v>1067</v>
      </c>
      <c r="C785" s="26" t="s">
        <v>9</v>
      </c>
      <c r="D785" s="35" t="s">
        <v>20</v>
      </c>
      <c r="E785" s="35" t="s">
        <v>20</v>
      </c>
      <c r="F785" s="35">
        <v>2391854</v>
      </c>
      <c r="G785" t="b">
        <f t="shared" si="38"/>
        <v>0</v>
      </c>
      <c r="H785" t="b">
        <f t="shared" si="39"/>
        <v>0</v>
      </c>
      <c r="I785" s="29">
        <f t="shared" si="40"/>
        <v>39723</v>
      </c>
    </row>
    <row r="786" spans="1:9" ht="12.75" hidden="1" customHeight="1" x14ac:dyDescent="0.2">
      <c r="A786" s="28">
        <v>39723</v>
      </c>
      <c r="B786" s="26" t="s">
        <v>1913</v>
      </c>
      <c r="C786" s="26" t="s">
        <v>9</v>
      </c>
      <c r="D786" s="35" t="s">
        <v>20</v>
      </c>
      <c r="E786" s="35" t="s">
        <v>20</v>
      </c>
      <c r="F786" s="35">
        <v>1693645</v>
      </c>
      <c r="G786" t="b">
        <f t="shared" si="38"/>
        <v>0</v>
      </c>
      <c r="H786" t="b">
        <f t="shared" si="39"/>
        <v>0</v>
      </c>
      <c r="I786" s="29">
        <f t="shared" si="40"/>
        <v>39723</v>
      </c>
    </row>
    <row r="787" spans="1:9" ht="12.75" hidden="1" customHeight="1" x14ac:dyDescent="0.2">
      <c r="A787" s="28">
        <v>39724</v>
      </c>
      <c r="B787" s="26" t="s">
        <v>1674</v>
      </c>
      <c r="C787" s="26" t="s">
        <v>3096</v>
      </c>
      <c r="D787" s="35" t="s">
        <v>20</v>
      </c>
      <c r="E787" s="35">
        <v>4442377</v>
      </c>
      <c r="F787" s="35">
        <v>4504111</v>
      </c>
      <c r="G787" t="b">
        <f t="shared" si="38"/>
        <v>0</v>
      </c>
      <c r="H787" t="b">
        <f t="shared" si="39"/>
        <v>0</v>
      </c>
      <c r="I787" s="29">
        <f t="shared" si="40"/>
        <v>39724</v>
      </c>
    </row>
    <row r="788" spans="1:9" ht="25.5" hidden="1" x14ac:dyDescent="0.2">
      <c r="A788" s="28">
        <v>39724</v>
      </c>
      <c r="B788" s="26" t="s">
        <v>3303</v>
      </c>
      <c r="C788" s="26" t="s">
        <v>9</v>
      </c>
      <c r="D788" s="35" t="s">
        <v>20</v>
      </c>
      <c r="E788" s="35">
        <v>10687</v>
      </c>
      <c r="F788" s="35" t="s">
        <v>20</v>
      </c>
      <c r="G788" t="b">
        <f t="shared" si="38"/>
        <v>0</v>
      </c>
      <c r="H788" t="b">
        <f t="shared" si="39"/>
        <v>0</v>
      </c>
      <c r="I788" s="29">
        <f t="shared" si="40"/>
        <v>39724</v>
      </c>
    </row>
    <row r="789" spans="1:9" ht="25.5" hidden="1" x14ac:dyDescent="0.2">
      <c r="A789" s="28">
        <v>39724</v>
      </c>
      <c r="B789" s="26" t="s">
        <v>1231</v>
      </c>
      <c r="C789" s="26" t="s">
        <v>9</v>
      </c>
      <c r="D789" s="35">
        <v>20000000</v>
      </c>
      <c r="E789" s="35">
        <v>7013191</v>
      </c>
      <c r="F789" s="35" t="s">
        <v>20</v>
      </c>
      <c r="G789" t="b">
        <f t="shared" si="38"/>
        <v>0</v>
      </c>
      <c r="H789" t="b">
        <f t="shared" si="39"/>
        <v>0</v>
      </c>
      <c r="I789" s="29">
        <f t="shared" si="40"/>
        <v>39724</v>
      </c>
    </row>
    <row r="790" spans="1:9" ht="25.5" hidden="1" x14ac:dyDescent="0.2">
      <c r="A790" s="28">
        <v>39724</v>
      </c>
      <c r="B790" s="26" t="s">
        <v>2737</v>
      </c>
      <c r="C790" s="26" t="s">
        <v>2466</v>
      </c>
      <c r="D790" s="35" t="s">
        <v>20</v>
      </c>
      <c r="E790" s="35">
        <v>66903</v>
      </c>
      <c r="F790" s="35" t="s">
        <v>20</v>
      </c>
      <c r="G790" t="b">
        <f t="shared" si="38"/>
        <v>0</v>
      </c>
      <c r="H790" t="b">
        <f t="shared" si="39"/>
        <v>0</v>
      </c>
      <c r="I790" s="29">
        <f t="shared" si="40"/>
        <v>39724</v>
      </c>
    </row>
    <row r="791" spans="1:9" ht="12.75" hidden="1" customHeight="1" x14ac:dyDescent="0.2">
      <c r="A791" s="28">
        <v>39724</v>
      </c>
      <c r="B791" s="26" t="s">
        <v>720</v>
      </c>
      <c r="C791" s="26" t="s">
        <v>2582</v>
      </c>
      <c r="D791" s="35" t="s">
        <v>20</v>
      </c>
      <c r="E791" s="35">
        <v>328573</v>
      </c>
      <c r="F791" s="35">
        <v>7471988</v>
      </c>
      <c r="G791" t="b">
        <f t="shared" si="38"/>
        <v>0</v>
      </c>
      <c r="H791" t="b">
        <f t="shared" si="39"/>
        <v>0</v>
      </c>
      <c r="I791" s="29">
        <f t="shared" si="40"/>
        <v>39724</v>
      </c>
    </row>
    <row r="792" spans="1:9" ht="12.75" hidden="1" customHeight="1" x14ac:dyDescent="0.2">
      <c r="A792" s="28">
        <v>39724</v>
      </c>
      <c r="B792" s="26" t="s">
        <v>1097</v>
      </c>
      <c r="C792" s="26" t="s">
        <v>9</v>
      </c>
      <c r="D792" s="35" t="s">
        <v>20</v>
      </c>
      <c r="E792" s="35" t="s">
        <v>20</v>
      </c>
      <c r="F792" s="35" t="s">
        <v>20</v>
      </c>
      <c r="G792" t="b">
        <f t="shared" si="38"/>
        <v>0</v>
      </c>
      <c r="H792" t="b">
        <f t="shared" si="39"/>
        <v>0</v>
      </c>
      <c r="I792" s="29">
        <f t="shared" si="40"/>
        <v>39724</v>
      </c>
    </row>
    <row r="793" spans="1:9" ht="25.5" hidden="1" x14ac:dyDescent="0.2">
      <c r="A793" s="28">
        <v>39724</v>
      </c>
      <c r="B793" s="26" t="s">
        <v>2903</v>
      </c>
      <c r="C793" s="26" t="s">
        <v>3390</v>
      </c>
      <c r="D793" s="35">
        <v>20000000</v>
      </c>
      <c r="E793" s="35">
        <v>94497271</v>
      </c>
      <c r="F793" s="35">
        <v>145197271</v>
      </c>
      <c r="G793" t="b">
        <f t="shared" si="38"/>
        <v>0</v>
      </c>
      <c r="H793" t="b">
        <f t="shared" si="39"/>
        <v>0</v>
      </c>
      <c r="I793" s="29">
        <f t="shared" si="40"/>
        <v>39724</v>
      </c>
    </row>
    <row r="794" spans="1:9" ht="38.25" hidden="1" x14ac:dyDescent="0.2">
      <c r="A794" s="28">
        <v>39724</v>
      </c>
      <c r="B794" s="26" t="s">
        <v>1453</v>
      </c>
      <c r="C794" s="26" t="s">
        <v>9</v>
      </c>
      <c r="D794" s="35">
        <v>28000000</v>
      </c>
      <c r="E794" s="35">
        <v>2775593</v>
      </c>
      <c r="F794" s="35">
        <v>12031443</v>
      </c>
      <c r="G794" t="b">
        <f t="shared" si="38"/>
        <v>0</v>
      </c>
      <c r="H794" t="b">
        <f t="shared" si="39"/>
        <v>0</v>
      </c>
      <c r="I794" s="29">
        <f t="shared" si="40"/>
        <v>39724</v>
      </c>
    </row>
    <row r="795" spans="1:9" ht="12.75" hidden="1" customHeight="1" x14ac:dyDescent="0.2">
      <c r="A795" s="28">
        <v>39724</v>
      </c>
      <c r="B795" s="26" t="s">
        <v>141</v>
      </c>
      <c r="C795" s="26" t="s">
        <v>3466</v>
      </c>
      <c r="D795" s="35" t="s">
        <v>20</v>
      </c>
      <c r="E795" s="35" t="s">
        <v>20</v>
      </c>
      <c r="F795" s="35" t="s">
        <v>20</v>
      </c>
      <c r="G795" t="b">
        <f t="shared" si="38"/>
        <v>0</v>
      </c>
      <c r="H795" t="b">
        <f t="shared" si="39"/>
        <v>0</v>
      </c>
      <c r="I795" s="29">
        <f t="shared" si="40"/>
        <v>39724</v>
      </c>
    </row>
    <row r="796" spans="1:9" ht="12.75" hidden="1" customHeight="1" x14ac:dyDescent="0.2">
      <c r="A796" s="28">
        <v>39724</v>
      </c>
      <c r="B796" s="26" t="s">
        <v>1257</v>
      </c>
      <c r="C796" s="26" t="s">
        <v>9</v>
      </c>
      <c r="D796" s="35" t="s">
        <v>20</v>
      </c>
      <c r="E796" s="35" t="s">
        <v>20</v>
      </c>
      <c r="F796" s="35">
        <v>1277605</v>
      </c>
      <c r="G796" t="b">
        <f t="shared" si="38"/>
        <v>0</v>
      </c>
      <c r="H796" t="b">
        <f t="shared" si="39"/>
        <v>0</v>
      </c>
      <c r="I796" s="29">
        <f t="shared" si="40"/>
        <v>39724</v>
      </c>
    </row>
    <row r="797" spans="1:9" ht="25.5" hidden="1" x14ac:dyDescent="0.2">
      <c r="A797" s="28">
        <v>39724</v>
      </c>
      <c r="B797" s="26" t="s">
        <v>415</v>
      </c>
      <c r="C797" s="26" t="s">
        <v>2160</v>
      </c>
      <c r="D797" s="35">
        <v>10000000</v>
      </c>
      <c r="E797" s="35">
        <v>31487293</v>
      </c>
      <c r="F797" s="35">
        <v>33487293</v>
      </c>
      <c r="G797" t="b">
        <f t="shared" si="38"/>
        <v>0</v>
      </c>
      <c r="H797" t="b">
        <f t="shared" si="39"/>
        <v>0</v>
      </c>
      <c r="I797" s="29">
        <f t="shared" si="40"/>
        <v>39724</v>
      </c>
    </row>
    <row r="798" spans="1:9" ht="25.5" hidden="1" x14ac:dyDescent="0.2">
      <c r="A798" s="28">
        <v>39724</v>
      </c>
      <c r="B798" s="26" t="s">
        <v>1078</v>
      </c>
      <c r="C798" s="26" t="s">
        <v>612</v>
      </c>
      <c r="D798" s="35">
        <v>12000000</v>
      </c>
      <c r="E798" s="35">
        <v>12796277</v>
      </c>
      <c r="F798" s="35">
        <v>13326280</v>
      </c>
      <c r="G798" t="b">
        <f t="shared" ref="G798:G861" si="41">ISBLANK(A798)</f>
        <v>0</v>
      </c>
      <c r="H798" t="b">
        <f t="shared" ref="H798:H861" si="42">ISTEXT(A798)</f>
        <v>0</v>
      </c>
      <c r="I798" s="29">
        <f t="shared" si="40"/>
        <v>39724</v>
      </c>
    </row>
    <row r="799" spans="1:9" ht="12.75" hidden="1" customHeight="1" x14ac:dyDescent="0.2">
      <c r="A799" s="28">
        <v>39724</v>
      </c>
      <c r="B799" s="26" t="s">
        <v>2601</v>
      </c>
      <c r="C799" s="26" t="s">
        <v>3218</v>
      </c>
      <c r="D799" s="35">
        <v>25000000</v>
      </c>
      <c r="E799" s="35">
        <v>3073392</v>
      </c>
      <c r="F799" s="35">
        <v>14542658</v>
      </c>
      <c r="G799" t="b">
        <f t="shared" si="41"/>
        <v>0</v>
      </c>
      <c r="H799" t="b">
        <f t="shared" si="42"/>
        <v>0</v>
      </c>
      <c r="I799" s="29">
        <f t="shared" si="40"/>
        <v>39724</v>
      </c>
    </row>
    <row r="800" spans="1:9" ht="12.75" hidden="1" customHeight="1" x14ac:dyDescent="0.2">
      <c r="A800" s="28">
        <v>39724</v>
      </c>
      <c r="B800" s="26" t="s">
        <v>2360</v>
      </c>
      <c r="C800" s="26" t="s">
        <v>647</v>
      </c>
      <c r="D800" s="35" t="s">
        <v>20</v>
      </c>
      <c r="E800" s="35">
        <v>475104</v>
      </c>
      <c r="F800" s="35">
        <v>5342289</v>
      </c>
      <c r="G800" t="b">
        <f t="shared" si="41"/>
        <v>0</v>
      </c>
      <c r="H800" t="b">
        <f t="shared" si="42"/>
        <v>0</v>
      </c>
      <c r="I800" s="29">
        <f t="shared" si="40"/>
        <v>39724</v>
      </c>
    </row>
    <row r="801" spans="1:9" ht="12.75" hidden="1" customHeight="1" x14ac:dyDescent="0.2">
      <c r="A801" s="28">
        <v>39725</v>
      </c>
      <c r="B801" s="26" t="s">
        <v>979</v>
      </c>
      <c r="C801" s="26" t="s">
        <v>9</v>
      </c>
      <c r="D801" s="35" t="s">
        <v>20</v>
      </c>
      <c r="E801" s="35" t="s">
        <v>20</v>
      </c>
      <c r="F801" s="35">
        <v>53000000</v>
      </c>
      <c r="G801" t="b">
        <f t="shared" si="41"/>
        <v>0</v>
      </c>
      <c r="H801" t="b">
        <f t="shared" si="42"/>
        <v>0</v>
      </c>
      <c r="I801" s="29">
        <f t="shared" si="40"/>
        <v>39725</v>
      </c>
    </row>
    <row r="802" spans="1:9" ht="51" hidden="1" x14ac:dyDescent="0.2">
      <c r="A802" s="28">
        <v>39725</v>
      </c>
      <c r="B802" s="26" t="s">
        <v>2200</v>
      </c>
      <c r="C802" s="26" t="s">
        <v>9</v>
      </c>
      <c r="D802" s="35" t="s">
        <v>20</v>
      </c>
      <c r="E802" s="35" t="s">
        <v>20</v>
      </c>
      <c r="F802" s="35">
        <v>1716850</v>
      </c>
      <c r="G802" t="b">
        <f t="shared" si="41"/>
        <v>0</v>
      </c>
      <c r="H802" t="b">
        <f t="shared" si="42"/>
        <v>0</v>
      </c>
      <c r="I802" s="29">
        <f t="shared" si="40"/>
        <v>39725</v>
      </c>
    </row>
    <row r="803" spans="1:9" ht="25.5" hidden="1" x14ac:dyDescent="0.2">
      <c r="A803" s="28">
        <v>39728</v>
      </c>
      <c r="B803" s="26" t="s">
        <v>3275</v>
      </c>
      <c r="C803" s="26" t="s">
        <v>9</v>
      </c>
      <c r="D803" s="35" t="s">
        <v>20</v>
      </c>
      <c r="E803" s="35" t="s">
        <v>20</v>
      </c>
      <c r="F803" s="35" t="s">
        <v>20</v>
      </c>
      <c r="G803" t="b">
        <f t="shared" si="41"/>
        <v>0</v>
      </c>
      <c r="H803" t="b">
        <f t="shared" si="42"/>
        <v>0</v>
      </c>
      <c r="I803" s="29">
        <f t="shared" si="40"/>
        <v>39728</v>
      </c>
    </row>
    <row r="804" spans="1:9" ht="12.75" hidden="1" customHeight="1" x14ac:dyDescent="0.2">
      <c r="A804" s="28">
        <v>39728</v>
      </c>
      <c r="B804" s="26" t="s">
        <v>2946</v>
      </c>
      <c r="C804" s="26" t="s">
        <v>9</v>
      </c>
      <c r="D804" s="35" t="s">
        <v>20</v>
      </c>
      <c r="E804" s="35" t="s">
        <v>20</v>
      </c>
      <c r="F804" s="35" t="s">
        <v>20</v>
      </c>
      <c r="G804" t="b">
        <f t="shared" si="41"/>
        <v>0</v>
      </c>
      <c r="H804" t="b">
        <f t="shared" si="42"/>
        <v>0</v>
      </c>
      <c r="I804" s="29">
        <f t="shared" si="40"/>
        <v>39728</v>
      </c>
    </row>
    <row r="805" spans="1:9" ht="25.5" hidden="1" x14ac:dyDescent="0.2">
      <c r="A805" s="28">
        <v>39728</v>
      </c>
      <c r="B805" s="26" t="s">
        <v>1282</v>
      </c>
      <c r="C805" s="26" t="s">
        <v>3209</v>
      </c>
      <c r="D805" s="35" t="s">
        <v>20</v>
      </c>
      <c r="E805" s="35" t="s">
        <v>20</v>
      </c>
      <c r="F805" s="35" t="s">
        <v>20</v>
      </c>
      <c r="G805" t="b">
        <f t="shared" si="41"/>
        <v>0</v>
      </c>
      <c r="H805" t="b">
        <f t="shared" si="42"/>
        <v>0</v>
      </c>
      <c r="I805" s="29">
        <f t="shared" si="40"/>
        <v>39728</v>
      </c>
    </row>
    <row r="806" spans="1:9" ht="25.5" hidden="1" x14ac:dyDescent="0.2">
      <c r="A806" s="28">
        <v>39728</v>
      </c>
      <c r="B806" s="26" t="s">
        <v>391</v>
      </c>
      <c r="C806" s="26" t="s">
        <v>9</v>
      </c>
      <c r="D806" s="35" t="s">
        <v>20</v>
      </c>
      <c r="E806" s="35" t="s">
        <v>20</v>
      </c>
      <c r="F806" s="35" t="s">
        <v>20</v>
      </c>
      <c r="G806" t="b">
        <f t="shared" si="41"/>
        <v>0</v>
      </c>
      <c r="H806" t="b">
        <f t="shared" si="42"/>
        <v>0</v>
      </c>
      <c r="I806" s="29">
        <f t="shared" si="40"/>
        <v>39728</v>
      </c>
    </row>
    <row r="807" spans="1:9" ht="12.75" hidden="1" customHeight="1" x14ac:dyDescent="0.2">
      <c r="A807" s="28">
        <v>39729</v>
      </c>
      <c r="B807" s="26" t="s">
        <v>758</v>
      </c>
      <c r="C807" s="26" t="s">
        <v>3209</v>
      </c>
      <c r="D807" s="35" t="s">
        <v>20</v>
      </c>
      <c r="E807" s="35">
        <v>5700626</v>
      </c>
      <c r="F807" s="35">
        <v>19493656</v>
      </c>
      <c r="G807" t="b">
        <f t="shared" si="41"/>
        <v>0</v>
      </c>
      <c r="H807" t="b">
        <f t="shared" si="42"/>
        <v>0</v>
      </c>
      <c r="I807" s="29">
        <f t="shared" si="40"/>
        <v>39729</v>
      </c>
    </row>
    <row r="808" spans="1:9" ht="12.75" hidden="1" customHeight="1" x14ac:dyDescent="0.2">
      <c r="A808" s="28">
        <v>39731</v>
      </c>
      <c r="B808" s="26" t="s">
        <v>380</v>
      </c>
      <c r="C808" s="26" t="s">
        <v>3096</v>
      </c>
      <c r="D808" s="35">
        <v>37500000</v>
      </c>
      <c r="E808" s="35">
        <v>9793406</v>
      </c>
      <c r="F808" s="35">
        <v>9808102</v>
      </c>
      <c r="G808" t="b">
        <f t="shared" si="41"/>
        <v>0</v>
      </c>
      <c r="H808" t="b">
        <f t="shared" si="42"/>
        <v>0</v>
      </c>
      <c r="I808" s="29">
        <f t="shared" si="40"/>
        <v>39731</v>
      </c>
    </row>
    <row r="809" spans="1:9" ht="25.5" hidden="1" x14ac:dyDescent="0.2">
      <c r="A809" s="28">
        <v>39731</v>
      </c>
      <c r="B809" s="26" t="s">
        <v>731</v>
      </c>
      <c r="C809" s="26" t="s">
        <v>2168</v>
      </c>
      <c r="D809" s="35">
        <v>67500000</v>
      </c>
      <c r="E809" s="35">
        <v>39394666</v>
      </c>
      <c r="F809" s="35">
        <v>108394666</v>
      </c>
      <c r="G809" t="b">
        <f t="shared" si="41"/>
        <v>0</v>
      </c>
      <c r="H809" t="b">
        <f t="shared" si="42"/>
        <v>0</v>
      </c>
      <c r="I809" s="29">
        <f t="shared" si="40"/>
        <v>39731</v>
      </c>
    </row>
    <row r="810" spans="1:9" ht="12.75" hidden="1" customHeight="1" x14ac:dyDescent="0.2">
      <c r="A810" s="28">
        <v>39731</v>
      </c>
      <c r="B810" s="26" t="s">
        <v>3134</v>
      </c>
      <c r="C810" s="26" t="s">
        <v>384</v>
      </c>
      <c r="D810" s="35">
        <v>38000000</v>
      </c>
      <c r="E810" s="35">
        <v>7871693</v>
      </c>
      <c r="F810" s="35">
        <v>11817059</v>
      </c>
      <c r="G810" t="b">
        <f t="shared" si="41"/>
        <v>0</v>
      </c>
      <c r="H810" t="b">
        <f t="shared" si="42"/>
        <v>0</v>
      </c>
      <c r="I810" s="29">
        <f t="shared" si="40"/>
        <v>39731</v>
      </c>
    </row>
    <row r="811" spans="1:9" ht="25.5" hidden="1" x14ac:dyDescent="0.2">
      <c r="A811" s="28">
        <v>39731</v>
      </c>
      <c r="B811" s="26" t="s">
        <v>2789</v>
      </c>
      <c r="C811" s="26" t="s">
        <v>9</v>
      </c>
      <c r="D811" s="35" t="s">
        <v>20</v>
      </c>
      <c r="E811" s="35" t="s">
        <v>20</v>
      </c>
      <c r="F811" s="35">
        <v>322861</v>
      </c>
      <c r="G811" t="b">
        <f t="shared" si="41"/>
        <v>0</v>
      </c>
      <c r="H811" t="b">
        <f t="shared" si="42"/>
        <v>0</v>
      </c>
      <c r="I811" s="29">
        <f t="shared" si="40"/>
        <v>39731</v>
      </c>
    </row>
    <row r="812" spans="1:9" ht="25.5" hidden="1" x14ac:dyDescent="0.2">
      <c r="A812" s="28">
        <v>39731</v>
      </c>
      <c r="B812" s="26" t="s">
        <v>1185</v>
      </c>
      <c r="C812" s="26" t="s">
        <v>9</v>
      </c>
      <c r="D812" s="35" t="s">
        <v>20</v>
      </c>
      <c r="E812" s="35" t="s">
        <v>20</v>
      </c>
      <c r="F812" s="35">
        <v>1028323</v>
      </c>
      <c r="G812" t="b">
        <f t="shared" si="41"/>
        <v>0</v>
      </c>
      <c r="H812" t="b">
        <f t="shared" si="42"/>
        <v>0</v>
      </c>
      <c r="I812" s="29">
        <f t="shared" si="40"/>
        <v>39731</v>
      </c>
    </row>
    <row r="813" spans="1:9" ht="25.5" hidden="1" x14ac:dyDescent="0.2">
      <c r="A813" s="28">
        <v>39731</v>
      </c>
      <c r="B813" s="26" t="s">
        <v>917</v>
      </c>
      <c r="C813" s="26" t="s">
        <v>612</v>
      </c>
      <c r="D813" s="35" t="s">
        <v>20</v>
      </c>
      <c r="E813" s="35">
        <v>173526</v>
      </c>
      <c r="F813" s="35" t="s">
        <v>20</v>
      </c>
      <c r="G813" t="b">
        <f t="shared" si="41"/>
        <v>0</v>
      </c>
      <c r="H813" t="b">
        <f t="shared" si="42"/>
        <v>0</v>
      </c>
      <c r="I813" s="29">
        <f t="shared" si="40"/>
        <v>39731</v>
      </c>
    </row>
    <row r="814" spans="1:9" ht="12.75" hidden="1" customHeight="1" x14ac:dyDescent="0.2">
      <c r="A814" s="28">
        <v>39731</v>
      </c>
      <c r="B814" s="26" t="s">
        <v>550</v>
      </c>
      <c r="C814" s="26" t="s">
        <v>9</v>
      </c>
      <c r="D814" s="35" t="s">
        <v>20</v>
      </c>
      <c r="E814" s="35" t="s">
        <v>20</v>
      </c>
      <c r="F814" s="35">
        <v>2172821</v>
      </c>
      <c r="G814" t="b">
        <f t="shared" si="41"/>
        <v>0</v>
      </c>
      <c r="H814" t="b">
        <f t="shared" si="42"/>
        <v>0</v>
      </c>
      <c r="I814" s="29">
        <f t="shared" si="40"/>
        <v>39731</v>
      </c>
    </row>
    <row r="815" spans="1:9" ht="38.25" hidden="1" x14ac:dyDescent="0.2">
      <c r="A815" s="28">
        <v>39731</v>
      </c>
      <c r="B815" s="26" t="s">
        <v>1116</v>
      </c>
      <c r="C815" s="26" t="s">
        <v>9</v>
      </c>
      <c r="D815" s="35" t="s">
        <v>20</v>
      </c>
      <c r="E815" s="35">
        <v>320896</v>
      </c>
      <c r="F815" s="35" t="s">
        <v>20</v>
      </c>
      <c r="G815" t="b">
        <f t="shared" si="41"/>
        <v>0</v>
      </c>
      <c r="H815" t="b">
        <f t="shared" si="42"/>
        <v>0</v>
      </c>
      <c r="I815" s="29">
        <f t="shared" si="40"/>
        <v>39731</v>
      </c>
    </row>
    <row r="816" spans="1:9" ht="12.75" hidden="1" customHeight="1" x14ac:dyDescent="0.2">
      <c r="A816" s="28">
        <v>39731</v>
      </c>
      <c r="B816" s="26" t="s">
        <v>71</v>
      </c>
      <c r="C816" s="26" t="s">
        <v>9</v>
      </c>
      <c r="D816" s="35" t="s">
        <v>20</v>
      </c>
      <c r="E816" s="35">
        <v>212989</v>
      </c>
      <c r="F816" s="35" t="s">
        <v>20</v>
      </c>
      <c r="G816" t="b">
        <f t="shared" si="41"/>
        <v>0</v>
      </c>
      <c r="H816" t="b">
        <f t="shared" si="42"/>
        <v>0</v>
      </c>
      <c r="I816" s="29">
        <f t="shared" si="40"/>
        <v>39731</v>
      </c>
    </row>
    <row r="817" spans="1:9" ht="12.75" hidden="1" customHeight="1" x14ac:dyDescent="0.2">
      <c r="A817" s="28">
        <v>39731</v>
      </c>
      <c r="B817" s="26" t="s">
        <v>2155</v>
      </c>
      <c r="C817" s="26" t="s">
        <v>9</v>
      </c>
      <c r="D817" s="35" t="s">
        <v>20</v>
      </c>
      <c r="E817" s="35">
        <v>5788</v>
      </c>
      <c r="F817" s="35" t="s">
        <v>20</v>
      </c>
      <c r="G817" t="b">
        <f t="shared" si="41"/>
        <v>0</v>
      </c>
      <c r="H817" t="b">
        <f t="shared" si="42"/>
        <v>0</v>
      </c>
      <c r="I817" s="29">
        <f t="shared" si="40"/>
        <v>39731</v>
      </c>
    </row>
    <row r="818" spans="1:9" ht="12.75" hidden="1" customHeight="1" x14ac:dyDescent="0.2">
      <c r="A818" s="28">
        <v>39731</v>
      </c>
      <c r="B818" s="26" t="s">
        <v>3</v>
      </c>
      <c r="C818" s="26" t="s">
        <v>2051</v>
      </c>
      <c r="D818" s="35" t="s">
        <v>20</v>
      </c>
      <c r="E818" s="35">
        <v>1093</v>
      </c>
      <c r="F818" s="35" t="s">
        <v>20</v>
      </c>
      <c r="G818" t="b">
        <f t="shared" si="41"/>
        <v>0</v>
      </c>
      <c r="H818" t="b">
        <f t="shared" si="42"/>
        <v>0</v>
      </c>
      <c r="I818" s="29">
        <f t="shared" si="40"/>
        <v>39731</v>
      </c>
    </row>
    <row r="819" spans="1:9" ht="25.5" hidden="1" x14ac:dyDescent="0.2">
      <c r="A819" s="28">
        <v>39731</v>
      </c>
      <c r="B819" s="26" t="s">
        <v>885</v>
      </c>
      <c r="C819" s="26" t="s">
        <v>9</v>
      </c>
      <c r="D819" s="35" t="s">
        <v>20</v>
      </c>
      <c r="E819" s="35">
        <v>5430</v>
      </c>
      <c r="F819" s="35" t="s">
        <v>20</v>
      </c>
      <c r="G819" t="b">
        <f t="shared" si="41"/>
        <v>0</v>
      </c>
      <c r="H819" t="b">
        <f t="shared" si="42"/>
        <v>0</v>
      </c>
      <c r="I819" s="29">
        <f t="shared" si="40"/>
        <v>39731</v>
      </c>
    </row>
    <row r="820" spans="1:9" ht="12.75" hidden="1" customHeight="1" x14ac:dyDescent="0.2">
      <c r="A820" s="28">
        <v>39731</v>
      </c>
      <c r="B820" s="26" t="s">
        <v>3278</v>
      </c>
      <c r="C820" s="26" t="s">
        <v>9</v>
      </c>
      <c r="D820" s="35" t="s">
        <v>20</v>
      </c>
      <c r="E820" s="35">
        <v>1667294</v>
      </c>
      <c r="F820" s="35" t="s">
        <v>20</v>
      </c>
      <c r="G820" t="b">
        <f t="shared" si="41"/>
        <v>0</v>
      </c>
      <c r="H820" t="b">
        <f t="shared" si="42"/>
        <v>0</v>
      </c>
      <c r="I820" s="29">
        <f t="shared" si="40"/>
        <v>39731</v>
      </c>
    </row>
    <row r="821" spans="1:9" ht="12.75" hidden="1" customHeight="1" x14ac:dyDescent="0.2">
      <c r="A821" s="28">
        <v>39731</v>
      </c>
      <c r="B821" s="26" t="s">
        <v>2555</v>
      </c>
      <c r="C821" s="26" t="s">
        <v>3421</v>
      </c>
      <c r="D821" s="35" t="s">
        <v>20</v>
      </c>
      <c r="E821" s="35">
        <v>120306</v>
      </c>
      <c r="F821" s="35" t="s">
        <v>20</v>
      </c>
      <c r="G821" t="b">
        <f t="shared" si="41"/>
        <v>0</v>
      </c>
      <c r="H821" t="b">
        <f t="shared" si="42"/>
        <v>0</v>
      </c>
      <c r="I821" s="29">
        <f t="shared" si="40"/>
        <v>39731</v>
      </c>
    </row>
    <row r="822" spans="1:9" ht="12.75" hidden="1" customHeight="1" x14ac:dyDescent="0.2">
      <c r="A822" s="28">
        <v>39731</v>
      </c>
      <c r="B822" s="26" t="s">
        <v>3412</v>
      </c>
      <c r="C822" s="26" t="s">
        <v>9</v>
      </c>
      <c r="D822" s="35" t="s">
        <v>20</v>
      </c>
      <c r="E822" s="35" t="s">
        <v>20</v>
      </c>
      <c r="F822" s="35">
        <v>5000000</v>
      </c>
      <c r="G822" t="b">
        <f t="shared" si="41"/>
        <v>0</v>
      </c>
      <c r="H822" t="b">
        <f t="shared" si="42"/>
        <v>0</v>
      </c>
      <c r="I822" s="29">
        <f t="shared" si="40"/>
        <v>39731</v>
      </c>
    </row>
    <row r="823" spans="1:9" ht="38.25" hidden="1" x14ac:dyDescent="0.2">
      <c r="A823" s="28">
        <v>39731</v>
      </c>
      <c r="B823" s="26" t="s">
        <v>512</v>
      </c>
      <c r="C823" s="26" t="s">
        <v>2051</v>
      </c>
      <c r="D823" s="35" t="s">
        <v>20</v>
      </c>
      <c r="E823" s="35">
        <v>1377</v>
      </c>
      <c r="F823" s="35" t="s">
        <v>20</v>
      </c>
      <c r="G823" t="b">
        <f t="shared" si="41"/>
        <v>0</v>
      </c>
      <c r="H823" t="b">
        <f t="shared" si="42"/>
        <v>0</v>
      </c>
      <c r="I823" s="29">
        <f t="shared" si="40"/>
        <v>39731</v>
      </c>
    </row>
    <row r="824" spans="1:9" ht="12.75" hidden="1" customHeight="1" x14ac:dyDescent="0.2">
      <c r="A824" s="28">
        <v>39731</v>
      </c>
      <c r="B824" s="26" t="s">
        <v>3389</v>
      </c>
      <c r="C824" s="26" t="s">
        <v>9</v>
      </c>
      <c r="D824" s="35" t="s">
        <v>20</v>
      </c>
      <c r="E824" s="35" t="s">
        <v>20</v>
      </c>
      <c r="F824" s="35">
        <v>2026753</v>
      </c>
      <c r="G824" t="b">
        <f t="shared" si="41"/>
        <v>0</v>
      </c>
      <c r="H824" t="b">
        <f t="shared" si="42"/>
        <v>0</v>
      </c>
      <c r="I824" s="29">
        <f t="shared" si="40"/>
        <v>39731</v>
      </c>
    </row>
    <row r="825" spans="1:9" ht="12.75" hidden="1" customHeight="1" x14ac:dyDescent="0.2">
      <c r="A825" s="28">
        <v>39731</v>
      </c>
      <c r="B825" s="26" t="s">
        <v>2914</v>
      </c>
      <c r="C825" s="26" t="s">
        <v>9</v>
      </c>
      <c r="D825" s="35" t="s">
        <v>20</v>
      </c>
      <c r="E825" s="35" t="s">
        <v>20</v>
      </c>
      <c r="F825" s="35">
        <v>1469096</v>
      </c>
      <c r="G825" t="b">
        <f t="shared" si="41"/>
        <v>0</v>
      </c>
      <c r="H825" t="b">
        <f t="shared" si="42"/>
        <v>0</v>
      </c>
      <c r="I825" s="29">
        <f t="shared" si="40"/>
        <v>39731</v>
      </c>
    </row>
    <row r="826" spans="1:9" ht="12.75" hidden="1" customHeight="1" x14ac:dyDescent="0.2">
      <c r="A826" s="28">
        <v>39731</v>
      </c>
      <c r="B826" s="26" t="s">
        <v>2673</v>
      </c>
      <c r="C826" s="26" t="s">
        <v>9</v>
      </c>
      <c r="D826" s="35" t="s">
        <v>20</v>
      </c>
      <c r="E826" s="35">
        <v>2804</v>
      </c>
      <c r="F826" s="35" t="s">
        <v>20</v>
      </c>
      <c r="G826" t="b">
        <f t="shared" si="41"/>
        <v>0</v>
      </c>
      <c r="H826" t="b">
        <f t="shared" si="42"/>
        <v>0</v>
      </c>
      <c r="I826" s="29">
        <f t="shared" si="40"/>
        <v>39731</v>
      </c>
    </row>
    <row r="827" spans="1:9" ht="12.75" hidden="1" customHeight="1" x14ac:dyDescent="0.2">
      <c r="A827" s="28">
        <v>39731</v>
      </c>
      <c r="B827" s="26" t="s">
        <v>2505</v>
      </c>
      <c r="C827" s="26" t="s">
        <v>9</v>
      </c>
      <c r="D827" s="35" t="s">
        <v>20</v>
      </c>
      <c r="E827" s="35">
        <v>1708</v>
      </c>
      <c r="F827" s="35" t="s">
        <v>20</v>
      </c>
      <c r="G827" t="b">
        <f t="shared" si="41"/>
        <v>0</v>
      </c>
      <c r="H827" t="b">
        <f t="shared" si="42"/>
        <v>0</v>
      </c>
      <c r="I827" s="29">
        <f t="shared" si="40"/>
        <v>39731</v>
      </c>
    </row>
    <row r="828" spans="1:9" ht="12.75" hidden="1" customHeight="1" x14ac:dyDescent="0.2">
      <c r="A828" s="28">
        <v>39731</v>
      </c>
      <c r="B828" s="26" t="s">
        <v>2571</v>
      </c>
      <c r="C828" s="26" t="s">
        <v>9</v>
      </c>
      <c r="D828" s="35" t="s">
        <v>20</v>
      </c>
      <c r="E828" s="35">
        <v>3373</v>
      </c>
      <c r="F828" s="35" t="s">
        <v>20</v>
      </c>
      <c r="G828" t="b">
        <f t="shared" si="41"/>
        <v>0</v>
      </c>
      <c r="H828" t="b">
        <f t="shared" si="42"/>
        <v>0</v>
      </c>
      <c r="I828" s="29">
        <f t="shared" si="40"/>
        <v>39731</v>
      </c>
    </row>
    <row r="829" spans="1:9" ht="25.5" hidden="1" x14ac:dyDescent="0.2">
      <c r="A829" s="28">
        <v>39731</v>
      </c>
      <c r="B829" s="26" t="s">
        <v>1680</v>
      </c>
      <c r="C829" s="26" t="s">
        <v>9</v>
      </c>
      <c r="D829" s="35" t="s">
        <v>20</v>
      </c>
      <c r="E829" s="35">
        <v>46060</v>
      </c>
      <c r="F829" s="35" t="s">
        <v>20</v>
      </c>
      <c r="G829" t="b">
        <f t="shared" si="41"/>
        <v>0</v>
      </c>
      <c r="H829" t="b">
        <f t="shared" si="42"/>
        <v>0</v>
      </c>
      <c r="I829" s="29">
        <f t="shared" si="40"/>
        <v>39731</v>
      </c>
    </row>
    <row r="830" spans="1:9" ht="12.75" hidden="1" customHeight="1" x14ac:dyDescent="0.2">
      <c r="A830" s="28">
        <v>39731</v>
      </c>
      <c r="B830" s="26" t="s">
        <v>202</v>
      </c>
      <c r="C830" s="26" t="s">
        <v>2160</v>
      </c>
      <c r="D830" s="35">
        <v>12000000</v>
      </c>
      <c r="E830" s="35">
        <v>31691811</v>
      </c>
      <c r="F830" s="35">
        <v>41291811</v>
      </c>
      <c r="G830" t="b">
        <f t="shared" si="41"/>
        <v>0</v>
      </c>
      <c r="H830" t="b">
        <f t="shared" si="42"/>
        <v>0</v>
      </c>
      <c r="I830" s="29">
        <f t="shared" si="40"/>
        <v>39731</v>
      </c>
    </row>
    <row r="831" spans="1:9" ht="12.75" hidden="1" customHeight="1" x14ac:dyDescent="0.2">
      <c r="A831" s="28">
        <v>39731</v>
      </c>
      <c r="B831" s="26" t="s">
        <v>189</v>
      </c>
      <c r="C831" s="26" t="s">
        <v>9</v>
      </c>
      <c r="D831" s="35">
        <v>20000000</v>
      </c>
      <c r="E831" s="35" t="s">
        <v>20</v>
      </c>
      <c r="F831" s="35">
        <v>38585047</v>
      </c>
      <c r="G831" t="b">
        <f t="shared" si="41"/>
        <v>0</v>
      </c>
      <c r="H831" t="b">
        <f t="shared" si="42"/>
        <v>0</v>
      </c>
      <c r="I831" s="29">
        <f t="shared" si="40"/>
        <v>39731</v>
      </c>
    </row>
    <row r="832" spans="1:9" ht="12.75" hidden="1" customHeight="1" x14ac:dyDescent="0.2">
      <c r="A832" s="28">
        <v>39731</v>
      </c>
      <c r="B832" s="26" t="s">
        <v>1435</v>
      </c>
      <c r="C832" s="26" t="s">
        <v>9</v>
      </c>
      <c r="D832" s="35">
        <v>200000</v>
      </c>
      <c r="E832" s="35">
        <v>28835</v>
      </c>
      <c r="F832" s="35" t="s">
        <v>20</v>
      </c>
      <c r="G832" t="b">
        <f t="shared" si="41"/>
        <v>0</v>
      </c>
      <c r="H832" t="b">
        <f t="shared" si="42"/>
        <v>0</v>
      </c>
      <c r="I832" s="29">
        <f t="shared" si="40"/>
        <v>39731</v>
      </c>
    </row>
    <row r="833" spans="1:9" ht="12.75" hidden="1" customHeight="1" x14ac:dyDescent="0.2">
      <c r="A833" s="28">
        <v>39731</v>
      </c>
      <c r="B833" s="26" t="s">
        <v>2503</v>
      </c>
      <c r="C833" s="26" t="s">
        <v>3218</v>
      </c>
      <c r="D833" s="35" t="s">
        <v>20</v>
      </c>
      <c r="E833" s="35">
        <v>3494485</v>
      </c>
      <c r="F833" s="35">
        <v>17634485</v>
      </c>
      <c r="G833" t="b">
        <f t="shared" si="41"/>
        <v>0</v>
      </c>
      <c r="H833" t="b">
        <f t="shared" si="42"/>
        <v>0</v>
      </c>
      <c r="I833" s="29">
        <f t="shared" si="40"/>
        <v>39731</v>
      </c>
    </row>
    <row r="834" spans="1:9" ht="38.25" hidden="1" x14ac:dyDescent="0.2">
      <c r="A834" s="28">
        <v>39735</v>
      </c>
      <c r="B834" s="26" t="s">
        <v>2246</v>
      </c>
      <c r="C834" s="26" t="s">
        <v>2158</v>
      </c>
      <c r="D834" s="35" t="s">
        <v>20</v>
      </c>
      <c r="E834" s="35" t="s">
        <v>20</v>
      </c>
      <c r="F834" s="35" t="s">
        <v>20</v>
      </c>
      <c r="G834" t="b">
        <f t="shared" si="41"/>
        <v>0</v>
      </c>
      <c r="H834" t="b">
        <f t="shared" si="42"/>
        <v>0</v>
      </c>
      <c r="I834" s="29">
        <f t="shared" si="40"/>
        <v>39735</v>
      </c>
    </row>
    <row r="835" spans="1:9" ht="12.75" hidden="1" customHeight="1" x14ac:dyDescent="0.2">
      <c r="A835" s="28">
        <v>39735</v>
      </c>
      <c r="B835" s="26" t="s">
        <v>1285</v>
      </c>
      <c r="C835" s="26" t="s">
        <v>9</v>
      </c>
      <c r="D835" s="35" t="s">
        <v>20</v>
      </c>
      <c r="E835" s="35" t="s">
        <v>20</v>
      </c>
      <c r="F835" s="35" t="s">
        <v>20</v>
      </c>
      <c r="G835" t="b">
        <f t="shared" si="41"/>
        <v>0</v>
      </c>
      <c r="H835" t="b">
        <f t="shared" si="42"/>
        <v>0</v>
      </c>
      <c r="I835" s="29">
        <f t="shared" ref="I835:I898" si="43">DATE(2008,MONTH(A835), DAY(A835))</f>
        <v>39735</v>
      </c>
    </row>
    <row r="836" spans="1:9" ht="25.5" hidden="1" x14ac:dyDescent="0.2">
      <c r="A836" s="28">
        <v>39735</v>
      </c>
      <c r="B836" s="26" t="s">
        <v>1061</v>
      </c>
      <c r="C836" s="26" t="s">
        <v>9</v>
      </c>
      <c r="D836" s="35" t="s">
        <v>20</v>
      </c>
      <c r="E836" s="35" t="s">
        <v>20</v>
      </c>
      <c r="F836" s="35" t="s">
        <v>20</v>
      </c>
      <c r="G836" t="b">
        <f t="shared" si="41"/>
        <v>0</v>
      </c>
      <c r="H836" t="b">
        <f t="shared" si="42"/>
        <v>0</v>
      </c>
      <c r="I836" s="29">
        <f t="shared" si="43"/>
        <v>39735</v>
      </c>
    </row>
    <row r="837" spans="1:9" ht="12.75" hidden="1" customHeight="1" x14ac:dyDescent="0.2">
      <c r="A837" s="28">
        <v>39735</v>
      </c>
      <c r="B837" s="26" t="s">
        <v>1659</v>
      </c>
      <c r="C837" s="26" t="s">
        <v>9</v>
      </c>
      <c r="D837" s="35" t="s">
        <v>20</v>
      </c>
      <c r="E837" s="35" t="s">
        <v>20</v>
      </c>
      <c r="F837" s="35" t="s">
        <v>20</v>
      </c>
      <c r="G837" t="b">
        <f t="shared" si="41"/>
        <v>0</v>
      </c>
      <c r="H837" t="b">
        <f t="shared" si="42"/>
        <v>0</v>
      </c>
      <c r="I837" s="29">
        <f t="shared" si="43"/>
        <v>39735</v>
      </c>
    </row>
    <row r="838" spans="1:9" ht="12.75" hidden="1" customHeight="1" x14ac:dyDescent="0.2">
      <c r="A838" s="28">
        <v>39736</v>
      </c>
      <c r="B838" s="26" t="s">
        <v>2654</v>
      </c>
      <c r="C838" s="26" t="s">
        <v>9</v>
      </c>
      <c r="D838" s="35" t="s">
        <v>20</v>
      </c>
      <c r="E838" s="35" t="s">
        <v>20</v>
      </c>
      <c r="F838" s="35">
        <v>2100000</v>
      </c>
      <c r="G838" t="b">
        <f t="shared" si="41"/>
        <v>0</v>
      </c>
      <c r="H838" t="b">
        <f t="shared" si="42"/>
        <v>0</v>
      </c>
      <c r="I838" s="29">
        <f t="shared" si="43"/>
        <v>39736</v>
      </c>
    </row>
    <row r="839" spans="1:9" ht="12.75" hidden="1" customHeight="1" x14ac:dyDescent="0.2">
      <c r="A839" s="28">
        <v>39736</v>
      </c>
      <c r="B839" s="26" t="s">
        <v>3360</v>
      </c>
      <c r="C839" s="26" t="s">
        <v>9</v>
      </c>
      <c r="D839" s="35" t="s">
        <v>20</v>
      </c>
      <c r="E839" s="35">
        <v>26976</v>
      </c>
      <c r="F839" s="35" t="s">
        <v>20</v>
      </c>
      <c r="G839" t="b">
        <f t="shared" si="41"/>
        <v>0</v>
      </c>
      <c r="H839" t="b">
        <f t="shared" si="42"/>
        <v>0</v>
      </c>
      <c r="I839" s="29">
        <f t="shared" si="43"/>
        <v>39736</v>
      </c>
    </row>
    <row r="840" spans="1:9" ht="12.75" hidden="1" customHeight="1" x14ac:dyDescent="0.2">
      <c r="A840" s="28">
        <v>39738</v>
      </c>
      <c r="B840" s="26" t="s">
        <v>2065</v>
      </c>
      <c r="C840" s="26" t="s">
        <v>9</v>
      </c>
      <c r="D840" s="35" t="s">
        <v>20</v>
      </c>
      <c r="E840" s="35" t="s">
        <v>20</v>
      </c>
      <c r="F840" s="35" t="s">
        <v>20</v>
      </c>
      <c r="G840" t="b">
        <f t="shared" si="41"/>
        <v>0</v>
      </c>
      <c r="H840" t="b">
        <f t="shared" si="42"/>
        <v>0</v>
      </c>
      <c r="I840" s="29">
        <f t="shared" si="43"/>
        <v>39738</v>
      </c>
    </row>
    <row r="841" spans="1:9" ht="12.75" hidden="1" customHeight="1" x14ac:dyDescent="0.2">
      <c r="A841" s="28">
        <v>39738</v>
      </c>
      <c r="B841" s="26" t="s">
        <v>1579</v>
      </c>
      <c r="C841" s="26" t="s">
        <v>1066</v>
      </c>
      <c r="D841" s="35">
        <v>19000000</v>
      </c>
      <c r="E841" s="35">
        <v>8402485</v>
      </c>
      <c r="F841" s="35">
        <v>10412485</v>
      </c>
      <c r="G841" t="b">
        <f t="shared" si="41"/>
        <v>0</v>
      </c>
      <c r="H841" t="b">
        <f t="shared" si="42"/>
        <v>0</v>
      </c>
      <c r="I841" s="29">
        <f t="shared" si="43"/>
        <v>39738</v>
      </c>
    </row>
    <row r="842" spans="1:9" ht="12.75" hidden="1" customHeight="1" x14ac:dyDescent="0.2">
      <c r="A842" s="28">
        <v>39738</v>
      </c>
      <c r="B842" s="26" t="s">
        <v>3476</v>
      </c>
      <c r="C842" s="26" t="s">
        <v>3466</v>
      </c>
      <c r="D842" s="35" t="s">
        <v>20</v>
      </c>
      <c r="E842" s="35">
        <v>22406</v>
      </c>
      <c r="F842" s="35" t="s">
        <v>20</v>
      </c>
      <c r="G842" t="b">
        <f t="shared" si="41"/>
        <v>0</v>
      </c>
      <c r="H842" t="b">
        <f t="shared" si="42"/>
        <v>0</v>
      </c>
      <c r="I842" s="29">
        <f t="shared" si="43"/>
        <v>39738</v>
      </c>
    </row>
    <row r="843" spans="1:9" ht="25.5" hidden="1" x14ac:dyDescent="0.2">
      <c r="A843" s="28">
        <v>39738</v>
      </c>
      <c r="B843" s="26" t="s">
        <v>2276</v>
      </c>
      <c r="C843" s="26" t="s">
        <v>1876</v>
      </c>
      <c r="D843" s="35" t="s">
        <v>20</v>
      </c>
      <c r="E843" s="35">
        <v>3081</v>
      </c>
      <c r="F843" s="35" t="s">
        <v>20</v>
      </c>
      <c r="G843" t="b">
        <f t="shared" si="41"/>
        <v>0</v>
      </c>
      <c r="H843" t="b">
        <f t="shared" si="42"/>
        <v>0</v>
      </c>
      <c r="I843" s="29">
        <f t="shared" si="43"/>
        <v>39738</v>
      </c>
    </row>
    <row r="844" spans="1:9" ht="25.5" hidden="1" x14ac:dyDescent="0.2">
      <c r="A844" s="28">
        <v>39738</v>
      </c>
      <c r="B844" s="26" t="s">
        <v>992</v>
      </c>
      <c r="C844" s="26" t="s">
        <v>155</v>
      </c>
      <c r="D844" s="35">
        <v>11000000</v>
      </c>
      <c r="E844" s="35">
        <v>37766350</v>
      </c>
      <c r="F844" s="35">
        <v>39612166</v>
      </c>
      <c r="G844" t="b">
        <f t="shared" si="41"/>
        <v>0</v>
      </c>
      <c r="H844" t="b">
        <f t="shared" si="42"/>
        <v>0</v>
      </c>
      <c r="I844" s="29">
        <f t="shared" si="43"/>
        <v>39738</v>
      </c>
    </row>
    <row r="845" spans="1:9" ht="12.75" hidden="1" customHeight="1" x14ac:dyDescent="0.2">
      <c r="A845" s="28">
        <v>39738</v>
      </c>
      <c r="B845" s="26" t="s">
        <v>226</v>
      </c>
      <c r="C845" s="26" t="s">
        <v>3390</v>
      </c>
      <c r="D845" s="35" t="s">
        <v>20</v>
      </c>
      <c r="E845" s="35">
        <v>275093</v>
      </c>
      <c r="F845" s="35" t="s">
        <v>20</v>
      </c>
      <c r="G845" t="b">
        <f t="shared" si="41"/>
        <v>0</v>
      </c>
      <c r="H845" t="b">
        <f t="shared" si="42"/>
        <v>0</v>
      </c>
      <c r="I845" s="29">
        <f t="shared" si="43"/>
        <v>39738</v>
      </c>
    </row>
    <row r="846" spans="1:9" ht="25.5" hidden="1" x14ac:dyDescent="0.2">
      <c r="A846" s="28">
        <v>39738</v>
      </c>
      <c r="B846" s="26" t="s">
        <v>882</v>
      </c>
      <c r="C846" s="26" t="s">
        <v>9</v>
      </c>
      <c r="D846" s="35">
        <v>27000000</v>
      </c>
      <c r="E846" s="35">
        <v>1090947</v>
      </c>
      <c r="F846" s="35">
        <v>2412123</v>
      </c>
      <c r="G846" t="b">
        <f t="shared" si="41"/>
        <v>0</v>
      </c>
      <c r="H846" t="b">
        <f t="shared" si="42"/>
        <v>0</v>
      </c>
      <c r="I846" s="29">
        <f t="shared" si="43"/>
        <v>39738</v>
      </c>
    </row>
    <row r="847" spans="1:9" ht="12.75" hidden="1" customHeight="1" x14ac:dyDescent="0.2">
      <c r="A847" s="28">
        <v>39738</v>
      </c>
      <c r="B847" s="26" t="s">
        <v>1899</v>
      </c>
      <c r="C847" s="26" t="s">
        <v>384</v>
      </c>
      <c r="D847" s="35">
        <v>35000000</v>
      </c>
      <c r="E847" s="35">
        <v>40687294</v>
      </c>
      <c r="F847" s="35">
        <v>85761789</v>
      </c>
      <c r="G847" t="b">
        <f t="shared" si="41"/>
        <v>0</v>
      </c>
      <c r="H847" t="b">
        <f t="shared" si="42"/>
        <v>0</v>
      </c>
      <c r="I847" s="29">
        <f t="shared" si="43"/>
        <v>39738</v>
      </c>
    </row>
    <row r="848" spans="1:9" ht="25.5" hidden="1" x14ac:dyDescent="0.2">
      <c r="A848" s="28">
        <v>39738</v>
      </c>
      <c r="B848" s="26" t="s">
        <v>1922</v>
      </c>
      <c r="C848" s="26" t="s">
        <v>2051</v>
      </c>
      <c r="D848" s="35" t="s">
        <v>20</v>
      </c>
      <c r="E848" s="35" t="s">
        <v>20</v>
      </c>
      <c r="F848" s="35" t="s">
        <v>20</v>
      </c>
      <c r="G848" t="b">
        <f t="shared" si="41"/>
        <v>0</v>
      </c>
      <c r="H848" t="b">
        <f t="shared" si="42"/>
        <v>0</v>
      </c>
      <c r="I848" s="29">
        <f t="shared" si="43"/>
        <v>39738</v>
      </c>
    </row>
    <row r="849" spans="1:9" ht="25.5" hidden="1" x14ac:dyDescent="0.2">
      <c r="A849" s="28">
        <v>39738</v>
      </c>
      <c r="B849" s="26" t="s">
        <v>3008</v>
      </c>
      <c r="C849" s="26" t="s">
        <v>9</v>
      </c>
      <c r="D849" s="35" t="s">
        <v>20</v>
      </c>
      <c r="E849" s="35">
        <v>1020</v>
      </c>
      <c r="F849" s="35" t="s">
        <v>20</v>
      </c>
      <c r="G849" t="b">
        <f t="shared" si="41"/>
        <v>0</v>
      </c>
      <c r="H849" t="b">
        <f t="shared" si="42"/>
        <v>0</v>
      </c>
      <c r="I849" s="29">
        <f t="shared" si="43"/>
        <v>39738</v>
      </c>
    </row>
    <row r="850" spans="1:9" ht="12.75" hidden="1" customHeight="1" x14ac:dyDescent="0.2">
      <c r="A850" s="28">
        <v>39738</v>
      </c>
      <c r="B850" s="26" t="s">
        <v>813</v>
      </c>
      <c r="C850" s="26" t="s">
        <v>2775</v>
      </c>
      <c r="D850" s="35" t="s">
        <v>20</v>
      </c>
      <c r="E850" s="35">
        <v>9467</v>
      </c>
      <c r="F850" s="35" t="s">
        <v>20</v>
      </c>
      <c r="G850" t="b">
        <f t="shared" si="41"/>
        <v>0</v>
      </c>
      <c r="H850" t="b">
        <f t="shared" si="42"/>
        <v>0</v>
      </c>
      <c r="I850" s="29">
        <f t="shared" si="43"/>
        <v>39738</v>
      </c>
    </row>
    <row r="851" spans="1:9" ht="12.75" hidden="1" customHeight="1" x14ac:dyDescent="0.2">
      <c r="A851" s="28">
        <v>39738</v>
      </c>
      <c r="B851" s="26" t="s">
        <v>798</v>
      </c>
      <c r="C851" s="26" t="s">
        <v>2775</v>
      </c>
      <c r="D851" s="35" t="s">
        <v>20</v>
      </c>
      <c r="E851" s="35">
        <v>18720</v>
      </c>
      <c r="F851" s="35" t="s">
        <v>20</v>
      </c>
      <c r="G851" t="b">
        <f t="shared" si="41"/>
        <v>0</v>
      </c>
      <c r="H851" t="b">
        <f t="shared" si="42"/>
        <v>0</v>
      </c>
      <c r="I851" s="29">
        <f t="shared" si="43"/>
        <v>39738</v>
      </c>
    </row>
    <row r="852" spans="1:9" ht="12.75" hidden="1" customHeight="1" x14ac:dyDescent="0.2">
      <c r="A852" s="28">
        <v>39738</v>
      </c>
      <c r="B852" s="26" t="s">
        <v>1298</v>
      </c>
      <c r="C852" s="26" t="s">
        <v>3419</v>
      </c>
      <c r="D852" s="35">
        <v>25100000</v>
      </c>
      <c r="E852" s="35">
        <v>25534493</v>
      </c>
      <c r="F852" s="35">
        <v>28575778</v>
      </c>
      <c r="G852" t="b">
        <f t="shared" si="41"/>
        <v>0</v>
      </c>
      <c r="H852" t="b">
        <f t="shared" si="42"/>
        <v>0</v>
      </c>
      <c r="I852" s="29">
        <f t="shared" si="43"/>
        <v>39738</v>
      </c>
    </row>
    <row r="853" spans="1:9" hidden="1" x14ac:dyDescent="0.2">
      <c r="A853" s="28">
        <v>39738</v>
      </c>
      <c r="B853" s="26" t="s">
        <v>2682</v>
      </c>
      <c r="C853" s="26" t="s">
        <v>2285</v>
      </c>
      <c r="D853" s="35" t="s">
        <v>20</v>
      </c>
      <c r="E853" s="35">
        <v>22251</v>
      </c>
      <c r="F853" s="35" t="s">
        <v>20</v>
      </c>
      <c r="G853" t="b">
        <f t="shared" si="41"/>
        <v>0</v>
      </c>
      <c r="H853" t="b">
        <f t="shared" si="42"/>
        <v>0</v>
      </c>
      <c r="I853" s="29">
        <f t="shared" si="43"/>
        <v>39738</v>
      </c>
    </row>
    <row r="854" spans="1:9" ht="12.75" hidden="1" customHeight="1" x14ac:dyDescent="0.2">
      <c r="A854" s="28">
        <v>39738</v>
      </c>
      <c r="B854" s="26" t="s">
        <v>1381</v>
      </c>
      <c r="C854" s="26" t="s">
        <v>3466</v>
      </c>
      <c r="D854" s="35" t="s">
        <v>20</v>
      </c>
      <c r="E854" s="35" t="s">
        <v>20</v>
      </c>
      <c r="F854" s="35" t="s">
        <v>20</v>
      </c>
      <c r="G854" t="b">
        <f t="shared" si="41"/>
        <v>0</v>
      </c>
      <c r="H854" t="b">
        <f t="shared" si="42"/>
        <v>0</v>
      </c>
      <c r="I854" s="29">
        <f t="shared" si="43"/>
        <v>39738</v>
      </c>
    </row>
    <row r="855" spans="1:9" hidden="1" x14ac:dyDescent="0.2">
      <c r="A855" s="28">
        <v>39739</v>
      </c>
      <c r="B855" s="26" t="s">
        <v>3181</v>
      </c>
      <c r="C855" s="26" t="s">
        <v>9</v>
      </c>
      <c r="D855" s="35" t="s">
        <v>20</v>
      </c>
      <c r="E855" s="35" t="s">
        <v>20</v>
      </c>
      <c r="F855" s="35" t="s">
        <v>20</v>
      </c>
      <c r="G855" t="b">
        <f t="shared" si="41"/>
        <v>0</v>
      </c>
      <c r="H855" t="b">
        <f t="shared" si="42"/>
        <v>0</v>
      </c>
      <c r="I855" s="29">
        <f t="shared" si="43"/>
        <v>39739</v>
      </c>
    </row>
    <row r="856" spans="1:9" ht="25.5" hidden="1" x14ac:dyDescent="0.2">
      <c r="A856" s="28">
        <v>39742</v>
      </c>
      <c r="B856" s="26" t="s">
        <v>669</v>
      </c>
      <c r="C856" s="26" t="s">
        <v>9</v>
      </c>
      <c r="D856" s="35" t="s">
        <v>20</v>
      </c>
      <c r="E856" s="35" t="s">
        <v>20</v>
      </c>
      <c r="F856" s="35" t="s">
        <v>20</v>
      </c>
      <c r="G856" t="b">
        <f t="shared" si="41"/>
        <v>0</v>
      </c>
      <c r="H856" t="b">
        <f t="shared" si="42"/>
        <v>0</v>
      </c>
      <c r="I856" s="29">
        <f t="shared" si="43"/>
        <v>39742</v>
      </c>
    </row>
    <row r="857" spans="1:9" ht="25.5" hidden="1" x14ac:dyDescent="0.2">
      <c r="A857" s="28">
        <v>39742</v>
      </c>
      <c r="B857" s="26" t="s">
        <v>2229</v>
      </c>
      <c r="C857" s="26" t="s">
        <v>9</v>
      </c>
      <c r="D857" s="35" t="s">
        <v>20</v>
      </c>
      <c r="E857" s="35" t="s">
        <v>20</v>
      </c>
      <c r="F857" s="35" t="s">
        <v>20</v>
      </c>
      <c r="G857" t="b">
        <f t="shared" si="41"/>
        <v>0</v>
      </c>
      <c r="H857" t="b">
        <f t="shared" si="42"/>
        <v>0</v>
      </c>
      <c r="I857" s="29">
        <f t="shared" si="43"/>
        <v>39742</v>
      </c>
    </row>
    <row r="858" spans="1:9" ht="25.5" hidden="1" x14ac:dyDescent="0.2">
      <c r="A858" s="28">
        <v>39742</v>
      </c>
      <c r="B858" s="26" t="s">
        <v>2982</v>
      </c>
      <c r="C858" s="26" t="s">
        <v>9</v>
      </c>
      <c r="D858" s="35" t="s">
        <v>20</v>
      </c>
      <c r="E858" s="35" t="s">
        <v>20</v>
      </c>
      <c r="F858" s="35" t="s">
        <v>20</v>
      </c>
      <c r="G858" t="b">
        <f t="shared" si="41"/>
        <v>0</v>
      </c>
      <c r="H858" t="b">
        <f t="shared" si="42"/>
        <v>0</v>
      </c>
      <c r="I858" s="29">
        <f t="shared" si="43"/>
        <v>39742</v>
      </c>
    </row>
    <row r="859" spans="1:9" ht="12.75" hidden="1" customHeight="1" x14ac:dyDescent="0.2">
      <c r="A859" s="28">
        <v>39742</v>
      </c>
      <c r="B859" s="26" t="s">
        <v>1134</v>
      </c>
      <c r="C859" s="26" t="s">
        <v>9</v>
      </c>
      <c r="D859" s="35" t="s">
        <v>20</v>
      </c>
      <c r="E859" s="35" t="s">
        <v>20</v>
      </c>
      <c r="F859" s="35" t="s">
        <v>20</v>
      </c>
      <c r="G859" t="b">
        <f t="shared" si="41"/>
        <v>0</v>
      </c>
      <c r="H859" t="b">
        <f t="shared" si="42"/>
        <v>0</v>
      </c>
      <c r="I859" s="29">
        <f t="shared" si="43"/>
        <v>39742</v>
      </c>
    </row>
    <row r="860" spans="1:9" ht="12.75" hidden="1" customHeight="1" x14ac:dyDescent="0.2">
      <c r="A860" s="28">
        <v>39743</v>
      </c>
      <c r="B860" s="26" t="s">
        <v>1098</v>
      </c>
      <c r="C860" s="26" t="s">
        <v>9</v>
      </c>
      <c r="D860" s="35" t="s">
        <v>20</v>
      </c>
      <c r="E860" s="35">
        <v>77876</v>
      </c>
      <c r="F860" s="35" t="s">
        <v>20</v>
      </c>
      <c r="G860" t="b">
        <f t="shared" si="41"/>
        <v>0</v>
      </c>
      <c r="H860" t="b">
        <f t="shared" si="42"/>
        <v>0</v>
      </c>
      <c r="I860" s="29">
        <f t="shared" si="43"/>
        <v>39743</v>
      </c>
    </row>
    <row r="861" spans="1:9" ht="51" hidden="1" x14ac:dyDescent="0.2">
      <c r="A861" s="28">
        <v>39743</v>
      </c>
      <c r="B861" s="26" t="s">
        <v>2407</v>
      </c>
      <c r="C861" s="26" t="s">
        <v>9</v>
      </c>
      <c r="D861" s="35" t="s">
        <v>20</v>
      </c>
      <c r="E861" s="35">
        <v>89473</v>
      </c>
      <c r="F861" s="35" t="s">
        <v>20</v>
      </c>
      <c r="G861" t="b">
        <f t="shared" si="41"/>
        <v>0</v>
      </c>
      <c r="H861" t="b">
        <f t="shared" si="42"/>
        <v>0</v>
      </c>
      <c r="I861" s="29">
        <f t="shared" si="43"/>
        <v>39743</v>
      </c>
    </row>
    <row r="862" spans="1:9" ht="25.5" hidden="1" x14ac:dyDescent="0.2">
      <c r="A862" s="28">
        <v>39745</v>
      </c>
      <c r="B862" s="26" t="s">
        <v>1050</v>
      </c>
      <c r="C862" s="26" t="s">
        <v>9</v>
      </c>
      <c r="D862" s="35" t="s">
        <v>20</v>
      </c>
      <c r="E862" s="35">
        <v>532878</v>
      </c>
      <c r="F862" s="35" t="s">
        <v>20</v>
      </c>
      <c r="G862" t="b">
        <f t="shared" ref="G862:G923" si="44">ISBLANK(A862)</f>
        <v>0</v>
      </c>
      <c r="H862" t="b">
        <f t="shared" ref="H862:H923" si="45">ISTEXT(A862)</f>
        <v>0</v>
      </c>
      <c r="I862" s="29">
        <f t="shared" si="43"/>
        <v>39745</v>
      </c>
    </row>
    <row r="863" spans="1:9" ht="25.5" hidden="1" x14ac:dyDescent="0.2">
      <c r="A863" s="28">
        <v>39745</v>
      </c>
      <c r="B863" s="26" t="s">
        <v>940</v>
      </c>
      <c r="C863" s="26" t="s">
        <v>746</v>
      </c>
      <c r="D863" s="35" t="s">
        <v>20</v>
      </c>
      <c r="E863" s="35">
        <v>2121701</v>
      </c>
      <c r="F863" s="35">
        <v>11604251</v>
      </c>
      <c r="G863" t="b">
        <f t="shared" si="44"/>
        <v>0</v>
      </c>
      <c r="H863" t="b">
        <f t="shared" si="45"/>
        <v>0</v>
      </c>
      <c r="I863" s="29">
        <f t="shared" si="43"/>
        <v>39745</v>
      </c>
    </row>
    <row r="864" spans="1:9" ht="12.75" hidden="1" customHeight="1" x14ac:dyDescent="0.2">
      <c r="A864" s="28">
        <v>39745</v>
      </c>
      <c r="B864" s="26" t="s">
        <v>3341</v>
      </c>
      <c r="C864" s="26" t="s">
        <v>2051</v>
      </c>
      <c r="D864" s="35" t="s">
        <v>20</v>
      </c>
      <c r="E864" s="35" t="s">
        <v>20</v>
      </c>
      <c r="F864" s="35" t="s">
        <v>20</v>
      </c>
      <c r="G864" t="b">
        <f t="shared" si="44"/>
        <v>0</v>
      </c>
      <c r="H864" t="b">
        <f t="shared" si="45"/>
        <v>0</v>
      </c>
      <c r="I864" s="29">
        <f t="shared" si="43"/>
        <v>39745</v>
      </c>
    </row>
    <row r="865" spans="1:9" ht="12.75" hidden="1" customHeight="1" x14ac:dyDescent="0.2">
      <c r="A865" s="28">
        <v>39745</v>
      </c>
      <c r="B865" s="26" t="s">
        <v>2420</v>
      </c>
      <c r="C865" s="26" t="s">
        <v>2160</v>
      </c>
      <c r="D865" s="35" t="s">
        <v>20</v>
      </c>
      <c r="E865" s="35">
        <v>292437</v>
      </c>
      <c r="F865" s="35" t="s">
        <v>20</v>
      </c>
      <c r="G865" t="b">
        <f t="shared" si="44"/>
        <v>0</v>
      </c>
      <c r="H865" t="b">
        <f t="shared" si="45"/>
        <v>0</v>
      </c>
      <c r="I865" s="29">
        <f t="shared" si="43"/>
        <v>39745</v>
      </c>
    </row>
    <row r="866" spans="1:9" ht="38.25" hidden="1" x14ac:dyDescent="0.2">
      <c r="A866" s="28">
        <v>39745</v>
      </c>
      <c r="B866" s="26" t="s">
        <v>2441</v>
      </c>
      <c r="C866" s="26" t="s">
        <v>3390</v>
      </c>
      <c r="D866" s="35">
        <v>11000000</v>
      </c>
      <c r="E866" s="35">
        <v>90556401</v>
      </c>
      <c r="F866" s="35">
        <v>251056401</v>
      </c>
      <c r="G866" t="b">
        <f t="shared" si="44"/>
        <v>0</v>
      </c>
      <c r="H866" t="b">
        <f t="shared" si="45"/>
        <v>0</v>
      </c>
      <c r="I866" s="29">
        <f t="shared" si="43"/>
        <v>39745</v>
      </c>
    </row>
    <row r="867" spans="1:9" ht="25.5" hidden="1" x14ac:dyDescent="0.2">
      <c r="A867" s="28">
        <v>39745</v>
      </c>
      <c r="B867" s="26" t="s">
        <v>2894</v>
      </c>
      <c r="C867" s="26" t="s">
        <v>9</v>
      </c>
      <c r="D867" s="35" t="s">
        <v>20</v>
      </c>
      <c r="E867" s="35">
        <v>18336</v>
      </c>
      <c r="F867" s="35" t="s">
        <v>20</v>
      </c>
      <c r="G867" t="b">
        <f t="shared" si="44"/>
        <v>0</v>
      </c>
      <c r="H867" t="b">
        <f t="shared" si="45"/>
        <v>0</v>
      </c>
      <c r="I867" s="29">
        <f t="shared" si="43"/>
        <v>39745</v>
      </c>
    </row>
    <row r="868" spans="1:9" ht="12.75" hidden="1" customHeight="1" x14ac:dyDescent="0.2">
      <c r="A868" s="28">
        <v>39745</v>
      </c>
      <c r="B868" s="26" t="s">
        <v>1738</v>
      </c>
      <c r="C868" s="26" t="s">
        <v>2460</v>
      </c>
      <c r="D868" s="35">
        <v>30000000</v>
      </c>
      <c r="E868" s="35">
        <v>15740721</v>
      </c>
      <c r="F868" s="35">
        <v>43440721</v>
      </c>
      <c r="G868" t="b">
        <f t="shared" si="44"/>
        <v>0</v>
      </c>
      <c r="H868" t="b">
        <f t="shared" si="45"/>
        <v>0</v>
      </c>
      <c r="I868" s="29">
        <f t="shared" si="43"/>
        <v>39745</v>
      </c>
    </row>
    <row r="869" spans="1:9" ht="12.75" hidden="1" customHeight="1" x14ac:dyDescent="0.2">
      <c r="A869" s="28">
        <v>39745</v>
      </c>
      <c r="B869" s="26" t="s">
        <v>2383</v>
      </c>
      <c r="C869" s="26" t="s">
        <v>1647</v>
      </c>
      <c r="D869" s="35" t="s">
        <v>20</v>
      </c>
      <c r="E869" s="35">
        <v>55202</v>
      </c>
      <c r="F869" s="35" t="s">
        <v>20</v>
      </c>
      <c r="G869" t="b">
        <f t="shared" si="44"/>
        <v>0</v>
      </c>
      <c r="H869" t="b">
        <f t="shared" si="45"/>
        <v>0</v>
      </c>
      <c r="I869" s="29">
        <f t="shared" si="43"/>
        <v>39745</v>
      </c>
    </row>
    <row r="870" spans="1:9" ht="25.5" hidden="1" x14ac:dyDescent="0.2">
      <c r="A870" s="28">
        <v>39745</v>
      </c>
      <c r="B870" s="26" t="s">
        <v>828</v>
      </c>
      <c r="C870" s="26" t="s">
        <v>1115</v>
      </c>
      <c r="D870" s="35" t="s">
        <v>20</v>
      </c>
      <c r="E870" s="35" t="s">
        <v>20</v>
      </c>
      <c r="F870" s="35" t="s">
        <v>20</v>
      </c>
      <c r="G870" t="b">
        <f t="shared" si="44"/>
        <v>0</v>
      </c>
      <c r="H870" t="b">
        <f t="shared" si="45"/>
        <v>0</v>
      </c>
      <c r="I870" s="29">
        <f t="shared" si="43"/>
        <v>39745</v>
      </c>
    </row>
    <row r="871" spans="1:9" ht="25.5" hidden="1" x14ac:dyDescent="0.2">
      <c r="A871" s="28">
        <v>39745</v>
      </c>
      <c r="B871" s="26" t="s">
        <v>1596</v>
      </c>
      <c r="C871" s="26" t="s">
        <v>9</v>
      </c>
      <c r="D871" s="35" t="s">
        <v>20</v>
      </c>
      <c r="E871" s="35">
        <v>3167876</v>
      </c>
      <c r="F871" s="35">
        <v>23787508</v>
      </c>
      <c r="G871" t="b">
        <f t="shared" si="44"/>
        <v>0</v>
      </c>
      <c r="H871" t="b">
        <f t="shared" si="45"/>
        <v>0</v>
      </c>
      <c r="I871" s="29">
        <f t="shared" si="43"/>
        <v>39745</v>
      </c>
    </row>
    <row r="872" spans="1:9" ht="25.5" hidden="1" x14ac:dyDescent="0.2">
      <c r="A872" s="28">
        <v>39745</v>
      </c>
      <c r="B872" s="26" t="s">
        <v>2863</v>
      </c>
      <c r="C872" s="26" t="s">
        <v>9</v>
      </c>
      <c r="D872" s="35">
        <v>20000000</v>
      </c>
      <c r="E872" s="35">
        <v>3081925</v>
      </c>
      <c r="F872" s="35" t="s">
        <v>20</v>
      </c>
      <c r="G872" t="b">
        <f t="shared" si="44"/>
        <v>0</v>
      </c>
      <c r="H872" t="b">
        <f t="shared" si="45"/>
        <v>0</v>
      </c>
      <c r="I872" s="29">
        <f t="shared" si="43"/>
        <v>39745</v>
      </c>
    </row>
    <row r="873" spans="1:9" ht="12.75" hidden="1" customHeight="1" x14ac:dyDescent="0.2">
      <c r="A873" s="28">
        <v>39745</v>
      </c>
      <c r="B873" s="26" t="s">
        <v>1808</v>
      </c>
      <c r="C873" s="26" t="s">
        <v>647</v>
      </c>
      <c r="D873" s="35">
        <v>400000</v>
      </c>
      <c r="E873" s="35">
        <v>655538</v>
      </c>
      <c r="F873" s="35" t="s">
        <v>20</v>
      </c>
      <c r="G873" t="b">
        <f t="shared" si="44"/>
        <v>0</v>
      </c>
      <c r="H873" t="b">
        <f t="shared" si="45"/>
        <v>0</v>
      </c>
      <c r="I873" s="29">
        <f t="shared" si="43"/>
        <v>39745</v>
      </c>
    </row>
    <row r="874" spans="1:9" ht="12.75" hidden="1" customHeight="1" x14ac:dyDescent="0.2">
      <c r="A874" s="28">
        <v>39745</v>
      </c>
      <c r="B874" s="26" t="s">
        <v>658</v>
      </c>
      <c r="C874" s="26" t="s">
        <v>1414</v>
      </c>
      <c r="D874" s="35" t="s">
        <v>20</v>
      </c>
      <c r="E874" s="35">
        <v>193137</v>
      </c>
      <c r="F874" s="35" t="s">
        <v>20</v>
      </c>
      <c r="G874" t="b">
        <f t="shared" si="44"/>
        <v>0</v>
      </c>
      <c r="H874" t="b">
        <f t="shared" si="45"/>
        <v>0</v>
      </c>
      <c r="I874" s="29">
        <f t="shared" si="43"/>
        <v>39745</v>
      </c>
    </row>
    <row r="875" spans="1:9" ht="12.75" hidden="1" customHeight="1" x14ac:dyDescent="0.2">
      <c r="A875" s="28">
        <v>39745</v>
      </c>
      <c r="B875" s="26" t="s">
        <v>3273</v>
      </c>
      <c r="C875" s="26" t="s">
        <v>3096</v>
      </c>
      <c r="D875" s="35" t="s">
        <v>20</v>
      </c>
      <c r="E875" s="35">
        <v>35739802</v>
      </c>
      <c r="F875" s="35">
        <v>113805580</v>
      </c>
      <c r="G875" t="b">
        <f t="shared" si="44"/>
        <v>0</v>
      </c>
      <c r="H875" t="b">
        <f t="shared" si="45"/>
        <v>0</v>
      </c>
      <c r="I875" s="29">
        <f t="shared" si="43"/>
        <v>39745</v>
      </c>
    </row>
    <row r="876" spans="1:9" ht="25.5" hidden="1" x14ac:dyDescent="0.2">
      <c r="A876" s="28">
        <v>39745</v>
      </c>
      <c r="B876" s="26" t="s">
        <v>2437</v>
      </c>
      <c r="C876" s="26" t="s">
        <v>9</v>
      </c>
      <c r="D876" s="35" t="s">
        <v>20</v>
      </c>
      <c r="E876" s="35">
        <v>5095</v>
      </c>
      <c r="F876" s="35" t="s">
        <v>20</v>
      </c>
      <c r="G876" t="b">
        <f t="shared" si="44"/>
        <v>0</v>
      </c>
      <c r="H876" t="b">
        <f t="shared" si="45"/>
        <v>0</v>
      </c>
      <c r="I876" s="29">
        <f t="shared" si="43"/>
        <v>39745</v>
      </c>
    </row>
    <row r="877" spans="1:9" ht="25.5" hidden="1" x14ac:dyDescent="0.2">
      <c r="A877" s="28">
        <v>39745</v>
      </c>
      <c r="B877" s="26" t="s">
        <v>566</v>
      </c>
      <c r="C877" s="26" t="s">
        <v>9</v>
      </c>
      <c r="D877" s="35" t="s">
        <v>20</v>
      </c>
      <c r="E877" s="35" t="s">
        <v>20</v>
      </c>
      <c r="F877" s="35">
        <v>430576</v>
      </c>
      <c r="G877" t="b">
        <f t="shared" si="44"/>
        <v>0</v>
      </c>
      <c r="H877" t="b">
        <f t="shared" si="45"/>
        <v>0</v>
      </c>
      <c r="I877" s="29">
        <f t="shared" si="43"/>
        <v>39745</v>
      </c>
    </row>
    <row r="878" spans="1:9" ht="12.75" hidden="1" customHeight="1" x14ac:dyDescent="0.2">
      <c r="A878" s="28">
        <v>39745</v>
      </c>
      <c r="B878" s="26" t="s">
        <v>2909</v>
      </c>
      <c r="C878" s="26" t="s">
        <v>3419</v>
      </c>
      <c r="D878" s="35">
        <v>10800000</v>
      </c>
      <c r="E878" s="35">
        <v>56746769</v>
      </c>
      <c r="F878" s="35">
        <v>113146769</v>
      </c>
      <c r="G878" t="b">
        <f t="shared" si="44"/>
        <v>0</v>
      </c>
      <c r="H878" t="b">
        <f t="shared" si="45"/>
        <v>0</v>
      </c>
      <c r="I878" s="29">
        <f t="shared" si="43"/>
        <v>39745</v>
      </c>
    </row>
    <row r="879" spans="1:9" ht="12.75" hidden="1" customHeight="1" x14ac:dyDescent="0.2">
      <c r="A879" s="28">
        <v>39745</v>
      </c>
      <c r="B879" s="26" t="s">
        <v>3005</v>
      </c>
      <c r="C879" s="26" t="s">
        <v>9</v>
      </c>
      <c r="D879" s="35" t="s">
        <v>20</v>
      </c>
      <c r="E879" s="35">
        <v>4452423</v>
      </c>
      <c r="F879" s="35" t="s">
        <v>20</v>
      </c>
      <c r="G879" t="b">
        <f t="shared" si="44"/>
        <v>0</v>
      </c>
      <c r="H879" t="b">
        <f t="shared" si="45"/>
        <v>0</v>
      </c>
      <c r="I879" s="29">
        <f t="shared" si="43"/>
        <v>39745</v>
      </c>
    </row>
    <row r="880" spans="1:9" ht="25.5" hidden="1" x14ac:dyDescent="0.2">
      <c r="A880" s="28">
        <v>39749</v>
      </c>
      <c r="B880" s="26" t="s">
        <v>1317</v>
      </c>
      <c r="C880" s="26" t="s">
        <v>9</v>
      </c>
      <c r="D880" s="35" t="s">
        <v>20</v>
      </c>
      <c r="E880" s="35" t="s">
        <v>20</v>
      </c>
      <c r="F880" s="35" t="s">
        <v>20</v>
      </c>
      <c r="G880" t="b">
        <f t="shared" si="44"/>
        <v>0</v>
      </c>
      <c r="H880" t="b">
        <f t="shared" si="45"/>
        <v>0</v>
      </c>
      <c r="I880" s="29">
        <f t="shared" si="43"/>
        <v>39749</v>
      </c>
    </row>
    <row r="881" spans="1:9" ht="12.75" hidden="1" customHeight="1" x14ac:dyDescent="0.2">
      <c r="A881" s="28">
        <v>39749</v>
      </c>
      <c r="B881" s="26" t="s">
        <v>2150</v>
      </c>
      <c r="C881" s="26" t="s">
        <v>2752</v>
      </c>
      <c r="D881" s="35" t="s">
        <v>20</v>
      </c>
      <c r="E881" s="35" t="s">
        <v>20</v>
      </c>
      <c r="F881" s="35">
        <v>2427167</v>
      </c>
      <c r="G881" t="b">
        <f t="shared" si="44"/>
        <v>0</v>
      </c>
      <c r="H881" t="b">
        <f t="shared" si="45"/>
        <v>0</v>
      </c>
      <c r="I881" s="29">
        <f t="shared" si="43"/>
        <v>39749</v>
      </c>
    </row>
    <row r="882" spans="1:9" ht="12.75" hidden="1" customHeight="1" x14ac:dyDescent="0.2">
      <c r="A882" s="28">
        <v>39750</v>
      </c>
      <c r="B882" s="26" t="s">
        <v>2595</v>
      </c>
      <c r="C882" s="26" t="s">
        <v>9</v>
      </c>
      <c r="D882" s="35" t="s">
        <v>20</v>
      </c>
      <c r="E882" s="35" t="s">
        <v>20</v>
      </c>
      <c r="F882" s="35">
        <v>134346</v>
      </c>
      <c r="G882" t="b">
        <f t="shared" si="44"/>
        <v>0</v>
      </c>
      <c r="H882" t="b">
        <f t="shared" si="45"/>
        <v>0</v>
      </c>
      <c r="I882" s="29">
        <f t="shared" si="43"/>
        <v>39750</v>
      </c>
    </row>
    <row r="883" spans="1:9" ht="12.75" hidden="1" customHeight="1" x14ac:dyDescent="0.2">
      <c r="A883" s="28">
        <v>39750</v>
      </c>
      <c r="B883" s="26" t="s">
        <v>801</v>
      </c>
      <c r="C883" s="26" t="s">
        <v>9</v>
      </c>
      <c r="D883" s="35" t="s">
        <v>20</v>
      </c>
      <c r="E883" s="35">
        <v>20440</v>
      </c>
      <c r="F883" s="35" t="s">
        <v>20</v>
      </c>
      <c r="G883" t="b">
        <f t="shared" si="44"/>
        <v>0</v>
      </c>
      <c r="H883" t="b">
        <f t="shared" si="45"/>
        <v>0</v>
      </c>
      <c r="I883" s="29">
        <f t="shared" si="43"/>
        <v>39750</v>
      </c>
    </row>
    <row r="884" spans="1:9" ht="12.75" hidden="1" customHeight="1" x14ac:dyDescent="0.2">
      <c r="A884" s="28">
        <v>39752</v>
      </c>
      <c r="B884" s="26" t="s">
        <v>2325</v>
      </c>
      <c r="C884" s="26" t="s">
        <v>1760</v>
      </c>
      <c r="D884" s="35" t="s">
        <v>20</v>
      </c>
      <c r="E884" s="35">
        <v>145642</v>
      </c>
      <c r="F884" s="35" t="s">
        <v>20</v>
      </c>
      <c r="G884" t="b">
        <f t="shared" si="44"/>
        <v>0</v>
      </c>
      <c r="H884" t="b">
        <f t="shared" si="45"/>
        <v>0</v>
      </c>
      <c r="I884" s="29">
        <f t="shared" si="43"/>
        <v>39752</v>
      </c>
    </row>
    <row r="885" spans="1:9" ht="12.75" hidden="1" customHeight="1" x14ac:dyDescent="0.2">
      <c r="A885" s="28">
        <v>39752</v>
      </c>
      <c r="B885" s="26" t="s">
        <v>1908</v>
      </c>
      <c r="C885" s="26" t="s">
        <v>9</v>
      </c>
      <c r="D885" s="35" t="s">
        <v>20</v>
      </c>
      <c r="E885" s="35">
        <v>21816</v>
      </c>
      <c r="F885" s="35" t="s">
        <v>20</v>
      </c>
      <c r="G885" t="b">
        <f t="shared" si="44"/>
        <v>0</v>
      </c>
      <c r="H885" t="b">
        <f t="shared" si="45"/>
        <v>0</v>
      </c>
      <c r="I885" s="29">
        <f t="shared" si="43"/>
        <v>39752</v>
      </c>
    </row>
    <row r="886" spans="1:9" ht="25.5" hidden="1" x14ac:dyDescent="0.2">
      <c r="A886" s="28">
        <v>39752</v>
      </c>
      <c r="B886" s="26" t="s">
        <v>76</v>
      </c>
      <c r="C886" s="26" t="s">
        <v>49</v>
      </c>
      <c r="D886" s="35">
        <v>24000000</v>
      </c>
      <c r="E886" s="35">
        <v>31452765</v>
      </c>
      <c r="F886" s="35">
        <v>36851125</v>
      </c>
      <c r="G886" t="b">
        <f t="shared" si="44"/>
        <v>0</v>
      </c>
      <c r="H886" t="b">
        <f t="shared" si="45"/>
        <v>0</v>
      </c>
      <c r="I886" s="29">
        <f t="shared" si="43"/>
        <v>39752</v>
      </c>
    </row>
    <row r="887" spans="1:9" ht="12.75" hidden="1" customHeight="1" x14ac:dyDescent="0.2">
      <c r="A887" s="28">
        <v>39752</v>
      </c>
      <c r="B887" s="26" t="s">
        <v>1091</v>
      </c>
      <c r="C887" s="26" t="s">
        <v>2582</v>
      </c>
      <c r="D887" s="35" t="s">
        <v>20</v>
      </c>
      <c r="E887" s="35">
        <v>313102</v>
      </c>
      <c r="F887" s="35" t="s">
        <v>20</v>
      </c>
      <c r="G887" t="b">
        <f t="shared" si="44"/>
        <v>0</v>
      </c>
      <c r="H887" t="b">
        <f t="shared" si="45"/>
        <v>0</v>
      </c>
      <c r="I887" s="29">
        <f t="shared" si="43"/>
        <v>39752</v>
      </c>
    </row>
    <row r="888" spans="1:9" ht="12.75" hidden="1" customHeight="1" x14ac:dyDescent="0.2">
      <c r="A888" s="28">
        <v>39752</v>
      </c>
      <c r="B888" s="26" t="s">
        <v>3272</v>
      </c>
      <c r="C888" s="26" t="s">
        <v>729</v>
      </c>
      <c r="D888" s="35" t="s">
        <v>20</v>
      </c>
      <c r="E888" s="35">
        <v>2992</v>
      </c>
      <c r="F888" s="35" t="s">
        <v>20</v>
      </c>
      <c r="G888" t="b">
        <f t="shared" si="44"/>
        <v>0</v>
      </c>
      <c r="H888" t="b">
        <f t="shared" si="45"/>
        <v>0</v>
      </c>
      <c r="I888" s="29">
        <f t="shared" si="43"/>
        <v>39752</v>
      </c>
    </row>
    <row r="889" spans="1:9" ht="12.75" hidden="1" customHeight="1" x14ac:dyDescent="0.2">
      <c r="A889" s="28">
        <v>39752</v>
      </c>
      <c r="B889" s="26" t="s">
        <v>2087</v>
      </c>
      <c r="C889" s="26" t="s">
        <v>3215</v>
      </c>
      <c r="D889" s="35" t="s">
        <v>20</v>
      </c>
      <c r="E889" s="35">
        <v>7321</v>
      </c>
      <c r="F889" s="35">
        <v>4007321</v>
      </c>
      <c r="G889" t="b">
        <f t="shared" si="44"/>
        <v>0</v>
      </c>
      <c r="H889" t="b">
        <f t="shared" si="45"/>
        <v>0</v>
      </c>
      <c r="I889" s="29">
        <f t="shared" si="43"/>
        <v>39752</v>
      </c>
    </row>
    <row r="890" spans="1:9" ht="12.75" hidden="1" customHeight="1" x14ac:dyDescent="0.2">
      <c r="A890" s="28">
        <v>39752</v>
      </c>
      <c r="B890" s="26" t="s">
        <v>363</v>
      </c>
      <c r="C890" s="26" t="s">
        <v>9</v>
      </c>
      <c r="D890" s="35" t="s">
        <v>20</v>
      </c>
      <c r="E890" s="35">
        <v>7484</v>
      </c>
      <c r="F890" s="35" t="s">
        <v>20</v>
      </c>
      <c r="G890" t="b">
        <f t="shared" si="44"/>
        <v>0</v>
      </c>
      <c r="H890" t="b">
        <f t="shared" si="45"/>
        <v>0</v>
      </c>
      <c r="I890" s="29">
        <f t="shared" si="43"/>
        <v>39752</v>
      </c>
    </row>
    <row r="891" spans="1:9" ht="25.5" hidden="1" x14ac:dyDescent="0.2">
      <c r="A891" s="28">
        <v>39752</v>
      </c>
      <c r="B891" s="26" t="s">
        <v>582</v>
      </c>
      <c r="C891" s="26" t="s">
        <v>2779</v>
      </c>
      <c r="D891" s="35" t="s">
        <v>20</v>
      </c>
      <c r="E891" s="35">
        <v>115504</v>
      </c>
      <c r="F891" s="35" t="s">
        <v>20</v>
      </c>
      <c r="G891" t="b">
        <f t="shared" si="44"/>
        <v>0</v>
      </c>
      <c r="H891" t="b">
        <f t="shared" si="45"/>
        <v>0</v>
      </c>
      <c r="I891" s="29">
        <f t="shared" si="43"/>
        <v>39752</v>
      </c>
    </row>
    <row r="892" spans="1:9" ht="25.5" hidden="1" x14ac:dyDescent="0.2">
      <c r="A892" s="28">
        <v>39752</v>
      </c>
      <c r="B892" s="26" t="s">
        <v>484</v>
      </c>
      <c r="C892" s="26" t="s">
        <v>150</v>
      </c>
      <c r="D892" s="35" t="s">
        <v>20</v>
      </c>
      <c r="E892" s="35">
        <v>13442412</v>
      </c>
      <c r="F892" s="35" t="s">
        <v>20</v>
      </c>
      <c r="G892" t="b">
        <f t="shared" si="44"/>
        <v>0</v>
      </c>
      <c r="H892" t="b">
        <f t="shared" si="45"/>
        <v>0</v>
      </c>
      <c r="I892" s="29">
        <f t="shared" si="43"/>
        <v>39752</v>
      </c>
    </row>
    <row r="893" spans="1:9" ht="38.25" hidden="1" x14ac:dyDescent="0.2">
      <c r="A893" s="28">
        <v>39752</v>
      </c>
      <c r="B893" s="26" t="s">
        <v>991</v>
      </c>
      <c r="C893" s="26" t="s">
        <v>322</v>
      </c>
      <c r="D893" s="35" t="s">
        <v>20</v>
      </c>
      <c r="E893" s="35">
        <v>20834</v>
      </c>
      <c r="F893" s="35" t="s">
        <v>20</v>
      </c>
      <c r="G893" t="b">
        <f t="shared" si="44"/>
        <v>0</v>
      </c>
      <c r="H893" t="b">
        <f t="shared" si="45"/>
        <v>0</v>
      </c>
      <c r="I893" s="29">
        <f t="shared" si="43"/>
        <v>39752</v>
      </c>
    </row>
    <row r="894" spans="1:9" ht="25.5" hidden="1" x14ac:dyDescent="0.2">
      <c r="A894" s="28">
        <v>39752</v>
      </c>
      <c r="B894" s="26" t="s">
        <v>2928</v>
      </c>
      <c r="C894" s="26" t="s">
        <v>9</v>
      </c>
      <c r="D894" s="35" t="s">
        <v>20</v>
      </c>
      <c r="E894" s="35" t="s">
        <v>20</v>
      </c>
      <c r="F894" s="35">
        <v>1488707</v>
      </c>
      <c r="G894" t="b">
        <f t="shared" si="44"/>
        <v>0</v>
      </c>
      <c r="H894" t="b">
        <f t="shared" si="45"/>
        <v>0</v>
      </c>
      <c r="I894" s="29">
        <f t="shared" si="43"/>
        <v>39752</v>
      </c>
    </row>
    <row r="895" spans="1:9" hidden="1" x14ac:dyDescent="0.2">
      <c r="A895" s="28">
        <v>39752</v>
      </c>
      <c r="B895" s="26" t="s">
        <v>1847</v>
      </c>
      <c r="C895" s="26" t="s">
        <v>9</v>
      </c>
      <c r="D895" s="35" t="s">
        <v>20</v>
      </c>
      <c r="E895" s="35">
        <v>173066</v>
      </c>
      <c r="F895" s="35" t="s">
        <v>20</v>
      </c>
      <c r="G895" t="b">
        <f t="shared" si="44"/>
        <v>0</v>
      </c>
      <c r="H895" t="b">
        <f t="shared" si="45"/>
        <v>0</v>
      </c>
      <c r="I895" s="29">
        <f t="shared" si="43"/>
        <v>39752</v>
      </c>
    </row>
    <row r="896" spans="1:9" ht="12.75" hidden="1" customHeight="1" x14ac:dyDescent="0.2">
      <c r="A896" s="28">
        <v>39752</v>
      </c>
      <c r="B896" s="26" t="s">
        <v>68</v>
      </c>
      <c r="C896" s="26" t="s">
        <v>746</v>
      </c>
      <c r="D896" s="35" t="s">
        <v>20</v>
      </c>
      <c r="E896" s="35">
        <v>14154</v>
      </c>
      <c r="F896" s="35" t="s">
        <v>20</v>
      </c>
      <c r="G896" t="b">
        <f t="shared" si="44"/>
        <v>0</v>
      </c>
      <c r="H896" t="b">
        <f t="shared" si="45"/>
        <v>0</v>
      </c>
      <c r="I896" s="29">
        <f t="shared" si="43"/>
        <v>39752</v>
      </c>
    </row>
    <row r="897" spans="1:9" ht="12.75" hidden="1" customHeight="1" x14ac:dyDescent="0.2">
      <c r="A897" s="28">
        <v>39752</v>
      </c>
      <c r="B897" s="26" t="s">
        <v>191</v>
      </c>
      <c r="C897" s="26" t="s">
        <v>3426</v>
      </c>
      <c r="D897" s="35" t="s">
        <v>20</v>
      </c>
      <c r="E897" s="35">
        <v>191442</v>
      </c>
      <c r="F897" s="35" t="s">
        <v>20</v>
      </c>
      <c r="G897" t="b">
        <f t="shared" si="44"/>
        <v>0</v>
      </c>
      <c r="H897" t="b">
        <f t="shared" si="45"/>
        <v>0</v>
      </c>
      <c r="I897" s="29">
        <f t="shared" si="43"/>
        <v>39752</v>
      </c>
    </row>
    <row r="898" spans="1:9" ht="25.5" hidden="1" x14ac:dyDescent="0.2">
      <c r="A898" s="28">
        <v>39752</v>
      </c>
      <c r="B898" s="26" t="s">
        <v>1620</v>
      </c>
      <c r="C898" s="26" t="s">
        <v>9</v>
      </c>
      <c r="D898" s="35" t="s">
        <v>20</v>
      </c>
      <c r="E898" s="35">
        <v>125380</v>
      </c>
      <c r="F898" s="35" t="s">
        <v>20</v>
      </c>
      <c r="G898" t="b">
        <f t="shared" si="44"/>
        <v>0</v>
      </c>
      <c r="H898" t="b">
        <f t="shared" si="45"/>
        <v>0</v>
      </c>
      <c r="I898" s="29">
        <f t="shared" si="43"/>
        <v>39752</v>
      </c>
    </row>
    <row r="899" spans="1:9" ht="12.75" hidden="1" customHeight="1" x14ac:dyDescent="0.2">
      <c r="A899" s="28">
        <v>39756</v>
      </c>
      <c r="B899" s="26" t="s">
        <v>290</v>
      </c>
      <c r="C899" s="26" t="s">
        <v>2160</v>
      </c>
      <c r="D899" s="35" t="s">
        <v>20</v>
      </c>
      <c r="E899" s="35" t="s">
        <v>20</v>
      </c>
      <c r="F899" s="35" t="s">
        <v>20</v>
      </c>
      <c r="G899" t="b">
        <f t="shared" si="44"/>
        <v>0</v>
      </c>
      <c r="H899" t="b">
        <f t="shared" si="45"/>
        <v>0</v>
      </c>
      <c r="I899" s="29">
        <f t="shared" ref="I899:I962" si="46">DATE(2008,MONTH(A899), DAY(A899))</f>
        <v>39756</v>
      </c>
    </row>
    <row r="900" spans="1:9" ht="12.75" hidden="1" customHeight="1" x14ac:dyDescent="0.2">
      <c r="A900" s="28">
        <v>39756</v>
      </c>
      <c r="B900" s="26" t="s">
        <v>806</v>
      </c>
      <c r="C900" s="26" t="s">
        <v>2160</v>
      </c>
      <c r="D900" s="35" t="s">
        <v>20</v>
      </c>
      <c r="E900" s="35" t="s">
        <v>20</v>
      </c>
      <c r="F900" s="35" t="s">
        <v>20</v>
      </c>
      <c r="G900" t="b">
        <f t="shared" si="44"/>
        <v>0</v>
      </c>
      <c r="H900" t="b">
        <f t="shared" si="45"/>
        <v>0</v>
      </c>
      <c r="I900" s="29">
        <f t="shared" si="46"/>
        <v>39756</v>
      </c>
    </row>
    <row r="901" spans="1:9" ht="25.5" hidden="1" x14ac:dyDescent="0.2">
      <c r="A901" s="28">
        <v>39756</v>
      </c>
      <c r="B901" s="26" t="s">
        <v>760</v>
      </c>
      <c r="C901" s="26" t="s">
        <v>9</v>
      </c>
      <c r="D901" s="35" t="s">
        <v>20</v>
      </c>
      <c r="E901" s="35" t="s">
        <v>20</v>
      </c>
      <c r="F901" s="35" t="s">
        <v>20</v>
      </c>
      <c r="G901" t="b">
        <f t="shared" si="44"/>
        <v>0</v>
      </c>
      <c r="H901" t="b">
        <f t="shared" si="45"/>
        <v>0</v>
      </c>
      <c r="I901" s="29">
        <f t="shared" si="46"/>
        <v>39756</v>
      </c>
    </row>
    <row r="902" spans="1:9" ht="12.75" hidden="1" customHeight="1" x14ac:dyDescent="0.2">
      <c r="A902" s="28">
        <v>39756</v>
      </c>
      <c r="B902" s="26" t="s">
        <v>2354</v>
      </c>
      <c r="C902" s="26" t="s">
        <v>9</v>
      </c>
      <c r="D902" s="35" t="s">
        <v>20</v>
      </c>
      <c r="E902" s="35" t="s">
        <v>20</v>
      </c>
      <c r="F902" s="35" t="s">
        <v>20</v>
      </c>
      <c r="G902" t="b">
        <f t="shared" si="44"/>
        <v>0</v>
      </c>
      <c r="H902" t="b">
        <f t="shared" si="45"/>
        <v>0</v>
      </c>
      <c r="I902" s="29">
        <f t="shared" si="46"/>
        <v>39756</v>
      </c>
    </row>
    <row r="903" spans="1:9" ht="25.5" hidden="1" x14ac:dyDescent="0.2">
      <c r="A903" s="28">
        <v>39756</v>
      </c>
      <c r="B903" s="26" t="s">
        <v>3190</v>
      </c>
      <c r="C903" s="26" t="s">
        <v>9</v>
      </c>
      <c r="D903" s="35" t="s">
        <v>20</v>
      </c>
      <c r="E903" s="35" t="s">
        <v>20</v>
      </c>
      <c r="F903" s="35" t="s">
        <v>20</v>
      </c>
      <c r="G903" t="b">
        <f t="shared" si="44"/>
        <v>0</v>
      </c>
      <c r="H903" t="b">
        <f t="shared" si="45"/>
        <v>0</v>
      </c>
      <c r="I903" s="29">
        <f t="shared" si="46"/>
        <v>39756</v>
      </c>
    </row>
    <row r="904" spans="1:9" ht="12.75" hidden="1" customHeight="1" x14ac:dyDescent="0.2">
      <c r="A904" s="28">
        <v>39759</v>
      </c>
      <c r="B904" s="26" t="s">
        <v>1136</v>
      </c>
      <c r="C904" s="26" t="s">
        <v>3096</v>
      </c>
      <c r="D904" s="35" t="s">
        <v>20</v>
      </c>
      <c r="E904" s="35">
        <v>67300955</v>
      </c>
      <c r="F904" s="35">
        <v>92502165</v>
      </c>
      <c r="G904" t="b">
        <f t="shared" si="44"/>
        <v>0</v>
      </c>
      <c r="H904" t="b">
        <f t="shared" si="45"/>
        <v>0</v>
      </c>
      <c r="I904" s="29">
        <f t="shared" si="46"/>
        <v>39759</v>
      </c>
    </row>
    <row r="905" spans="1:9" ht="25.5" hidden="1" x14ac:dyDescent="0.2">
      <c r="A905" s="28">
        <v>39759</v>
      </c>
      <c r="B905" s="26" t="s">
        <v>1614</v>
      </c>
      <c r="C905" s="26" t="s">
        <v>221</v>
      </c>
      <c r="D905" s="35" t="s">
        <v>20</v>
      </c>
      <c r="E905" s="35">
        <v>11436</v>
      </c>
      <c r="F905" s="35" t="s">
        <v>20</v>
      </c>
      <c r="G905" t="b">
        <f t="shared" si="44"/>
        <v>0</v>
      </c>
      <c r="H905" t="b">
        <f t="shared" si="45"/>
        <v>0</v>
      </c>
      <c r="I905" s="29">
        <f t="shared" si="46"/>
        <v>39759</v>
      </c>
    </row>
    <row r="906" spans="1:9" ht="12.75" hidden="1" customHeight="1" x14ac:dyDescent="0.2">
      <c r="A906" s="28">
        <v>39759</v>
      </c>
      <c r="B906" s="26" t="s">
        <v>2042</v>
      </c>
      <c r="C906" s="26" t="s">
        <v>3267</v>
      </c>
      <c r="D906" s="35" t="s">
        <v>20</v>
      </c>
      <c r="E906" s="35">
        <v>51576</v>
      </c>
      <c r="F906" s="35" t="s">
        <v>20</v>
      </c>
      <c r="G906" t="b">
        <f t="shared" si="44"/>
        <v>0</v>
      </c>
      <c r="H906" t="b">
        <f t="shared" si="45"/>
        <v>0</v>
      </c>
      <c r="I906" s="29">
        <f t="shared" si="46"/>
        <v>39759</v>
      </c>
    </row>
    <row r="907" spans="1:9" ht="12.75" hidden="1" customHeight="1" x14ac:dyDescent="0.2">
      <c r="A907" s="28">
        <v>39759</v>
      </c>
      <c r="B907" s="26" t="s">
        <v>2358</v>
      </c>
      <c r="C907" s="26" t="s">
        <v>9</v>
      </c>
      <c r="D907" s="35" t="s">
        <v>20</v>
      </c>
      <c r="E907" s="35">
        <v>470691</v>
      </c>
      <c r="F907" s="35">
        <v>2309944</v>
      </c>
      <c r="G907" t="b">
        <f t="shared" si="44"/>
        <v>0</v>
      </c>
      <c r="H907" t="b">
        <f t="shared" si="45"/>
        <v>0</v>
      </c>
      <c r="I907" s="29">
        <f t="shared" si="46"/>
        <v>39759</v>
      </c>
    </row>
    <row r="908" spans="1:9" ht="25.5" hidden="1" x14ac:dyDescent="0.2">
      <c r="A908" s="28">
        <v>39759</v>
      </c>
      <c r="B908" s="26" t="s">
        <v>1769</v>
      </c>
      <c r="C908" s="26" t="s">
        <v>2990</v>
      </c>
      <c r="D908" s="35" t="s">
        <v>20</v>
      </c>
      <c r="E908" s="35">
        <v>29784</v>
      </c>
      <c r="F908" s="35" t="s">
        <v>20</v>
      </c>
      <c r="G908" t="b">
        <f t="shared" si="44"/>
        <v>0</v>
      </c>
      <c r="H908" t="b">
        <f t="shared" si="45"/>
        <v>0</v>
      </c>
      <c r="I908" s="29">
        <f t="shared" si="46"/>
        <v>39759</v>
      </c>
    </row>
    <row r="909" spans="1:9" ht="25.5" hidden="1" x14ac:dyDescent="0.2">
      <c r="A909" s="28">
        <v>39759</v>
      </c>
      <c r="B909" s="26" t="s">
        <v>1633</v>
      </c>
      <c r="C909" s="26" t="s">
        <v>3419</v>
      </c>
      <c r="D909" s="35" t="s">
        <v>20</v>
      </c>
      <c r="E909" s="35">
        <v>140244</v>
      </c>
      <c r="F909" s="35" t="s">
        <v>20</v>
      </c>
      <c r="G909" t="b">
        <f t="shared" si="44"/>
        <v>0</v>
      </c>
      <c r="H909" t="b">
        <f t="shared" si="45"/>
        <v>0</v>
      </c>
      <c r="I909" s="29">
        <f t="shared" si="46"/>
        <v>39759</v>
      </c>
    </row>
    <row r="910" spans="1:9" ht="25.5" hidden="1" x14ac:dyDescent="0.2">
      <c r="A910" s="28">
        <v>39759</v>
      </c>
      <c r="B910" s="26" t="s">
        <v>394</v>
      </c>
      <c r="C910" s="26" t="s">
        <v>3240</v>
      </c>
      <c r="D910" s="35">
        <v>150000000</v>
      </c>
      <c r="E910" s="35">
        <v>180010950</v>
      </c>
      <c r="F910" s="35">
        <v>599516844</v>
      </c>
      <c r="G910" t="b">
        <f t="shared" si="44"/>
        <v>0</v>
      </c>
      <c r="H910" t="b">
        <f t="shared" si="45"/>
        <v>0</v>
      </c>
      <c r="I910" s="29">
        <f t="shared" si="46"/>
        <v>39759</v>
      </c>
    </row>
    <row r="911" spans="1:9" ht="25.5" hidden="1" x14ac:dyDescent="0.2">
      <c r="A911" s="28">
        <v>39759</v>
      </c>
      <c r="B911" s="26" t="s">
        <v>1457</v>
      </c>
      <c r="C911" s="26" t="s">
        <v>3218</v>
      </c>
      <c r="D911" s="35">
        <v>12500000</v>
      </c>
      <c r="E911" s="35">
        <v>9030581</v>
      </c>
      <c r="F911" s="35">
        <v>39830581</v>
      </c>
      <c r="G911" t="b">
        <f t="shared" si="44"/>
        <v>0</v>
      </c>
      <c r="H911" t="b">
        <f t="shared" si="45"/>
        <v>0</v>
      </c>
      <c r="I911" s="29">
        <f t="shared" si="46"/>
        <v>39759</v>
      </c>
    </row>
    <row r="912" spans="1:9" ht="12.75" hidden="1" customHeight="1" x14ac:dyDescent="0.2">
      <c r="A912" s="28">
        <v>39759</v>
      </c>
      <c r="B912" s="26" t="s">
        <v>1499</v>
      </c>
      <c r="C912" s="26" t="s">
        <v>9</v>
      </c>
      <c r="D912" s="35" t="s">
        <v>20</v>
      </c>
      <c r="E912" s="35">
        <v>575048</v>
      </c>
      <c r="F912" s="35" t="s">
        <v>20</v>
      </c>
      <c r="G912" t="b">
        <f t="shared" si="44"/>
        <v>0</v>
      </c>
      <c r="H912" t="b">
        <f t="shared" si="45"/>
        <v>0</v>
      </c>
      <c r="I912" s="29">
        <f t="shared" si="46"/>
        <v>39759</v>
      </c>
    </row>
    <row r="913" spans="1:9" ht="25.5" hidden="1" x14ac:dyDescent="0.2">
      <c r="A913" s="28">
        <v>39759</v>
      </c>
      <c r="B913" s="26" t="s">
        <v>1892</v>
      </c>
      <c r="C913" s="26" t="s">
        <v>2285</v>
      </c>
      <c r="D913" s="35" t="s">
        <v>20</v>
      </c>
      <c r="E913" s="35">
        <v>10942</v>
      </c>
      <c r="F913" s="35" t="s">
        <v>20</v>
      </c>
      <c r="G913" t="b">
        <f t="shared" si="44"/>
        <v>0</v>
      </c>
      <c r="H913" t="b">
        <f t="shared" si="45"/>
        <v>0</v>
      </c>
      <c r="I913" s="29">
        <f t="shared" si="46"/>
        <v>39759</v>
      </c>
    </row>
    <row r="914" spans="1:9" ht="12.75" hidden="1" customHeight="1" x14ac:dyDescent="0.2">
      <c r="A914" s="28">
        <v>39759</v>
      </c>
      <c r="B914" s="26" t="s">
        <v>614</v>
      </c>
      <c r="C914" s="26" t="s">
        <v>1996</v>
      </c>
      <c r="D914" s="35" t="s">
        <v>20</v>
      </c>
      <c r="E914" s="35" t="s">
        <v>20</v>
      </c>
      <c r="F914" s="35" t="s">
        <v>20</v>
      </c>
      <c r="G914" t="b">
        <f t="shared" si="44"/>
        <v>0</v>
      </c>
      <c r="H914" t="b">
        <f t="shared" si="45"/>
        <v>0</v>
      </c>
      <c r="I914" s="29">
        <f t="shared" si="46"/>
        <v>39759</v>
      </c>
    </row>
    <row r="915" spans="1:9" ht="12.75" hidden="1" customHeight="1" x14ac:dyDescent="0.2">
      <c r="A915" s="28">
        <v>39759</v>
      </c>
      <c r="B915" s="26" t="s">
        <v>1190</v>
      </c>
      <c r="C915" s="26" t="s">
        <v>9</v>
      </c>
      <c r="D915" s="35" t="s">
        <v>20</v>
      </c>
      <c r="E915" s="35">
        <v>6437</v>
      </c>
      <c r="F915" s="35" t="s">
        <v>20</v>
      </c>
      <c r="G915" t="b">
        <f t="shared" si="44"/>
        <v>0</v>
      </c>
      <c r="H915" t="b">
        <f t="shared" si="45"/>
        <v>0</v>
      </c>
      <c r="I915" s="29">
        <f t="shared" si="46"/>
        <v>39759</v>
      </c>
    </row>
    <row r="916" spans="1:9" ht="12.75" hidden="1" customHeight="1" x14ac:dyDescent="0.2">
      <c r="A916" s="28">
        <v>39759</v>
      </c>
      <c r="B916" s="26" t="s">
        <v>2508</v>
      </c>
      <c r="C916" s="26" t="s">
        <v>9</v>
      </c>
      <c r="D916" s="35" t="s">
        <v>20</v>
      </c>
      <c r="E916" s="35">
        <v>22094</v>
      </c>
      <c r="F916" s="35" t="s">
        <v>20</v>
      </c>
      <c r="G916" t="b">
        <f t="shared" si="44"/>
        <v>0</v>
      </c>
      <c r="H916" t="b">
        <f t="shared" si="45"/>
        <v>0</v>
      </c>
      <c r="I916" s="29">
        <f t="shared" si="46"/>
        <v>39759</v>
      </c>
    </row>
    <row r="917" spans="1:9" ht="25.5" hidden="1" x14ac:dyDescent="0.2">
      <c r="A917" s="28">
        <v>39759</v>
      </c>
      <c r="B917" s="26" t="s">
        <v>1898</v>
      </c>
      <c r="C917" s="26" t="s">
        <v>2911</v>
      </c>
      <c r="D917" s="35" t="s">
        <v>20</v>
      </c>
      <c r="E917" s="35">
        <v>78986</v>
      </c>
      <c r="F917" s="35" t="s">
        <v>20</v>
      </c>
      <c r="G917" t="b">
        <f t="shared" si="44"/>
        <v>0</v>
      </c>
      <c r="H917" t="b">
        <f t="shared" si="45"/>
        <v>0</v>
      </c>
      <c r="I917" s="29">
        <f t="shared" si="46"/>
        <v>39759</v>
      </c>
    </row>
    <row r="918" spans="1:9" hidden="1" x14ac:dyDescent="0.2">
      <c r="A918" s="28">
        <v>39759</v>
      </c>
      <c r="B918" s="26" t="s">
        <v>618</v>
      </c>
      <c r="C918" s="26" t="s">
        <v>2775</v>
      </c>
      <c r="D918" s="35" t="s">
        <v>20</v>
      </c>
      <c r="E918" s="35">
        <v>17808</v>
      </c>
      <c r="F918" s="35" t="s">
        <v>20</v>
      </c>
      <c r="G918" t="b">
        <f t="shared" si="44"/>
        <v>0</v>
      </c>
      <c r="H918" t="b">
        <f t="shared" si="45"/>
        <v>0</v>
      </c>
      <c r="I918" s="29">
        <f t="shared" si="46"/>
        <v>39759</v>
      </c>
    </row>
    <row r="919" spans="1:9" ht="12.75" hidden="1" customHeight="1" x14ac:dyDescent="0.2">
      <c r="A919" s="28">
        <v>39759</v>
      </c>
      <c r="B919" s="26" t="s">
        <v>1345</v>
      </c>
      <c r="C919" s="26" t="s">
        <v>3475</v>
      </c>
      <c r="D919" s="35" t="s">
        <v>20</v>
      </c>
      <c r="E919" s="35">
        <v>12081447</v>
      </c>
      <c r="F919" s="35" t="s">
        <v>20</v>
      </c>
      <c r="G919" t="b">
        <f t="shared" si="44"/>
        <v>0</v>
      </c>
      <c r="H919" t="b">
        <f t="shared" si="45"/>
        <v>0</v>
      </c>
      <c r="I919" s="29">
        <f t="shared" si="46"/>
        <v>39759</v>
      </c>
    </row>
    <row r="920" spans="1:9" ht="12.75" hidden="1" customHeight="1" x14ac:dyDescent="0.2">
      <c r="A920" s="28">
        <v>39759</v>
      </c>
      <c r="B920" s="26" t="s">
        <v>110</v>
      </c>
      <c r="C920" s="26" t="s">
        <v>3096</v>
      </c>
      <c r="D920" s="35" t="s">
        <v>20</v>
      </c>
      <c r="E920" s="35" t="s">
        <v>20</v>
      </c>
      <c r="F920" s="35">
        <v>282362</v>
      </c>
      <c r="G920" t="b">
        <f t="shared" si="44"/>
        <v>0</v>
      </c>
      <c r="H920" t="b">
        <f t="shared" si="45"/>
        <v>0</v>
      </c>
      <c r="I920" s="29">
        <f t="shared" si="46"/>
        <v>39759</v>
      </c>
    </row>
    <row r="921" spans="1:9" ht="63.75" hidden="1" x14ac:dyDescent="0.2">
      <c r="A921" s="28">
        <v>39763</v>
      </c>
      <c r="B921" s="26" t="s">
        <v>1743</v>
      </c>
      <c r="C921" s="26" t="s">
        <v>9</v>
      </c>
      <c r="D921" s="35" t="s">
        <v>20</v>
      </c>
      <c r="E921" s="35" t="s">
        <v>20</v>
      </c>
      <c r="F921" s="35" t="s">
        <v>20</v>
      </c>
      <c r="G921" t="b">
        <f t="shared" si="44"/>
        <v>0</v>
      </c>
      <c r="H921" t="b">
        <f t="shared" si="45"/>
        <v>0</v>
      </c>
      <c r="I921" s="29">
        <f t="shared" si="46"/>
        <v>39763</v>
      </c>
    </row>
    <row r="922" spans="1:9" ht="25.5" hidden="1" x14ac:dyDescent="0.2">
      <c r="A922" s="28">
        <v>39763</v>
      </c>
      <c r="B922" s="26" t="s">
        <v>1999</v>
      </c>
      <c r="C922" s="26" t="s">
        <v>9</v>
      </c>
      <c r="D922" s="35" t="s">
        <v>20</v>
      </c>
      <c r="E922" s="35" t="s">
        <v>20</v>
      </c>
      <c r="F922" s="35" t="s">
        <v>20</v>
      </c>
      <c r="G922" t="b">
        <f t="shared" si="44"/>
        <v>0</v>
      </c>
      <c r="H922" t="b">
        <f t="shared" si="45"/>
        <v>0</v>
      </c>
      <c r="I922" s="29">
        <f t="shared" si="46"/>
        <v>39763</v>
      </c>
    </row>
    <row r="923" spans="1:9" ht="25.5" hidden="1" x14ac:dyDescent="0.2">
      <c r="A923" s="28">
        <v>39763</v>
      </c>
      <c r="B923" s="26" t="s">
        <v>630</v>
      </c>
      <c r="C923" s="26" t="s">
        <v>3419</v>
      </c>
      <c r="D923" s="35" t="s">
        <v>20</v>
      </c>
      <c r="E923" s="35" t="s">
        <v>20</v>
      </c>
      <c r="F923" s="35" t="s">
        <v>20</v>
      </c>
      <c r="G923" t="b">
        <f t="shared" si="44"/>
        <v>0</v>
      </c>
      <c r="H923" t="b">
        <f t="shared" si="45"/>
        <v>0</v>
      </c>
      <c r="I923" s="29">
        <f t="shared" si="46"/>
        <v>39763</v>
      </c>
    </row>
    <row r="924" spans="1:9" ht="25.5" hidden="1" x14ac:dyDescent="0.2">
      <c r="A924" s="28">
        <v>39764</v>
      </c>
      <c r="B924" s="26" t="s">
        <v>1219</v>
      </c>
      <c r="C924" s="26" t="s">
        <v>155</v>
      </c>
      <c r="D924" s="35">
        <v>14000000</v>
      </c>
      <c r="E924" s="35">
        <v>141319928</v>
      </c>
      <c r="F924" s="35">
        <v>365257315</v>
      </c>
      <c r="G924" t="b">
        <f t="shared" ref="G924:G985" si="47">ISBLANK(A924)</f>
        <v>0</v>
      </c>
      <c r="H924" t="b">
        <f t="shared" ref="H924:H985" si="48">ISTEXT(A924)</f>
        <v>0</v>
      </c>
      <c r="I924" s="29">
        <f t="shared" si="46"/>
        <v>39764</v>
      </c>
    </row>
    <row r="925" spans="1:9" ht="25.5" hidden="1" x14ac:dyDescent="0.2">
      <c r="A925" s="28">
        <v>39766</v>
      </c>
      <c r="B925" s="26" t="s">
        <v>2898</v>
      </c>
      <c r="C925" s="26" t="s">
        <v>495</v>
      </c>
      <c r="D925" s="35">
        <v>230000000</v>
      </c>
      <c r="E925" s="35">
        <v>169368427</v>
      </c>
      <c r="F925" s="35">
        <v>576368427</v>
      </c>
      <c r="G925" t="b">
        <f t="shared" si="47"/>
        <v>0</v>
      </c>
      <c r="H925" t="b">
        <f t="shared" si="48"/>
        <v>0</v>
      </c>
      <c r="I925" s="29">
        <f t="shared" si="46"/>
        <v>39766</v>
      </c>
    </row>
    <row r="926" spans="1:9" hidden="1" x14ac:dyDescent="0.2">
      <c r="A926" s="28">
        <v>39766</v>
      </c>
      <c r="B926" s="26" t="s">
        <v>2113</v>
      </c>
      <c r="C926" s="26" t="s">
        <v>9</v>
      </c>
      <c r="D926" s="35" t="s">
        <v>20</v>
      </c>
      <c r="E926" s="35">
        <v>13594</v>
      </c>
      <c r="F926" s="35" t="s">
        <v>20</v>
      </c>
      <c r="G926" t="b">
        <f t="shared" si="47"/>
        <v>0</v>
      </c>
      <c r="H926" t="b">
        <f t="shared" si="48"/>
        <v>0</v>
      </c>
      <c r="I926" s="29">
        <f t="shared" si="46"/>
        <v>39766</v>
      </c>
    </row>
    <row r="927" spans="1:9" ht="38.25" hidden="1" x14ac:dyDescent="0.2">
      <c r="A927" s="28">
        <v>39766</v>
      </c>
      <c r="B927" s="26" t="s">
        <v>604</v>
      </c>
      <c r="C927" s="26" t="s">
        <v>2964</v>
      </c>
      <c r="D927" s="35" t="s">
        <v>20</v>
      </c>
      <c r="E927" s="35">
        <v>4509</v>
      </c>
      <c r="F927" s="35" t="s">
        <v>20</v>
      </c>
      <c r="G927" t="b">
        <f t="shared" si="47"/>
        <v>0</v>
      </c>
      <c r="H927" t="b">
        <f t="shared" si="48"/>
        <v>0</v>
      </c>
      <c r="I927" s="29">
        <f t="shared" si="46"/>
        <v>39766</v>
      </c>
    </row>
    <row r="928" spans="1:9" ht="12.75" hidden="1" customHeight="1" x14ac:dyDescent="0.2">
      <c r="A928" s="28">
        <v>39766</v>
      </c>
      <c r="B928" s="26" t="s">
        <v>3150</v>
      </c>
      <c r="C928" s="26" t="s">
        <v>9</v>
      </c>
      <c r="D928" s="35" t="s">
        <v>20</v>
      </c>
      <c r="E928" s="35">
        <v>3849</v>
      </c>
      <c r="F928" s="35" t="s">
        <v>20</v>
      </c>
      <c r="G928" t="b">
        <f t="shared" si="47"/>
        <v>0</v>
      </c>
      <c r="H928" t="b">
        <f t="shared" si="48"/>
        <v>0</v>
      </c>
      <c r="I928" s="29">
        <f t="shared" si="46"/>
        <v>39766</v>
      </c>
    </row>
    <row r="929" spans="1:9" ht="12.75" hidden="1" customHeight="1" x14ac:dyDescent="0.2">
      <c r="A929" s="28">
        <v>39766</v>
      </c>
      <c r="B929" s="26" t="s">
        <v>263</v>
      </c>
      <c r="C929" s="26" t="s">
        <v>1968</v>
      </c>
      <c r="D929" s="35" t="s">
        <v>20</v>
      </c>
      <c r="E929" s="35" t="s">
        <v>20</v>
      </c>
      <c r="F929" s="35" t="s">
        <v>20</v>
      </c>
      <c r="G929" t="b">
        <f t="shared" si="47"/>
        <v>0</v>
      </c>
      <c r="H929" t="b">
        <f t="shared" si="48"/>
        <v>0</v>
      </c>
      <c r="I929" s="29">
        <f t="shared" si="46"/>
        <v>39766</v>
      </c>
    </row>
    <row r="930" spans="1:9" hidden="1" x14ac:dyDescent="0.2">
      <c r="A930" s="28">
        <v>39766</v>
      </c>
      <c r="B930" s="26" t="s">
        <v>81</v>
      </c>
      <c r="C930" s="26" t="s">
        <v>9</v>
      </c>
      <c r="D930" s="35" t="s">
        <v>20</v>
      </c>
      <c r="E930" s="35">
        <v>34068</v>
      </c>
      <c r="F930" s="35" t="s">
        <v>20</v>
      </c>
      <c r="G930" t="b">
        <f t="shared" si="47"/>
        <v>0</v>
      </c>
      <c r="H930" t="b">
        <f t="shared" si="48"/>
        <v>0</v>
      </c>
      <c r="I930" s="29">
        <f t="shared" si="46"/>
        <v>39766</v>
      </c>
    </row>
    <row r="931" spans="1:9" ht="25.5" hidden="1" x14ac:dyDescent="0.2">
      <c r="A931" s="28">
        <v>39766</v>
      </c>
      <c r="B931" s="26" t="s">
        <v>1449</v>
      </c>
      <c r="C931" s="26" t="s">
        <v>9</v>
      </c>
      <c r="D931" s="35" t="s">
        <v>20</v>
      </c>
      <c r="E931" s="35" t="s">
        <v>20</v>
      </c>
      <c r="F931" s="35" t="s">
        <v>20</v>
      </c>
      <c r="G931" t="b">
        <f t="shared" si="47"/>
        <v>0</v>
      </c>
      <c r="H931" t="b">
        <f t="shared" si="48"/>
        <v>0</v>
      </c>
      <c r="I931" s="29">
        <f t="shared" si="46"/>
        <v>39766</v>
      </c>
    </row>
    <row r="932" spans="1:9" ht="12.75" hidden="1" customHeight="1" x14ac:dyDescent="0.2">
      <c r="A932" s="28">
        <v>39766</v>
      </c>
      <c r="B932" s="26" t="s">
        <v>3000</v>
      </c>
      <c r="C932" s="26" t="s">
        <v>9</v>
      </c>
      <c r="D932" s="35" t="s">
        <v>20</v>
      </c>
      <c r="E932" s="35">
        <v>174255</v>
      </c>
      <c r="F932" s="35" t="s">
        <v>20</v>
      </c>
      <c r="G932" t="b">
        <f t="shared" si="47"/>
        <v>0</v>
      </c>
      <c r="H932" t="b">
        <f t="shared" si="48"/>
        <v>0</v>
      </c>
      <c r="I932" s="29">
        <f t="shared" si="46"/>
        <v>39766</v>
      </c>
    </row>
    <row r="933" spans="1:9" ht="12.75" hidden="1" customHeight="1" x14ac:dyDescent="0.2">
      <c r="A933" s="28">
        <v>39766</v>
      </c>
      <c r="B933" s="26" t="s">
        <v>190</v>
      </c>
      <c r="C933" s="26" t="s">
        <v>2161</v>
      </c>
      <c r="D933" s="35" t="s">
        <v>20</v>
      </c>
      <c r="E933" s="35">
        <v>1235028</v>
      </c>
      <c r="F933" s="35">
        <v>14332659</v>
      </c>
      <c r="G933" t="b">
        <f t="shared" si="47"/>
        <v>0</v>
      </c>
      <c r="H933" t="b">
        <f t="shared" si="48"/>
        <v>0</v>
      </c>
      <c r="I933" s="29">
        <f t="shared" si="46"/>
        <v>39766</v>
      </c>
    </row>
    <row r="934" spans="1:9" ht="12.75" hidden="1" customHeight="1" x14ac:dyDescent="0.2">
      <c r="A934" s="28">
        <v>39766</v>
      </c>
      <c r="B934" s="26" t="s">
        <v>2315</v>
      </c>
      <c r="C934" s="26" t="s">
        <v>9</v>
      </c>
      <c r="D934" s="35" t="s">
        <v>20</v>
      </c>
      <c r="E934" s="35">
        <v>16967</v>
      </c>
      <c r="F934" s="35" t="s">
        <v>20</v>
      </c>
      <c r="G934" t="b">
        <f t="shared" si="47"/>
        <v>0</v>
      </c>
      <c r="H934" t="b">
        <f t="shared" si="48"/>
        <v>0</v>
      </c>
      <c r="I934" s="29">
        <f t="shared" si="46"/>
        <v>39766</v>
      </c>
    </row>
    <row r="935" spans="1:9" ht="12.75" hidden="1" customHeight="1" x14ac:dyDescent="0.2">
      <c r="A935" s="28">
        <v>39766</v>
      </c>
      <c r="B935" s="26" t="s">
        <v>2675</v>
      </c>
      <c r="C935" s="26" t="s">
        <v>9</v>
      </c>
      <c r="D935" s="35" t="s">
        <v>20</v>
      </c>
      <c r="E935" s="35">
        <v>26157</v>
      </c>
      <c r="F935" s="35" t="s">
        <v>20</v>
      </c>
      <c r="G935" t="b">
        <f t="shared" si="47"/>
        <v>0</v>
      </c>
      <c r="H935" t="b">
        <f t="shared" si="48"/>
        <v>0</v>
      </c>
      <c r="I935" s="29">
        <f t="shared" si="46"/>
        <v>39766</v>
      </c>
    </row>
    <row r="936" spans="1:9" ht="25.5" hidden="1" x14ac:dyDescent="0.2">
      <c r="A936" s="28">
        <v>39766</v>
      </c>
      <c r="B936" s="26" t="s">
        <v>695</v>
      </c>
      <c r="C936" s="26" t="s">
        <v>3096</v>
      </c>
      <c r="D936" s="35" t="s">
        <v>20</v>
      </c>
      <c r="E936" s="35" t="s">
        <v>20</v>
      </c>
      <c r="F936" s="35">
        <v>424716</v>
      </c>
      <c r="G936" t="b">
        <f t="shared" si="47"/>
        <v>0</v>
      </c>
      <c r="H936" t="b">
        <f t="shared" si="48"/>
        <v>0</v>
      </c>
      <c r="I936" s="29">
        <f t="shared" si="46"/>
        <v>39766</v>
      </c>
    </row>
    <row r="937" spans="1:9" ht="12.75" hidden="1" customHeight="1" x14ac:dyDescent="0.2">
      <c r="A937" s="28">
        <v>39766</v>
      </c>
      <c r="B937" s="26" t="s">
        <v>1730</v>
      </c>
      <c r="C937" s="26" t="s">
        <v>9</v>
      </c>
      <c r="D937" s="35" t="s">
        <v>20</v>
      </c>
      <c r="E937" s="35">
        <v>77588</v>
      </c>
      <c r="F937" s="35" t="s">
        <v>20</v>
      </c>
      <c r="G937" t="b">
        <f t="shared" si="47"/>
        <v>0</v>
      </c>
      <c r="H937" t="b">
        <f t="shared" si="48"/>
        <v>0</v>
      </c>
      <c r="I937" s="29">
        <f t="shared" si="46"/>
        <v>39766</v>
      </c>
    </row>
    <row r="938" spans="1:9" ht="12.75" hidden="1" customHeight="1" x14ac:dyDescent="0.2">
      <c r="A938" s="28">
        <v>39766</v>
      </c>
      <c r="B938" s="26" t="s">
        <v>854</v>
      </c>
      <c r="C938" s="26" t="s">
        <v>9</v>
      </c>
      <c r="D938" s="35" t="s">
        <v>20</v>
      </c>
      <c r="E938" s="35">
        <v>1060602</v>
      </c>
      <c r="F938" s="35">
        <v>6648319</v>
      </c>
      <c r="G938" t="b">
        <f t="shared" si="47"/>
        <v>0</v>
      </c>
      <c r="H938" t="b">
        <f t="shared" si="48"/>
        <v>0</v>
      </c>
      <c r="I938" s="29">
        <f t="shared" si="46"/>
        <v>39766</v>
      </c>
    </row>
    <row r="939" spans="1:9" ht="12.75" hidden="1" customHeight="1" x14ac:dyDescent="0.2">
      <c r="A939" s="28">
        <v>39770</v>
      </c>
      <c r="B939" s="26" t="s">
        <v>3258</v>
      </c>
      <c r="C939" s="26" t="s">
        <v>9</v>
      </c>
      <c r="D939" s="35" t="s">
        <v>20</v>
      </c>
      <c r="E939" s="35" t="s">
        <v>20</v>
      </c>
      <c r="F939" s="35" t="s">
        <v>20</v>
      </c>
      <c r="G939" t="b">
        <f t="shared" si="47"/>
        <v>0</v>
      </c>
      <c r="H939" t="b">
        <f t="shared" si="48"/>
        <v>0</v>
      </c>
      <c r="I939" s="29">
        <f t="shared" si="46"/>
        <v>39770</v>
      </c>
    </row>
    <row r="940" spans="1:9" ht="38.25" hidden="1" x14ac:dyDescent="0.2">
      <c r="A940" s="28">
        <v>39770</v>
      </c>
      <c r="B940" s="26" t="s">
        <v>534</v>
      </c>
      <c r="C940" s="26" t="s">
        <v>9</v>
      </c>
      <c r="D940" s="35" t="s">
        <v>20</v>
      </c>
      <c r="E940" s="35" t="s">
        <v>20</v>
      </c>
      <c r="F940" s="35" t="s">
        <v>20</v>
      </c>
      <c r="G940" t="b">
        <f t="shared" si="47"/>
        <v>0</v>
      </c>
      <c r="H940" t="b">
        <f t="shared" si="48"/>
        <v>0</v>
      </c>
      <c r="I940" s="29">
        <f t="shared" si="46"/>
        <v>39770</v>
      </c>
    </row>
    <row r="941" spans="1:9" ht="25.5" hidden="1" x14ac:dyDescent="0.2">
      <c r="A941" s="28">
        <v>39771</v>
      </c>
      <c r="B941" s="26" t="s">
        <v>2826</v>
      </c>
      <c r="C941" s="26" t="s">
        <v>472</v>
      </c>
      <c r="D941" s="35" t="s">
        <v>20</v>
      </c>
      <c r="E941" s="35">
        <v>268431</v>
      </c>
      <c r="F941" s="35" t="s">
        <v>20</v>
      </c>
      <c r="G941" t="b">
        <f t="shared" si="47"/>
        <v>0</v>
      </c>
      <c r="H941" t="b">
        <f t="shared" si="48"/>
        <v>0</v>
      </c>
      <c r="I941" s="29">
        <f t="shared" si="46"/>
        <v>39771</v>
      </c>
    </row>
    <row r="942" spans="1:9" ht="12.75" hidden="1" customHeight="1" x14ac:dyDescent="0.2">
      <c r="A942" s="28">
        <v>39773</v>
      </c>
      <c r="B942" s="26" t="s">
        <v>2342</v>
      </c>
      <c r="C942" s="26" t="s">
        <v>647</v>
      </c>
      <c r="D942" s="35" t="s">
        <v>20</v>
      </c>
      <c r="E942" s="35">
        <v>565440</v>
      </c>
      <c r="F942" s="35">
        <v>5359114</v>
      </c>
      <c r="G942" t="b">
        <f t="shared" si="47"/>
        <v>0</v>
      </c>
      <c r="H942" t="b">
        <f t="shared" si="48"/>
        <v>0</v>
      </c>
      <c r="I942" s="29">
        <f t="shared" si="46"/>
        <v>39773</v>
      </c>
    </row>
    <row r="943" spans="1:9" ht="25.5" hidden="1" x14ac:dyDescent="0.2">
      <c r="A943" s="28">
        <v>39773</v>
      </c>
      <c r="B943" s="26" t="s">
        <v>505</v>
      </c>
      <c r="C943" s="26" t="s">
        <v>2775</v>
      </c>
      <c r="D943" s="35" t="s">
        <v>20</v>
      </c>
      <c r="E943" s="35">
        <v>39576</v>
      </c>
      <c r="F943" s="35" t="s">
        <v>20</v>
      </c>
      <c r="G943" t="b">
        <f t="shared" si="47"/>
        <v>0</v>
      </c>
      <c r="H943" t="b">
        <f t="shared" si="48"/>
        <v>0</v>
      </c>
      <c r="I943" s="29">
        <f t="shared" si="46"/>
        <v>39773</v>
      </c>
    </row>
    <row r="944" spans="1:9" ht="12.75" hidden="1" customHeight="1" x14ac:dyDescent="0.2">
      <c r="A944" s="28">
        <v>39773</v>
      </c>
      <c r="B944" s="26" t="s">
        <v>993</v>
      </c>
      <c r="C944" s="26" t="s">
        <v>9</v>
      </c>
      <c r="D944" s="35" t="s">
        <v>20</v>
      </c>
      <c r="E944" s="35">
        <v>12686</v>
      </c>
      <c r="F944" s="35" t="s">
        <v>20</v>
      </c>
      <c r="G944" t="b">
        <f t="shared" si="47"/>
        <v>0</v>
      </c>
      <c r="H944" t="b">
        <f t="shared" si="48"/>
        <v>0</v>
      </c>
      <c r="I944" s="29">
        <f t="shared" si="46"/>
        <v>39773</v>
      </c>
    </row>
    <row r="945" spans="1:9" ht="12.75" hidden="1" customHeight="1" x14ac:dyDescent="0.2">
      <c r="A945" s="28">
        <v>39773</v>
      </c>
      <c r="B945" s="26" t="s">
        <v>1515</v>
      </c>
      <c r="C945" s="26" t="s">
        <v>3390</v>
      </c>
      <c r="D945" s="35">
        <v>150000000</v>
      </c>
      <c r="E945" s="35">
        <v>114053579</v>
      </c>
      <c r="F945" s="35">
        <v>313953579</v>
      </c>
      <c r="G945" t="b">
        <f t="shared" si="47"/>
        <v>0</v>
      </c>
      <c r="H945" t="b">
        <f t="shared" si="48"/>
        <v>0</v>
      </c>
      <c r="I945" s="29">
        <f t="shared" si="46"/>
        <v>39773</v>
      </c>
    </row>
    <row r="946" spans="1:9" ht="12.75" hidden="1" customHeight="1" x14ac:dyDescent="0.2">
      <c r="A946" s="28">
        <v>39773</v>
      </c>
      <c r="B946" s="26" t="s">
        <v>1400</v>
      </c>
      <c r="C946" s="26" t="s">
        <v>1066</v>
      </c>
      <c r="D946" s="35">
        <v>37000000</v>
      </c>
      <c r="E946" s="35">
        <v>192769854</v>
      </c>
      <c r="F946" s="35">
        <v>397923934</v>
      </c>
      <c r="G946" t="b">
        <f t="shared" si="47"/>
        <v>0</v>
      </c>
      <c r="H946" t="b">
        <f t="shared" si="48"/>
        <v>0</v>
      </c>
      <c r="I946" s="29">
        <f t="shared" si="46"/>
        <v>39773</v>
      </c>
    </row>
    <row r="947" spans="1:9" ht="25.5" hidden="1" x14ac:dyDescent="0.2">
      <c r="A947" s="28">
        <v>39773</v>
      </c>
      <c r="B947" s="26" t="s">
        <v>2430</v>
      </c>
      <c r="C947" s="26" t="s">
        <v>221</v>
      </c>
      <c r="D947" s="35" t="s">
        <v>20</v>
      </c>
      <c r="E947" s="35">
        <v>115925</v>
      </c>
      <c r="F947" s="35" t="s">
        <v>20</v>
      </c>
      <c r="G947" t="b">
        <f t="shared" si="47"/>
        <v>0</v>
      </c>
      <c r="H947" t="b">
        <f t="shared" si="48"/>
        <v>0</v>
      </c>
      <c r="I947" s="29">
        <f t="shared" si="46"/>
        <v>39773</v>
      </c>
    </row>
    <row r="948" spans="1:9" ht="12.75" hidden="1" customHeight="1" x14ac:dyDescent="0.2">
      <c r="A948" s="28">
        <v>39773</v>
      </c>
      <c r="B948" s="26" t="s">
        <v>272</v>
      </c>
      <c r="C948" s="26" t="s">
        <v>9</v>
      </c>
      <c r="D948" s="35" t="s">
        <v>20</v>
      </c>
      <c r="E948" s="35">
        <v>7202</v>
      </c>
      <c r="F948" s="35" t="s">
        <v>20</v>
      </c>
      <c r="G948" t="b">
        <f t="shared" si="47"/>
        <v>0</v>
      </c>
      <c r="H948" t="b">
        <f t="shared" si="48"/>
        <v>0</v>
      </c>
      <c r="I948" s="29">
        <f t="shared" si="46"/>
        <v>39773</v>
      </c>
    </row>
    <row r="949" spans="1:9" ht="12.75" hidden="1" customHeight="1" x14ac:dyDescent="0.2">
      <c r="A949" s="28">
        <v>39773</v>
      </c>
      <c r="B949" s="26" t="s">
        <v>865</v>
      </c>
      <c r="C949" s="26" t="s">
        <v>9</v>
      </c>
      <c r="D949" s="35" t="s">
        <v>20</v>
      </c>
      <c r="E949" s="35">
        <v>5976</v>
      </c>
      <c r="F949" s="35" t="s">
        <v>20</v>
      </c>
      <c r="G949" t="b">
        <f t="shared" si="47"/>
        <v>0</v>
      </c>
      <c r="H949" t="b">
        <f t="shared" si="48"/>
        <v>0</v>
      </c>
      <c r="I949" s="29">
        <f t="shared" si="46"/>
        <v>39773</v>
      </c>
    </row>
    <row r="950" spans="1:9" ht="12.75" hidden="1" customHeight="1" x14ac:dyDescent="0.2">
      <c r="A950" s="28">
        <v>39773</v>
      </c>
      <c r="B950" s="26" t="s">
        <v>2029</v>
      </c>
      <c r="C950" s="26" t="s">
        <v>9</v>
      </c>
      <c r="D950" s="35" t="s">
        <v>20</v>
      </c>
      <c r="E950" s="35" t="s">
        <v>20</v>
      </c>
      <c r="F950" s="35" t="s">
        <v>20</v>
      </c>
      <c r="G950" t="b">
        <f t="shared" si="47"/>
        <v>0</v>
      </c>
      <c r="H950" t="b">
        <f t="shared" si="48"/>
        <v>0</v>
      </c>
      <c r="I950" s="29">
        <f t="shared" si="46"/>
        <v>39773</v>
      </c>
    </row>
    <row r="951" spans="1:9" ht="12.75" hidden="1" customHeight="1" x14ac:dyDescent="0.2">
      <c r="A951" s="28">
        <v>39773</v>
      </c>
      <c r="B951" s="26" t="s">
        <v>3448</v>
      </c>
      <c r="C951" s="26" t="s">
        <v>9</v>
      </c>
      <c r="D951" s="35" t="s">
        <v>20</v>
      </c>
      <c r="E951" s="35">
        <v>40170</v>
      </c>
      <c r="F951" s="35" t="s">
        <v>20</v>
      </c>
      <c r="G951" t="b">
        <f t="shared" si="47"/>
        <v>0</v>
      </c>
      <c r="H951" t="b">
        <f t="shared" si="48"/>
        <v>0</v>
      </c>
      <c r="I951" s="29">
        <f t="shared" si="46"/>
        <v>39773</v>
      </c>
    </row>
    <row r="952" spans="1:9" ht="12.75" hidden="1" customHeight="1" x14ac:dyDescent="0.2">
      <c r="A952" s="28">
        <v>39777</v>
      </c>
      <c r="B952" s="26" t="s">
        <v>3213</v>
      </c>
      <c r="C952" s="26" t="s">
        <v>9</v>
      </c>
      <c r="D952" s="35" t="s">
        <v>20</v>
      </c>
      <c r="E952" s="35" t="s">
        <v>20</v>
      </c>
      <c r="F952" s="35" t="s">
        <v>20</v>
      </c>
      <c r="G952" t="b">
        <f t="shared" si="47"/>
        <v>0</v>
      </c>
      <c r="H952" t="b">
        <f t="shared" si="48"/>
        <v>0</v>
      </c>
      <c r="I952" s="29">
        <f t="shared" si="46"/>
        <v>39777</v>
      </c>
    </row>
    <row r="953" spans="1:9" ht="12.75" hidden="1" customHeight="1" x14ac:dyDescent="0.2">
      <c r="A953" s="28">
        <v>39777</v>
      </c>
      <c r="B953" s="26" t="s">
        <v>3439</v>
      </c>
      <c r="C953" s="26" t="s">
        <v>9</v>
      </c>
      <c r="D953" s="35" t="s">
        <v>20</v>
      </c>
      <c r="E953" s="35" t="s">
        <v>20</v>
      </c>
      <c r="F953" s="35" t="s">
        <v>20</v>
      </c>
      <c r="G953" t="b">
        <f t="shared" si="47"/>
        <v>0</v>
      </c>
      <c r="H953" t="b">
        <f t="shared" si="48"/>
        <v>0</v>
      </c>
      <c r="I953" s="29">
        <f t="shared" si="46"/>
        <v>39777</v>
      </c>
    </row>
    <row r="954" spans="1:9" ht="25.5" hidden="1" x14ac:dyDescent="0.2">
      <c r="A954" s="28">
        <v>39777</v>
      </c>
      <c r="B954" s="26" t="s">
        <v>3458</v>
      </c>
      <c r="C954" s="26" t="s">
        <v>951</v>
      </c>
      <c r="D954" s="35" t="s">
        <v>20</v>
      </c>
      <c r="E954" s="35" t="s">
        <v>20</v>
      </c>
      <c r="F954" s="35" t="s">
        <v>20</v>
      </c>
      <c r="G954" t="b">
        <f t="shared" si="47"/>
        <v>0</v>
      </c>
      <c r="H954" t="b">
        <f t="shared" si="48"/>
        <v>0</v>
      </c>
      <c r="I954" s="29">
        <f t="shared" si="46"/>
        <v>39777</v>
      </c>
    </row>
    <row r="955" spans="1:9" ht="25.5" hidden="1" x14ac:dyDescent="0.2">
      <c r="A955" s="28">
        <v>39777</v>
      </c>
      <c r="B955" s="26" t="s">
        <v>1018</v>
      </c>
      <c r="C955" s="26" t="s">
        <v>9</v>
      </c>
      <c r="D955" s="35" t="s">
        <v>20</v>
      </c>
      <c r="E955" s="35" t="s">
        <v>20</v>
      </c>
      <c r="F955" s="35" t="s">
        <v>20</v>
      </c>
      <c r="G955" t="b">
        <f t="shared" si="47"/>
        <v>0</v>
      </c>
      <c r="H955" t="b">
        <f t="shared" si="48"/>
        <v>0</v>
      </c>
      <c r="I955" s="29">
        <f t="shared" si="46"/>
        <v>39777</v>
      </c>
    </row>
    <row r="956" spans="1:9" ht="25.5" hidden="1" x14ac:dyDescent="0.2">
      <c r="A956" s="28">
        <v>39777</v>
      </c>
      <c r="B956" s="26" t="s">
        <v>2122</v>
      </c>
      <c r="C956" s="26" t="s">
        <v>9</v>
      </c>
      <c r="D956" s="35" t="s">
        <v>20</v>
      </c>
      <c r="E956" s="35" t="s">
        <v>20</v>
      </c>
      <c r="F956" s="35" t="s">
        <v>20</v>
      </c>
      <c r="G956" t="b">
        <f t="shared" si="47"/>
        <v>0</v>
      </c>
      <c r="H956" t="b">
        <f t="shared" si="48"/>
        <v>0</v>
      </c>
      <c r="I956" s="29">
        <f t="shared" si="46"/>
        <v>39777</v>
      </c>
    </row>
    <row r="957" spans="1:9" ht="12.75" hidden="1" customHeight="1" x14ac:dyDescent="0.2">
      <c r="A957" s="28">
        <v>39777</v>
      </c>
      <c r="B957" s="26" t="s">
        <v>2557</v>
      </c>
      <c r="C957" s="26" t="s">
        <v>9</v>
      </c>
      <c r="D957" s="35" t="s">
        <v>20</v>
      </c>
      <c r="E957" s="35" t="s">
        <v>20</v>
      </c>
      <c r="F957" s="35" t="s">
        <v>20</v>
      </c>
      <c r="G957" t="b">
        <f t="shared" si="47"/>
        <v>0</v>
      </c>
      <c r="H957" t="b">
        <f t="shared" si="48"/>
        <v>0</v>
      </c>
      <c r="I957" s="29">
        <f t="shared" si="46"/>
        <v>39777</v>
      </c>
    </row>
    <row r="958" spans="1:9" ht="12.75" hidden="1" customHeight="1" x14ac:dyDescent="0.2">
      <c r="A958" s="28">
        <v>39778</v>
      </c>
      <c r="B958" s="26" t="s">
        <v>278</v>
      </c>
      <c r="C958" s="26" t="s">
        <v>3419</v>
      </c>
      <c r="D958" s="35" t="s">
        <v>20</v>
      </c>
      <c r="E958" s="35">
        <v>31715062</v>
      </c>
      <c r="F958" s="35">
        <v>107235592</v>
      </c>
      <c r="G958" t="b">
        <f t="shared" si="47"/>
        <v>0</v>
      </c>
      <c r="H958" t="b">
        <f t="shared" si="48"/>
        <v>0</v>
      </c>
      <c r="I958" s="29">
        <f t="shared" si="46"/>
        <v>39778</v>
      </c>
    </row>
    <row r="959" spans="1:9" ht="12.75" hidden="1" customHeight="1" x14ac:dyDescent="0.2">
      <c r="A959" s="28">
        <v>39778</v>
      </c>
      <c r="B959" s="26" t="s">
        <v>52</v>
      </c>
      <c r="C959" s="26" t="s">
        <v>698</v>
      </c>
      <c r="D959" s="35">
        <v>20000000</v>
      </c>
      <c r="E959" s="35">
        <v>31841299</v>
      </c>
      <c r="F959" s="35">
        <v>50164027</v>
      </c>
      <c r="G959" t="b">
        <f t="shared" si="47"/>
        <v>0</v>
      </c>
      <c r="H959" t="b">
        <f t="shared" si="48"/>
        <v>0</v>
      </c>
      <c r="I959" s="29">
        <f t="shared" si="46"/>
        <v>39778</v>
      </c>
    </row>
    <row r="960" spans="1:9" ht="12.75" hidden="1" customHeight="1" x14ac:dyDescent="0.2">
      <c r="A960" s="28">
        <v>39778</v>
      </c>
      <c r="B960" s="26" t="s">
        <v>1335</v>
      </c>
      <c r="C960" s="26" t="s">
        <v>9</v>
      </c>
      <c r="D960" s="35">
        <v>78000000</v>
      </c>
      <c r="E960" s="35">
        <v>49551662</v>
      </c>
      <c r="F960" s="35">
        <v>207482792</v>
      </c>
      <c r="G960" t="b">
        <f t="shared" si="47"/>
        <v>0</v>
      </c>
      <c r="H960" t="b">
        <f t="shared" si="48"/>
        <v>0</v>
      </c>
      <c r="I960" s="29">
        <f t="shared" si="46"/>
        <v>39778</v>
      </c>
    </row>
    <row r="961" spans="1:9" ht="12.75" hidden="1" customHeight="1" x14ac:dyDescent="0.2">
      <c r="A961" s="28">
        <v>39778</v>
      </c>
      <c r="B961" s="26" t="s">
        <v>3232</v>
      </c>
      <c r="C961" s="26" t="s">
        <v>2313</v>
      </c>
      <c r="D961" s="35" t="s">
        <v>20</v>
      </c>
      <c r="E961" s="35">
        <v>122094</v>
      </c>
      <c r="F961" s="35" t="s">
        <v>20</v>
      </c>
      <c r="G961" t="b">
        <f t="shared" si="47"/>
        <v>0</v>
      </c>
      <c r="H961" t="b">
        <f t="shared" si="48"/>
        <v>0</v>
      </c>
      <c r="I961" s="29">
        <f t="shared" si="46"/>
        <v>39778</v>
      </c>
    </row>
    <row r="962" spans="1:9" ht="12.75" hidden="1" customHeight="1" x14ac:dyDescent="0.2">
      <c r="A962" s="28">
        <v>39778</v>
      </c>
      <c r="B962" s="26" t="s">
        <v>2467</v>
      </c>
      <c r="C962" s="26" t="s">
        <v>2460</v>
      </c>
      <c r="D962" s="35">
        <v>80000000</v>
      </c>
      <c r="E962" s="35">
        <v>120146040</v>
      </c>
      <c r="F962" s="35">
        <v>163546040</v>
      </c>
      <c r="G962" t="b">
        <f t="shared" si="47"/>
        <v>0</v>
      </c>
      <c r="H962" t="b">
        <f t="shared" si="48"/>
        <v>0</v>
      </c>
      <c r="I962" s="29">
        <f t="shared" si="46"/>
        <v>39778</v>
      </c>
    </row>
    <row r="963" spans="1:9" ht="12.75" hidden="1" customHeight="1" x14ac:dyDescent="0.2">
      <c r="A963" s="28">
        <v>39780</v>
      </c>
      <c r="B963" s="26" t="s">
        <v>1552</v>
      </c>
      <c r="C963" s="26" t="s">
        <v>1619</v>
      </c>
      <c r="D963" s="35" t="s">
        <v>20</v>
      </c>
      <c r="E963" s="35">
        <v>2626308</v>
      </c>
      <c r="F963" s="35" t="s">
        <v>20</v>
      </c>
      <c r="G963" t="b">
        <f t="shared" si="47"/>
        <v>0</v>
      </c>
      <c r="H963" t="b">
        <f t="shared" si="48"/>
        <v>0</v>
      </c>
      <c r="I963" s="29">
        <f t="shared" ref="I963:I1026" si="49">DATE(2008,MONTH(A963), DAY(A963))</f>
        <v>39780</v>
      </c>
    </row>
    <row r="964" spans="1:9" ht="12.75" hidden="1" customHeight="1" x14ac:dyDescent="0.2">
      <c r="A964" s="28">
        <v>39780</v>
      </c>
      <c r="B964" s="26" t="s">
        <v>949</v>
      </c>
      <c r="C964" s="26" t="s">
        <v>472</v>
      </c>
      <c r="D964" s="35" t="s">
        <v>20</v>
      </c>
      <c r="E964" s="35">
        <v>470</v>
      </c>
      <c r="F964" s="35" t="s">
        <v>20</v>
      </c>
      <c r="G964" t="b">
        <f t="shared" si="47"/>
        <v>0</v>
      </c>
      <c r="H964" t="b">
        <f t="shared" si="48"/>
        <v>0</v>
      </c>
      <c r="I964" s="29">
        <f t="shared" si="49"/>
        <v>39780</v>
      </c>
    </row>
    <row r="965" spans="1:9" ht="25.5" hidden="1" x14ac:dyDescent="0.2">
      <c r="A965" s="28">
        <v>39780</v>
      </c>
      <c r="B965" s="26" t="s">
        <v>3095</v>
      </c>
      <c r="C965" s="26" t="s">
        <v>9</v>
      </c>
      <c r="D965" s="35" t="s">
        <v>20</v>
      </c>
      <c r="E965" s="35">
        <v>80037</v>
      </c>
      <c r="F965" s="35">
        <v>1612746</v>
      </c>
      <c r="G965" t="b">
        <f t="shared" si="47"/>
        <v>0</v>
      </c>
      <c r="H965" t="b">
        <f t="shared" si="48"/>
        <v>0</v>
      </c>
      <c r="I965" s="29">
        <f t="shared" si="49"/>
        <v>39780</v>
      </c>
    </row>
    <row r="966" spans="1:9" ht="12.75" hidden="1" customHeight="1" x14ac:dyDescent="0.2">
      <c r="A966" s="28">
        <v>39782</v>
      </c>
      <c r="B966" s="26" t="s">
        <v>1787</v>
      </c>
      <c r="C966" s="26" t="s">
        <v>9</v>
      </c>
      <c r="D966" s="35" t="s">
        <v>20</v>
      </c>
      <c r="E966" s="35" t="s">
        <v>20</v>
      </c>
      <c r="F966" s="35">
        <v>9563281</v>
      </c>
      <c r="G966" t="b">
        <f t="shared" si="47"/>
        <v>0</v>
      </c>
      <c r="H966" t="b">
        <f t="shared" si="48"/>
        <v>0</v>
      </c>
      <c r="I966" s="29">
        <f t="shared" si="49"/>
        <v>39782</v>
      </c>
    </row>
    <row r="967" spans="1:9" ht="25.5" hidden="1" x14ac:dyDescent="0.2">
      <c r="A967" s="28">
        <v>39784</v>
      </c>
      <c r="B967" s="26" t="s">
        <v>3113</v>
      </c>
      <c r="C967" s="26" t="s">
        <v>3419</v>
      </c>
      <c r="D967" s="35" t="s">
        <v>20</v>
      </c>
      <c r="E967" s="35" t="s">
        <v>20</v>
      </c>
      <c r="F967" s="35" t="s">
        <v>20</v>
      </c>
      <c r="G967" t="b">
        <f t="shared" si="47"/>
        <v>0</v>
      </c>
      <c r="H967" t="b">
        <f t="shared" si="48"/>
        <v>0</v>
      </c>
      <c r="I967" s="29">
        <f t="shared" si="49"/>
        <v>39784</v>
      </c>
    </row>
    <row r="968" spans="1:9" ht="12.75" hidden="1" customHeight="1" x14ac:dyDescent="0.2">
      <c r="A968" s="28">
        <v>39787</v>
      </c>
      <c r="B968" s="26" t="s">
        <v>462</v>
      </c>
      <c r="C968" s="26" t="s">
        <v>9</v>
      </c>
      <c r="D968" s="35" t="s">
        <v>20</v>
      </c>
      <c r="E968" s="35">
        <v>539572</v>
      </c>
      <c r="F968" s="35" t="s">
        <v>20</v>
      </c>
      <c r="G968" t="b">
        <f t="shared" si="47"/>
        <v>0</v>
      </c>
      <c r="H968" t="b">
        <f t="shared" si="48"/>
        <v>0</v>
      </c>
      <c r="I968" s="29">
        <f t="shared" si="49"/>
        <v>39787</v>
      </c>
    </row>
    <row r="969" spans="1:9" ht="12.75" hidden="1" customHeight="1" x14ac:dyDescent="0.2">
      <c r="A969" s="28">
        <v>39787</v>
      </c>
      <c r="B969" s="26" t="s">
        <v>159</v>
      </c>
      <c r="C969" s="26" t="s">
        <v>9</v>
      </c>
      <c r="D969" s="35" t="s">
        <v>20</v>
      </c>
      <c r="E969" s="35">
        <v>154084</v>
      </c>
      <c r="F969" s="35" t="s">
        <v>20</v>
      </c>
      <c r="G969" t="b">
        <f t="shared" si="47"/>
        <v>0</v>
      </c>
      <c r="H969" t="b">
        <f t="shared" si="48"/>
        <v>0</v>
      </c>
      <c r="I969" s="29">
        <f t="shared" si="49"/>
        <v>39787</v>
      </c>
    </row>
    <row r="970" spans="1:9" hidden="1" x14ac:dyDescent="0.2">
      <c r="A970" s="28">
        <v>39787</v>
      </c>
      <c r="B970" s="26" t="s">
        <v>2731</v>
      </c>
      <c r="C970" s="26" t="s">
        <v>1095</v>
      </c>
      <c r="D970" s="35" t="s">
        <v>20</v>
      </c>
      <c r="E970" s="35">
        <v>27834</v>
      </c>
      <c r="F970" s="35" t="s">
        <v>20</v>
      </c>
      <c r="G970" t="b">
        <f t="shared" si="47"/>
        <v>0</v>
      </c>
      <c r="H970" t="b">
        <f t="shared" si="48"/>
        <v>0</v>
      </c>
      <c r="I970" s="29">
        <f t="shared" si="49"/>
        <v>39787</v>
      </c>
    </row>
    <row r="971" spans="1:9" ht="12.75" hidden="1" customHeight="1" x14ac:dyDescent="0.2">
      <c r="A971" s="28">
        <v>39787</v>
      </c>
      <c r="B971" s="26" t="s">
        <v>1171</v>
      </c>
      <c r="C971" s="26" t="s">
        <v>2730</v>
      </c>
      <c r="D971" s="35" t="s">
        <v>20</v>
      </c>
      <c r="E971" s="35">
        <v>2072</v>
      </c>
      <c r="F971" s="35" t="s">
        <v>20</v>
      </c>
      <c r="G971" t="b">
        <f t="shared" si="47"/>
        <v>0</v>
      </c>
      <c r="H971" t="b">
        <f t="shared" si="48"/>
        <v>0</v>
      </c>
      <c r="I971" s="29">
        <f t="shared" si="49"/>
        <v>39787</v>
      </c>
    </row>
    <row r="972" spans="1:9" ht="25.5" hidden="1" x14ac:dyDescent="0.2">
      <c r="A972" s="28">
        <v>39787</v>
      </c>
      <c r="B972" s="26" t="s">
        <v>1036</v>
      </c>
      <c r="C972" s="26" t="s">
        <v>746</v>
      </c>
      <c r="D972" s="35" t="s">
        <v>20</v>
      </c>
      <c r="E972" s="35">
        <v>8629</v>
      </c>
      <c r="F972" s="35" t="s">
        <v>20</v>
      </c>
      <c r="G972" t="b">
        <f t="shared" si="47"/>
        <v>0</v>
      </c>
      <c r="H972" t="b">
        <f t="shared" si="48"/>
        <v>0</v>
      </c>
      <c r="I972" s="29">
        <f t="shared" si="49"/>
        <v>39787</v>
      </c>
    </row>
    <row r="973" spans="1:9" ht="25.5" hidden="1" x14ac:dyDescent="0.2">
      <c r="A973" s="28">
        <v>39787</v>
      </c>
      <c r="B973" s="26" t="s">
        <v>1128</v>
      </c>
      <c r="C973" s="26" t="s">
        <v>9</v>
      </c>
      <c r="D973" s="35" t="s">
        <v>20</v>
      </c>
      <c r="E973" s="35" t="s">
        <v>20</v>
      </c>
      <c r="F973" s="35" t="s">
        <v>20</v>
      </c>
      <c r="G973" t="b">
        <f t="shared" si="47"/>
        <v>0</v>
      </c>
      <c r="H973" t="b">
        <f t="shared" si="48"/>
        <v>0</v>
      </c>
      <c r="I973" s="29">
        <f t="shared" si="49"/>
        <v>39787</v>
      </c>
    </row>
    <row r="974" spans="1:9" ht="12.75" hidden="1" customHeight="1" x14ac:dyDescent="0.2">
      <c r="A974" s="28">
        <v>39787</v>
      </c>
      <c r="B974" s="26" t="s">
        <v>1063</v>
      </c>
      <c r="C974" s="26" t="s">
        <v>2530</v>
      </c>
      <c r="D974" s="35" t="s">
        <v>20</v>
      </c>
      <c r="E974" s="35">
        <v>8387</v>
      </c>
      <c r="F974" s="35" t="s">
        <v>20</v>
      </c>
      <c r="G974" t="b">
        <f t="shared" si="47"/>
        <v>0</v>
      </c>
      <c r="H974" t="b">
        <f t="shared" si="48"/>
        <v>0</v>
      </c>
      <c r="I974" s="29">
        <f t="shared" si="49"/>
        <v>39787</v>
      </c>
    </row>
    <row r="975" spans="1:9" ht="25.5" hidden="1" x14ac:dyDescent="0.2">
      <c r="A975" s="28">
        <v>39787</v>
      </c>
      <c r="B975" s="26" t="s">
        <v>1975</v>
      </c>
      <c r="C975" s="26" t="s">
        <v>3419</v>
      </c>
      <c r="D975" s="35">
        <v>35000000</v>
      </c>
      <c r="E975" s="35">
        <v>8050977</v>
      </c>
      <c r="F975" s="35">
        <v>8199130</v>
      </c>
      <c r="G975" t="b">
        <f t="shared" si="47"/>
        <v>0</v>
      </c>
      <c r="H975" t="b">
        <f t="shared" si="48"/>
        <v>0</v>
      </c>
      <c r="I975" s="29">
        <f t="shared" si="49"/>
        <v>39787</v>
      </c>
    </row>
    <row r="976" spans="1:9" ht="12.75" hidden="1" customHeight="1" x14ac:dyDescent="0.2">
      <c r="A976" s="28">
        <v>39787</v>
      </c>
      <c r="B976" s="26" t="s">
        <v>3380</v>
      </c>
      <c r="C976" s="26" t="s">
        <v>3096</v>
      </c>
      <c r="D976" s="35">
        <v>29000000</v>
      </c>
      <c r="E976" s="35">
        <v>18622031</v>
      </c>
      <c r="F976" s="35">
        <v>28144586</v>
      </c>
      <c r="G976" t="b">
        <f t="shared" si="47"/>
        <v>0</v>
      </c>
      <c r="H976" t="b">
        <f t="shared" si="48"/>
        <v>0</v>
      </c>
      <c r="I976" s="29">
        <f t="shared" si="49"/>
        <v>39787</v>
      </c>
    </row>
    <row r="977" spans="1:9" ht="12.75" hidden="1" customHeight="1" x14ac:dyDescent="0.2">
      <c r="A977" s="28">
        <v>39787</v>
      </c>
      <c r="B977" s="26" t="s">
        <v>2477</v>
      </c>
      <c r="C977" s="26" t="s">
        <v>2160</v>
      </c>
      <c r="D977" s="35">
        <v>12000000</v>
      </c>
      <c r="E977" s="35">
        <v>8138000</v>
      </c>
      <c r="F977" s="35" t="s">
        <v>20</v>
      </c>
      <c r="G977" t="b">
        <f t="shared" si="47"/>
        <v>0</v>
      </c>
      <c r="H977" t="b">
        <f t="shared" si="48"/>
        <v>0</v>
      </c>
      <c r="I977" s="29">
        <f t="shared" si="49"/>
        <v>39787</v>
      </c>
    </row>
    <row r="978" spans="1:9" ht="12.75" hidden="1" customHeight="1" x14ac:dyDescent="0.2">
      <c r="A978" s="28">
        <v>39787</v>
      </c>
      <c r="B978" s="26" t="s">
        <v>1639</v>
      </c>
      <c r="C978" s="26" t="s">
        <v>2775</v>
      </c>
      <c r="D978" s="35" t="s">
        <v>20</v>
      </c>
      <c r="E978" s="35">
        <v>49494</v>
      </c>
      <c r="F978" s="35" t="s">
        <v>20</v>
      </c>
      <c r="G978" t="b">
        <f t="shared" si="47"/>
        <v>0</v>
      </c>
      <c r="H978" t="b">
        <f t="shared" si="48"/>
        <v>0</v>
      </c>
      <c r="I978" s="29">
        <f t="shared" si="49"/>
        <v>39787</v>
      </c>
    </row>
    <row r="979" spans="1:9" ht="12.75" hidden="1" customHeight="1" x14ac:dyDescent="0.2">
      <c r="A979" s="28">
        <v>39787</v>
      </c>
      <c r="B979" s="26" t="s">
        <v>1825</v>
      </c>
      <c r="C979" s="26" t="s">
        <v>3475</v>
      </c>
      <c r="D979" s="35" t="s">
        <v>20</v>
      </c>
      <c r="E979" s="35" t="s">
        <v>20</v>
      </c>
      <c r="F979" s="35" t="s">
        <v>20</v>
      </c>
      <c r="G979" t="b">
        <f t="shared" si="47"/>
        <v>0</v>
      </c>
      <c r="H979" t="b">
        <f t="shared" si="48"/>
        <v>0</v>
      </c>
      <c r="I979" s="29">
        <f t="shared" si="49"/>
        <v>39787</v>
      </c>
    </row>
    <row r="980" spans="1:9" ht="12.75" hidden="1" customHeight="1" x14ac:dyDescent="0.2">
      <c r="A980" s="28">
        <v>39787</v>
      </c>
      <c r="B980" s="26" t="s">
        <v>1057</v>
      </c>
      <c r="C980" s="26" t="s">
        <v>9</v>
      </c>
      <c r="D980" s="35" t="s">
        <v>20</v>
      </c>
      <c r="E980" s="35">
        <v>10342</v>
      </c>
      <c r="F980" s="35" t="s">
        <v>20</v>
      </c>
      <c r="G980" t="b">
        <f t="shared" si="47"/>
        <v>0</v>
      </c>
      <c r="H980" t="b">
        <f t="shared" si="48"/>
        <v>0</v>
      </c>
      <c r="I980" s="29">
        <f t="shared" si="49"/>
        <v>39787</v>
      </c>
    </row>
    <row r="981" spans="1:9" ht="12.75" hidden="1" customHeight="1" x14ac:dyDescent="0.2">
      <c r="A981" s="28">
        <v>39791</v>
      </c>
      <c r="B981" s="26" t="s">
        <v>2832</v>
      </c>
      <c r="C981" s="26" t="s">
        <v>3031</v>
      </c>
      <c r="D981" s="35" t="s">
        <v>20</v>
      </c>
      <c r="E981" s="35" t="s">
        <v>20</v>
      </c>
      <c r="F981" s="35" t="s">
        <v>20</v>
      </c>
      <c r="G981" t="b">
        <f t="shared" si="47"/>
        <v>0</v>
      </c>
      <c r="H981" t="b">
        <f t="shared" si="48"/>
        <v>0</v>
      </c>
      <c r="I981" s="29">
        <f t="shared" si="49"/>
        <v>39791</v>
      </c>
    </row>
    <row r="982" spans="1:9" ht="25.5" hidden="1" x14ac:dyDescent="0.2">
      <c r="A982" s="28">
        <v>39791</v>
      </c>
      <c r="B982" s="26" t="s">
        <v>785</v>
      </c>
      <c r="C982" s="26" t="s">
        <v>3419</v>
      </c>
      <c r="D982" s="35" t="s">
        <v>20</v>
      </c>
      <c r="E982" s="35" t="s">
        <v>20</v>
      </c>
      <c r="F982" s="35" t="s">
        <v>20</v>
      </c>
      <c r="G982" t="b">
        <f t="shared" si="47"/>
        <v>0</v>
      </c>
      <c r="H982" t="b">
        <f t="shared" si="48"/>
        <v>0</v>
      </c>
      <c r="I982" s="29">
        <f t="shared" si="49"/>
        <v>39791</v>
      </c>
    </row>
    <row r="983" spans="1:9" ht="12.75" hidden="1" customHeight="1" x14ac:dyDescent="0.2">
      <c r="A983" s="28">
        <v>39791</v>
      </c>
      <c r="B983" s="26" t="s">
        <v>418</v>
      </c>
      <c r="C983" s="26" t="s">
        <v>1144</v>
      </c>
      <c r="D983" s="35" t="s">
        <v>20</v>
      </c>
      <c r="E983" s="35" t="s">
        <v>20</v>
      </c>
      <c r="F983" s="35" t="s">
        <v>20</v>
      </c>
      <c r="G983" t="b">
        <f t="shared" si="47"/>
        <v>0</v>
      </c>
      <c r="H983" t="b">
        <f t="shared" si="48"/>
        <v>0</v>
      </c>
      <c r="I983" s="29">
        <f t="shared" si="49"/>
        <v>39791</v>
      </c>
    </row>
    <row r="984" spans="1:9" ht="12.75" hidden="1" customHeight="1" x14ac:dyDescent="0.2">
      <c r="A984" s="28">
        <v>39792</v>
      </c>
      <c r="B984" s="26" t="s">
        <v>1071</v>
      </c>
      <c r="C984" s="26" t="s">
        <v>49</v>
      </c>
      <c r="D984" s="35">
        <v>33000000</v>
      </c>
      <c r="E984" s="35">
        <v>34192652</v>
      </c>
      <c r="F984" s="35">
        <v>106107610</v>
      </c>
      <c r="G984" t="b">
        <f t="shared" si="47"/>
        <v>0</v>
      </c>
      <c r="H984" t="b">
        <f t="shared" si="48"/>
        <v>0</v>
      </c>
      <c r="I984" s="29">
        <f t="shared" si="49"/>
        <v>39792</v>
      </c>
    </row>
    <row r="985" spans="1:9" ht="12.75" hidden="1" customHeight="1" x14ac:dyDescent="0.2">
      <c r="A985" s="28">
        <v>39792</v>
      </c>
      <c r="B985" s="26" t="s">
        <v>1413</v>
      </c>
      <c r="C985" s="26" t="s">
        <v>322</v>
      </c>
      <c r="D985" s="35" t="s">
        <v>20</v>
      </c>
      <c r="E985" s="35">
        <v>856942</v>
      </c>
      <c r="F985" s="35">
        <v>955830</v>
      </c>
      <c r="G985" t="b">
        <f t="shared" si="47"/>
        <v>0</v>
      </c>
      <c r="H985" t="b">
        <f t="shared" si="48"/>
        <v>0</v>
      </c>
      <c r="I985" s="29">
        <f t="shared" si="49"/>
        <v>39792</v>
      </c>
    </row>
    <row r="986" spans="1:9" ht="25.5" hidden="1" x14ac:dyDescent="0.2">
      <c r="A986" s="28">
        <v>39794</v>
      </c>
      <c r="B986" s="26" t="s">
        <v>765</v>
      </c>
      <c r="C986" s="26" t="s">
        <v>2161</v>
      </c>
      <c r="D986" s="35" t="s">
        <v>20</v>
      </c>
      <c r="E986" s="35">
        <v>2074346</v>
      </c>
      <c r="F986" s="35">
        <v>10659346</v>
      </c>
      <c r="G986" t="b">
        <f t="shared" ref="G986:G1048" si="50">ISBLANK(A986)</f>
        <v>0</v>
      </c>
      <c r="H986" t="b">
        <f t="shared" ref="H986:H1048" si="51">ISTEXT(A986)</f>
        <v>0</v>
      </c>
      <c r="I986" s="29">
        <f t="shared" si="49"/>
        <v>39794</v>
      </c>
    </row>
    <row r="987" spans="1:9" ht="12.75" hidden="1" customHeight="1" x14ac:dyDescent="0.2">
      <c r="A987" s="28">
        <v>39794</v>
      </c>
      <c r="B987" s="26" t="s">
        <v>3483</v>
      </c>
      <c r="C987" s="26" t="s">
        <v>3218</v>
      </c>
      <c r="D987" s="35">
        <v>20000000</v>
      </c>
      <c r="E987" s="35">
        <v>33422556</v>
      </c>
      <c r="F987" s="35">
        <v>50923043</v>
      </c>
      <c r="G987" t="b">
        <f t="shared" si="50"/>
        <v>0</v>
      </c>
      <c r="H987" t="b">
        <f t="shared" si="51"/>
        <v>0</v>
      </c>
      <c r="I987" s="29">
        <f t="shared" si="49"/>
        <v>39794</v>
      </c>
    </row>
    <row r="988" spans="1:9" ht="12.75" hidden="1" customHeight="1" x14ac:dyDescent="0.2">
      <c r="A988" s="28">
        <v>39794</v>
      </c>
      <c r="B988" s="26" t="s">
        <v>2607</v>
      </c>
      <c r="C988" s="26" t="s">
        <v>9</v>
      </c>
      <c r="D988" s="35">
        <v>40000000</v>
      </c>
      <c r="E988" s="35">
        <v>915840</v>
      </c>
      <c r="F988" s="35" t="s">
        <v>20</v>
      </c>
      <c r="G988" t="b">
        <f t="shared" si="50"/>
        <v>0</v>
      </c>
      <c r="H988" t="b">
        <f t="shared" si="51"/>
        <v>0</v>
      </c>
      <c r="I988" s="29">
        <f t="shared" si="49"/>
        <v>39794</v>
      </c>
    </row>
    <row r="989" spans="1:9" ht="12.75" hidden="1" customHeight="1" x14ac:dyDescent="0.2">
      <c r="A989" s="28">
        <v>39794</v>
      </c>
      <c r="B989" s="26" t="s">
        <v>2926</v>
      </c>
      <c r="C989" s="26" t="s">
        <v>3209</v>
      </c>
      <c r="D989" s="35">
        <v>33000000</v>
      </c>
      <c r="E989" s="35">
        <v>148095302</v>
      </c>
      <c r="F989" s="35">
        <v>262345302</v>
      </c>
      <c r="G989" t="b">
        <f t="shared" si="50"/>
        <v>0</v>
      </c>
      <c r="H989" t="b">
        <f t="shared" si="51"/>
        <v>0</v>
      </c>
      <c r="I989" s="29">
        <f t="shared" si="49"/>
        <v>39794</v>
      </c>
    </row>
    <row r="990" spans="1:9" hidden="1" x14ac:dyDescent="0.2">
      <c r="A990" s="28">
        <v>39794</v>
      </c>
      <c r="B990" s="26" t="s">
        <v>3006</v>
      </c>
      <c r="C990" s="26" t="s">
        <v>707</v>
      </c>
      <c r="D990" s="35" t="s">
        <v>20</v>
      </c>
      <c r="E990" s="35" t="s">
        <v>20</v>
      </c>
      <c r="F990" s="35" t="s">
        <v>20</v>
      </c>
      <c r="G990" t="b">
        <f t="shared" si="50"/>
        <v>0</v>
      </c>
      <c r="H990" t="b">
        <f t="shared" si="51"/>
        <v>0</v>
      </c>
      <c r="I990" s="29">
        <f t="shared" si="49"/>
        <v>39794</v>
      </c>
    </row>
    <row r="991" spans="1:9" ht="25.5" hidden="1" x14ac:dyDescent="0.2">
      <c r="A991" s="28">
        <v>39794</v>
      </c>
      <c r="B991" s="26" t="s">
        <v>287</v>
      </c>
      <c r="C991" s="26" t="s">
        <v>384</v>
      </c>
      <c r="D991" s="35" t="s">
        <v>20</v>
      </c>
      <c r="E991" s="35">
        <v>79363785</v>
      </c>
      <c r="F991" s="35">
        <v>230835064</v>
      </c>
      <c r="G991" t="b">
        <f t="shared" si="50"/>
        <v>0</v>
      </c>
      <c r="H991" t="b">
        <f t="shared" si="51"/>
        <v>0</v>
      </c>
      <c r="I991" s="29">
        <f t="shared" si="49"/>
        <v>39794</v>
      </c>
    </row>
    <row r="992" spans="1:9" ht="25.5" hidden="1" x14ac:dyDescent="0.2">
      <c r="A992" s="28">
        <v>39794</v>
      </c>
      <c r="B992" s="26" t="s">
        <v>2319</v>
      </c>
      <c r="C992" s="26" t="s">
        <v>9</v>
      </c>
      <c r="D992" s="35" t="s">
        <v>20</v>
      </c>
      <c r="E992" s="35">
        <v>29784</v>
      </c>
      <c r="F992" s="35" t="s">
        <v>20</v>
      </c>
      <c r="G992" t="b">
        <f t="shared" si="50"/>
        <v>0</v>
      </c>
      <c r="H992" t="b">
        <f t="shared" si="51"/>
        <v>0</v>
      </c>
      <c r="I992" s="29">
        <f t="shared" si="49"/>
        <v>39794</v>
      </c>
    </row>
    <row r="993" spans="1:9" ht="25.5" hidden="1" x14ac:dyDescent="0.2">
      <c r="A993" s="28">
        <v>39794</v>
      </c>
      <c r="B993" s="26" t="s">
        <v>2579</v>
      </c>
      <c r="C993" s="26" t="s">
        <v>980</v>
      </c>
      <c r="D993" s="35" t="s">
        <v>20</v>
      </c>
      <c r="E993" s="35">
        <v>7503736</v>
      </c>
      <c r="F993" s="35" t="s">
        <v>20</v>
      </c>
      <c r="G993" t="b">
        <f t="shared" si="50"/>
        <v>0</v>
      </c>
      <c r="H993" t="b">
        <f t="shared" si="51"/>
        <v>0</v>
      </c>
      <c r="I993" s="29">
        <f t="shared" si="49"/>
        <v>39794</v>
      </c>
    </row>
    <row r="994" spans="1:9" ht="25.5" hidden="1" x14ac:dyDescent="0.2">
      <c r="A994" s="28">
        <v>39794</v>
      </c>
      <c r="B994" s="26" t="s">
        <v>456</v>
      </c>
      <c r="C994" s="26" t="s">
        <v>1051</v>
      </c>
      <c r="D994" s="35" t="s">
        <v>20</v>
      </c>
      <c r="E994" s="35" t="s">
        <v>20</v>
      </c>
      <c r="F994" s="35" t="s">
        <v>20</v>
      </c>
      <c r="G994" t="b">
        <f t="shared" si="50"/>
        <v>0</v>
      </c>
      <c r="H994" t="b">
        <f t="shared" si="51"/>
        <v>0</v>
      </c>
      <c r="I994" s="29">
        <f t="shared" si="49"/>
        <v>39794</v>
      </c>
    </row>
    <row r="995" spans="1:9" ht="12.75" hidden="1" customHeight="1" x14ac:dyDescent="0.2">
      <c r="A995" s="28">
        <v>39794</v>
      </c>
      <c r="B995" s="26" t="s">
        <v>2711</v>
      </c>
      <c r="C995" s="26" t="s">
        <v>1319</v>
      </c>
      <c r="D995" s="35" t="s">
        <v>20</v>
      </c>
      <c r="E995" s="35">
        <v>10958</v>
      </c>
      <c r="F995" s="35" t="s">
        <v>20</v>
      </c>
      <c r="G995" t="b">
        <f t="shared" si="50"/>
        <v>0</v>
      </c>
      <c r="H995" t="b">
        <f t="shared" si="51"/>
        <v>0</v>
      </c>
      <c r="I995" s="29">
        <f t="shared" si="49"/>
        <v>39794</v>
      </c>
    </row>
    <row r="996" spans="1:9" ht="25.5" hidden="1" x14ac:dyDescent="0.2">
      <c r="A996" s="28">
        <v>39794</v>
      </c>
      <c r="B996" s="26" t="s">
        <v>194</v>
      </c>
      <c r="C996" s="26" t="s">
        <v>9</v>
      </c>
      <c r="D996" s="35">
        <v>7000000</v>
      </c>
      <c r="E996" s="35" t="s">
        <v>20</v>
      </c>
      <c r="F996" s="35" t="s">
        <v>20</v>
      </c>
      <c r="G996" t="b">
        <f t="shared" si="50"/>
        <v>0</v>
      </c>
      <c r="H996" t="b">
        <f t="shared" si="51"/>
        <v>0</v>
      </c>
      <c r="I996" s="29">
        <f t="shared" si="49"/>
        <v>39794</v>
      </c>
    </row>
    <row r="997" spans="1:9" ht="25.5" hidden="1" x14ac:dyDescent="0.2">
      <c r="A997" s="28">
        <v>39794</v>
      </c>
      <c r="B997" s="26" t="s">
        <v>1313</v>
      </c>
      <c r="C997" s="26" t="s">
        <v>746</v>
      </c>
      <c r="D997" s="35" t="s">
        <v>20</v>
      </c>
      <c r="E997" s="35">
        <v>39127</v>
      </c>
      <c r="F997" s="35" t="s">
        <v>20</v>
      </c>
      <c r="G997" t="b">
        <f t="shared" si="50"/>
        <v>0</v>
      </c>
      <c r="H997" t="b">
        <f t="shared" si="51"/>
        <v>0</v>
      </c>
      <c r="I997" s="29">
        <f t="shared" si="49"/>
        <v>39794</v>
      </c>
    </row>
    <row r="998" spans="1:9" ht="25.5" hidden="1" x14ac:dyDescent="0.2">
      <c r="A998" s="28">
        <v>39794</v>
      </c>
      <c r="B998" s="26" t="s">
        <v>2896</v>
      </c>
      <c r="C998" s="26" t="s">
        <v>3466</v>
      </c>
      <c r="D998" s="35" t="s">
        <v>20</v>
      </c>
      <c r="E998" s="35">
        <v>3911</v>
      </c>
      <c r="F998" s="35" t="s">
        <v>20</v>
      </c>
      <c r="G998" t="b">
        <f t="shared" si="50"/>
        <v>0</v>
      </c>
      <c r="H998" t="b">
        <f t="shared" si="51"/>
        <v>0</v>
      </c>
      <c r="I998" s="29">
        <f t="shared" si="49"/>
        <v>39794</v>
      </c>
    </row>
    <row r="999" spans="1:9" ht="12.75" hidden="1" customHeight="1" x14ac:dyDescent="0.2">
      <c r="A999" s="28">
        <v>39798</v>
      </c>
      <c r="B999" s="26" t="s">
        <v>1784</v>
      </c>
      <c r="C999" s="26" t="s">
        <v>9</v>
      </c>
      <c r="D999" s="35" t="s">
        <v>20</v>
      </c>
      <c r="E999" s="35" t="s">
        <v>20</v>
      </c>
      <c r="F999" s="35" t="s">
        <v>20</v>
      </c>
      <c r="G999" t="b">
        <f t="shared" si="50"/>
        <v>0</v>
      </c>
      <c r="H999" t="b">
        <f t="shared" si="51"/>
        <v>0</v>
      </c>
      <c r="I999" s="29">
        <f t="shared" si="49"/>
        <v>39798</v>
      </c>
    </row>
    <row r="1000" spans="1:9" ht="25.5" hidden="1" x14ac:dyDescent="0.2">
      <c r="A1000" s="28">
        <v>39798</v>
      </c>
      <c r="B1000" s="26" t="s">
        <v>2461</v>
      </c>
      <c r="C1000" s="26" t="s">
        <v>9</v>
      </c>
      <c r="D1000" s="35" t="s">
        <v>20</v>
      </c>
      <c r="E1000" s="35" t="s">
        <v>20</v>
      </c>
      <c r="F1000" s="35" t="s">
        <v>20</v>
      </c>
      <c r="G1000" t="b">
        <f t="shared" si="50"/>
        <v>0</v>
      </c>
      <c r="H1000" t="b">
        <f t="shared" si="51"/>
        <v>0</v>
      </c>
      <c r="I1000" s="29">
        <f t="shared" si="49"/>
        <v>39798</v>
      </c>
    </row>
    <row r="1001" spans="1:9" ht="12.75" hidden="1" customHeight="1" x14ac:dyDescent="0.2">
      <c r="A1001" s="28">
        <v>39799</v>
      </c>
      <c r="B1001" s="26" t="s">
        <v>294</v>
      </c>
      <c r="C1001" s="26" t="s">
        <v>155</v>
      </c>
      <c r="D1001" s="35">
        <v>6000000</v>
      </c>
      <c r="E1001" s="35">
        <v>26236603</v>
      </c>
      <c r="F1001" s="35">
        <v>43236603</v>
      </c>
      <c r="G1001" t="b">
        <f t="shared" si="50"/>
        <v>0</v>
      </c>
      <c r="H1001" t="b">
        <f t="shared" si="51"/>
        <v>0</v>
      </c>
      <c r="I1001" s="29">
        <f t="shared" si="49"/>
        <v>39799</v>
      </c>
    </row>
    <row r="1002" spans="1:9" ht="12.75" hidden="1" customHeight="1" x14ac:dyDescent="0.2">
      <c r="A1002" s="28">
        <v>39801</v>
      </c>
      <c r="B1002" s="26" t="s">
        <v>1723</v>
      </c>
      <c r="C1002" s="26" t="s">
        <v>3209</v>
      </c>
      <c r="D1002" s="35">
        <v>50000000</v>
      </c>
      <c r="E1002" s="35">
        <v>97690976</v>
      </c>
      <c r="F1002" s="35">
        <v>225990976</v>
      </c>
      <c r="G1002" t="b">
        <f t="shared" si="50"/>
        <v>0</v>
      </c>
      <c r="H1002" t="b">
        <f t="shared" si="51"/>
        <v>0</v>
      </c>
      <c r="I1002" s="29">
        <f t="shared" si="49"/>
        <v>39801</v>
      </c>
    </row>
    <row r="1003" spans="1:9" ht="12.75" hidden="1" customHeight="1" x14ac:dyDescent="0.2">
      <c r="A1003" s="28">
        <v>39801</v>
      </c>
      <c r="B1003" s="26" t="s">
        <v>1523</v>
      </c>
      <c r="C1003" s="26" t="s">
        <v>3466</v>
      </c>
      <c r="D1003" s="35" t="s">
        <v>20</v>
      </c>
      <c r="E1003" s="35">
        <v>1579146</v>
      </c>
      <c r="F1003" s="35">
        <v>35379146</v>
      </c>
      <c r="G1003" t="b">
        <f t="shared" si="50"/>
        <v>0</v>
      </c>
      <c r="H1003" t="b">
        <f t="shared" si="51"/>
        <v>0</v>
      </c>
      <c r="I1003" s="29">
        <f t="shared" si="49"/>
        <v>39801</v>
      </c>
    </row>
    <row r="1004" spans="1:9" ht="25.5" hidden="1" x14ac:dyDescent="0.2">
      <c r="A1004" s="28">
        <v>39801</v>
      </c>
      <c r="B1004" s="26" t="s">
        <v>1385</v>
      </c>
      <c r="C1004" s="26" t="s">
        <v>3096</v>
      </c>
      <c r="D1004" s="35">
        <v>60000000</v>
      </c>
      <c r="E1004" s="35">
        <v>50877145</v>
      </c>
      <c r="F1004" s="35">
        <v>88717945</v>
      </c>
      <c r="G1004" t="b">
        <f t="shared" si="50"/>
        <v>0</v>
      </c>
      <c r="H1004" t="b">
        <f t="shared" si="51"/>
        <v>0</v>
      </c>
      <c r="I1004" s="29">
        <f t="shared" si="49"/>
        <v>39801</v>
      </c>
    </row>
    <row r="1005" spans="1:9" ht="25.5" hidden="1" x14ac:dyDescent="0.2">
      <c r="A1005" s="28">
        <v>39801</v>
      </c>
      <c r="B1005" s="26" t="s">
        <v>1073</v>
      </c>
      <c r="C1005" s="26" t="s">
        <v>9</v>
      </c>
      <c r="D1005" s="35" t="s">
        <v>20</v>
      </c>
      <c r="E1005" s="35">
        <v>3500</v>
      </c>
      <c r="F1005" s="35" t="s">
        <v>20</v>
      </c>
      <c r="G1005" t="b">
        <f t="shared" si="50"/>
        <v>0</v>
      </c>
      <c r="H1005" t="b">
        <f t="shared" si="51"/>
        <v>0</v>
      </c>
      <c r="I1005" s="29">
        <f t="shared" si="49"/>
        <v>39801</v>
      </c>
    </row>
    <row r="1006" spans="1:9" ht="12.75" hidden="1" customHeight="1" x14ac:dyDescent="0.2">
      <c r="A1006" s="28">
        <v>39801</v>
      </c>
      <c r="B1006" s="26" t="s">
        <v>310</v>
      </c>
      <c r="C1006" s="26" t="s">
        <v>9</v>
      </c>
      <c r="D1006" s="35">
        <v>54000000</v>
      </c>
      <c r="E1006" s="35">
        <v>69951824</v>
      </c>
      <c r="F1006" s="35">
        <v>166617328</v>
      </c>
      <c r="G1006" t="b">
        <f t="shared" si="50"/>
        <v>0</v>
      </c>
      <c r="H1006" t="b">
        <f t="shared" si="51"/>
        <v>0</v>
      </c>
      <c r="I1006" s="29">
        <f t="shared" si="49"/>
        <v>39801</v>
      </c>
    </row>
    <row r="1007" spans="1:9" ht="12.75" hidden="1" customHeight="1" x14ac:dyDescent="0.2">
      <c r="A1007" s="28">
        <v>39805</v>
      </c>
      <c r="B1007" s="26" t="s">
        <v>1932</v>
      </c>
      <c r="C1007" s="26" t="s">
        <v>49</v>
      </c>
      <c r="D1007" s="35" t="s">
        <v>20</v>
      </c>
      <c r="E1007" s="35" t="s">
        <v>20</v>
      </c>
      <c r="F1007" s="35" t="s">
        <v>20</v>
      </c>
      <c r="G1007" t="b">
        <f t="shared" si="50"/>
        <v>0</v>
      </c>
      <c r="H1007" t="b">
        <f t="shared" si="51"/>
        <v>0</v>
      </c>
      <c r="I1007" s="29">
        <f t="shared" si="49"/>
        <v>39805</v>
      </c>
    </row>
    <row r="1008" spans="1:9" ht="12.75" hidden="1" customHeight="1" x14ac:dyDescent="0.2">
      <c r="A1008" s="28">
        <v>39807</v>
      </c>
      <c r="B1008" s="26" t="s">
        <v>323</v>
      </c>
      <c r="C1008" s="26" t="s">
        <v>3390</v>
      </c>
      <c r="D1008" s="35" t="s">
        <v>20</v>
      </c>
      <c r="E1008" s="35">
        <v>110101975</v>
      </c>
      <c r="F1008" s="35">
        <v>218357961</v>
      </c>
      <c r="G1008" t="b">
        <f t="shared" si="50"/>
        <v>0</v>
      </c>
      <c r="H1008" t="b">
        <f t="shared" si="51"/>
        <v>0</v>
      </c>
      <c r="I1008" s="29">
        <f t="shared" si="49"/>
        <v>39807</v>
      </c>
    </row>
    <row r="1009" spans="1:9" ht="12.75" hidden="1" customHeight="1" x14ac:dyDescent="0.2">
      <c r="A1009" s="28">
        <v>39807</v>
      </c>
      <c r="B1009" s="26" t="s">
        <v>259</v>
      </c>
      <c r="C1009" s="26" t="s">
        <v>1220</v>
      </c>
      <c r="D1009" s="35">
        <v>75000000</v>
      </c>
      <c r="E1009" s="35">
        <v>83077470</v>
      </c>
      <c r="F1009" s="35">
        <v>198686497</v>
      </c>
      <c r="G1009" t="b">
        <f t="shared" si="50"/>
        <v>0</v>
      </c>
      <c r="H1009" t="b">
        <f t="shared" si="51"/>
        <v>0</v>
      </c>
      <c r="I1009" s="29">
        <f t="shared" si="49"/>
        <v>39807</v>
      </c>
    </row>
    <row r="1010" spans="1:9" ht="12.75" hidden="1" customHeight="1" x14ac:dyDescent="0.2">
      <c r="A1010" s="28">
        <v>39807</v>
      </c>
      <c r="B1010" s="26" t="s">
        <v>253</v>
      </c>
      <c r="C1010" s="26" t="s">
        <v>3419</v>
      </c>
      <c r="D1010" s="35" t="s">
        <v>20</v>
      </c>
      <c r="E1010" s="35">
        <v>19806188</v>
      </c>
      <c r="F1010" s="35">
        <v>39006188</v>
      </c>
      <c r="G1010" t="b">
        <f t="shared" si="50"/>
        <v>0</v>
      </c>
      <c r="H1010" t="b">
        <f t="shared" si="51"/>
        <v>0</v>
      </c>
      <c r="I1010" s="29">
        <f t="shared" si="49"/>
        <v>39807</v>
      </c>
    </row>
    <row r="1011" spans="1:9" ht="12.75" hidden="1" customHeight="1" x14ac:dyDescent="0.2">
      <c r="A1011" s="28">
        <v>39807</v>
      </c>
      <c r="B1011" s="26" t="s">
        <v>3453</v>
      </c>
      <c r="C1011" s="26" t="s">
        <v>384</v>
      </c>
      <c r="D1011" s="35" t="s">
        <v>20</v>
      </c>
      <c r="E1011" s="35">
        <v>143153751</v>
      </c>
      <c r="F1011" s="35">
        <v>243665113</v>
      </c>
      <c r="G1011" t="b">
        <f t="shared" si="50"/>
        <v>0</v>
      </c>
      <c r="H1011" t="b">
        <f t="shared" si="51"/>
        <v>0</v>
      </c>
      <c r="I1011" s="29">
        <f t="shared" si="49"/>
        <v>39807</v>
      </c>
    </row>
    <row r="1012" spans="1:9" ht="12.75" hidden="1" customHeight="1" x14ac:dyDescent="0.2">
      <c r="A1012" s="28">
        <v>39807</v>
      </c>
      <c r="B1012" s="26" t="s">
        <v>264</v>
      </c>
      <c r="C1012" s="26" t="s">
        <v>612</v>
      </c>
      <c r="D1012" s="35">
        <v>2000000</v>
      </c>
      <c r="E1012" s="35">
        <v>2283849</v>
      </c>
      <c r="F1012" s="35">
        <v>11125664</v>
      </c>
      <c r="G1012" t="b">
        <f t="shared" si="50"/>
        <v>0</v>
      </c>
      <c r="H1012" t="b">
        <f t="shared" si="51"/>
        <v>0</v>
      </c>
      <c r="I1012" s="29">
        <f t="shared" si="49"/>
        <v>39807</v>
      </c>
    </row>
    <row r="1013" spans="1:9" ht="25.5" hidden="1" x14ac:dyDescent="0.2">
      <c r="A1013" s="28">
        <v>39807</v>
      </c>
      <c r="B1013" s="26" t="s">
        <v>784</v>
      </c>
      <c r="C1013" s="26" t="s">
        <v>1289</v>
      </c>
      <c r="D1013" s="35" t="s">
        <v>20</v>
      </c>
      <c r="E1013" s="35">
        <v>14889042</v>
      </c>
      <c r="F1013" s="35">
        <v>32389042</v>
      </c>
      <c r="G1013" t="b">
        <f t="shared" si="50"/>
        <v>0</v>
      </c>
      <c r="H1013" t="b">
        <f t="shared" si="51"/>
        <v>0</v>
      </c>
      <c r="I1013" s="29">
        <f t="shared" si="49"/>
        <v>39807</v>
      </c>
    </row>
    <row r="1014" spans="1:9" ht="25.5" hidden="1" x14ac:dyDescent="0.2">
      <c r="A1014" s="28">
        <v>39807</v>
      </c>
      <c r="B1014" s="26" t="s">
        <v>1433</v>
      </c>
      <c r="C1014" s="26" t="s">
        <v>2168</v>
      </c>
      <c r="D1014" s="35">
        <v>160000000</v>
      </c>
      <c r="E1014" s="35">
        <v>127509326</v>
      </c>
      <c r="F1014" s="35">
        <v>329809326</v>
      </c>
      <c r="G1014" t="b">
        <f t="shared" si="50"/>
        <v>0</v>
      </c>
      <c r="H1014" t="b">
        <f t="shared" si="51"/>
        <v>0</v>
      </c>
      <c r="I1014" s="29">
        <f t="shared" si="49"/>
        <v>39807</v>
      </c>
    </row>
    <row r="1015" spans="1:9" ht="25.5" hidden="1" x14ac:dyDescent="0.2">
      <c r="A1015" s="28">
        <v>39808</v>
      </c>
      <c r="B1015" s="26" t="s">
        <v>3161</v>
      </c>
      <c r="C1015" s="26" t="s">
        <v>999</v>
      </c>
      <c r="D1015" s="35">
        <v>35000000</v>
      </c>
      <c r="E1015" s="35">
        <v>22911480</v>
      </c>
      <c r="F1015" s="35">
        <v>76989671</v>
      </c>
      <c r="G1015" t="b">
        <f t="shared" si="50"/>
        <v>0</v>
      </c>
      <c r="H1015" t="b">
        <f t="shared" si="51"/>
        <v>0</v>
      </c>
      <c r="I1015" s="29">
        <f t="shared" si="49"/>
        <v>39808</v>
      </c>
    </row>
    <row r="1016" spans="1:9" ht="12.75" hidden="1" customHeight="1" x14ac:dyDescent="0.2">
      <c r="A1016" s="28">
        <v>39808</v>
      </c>
      <c r="B1016" s="26" t="s">
        <v>1888</v>
      </c>
      <c r="C1016" s="26" t="s">
        <v>1900</v>
      </c>
      <c r="D1016" s="35" t="s">
        <v>20</v>
      </c>
      <c r="E1016" s="35">
        <v>2411071</v>
      </c>
      <c r="F1016" s="35">
        <v>41411071</v>
      </c>
      <c r="G1016" t="b">
        <f t="shared" si="50"/>
        <v>0</v>
      </c>
      <c r="H1016" t="b">
        <f t="shared" si="51"/>
        <v>0</v>
      </c>
      <c r="I1016" s="29">
        <f t="shared" si="49"/>
        <v>39808</v>
      </c>
    </row>
    <row r="1017" spans="1:9" ht="12.75" hidden="1" customHeight="1" x14ac:dyDescent="0.2">
      <c r="A1017" s="28">
        <v>39812</v>
      </c>
      <c r="B1017" s="26" t="s">
        <v>355</v>
      </c>
      <c r="C1017" s="26" t="s">
        <v>691</v>
      </c>
      <c r="D1017" s="35" t="s">
        <v>20</v>
      </c>
      <c r="E1017" s="35" t="s">
        <v>20</v>
      </c>
      <c r="F1017" s="35" t="s">
        <v>20</v>
      </c>
      <c r="G1017" t="b">
        <f t="shared" si="50"/>
        <v>0</v>
      </c>
      <c r="H1017" t="b">
        <f t="shared" si="51"/>
        <v>0</v>
      </c>
      <c r="I1017" s="29">
        <f t="shared" si="49"/>
        <v>39812</v>
      </c>
    </row>
    <row r="1018" spans="1:9" ht="12.75" hidden="1" customHeight="1" x14ac:dyDescent="0.2">
      <c r="A1018" s="28">
        <v>39812</v>
      </c>
      <c r="B1018" s="26" t="s">
        <v>2328</v>
      </c>
      <c r="C1018" s="26" t="s">
        <v>2310</v>
      </c>
      <c r="D1018" s="35" t="s">
        <v>20</v>
      </c>
      <c r="E1018" s="35" t="s">
        <v>20</v>
      </c>
      <c r="F1018" s="35" t="s">
        <v>20</v>
      </c>
      <c r="G1018" t="b">
        <f t="shared" si="50"/>
        <v>0</v>
      </c>
      <c r="H1018" t="b">
        <f t="shared" si="51"/>
        <v>0</v>
      </c>
      <c r="I1018" s="29">
        <f t="shared" si="49"/>
        <v>39812</v>
      </c>
    </row>
    <row r="1019" spans="1:9" ht="25.5" hidden="1" x14ac:dyDescent="0.2">
      <c r="A1019" s="28">
        <v>39812</v>
      </c>
      <c r="B1019" s="26" t="s">
        <v>338</v>
      </c>
      <c r="C1019" s="26" t="s">
        <v>2160</v>
      </c>
      <c r="D1019" s="35" t="s">
        <v>20</v>
      </c>
      <c r="E1019" s="35" t="s">
        <v>20</v>
      </c>
      <c r="F1019" s="35" t="s">
        <v>20</v>
      </c>
      <c r="G1019" t="b">
        <f t="shared" si="50"/>
        <v>0</v>
      </c>
      <c r="H1019" t="b">
        <f t="shared" si="51"/>
        <v>0</v>
      </c>
      <c r="I1019" s="29">
        <f t="shared" si="49"/>
        <v>39812</v>
      </c>
    </row>
    <row r="1020" spans="1:9" ht="25.5" hidden="1" x14ac:dyDescent="0.2">
      <c r="A1020" s="28">
        <v>39812</v>
      </c>
      <c r="B1020" s="26" t="s">
        <v>1687</v>
      </c>
      <c r="C1020" s="26" t="s">
        <v>9</v>
      </c>
      <c r="D1020" s="35" t="s">
        <v>20</v>
      </c>
      <c r="E1020" s="35" t="s">
        <v>20</v>
      </c>
      <c r="F1020" s="35" t="s">
        <v>20</v>
      </c>
      <c r="G1020" t="b">
        <f t="shared" si="50"/>
        <v>0</v>
      </c>
      <c r="H1020" t="b">
        <f t="shared" si="51"/>
        <v>0</v>
      </c>
      <c r="I1020" s="29">
        <f t="shared" si="49"/>
        <v>39812</v>
      </c>
    </row>
    <row r="1021" spans="1:9" ht="12.75" hidden="1" customHeight="1" x14ac:dyDescent="0.2">
      <c r="A1021" s="28">
        <v>39813</v>
      </c>
      <c r="B1021" s="26" t="s">
        <v>2500</v>
      </c>
      <c r="C1021" s="26" t="s">
        <v>2460</v>
      </c>
      <c r="D1021" s="35" t="s">
        <v>20</v>
      </c>
      <c r="E1021" s="35" t="s">
        <v>20</v>
      </c>
      <c r="F1021" s="35">
        <v>15275793</v>
      </c>
      <c r="G1021" t="b">
        <f t="shared" si="50"/>
        <v>0</v>
      </c>
      <c r="H1021" t="b">
        <f t="shared" si="51"/>
        <v>0</v>
      </c>
      <c r="I1021" s="29">
        <f t="shared" si="49"/>
        <v>39813</v>
      </c>
    </row>
    <row r="1022" spans="1:9" ht="25.5" hidden="1" x14ac:dyDescent="0.2">
      <c r="A1022" s="28">
        <v>39813</v>
      </c>
      <c r="B1022" s="26" t="s">
        <v>2774</v>
      </c>
      <c r="C1022" s="26" t="s">
        <v>2051</v>
      </c>
      <c r="D1022" s="35" t="s">
        <v>20</v>
      </c>
      <c r="E1022" s="35" t="s">
        <v>20</v>
      </c>
      <c r="F1022" s="35" t="s">
        <v>20</v>
      </c>
      <c r="G1022" t="b">
        <f t="shared" si="50"/>
        <v>0</v>
      </c>
      <c r="H1022" t="b">
        <f t="shared" si="51"/>
        <v>0</v>
      </c>
      <c r="I1022" s="29">
        <f t="shared" si="49"/>
        <v>39813</v>
      </c>
    </row>
    <row r="1023" spans="1:9" ht="12.75" hidden="1" customHeight="1" x14ac:dyDescent="0.2">
      <c r="A1023" s="28">
        <v>39813</v>
      </c>
      <c r="B1023" s="26" t="s">
        <v>3164</v>
      </c>
      <c r="C1023" s="26" t="s">
        <v>9</v>
      </c>
      <c r="D1023" s="35">
        <v>16000000</v>
      </c>
      <c r="E1023" s="35">
        <v>27276</v>
      </c>
      <c r="F1023" s="35" t="s">
        <v>20</v>
      </c>
      <c r="G1023" t="b">
        <f t="shared" si="50"/>
        <v>0</v>
      </c>
      <c r="H1023" t="b">
        <f t="shared" si="51"/>
        <v>0</v>
      </c>
      <c r="I1023" s="29">
        <f t="shared" si="49"/>
        <v>39813</v>
      </c>
    </row>
    <row r="1024" spans="1:9" ht="12.75" hidden="1" customHeight="1" x14ac:dyDescent="0.2">
      <c r="A1024" s="28">
        <v>39813</v>
      </c>
      <c r="B1024" s="26" t="s">
        <v>105</v>
      </c>
      <c r="C1024" s="26" t="s">
        <v>9</v>
      </c>
      <c r="D1024" s="35" t="s">
        <v>20</v>
      </c>
      <c r="E1024" s="35" t="s">
        <v>20</v>
      </c>
      <c r="F1024" s="35" t="s">
        <v>20</v>
      </c>
      <c r="G1024" t="b">
        <f t="shared" si="50"/>
        <v>0</v>
      </c>
      <c r="H1024" t="b">
        <f t="shared" si="51"/>
        <v>0</v>
      </c>
      <c r="I1024" s="29">
        <f t="shared" si="49"/>
        <v>39813</v>
      </c>
    </row>
    <row r="1025" spans="1:9" ht="38.25" hidden="1" x14ac:dyDescent="0.2">
      <c r="A1025" s="28">
        <v>39813</v>
      </c>
      <c r="B1025" s="26" t="s">
        <v>1709</v>
      </c>
      <c r="C1025" s="26" t="s">
        <v>9</v>
      </c>
      <c r="D1025" s="35" t="s">
        <v>20</v>
      </c>
      <c r="E1025" s="35" t="s">
        <v>20</v>
      </c>
      <c r="F1025" s="35" t="s">
        <v>20</v>
      </c>
      <c r="G1025" t="b">
        <f t="shared" si="50"/>
        <v>0</v>
      </c>
      <c r="H1025" t="b">
        <f t="shared" si="51"/>
        <v>0</v>
      </c>
      <c r="I1025" s="29">
        <f t="shared" si="49"/>
        <v>39813</v>
      </c>
    </row>
    <row r="1026" spans="1:9" ht="25.5" hidden="1" x14ac:dyDescent="0.2">
      <c r="A1026" s="28">
        <v>39813</v>
      </c>
      <c r="B1026" s="26" t="s">
        <v>2452</v>
      </c>
      <c r="C1026" s="26" t="s">
        <v>9</v>
      </c>
      <c r="D1026" s="35" t="s">
        <v>20</v>
      </c>
      <c r="E1026" s="35" t="s">
        <v>20</v>
      </c>
      <c r="F1026" s="35" t="s">
        <v>20</v>
      </c>
      <c r="G1026" t="b">
        <f t="shared" si="50"/>
        <v>0</v>
      </c>
      <c r="H1026" t="b">
        <f t="shared" si="51"/>
        <v>0</v>
      </c>
      <c r="I1026" s="29">
        <f t="shared" si="49"/>
        <v>39813</v>
      </c>
    </row>
    <row r="1027" spans="1:9" hidden="1" x14ac:dyDescent="0.2">
      <c r="A1027" s="28">
        <v>39813</v>
      </c>
      <c r="B1027" s="26" t="s">
        <v>2320</v>
      </c>
      <c r="C1027" s="26" t="s">
        <v>3209</v>
      </c>
      <c r="D1027" s="35" t="s">
        <v>20</v>
      </c>
      <c r="E1027" s="35" t="s">
        <v>20</v>
      </c>
      <c r="F1027" s="35" t="s">
        <v>20</v>
      </c>
      <c r="G1027" t="b">
        <f t="shared" si="50"/>
        <v>0</v>
      </c>
      <c r="H1027" t="b">
        <f t="shared" si="51"/>
        <v>0</v>
      </c>
      <c r="I1027" s="29">
        <f t="shared" ref="I1027:I1048" si="52">DATE(2008,MONTH(A1027), DAY(A1027))</f>
        <v>39813</v>
      </c>
    </row>
    <row r="1028" spans="1:9" ht="25.5" hidden="1" x14ac:dyDescent="0.2">
      <c r="A1028" s="28">
        <v>39813</v>
      </c>
      <c r="B1028" s="26" t="s">
        <v>3231</v>
      </c>
      <c r="C1028" s="26" t="s">
        <v>849</v>
      </c>
      <c r="D1028" s="35" t="s">
        <v>20</v>
      </c>
      <c r="E1028" s="35" t="s">
        <v>20</v>
      </c>
      <c r="F1028" s="35">
        <v>19317689</v>
      </c>
      <c r="G1028" t="b">
        <f t="shared" si="50"/>
        <v>0</v>
      </c>
      <c r="H1028" t="b">
        <f t="shared" si="51"/>
        <v>0</v>
      </c>
      <c r="I1028" s="29">
        <f t="shared" si="52"/>
        <v>39813</v>
      </c>
    </row>
    <row r="1029" spans="1:9" ht="25.5" hidden="1" x14ac:dyDescent="0.2">
      <c r="A1029" s="28">
        <v>39813</v>
      </c>
      <c r="B1029" s="26" t="s">
        <v>1621</v>
      </c>
      <c r="C1029" s="26" t="s">
        <v>9</v>
      </c>
      <c r="D1029" s="35" t="s">
        <v>20</v>
      </c>
      <c r="E1029" s="35" t="s">
        <v>20</v>
      </c>
      <c r="F1029" s="35" t="s">
        <v>20</v>
      </c>
      <c r="G1029" t="b">
        <f t="shared" si="50"/>
        <v>0</v>
      </c>
      <c r="H1029" t="b">
        <f t="shared" si="51"/>
        <v>0</v>
      </c>
      <c r="I1029" s="29">
        <f t="shared" si="52"/>
        <v>39813</v>
      </c>
    </row>
    <row r="1030" spans="1:9" ht="12.75" hidden="1" customHeight="1" x14ac:dyDescent="0.2">
      <c r="A1030" s="28">
        <v>39813</v>
      </c>
      <c r="B1030" s="26" t="s">
        <v>1230</v>
      </c>
      <c r="C1030" s="26" t="s">
        <v>9</v>
      </c>
      <c r="D1030" s="35" t="s">
        <v>20</v>
      </c>
      <c r="E1030" s="35">
        <v>33260</v>
      </c>
      <c r="F1030" s="35">
        <v>3238922</v>
      </c>
      <c r="G1030" t="b">
        <f t="shared" si="50"/>
        <v>0</v>
      </c>
      <c r="H1030" t="b">
        <f t="shared" si="51"/>
        <v>0</v>
      </c>
      <c r="I1030" s="29">
        <f t="shared" si="52"/>
        <v>39813</v>
      </c>
    </row>
    <row r="1031" spans="1:9" ht="25.5" hidden="1" x14ac:dyDescent="0.2">
      <c r="A1031" s="28">
        <v>39813</v>
      </c>
      <c r="B1031" s="26" t="s">
        <v>997</v>
      </c>
      <c r="C1031" s="26" t="s">
        <v>9</v>
      </c>
      <c r="D1031" s="35" t="s">
        <v>20</v>
      </c>
      <c r="E1031" s="35" t="s">
        <v>20</v>
      </c>
      <c r="F1031" s="35" t="s">
        <v>20</v>
      </c>
      <c r="G1031" t="b">
        <f t="shared" si="50"/>
        <v>0</v>
      </c>
      <c r="H1031" t="b">
        <f t="shared" si="51"/>
        <v>0</v>
      </c>
      <c r="I1031" s="29">
        <f t="shared" si="52"/>
        <v>39813</v>
      </c>
    </row>
    <row r="1032" spans="1:9" ht="12.75" hidden="1" customHeight="1" x14ac:dyDescent="0.2">
      <c r="A1032" s="28">
        <v>39813</v>
      </c>
      <c r="B1032" s="26" t="s">
        <v>619</v>
      </c>
      <c r="C1032" s="26" t="s">
        <v>9</v>
      </c>
      <c r="D1032" s="35" t="s">
        <v>20</v>
      </c>
      <c r="E1032" s="35" t="s">
        <v>20</v>
      </c>
      <c r="F1032" s="35" t="s">
        <v>20</v>
      </c>
      <c r="G1032" t="b">
        <f t="shared" si="50"/>
        <v>0</v>
      </c>
      <c r="H1032" t="b">
        <f t="shared" si="51"/>
        <v>0</v>
      </c>
      <c r="I1032" s="29">
        <f t="shared" si="52"/>
        <v>39813</v>
      </c>
    </row>
    <row r="1033" spans="1:9" ht="12.75" hidden="1" customHeight="1" x14ac:dyDescent="0.2">
      <c r="A1033" s="28">
        <v>39813</v>
      </c>
      <c r="B1033" s="26" t="s">
        <v>329</v>
      </c>
      <c r="C1033" s="26" t="s">
        <v>9</v>
      </c>
      <c r="D1033" s="35" t="s">
        <v>20</v>
      </c>
      <c r="E1033" s="35" t="s">
        <v>20</v>
      </c>
      <c r="F1033" s="35" t="s">
        <v>20</v>
      </c>
      <c r="G1033" t="b">
        <f t="shared" si="50"/>
        <v>0</v>
      </c>
      <c r="H1033" t="b">
        <f t="shared" si="51"/>
        <v>0</v>
      </c>
      <c r="I1033" s="29">
        <f t="shared" si="52"/>
        <v>39813</v>
      </c>
    </row>
    <row r="1034" spans="1:9" ht="12.75" hidden="1" customHeight="1" x14ac:dyDescent="0.2">
      <c r="A1034" s="28">
        <v>39813</v>
      </c>
      <c r="B1034" s="26" t="s">
        <v>2714</v>
      </c>
      <c r="C1034" s="26" t="s">
        <v>9</v>
      </c>
      <c r="D1034" s="35" t="s">
        <v>20</v>
      </c>
      <c r="E1034" s="35" t="s">
        <v>20</v>
      </c>
      <c r="F1034" s="35" t="s">
        <v>20</v>
      </c>
      <c r="G1034" t="b">
        <f t="shared" si="50"/>
        <v>0</v>
      </c>
      <c r="H1034" t="b">
        <f t="shared" si="51"/>
        <v>0</v>
      </c>
      <c r="I1034" s="29">
        <f t="shared" si="52"/>
        <v>39813</v>
      </c>
    </row>
    <row r="1035" spans="1:9" ht="25.5" hidden="1" x14ac:dyDescent="0.2">
      <c r="A1035" s="28">
        <v>39813</v>
      </c>
      <c r="B1035" s="26" t="s">
        <v>3366</v>
      </c>
      <c r="C1035" s="26" t="s">
        <v>999</v>
      </c>
      <c r="D1035" s="35">
        <v>50000000</v>
      </c>
      <c r="E1035" s="35">
        <v>28644813</v>
      </c>
      <c r="F1035" s="35">
        <v>42268745</v>
      </c>
      <c r="G1035" t="b">
        <f t="shared" si="50"/>
        <v>0</v>
      </c>
      <c r="H1035" t="b">
        <f t="shared" si="51"/>
        <v>0</v>
      </c>
      <c r="I1035" s="29">
        <f t="shared" si="52"/>
        <v>39813</v>
      </c>
    </row>
    <row r="1036" spans="1:9" ht="12.75" hidden="1" customHeight="1" x14ac:dyDescent="0.2">
      <c r="A1036" s="28">
        <v>39813</v>
      </c>
      <c r="B1036" s="26" t="s">
        <v>2930</v>
      </c>
      <c r="C1036" s="26" t="s">
        <v>9</v>
      </c>
      <c r="D1036" s="35" t="s">
        <v>20</v>
      </c>
      <c r="E1036" s="35" t="s">
        <v>20</v>
      </c>
      <c r="F1036" s="35" t="s">
        <v>20</v>
      </c>
      <c r="G1036" t="b">
        <f t="shared" si="50"/>
        <v>0</v>
      </c>
      <c r="H1036" t="b">
        <f t="shared" si="51"/>
        <v>0</v>
      </c>
      <c r="I1036" s="29">
        <f t="shared" si="52"/>
        <v>39813</v>
      </c>
    </row>
    <row r="1037" spans="1:9" ht="12.75" hidden="1" customHeight="1" x14ac:dyDescent="0.2">
      <c r="A1037" s="28">
        <v>39813</v>
      </c>
      <c r="B1037" s="26" t="s">
        <v>2735</v>
      </c>
      <c r="C1037" s="26" t="s">
        <v>9</v>
      </c>
      <c r="D1037" s="35" t="s">
        <v>20</v>
      </c>
      <c r="E1037" s="35" t="s">
        <v>20</v>
      </c>
      <c r="F1037" s="35" t="s">
        <v>20</v>
      </c>
      <c r="G1037" t="b">
        <f t="shared" si="50"/>
        <v>0</v>
      </c>
      <c r="H1037" t="b">
        <f t="shared" si="51"/>
        <v>0</v>
      </c>
      <c r="I1037" s="29">
        <f t="shared" si="52"/>
        <v>39813</v>
      </c>
    </row>
    <row r="1038" spans="1:9" ht="12.75" hidden="1" customHeight="1" x14ac:dyDescent="0.2">
      <c r="A1038" s="28">
        <v>39813</v>
      </c>
      <c r="B1038" s="26" t="s">
        <v>2514</v>
      </c>
      <c r="C1038" s="26" t="s">
        <v>9</v>
      </c>
      <c r="D1038" s="35" t="s">
        <v>20</v>
      </c>
      <c r="E1038" s="35" t="s">
        <v>20</v>
      </c>
      <c r="F1038" s="35" t="s">
        <v>20</v>
      </c>
      <c r="G1038" t="b">
        <f t="shared" si="50"/>
        <v>0</v>
      </c>
      <c r="H1038" t="b">
        <f t="shared" si="51"/>
        <v>0</v>
      </c>
      <c r="I1038" s="29">
        <f t="shared" si="52"/>
        <v>39813</v>
      </c>
    </row>
    <row r="1039" spans="1:9" ht="12.75" hidden="1" customHeight="1" x14ac:dyDescent="0.2">
      <c r="A1039" s="28">
        <v>39813</v>
      </c>
      <c r="B1039" s="26" t="s">
        <v>1740</v>
      </c>
      <c r="C1039" s="26" t="s">
        <v>9</v>
      </c>
      <c r="D1039" s="35" t="s">
        <v>20</v>
      </c>
      <c r="E1039" s="35" t="s">
        <v>20</v>
      </c>
      <c r="F1039" s="35" t="s">
        <v>20</v>
      </c>
      <c r="G1039" t="b">
        <f t="shared" si="50"/>
        <v>0</v>
      </c>
      <c r="H1039" t="b">
        <f t="shared" si="51"/>
        <v>0</v>
      </c>
      <c r="I1039" s="29">
        <f t="shared" si="52"/>
        <v>39813</v>
      </c>
    </row>
    <row r="1040" spans="1:9" ht="12.75" hidden="1" customHeight="1" x14ac:dyDescent="0.2">
      <c r="A1040" s="28">
        <v>39813</v>
      </c>
      <c r="B1040" s="26" t="s">
        <v>2967</v>
      </c>
      <c r="C1040" s="26" t="s">
        <v>9</v>
      </c>
      <c r="D1040" s="35" t="s">
        <v>20</v>
      </c>
      <c r="E1040" s="35" t="s">
        <v>20</v>
      </c>
      <c r="F1040" s="35" t="s">
        <v>20</v>
      </c>
      <c r="G1040" t="b">
        <f t="shared" si="50"/>
        <v>0</v>
      </c>
      <c r="H1040" t="b">
        <f t="shared" si="51"/>
        <v>0</v>
      </c>
      <c r="I1040" s="29">
        <f t="shared" si="52"/>
        <v>39813</v>
      </c>
    </row>
    <row r="1041" spans="1:9" ht="12.75" hidden="1" customHeight="1" x14ac:dyDescent="0.2">
      <c r="A1041" s="28">
        <v>39813</v>
      </c>
      <c r="B1041" s="26" t="s">
        <v>2883</v>
      </c>
      <c r="C1041" s="26" t="s">
        <v>9</v>
      </c>
      <c r="D1041" s="35" t="s">
        <v>20</v>
      </c>
      <c r="E1041" s="35" t="s">
        <v>20</v>
      </c>
      <c r="F1041" s="35" t="s">
        <v>20</v>
      </c>
      <c r="G1041" t="b">
        <f t="shared" si="50"/>
        <v>0</v>
      </c>
      <c r="H1041" t="b">
        <f t="shared" si="51"/>
        <v>0</v>
      </c>
      <c r="I1041" s="29">
        <f t="shared" si="52"/>
        <v>39813</v>
      </c>
    </row>
    <row r="1042" spans="1:9" ht="12.75" hidden="1" customHeight="1" x14ac:dyDescent="0.2">
      <c r="A1042" s="28">
        <v>39813</v>
      </c>
      <c r="B1042" s="26" t="s">
        <v>16</v>
      </c>
      <c r="C1042" s="26" t="s">
        <v>2779</v>
      </c>
      <c r="D1042" s="35" t="s">
        <v>20</v>
      </c>
      <c r="E1042" s="35" t="s">
        <v>20</v>
      </c>
      <c r="F1042" s="35" t="s">
        <v>20</v>
      </c>
      <c r="G1042" t="b">
        <f t="shared" si="50"/>
        <v>0</v>
      </c>
      <c r="H1042" t="b">
        <f t="shared" si="51"/>
        <v>0</v>
      </c>
      <c r="I1042" s="29">
        <f t="shared" si="52"/>
        <v>39813</v>
      </c>
    </row>
    <row r="1043" spans="1:9" ht="25.5" hidden="1" x14ac:dyDescent="0.2">
      <c r="A1043" s="28">
        <v>39813</v>
      </c>
      <c r="B1043" s="26" t="s">
        <v>2356</v>
      </c>
      <c r="C1043" s="26" t="s">
        <v>9</v>
      </c>
      <c r="D1043" s="35" t="s">
        <v>20</v>
      </c>
      <c r="E1043" s="35" t="s">
        <v>20</v>
      </c>
      <c r="F1043" s="35" t="s">
        <v>20</v>
      </c>
      <c r="G1043" t="b">
        <f t="shared" si="50"/>
        <v>0</v>
      </c>
      <c r="H1043" t="b">
        <f t="shared" si="51"/>
        <v>0</v>
      </c>
      <c r="I1043" s="29">
        <f t="shared" si="52"/>
        <v>39813</v>
      </c>
    </row>
    <row r="1044" spans="1:9" ht="25.5" hidden="1" x14ac:dyDescent="0.2">
      <c r="A1044" s="28">
        <v>39813</v>
      </c>
      <c r="B1044" s="26" t="s">
        <v>3225</v>
      </c>
      <c r="C1044" s="26" t="s">
        <v>9</v>
      </c>
      <c r="D1044" s="35">
        <v>1000000</v>
      </c>
      <c r="E1044" s="35" t="s">
        <v>20</v>
      </c>
      <c r="F1044" s="35" t="s">
        <v>20</v>
      </c>
      <c r="G1044" t="b">
        <f t="shared" si="50"/>
        <v>0</v>
      </c>
      <c r="H1044" t="b">
        <f t="shared" si="51"/>
        <v>0</v>
      </c>
      <c r="I1044" s="29">
        <f t="shared" si="52"/>
        <v>39813</v>
      </c>
    </row>
    <row r="1045" spans="1:9" ht="25.5" hidden="1" x14ac:dyDescent="0.2">
      <c r="A1045" s="28">
        <v>39813</v>
      </c>
      <c r="B1045" s="26" t="s">
        <v>3463</v>
      </c>
      <c r="C1045" s="26" t="s">
        <v>9</v>
      </c>
      <c r="D1045" s="35">
        <v>35000000</v>
      </c>
      <c r="E1045" s="35" t="s">
        <v>20</v>
      </c>
      <c r="F1045" s="35" t="s">
        <v>20</v>
      </c>
      <c r="G1045" t="b">
        <f t="shared" si="50"/>
        <v>0</v>
      </c>
      <c r="H1045" t="b">
        <f t="shared" si="51"/>
        <v>0</v>
      </c>
      <c r="I1045" s="29">
        <f t="shared" si="52"/>
        <v>39813</v>
      </c>
    </row>
    <row r="1046" spans="1:9" ht="12.75" hidden="1" customHeight="1" x14ac:dyDescent="0.2">
      <c r="A1046" s="28">
        <v>39813</v>
      </c>
      <c r="B1046" s="26" t="s">
        <v>2255</v>
      </c>
      <c r="C1046" s="26" t="s">
        <v>3419</v>
      </c>
      <c r="D1046" s="35" t="s">
        <v>20</v>
      </c>
      <c r="E1046" s="35" t="s">
        <v>20</v>
      </c>
      <c r="F1046" s="35" t="s">
        <v>20</v>
      </c>
      <c r="G1046" t="b">
        <f t="shared" si="50"/>
        <v>0</v>
      </c>
      <c r="H1046" t="b">
        <f t="shared" si="51"/>
        <v>0</v>
      </c>
      <c r="I1046" s="29">
        <f t="shared" si="52"/>
        <v>39813</v>
      </c>
    </row>
    <row r="1047" spans="1:9" ht="25.5" hidden="1" x14ac:dyDescent="0.2">
      <c r="A1047" s="28">
        <v>39813</v>
      </c>
      <c r="B1047" s="26" t="s">
        <v>411</v>
      </c>
      <c r="C1047" s="26" t="s">
        <v>9</v>
      </c>
      <c r="D1047" s="35" t="s">
        <v>20</v>
      </c>
      <c r="E1047" s="35" t="s">
        <v>20</v>
      </c>
      <c r="F1047" s="35" t="s">
        <v>20</v>
      </c>
      <c r="G1047" t="b">
        <f t="shared" si="50"/>
        <v>0</v>
      </c>
      <c r="H1047" t="b">
        <f t="shared" si="51"/>
        <v>0</v>
      </c>
      <c r="I1047" s="29">
        <f t="shared" si="52"/>
        <v>39813</v>
      </c>
    </row>
    <row r="1048" spans="1:9" ht="25.5" hidden="1" x14ac:dyDescent="0.2">
      <c r="A1048" s="28">
        <v>39813</v>
      </c>
      <c r="B1048" s="26" t="s">
        <v>1567</v>
      </c>
      <c r="C1048" s="26" t="s">
        <v>9</v>
      </c>
      <c r="D1048" s="35" t="s">
        <v>20</v>
      </c>
      <c r="E1048" s="35" t="s">
        <v>20</v>
      </c>
      <c r="F1048" s="35" t="s">
        <v>20</v>
      </c>
      <c r="G1048" t="b">
        <f t="shared" si="50"/>
        <v>0</v>
      </c>
      <c r="H1048" t="b">
        <f t="shared" si="51"/>
        <v>0</v>
      </c>
      <c r="I1048" s="29">
        <f t="shared" si="52"/>
        <v>39813</v>
      </c>
    </row>
    <row r="1049" spans="1:9" ht="12.75" customHeight="1" x14ac:dyDescent="0.2">
      <c r="A1049" s="37"/>
      <c r="B1049" s="37"/>
      <c r="C1049" s="37"/>
      <c r="D1049" s="38"/>
      <c r="E1049" s="38"/>
      <c r="F1049" s="38"/>
      <c r="G1049" s="37"/>
      <c r="H1049" s="37"/>
      <c r="I1049" s="37"/>
    </row>
  </sheetData>
  <autoFilter ref="A1:I1048">
    <filterColumn colId="1">
      <filters>
        <filter val="The Dark Knight"/>
      </filters>
    </filterColumn>
  </autoFilter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Views>
    <sheetView workbookViewId="0">
      <pane xSplit="1" ySplit="1" topLeftCell="B2" activePane="bottomRight" state="frozenSplit"/>
      <selection pane="topRight" activeCell="I1" sqref="I1"/>
      <selection pane="bottomLeft" activeCell="A15" sqref="A15"/>
      <selection pane="bottomRight" activeCell="D14" sqref="D14"/>
    </sheetView>
  </sheetViews>
  <sheetFormatPr defaultColWidth="17.140625" defaultRowHeight="12.75" customHeight="1" x14ac:dyDescent="0.2"/>
  <cols>
    <col min="1" max="19" width="17.140625" customWidth="1"/>
  </cols>
  <sheetData>
    <row r="1" spans="1:9" ht="12.75" customHeight="1" x14ac:dyDescent="0.25">
      <c r="A1" s="30" t="s">
        <v>3490</v>
      </c>
      <c r="B1" s="30" t="s">
        <v>2968</v>
      </c>
      <c r="C1" s="30" t="s">
        <v>2266</v>
      </c>
      <c r="D1" s="34" t="s">
        <v>1858</v>
      </c>
      <c r="E1" s="34" t="s">
        <v>606</v>
      </c>
      <c r="F1" s="34" t="s">
        <v>1728</v>
      </c>
      <c r="G1" s="31" t="s">
        <v>3488</v>
      </c>
      <c r="H1" s="31" t="s">
        <v>3489</v>
      </c>
      <c r="I1" s="31" t="s">
        <v>3490</v>
      </c>
    </row>
    <row r="2" spans="1:9" ht="12.75" customHeight="1" x14ac:dyDescent="0.2">
      <c r="A2" s="28">
        <v>39087</v>
      </c>
      <c r="B2" s="26" t="s">
        <v>4558</v>
      </c>
      <c r="C2" s="26" t="s">
        <v>2865</v>
      </c>
      <c r="D2" s="26" t="s">
        <v>20</v>
      </c>
      <c r="E2" s="26" t="s">
        <v>20</v>
      </c>
      <c r="F2" s="26" t="s">
        <v>20</v>
      </c>
      <c r="G2" t="b">
        <f t="shared" ref="G2:G4" si="0">ISBLANK(A2)</f>
        <v>0</v>
      </c>
      <c r="H2" t="b">
        <f t="shared" ref="H2:H4" si="1">ISTEXT(A2)</f>
        <v>0</v>
      </c>
      <c r="I2" s="29">
        <f>DATE(2007,MONTH(A2), DAY(A2))</f>
        <v>39087</v>
      </c>
    </row>
    <row r="3" spans="1:9" ht="12.75" customHeight="1" x14ac:dyDescent="0.2">
      <c r="A3" s="28">
        <v>39087</v>
      </c>
      <c r="B3" s="26" t="s">
        <v>4557</v>
      </c>
      <c r="C3" s="26" t="s">
        <v>9</v>
      </c>
      <c r="D3" s="26" t="s">
        <v>20</v>
      </c>
      <c r="E3" s="26">
        <v>80550</v>
      </c>
      <c r="F3" s="26" t="s">
        <v>20</v>
      </c>
      <c r="G3" t="b">
        <f t="shared" si="0"/>
        <v>0</v>
      </c>
      <c r="H3" t="b">
        <f t="shared" si="1"/>
        <v>0</v>
      </c>
      <c r="I3" s="29">
        <f t="shared" ref="I3:I66" si="2">DATE(2007,MONTH(A3), DAY(A3))</f>
        <v>39087</v>
      </c>
    </row>
    <row r="4" spans="1:9" ht="25.5" x14ac:dyDescent="0.2">
      <c r="A4" s="28">
        <v>39087</v>
      </c>
      <c r="B4" s="26" t="s">
        <v>4556</v>
      </c>
      <c r="C4" s="26" t="s">
        <v>2168</v>
      </c>
      <c r="D4" s="26">
        <v>21000000</v>
      </c>
      <c r="E4" s="26">
        <v>36605602</v>
      </c>
      <c r="F4" s="26">
        <v>43090741</v>
      </c>
      <c r="G4" t="b">
        <f t="shared" si="0"/>
        <v>0</v>
      </c>
      <c r="H4" t="b">
        <f t="shared" si="1"/>
        <v>0</v>
      </c>
      <c r="I4" s="29">
        <f t="shared" si="2"/>
        <v>39087</v>
      </c>
    </row>
    <row r="5" spans="1:9" ht="25.5" x14ac:dyDescent="0.2">
      <c r="A5" s="28">
        <v>39087</v>
      </c>
      <c r="B5" s="26" t="s">
        <v>4555</v>
      </c>
      <c r="C5" s="26" t="s">
        <v>698</v>
      </c>
      <c r="D5" s="26" t="s">
        <v>20</v>
      </c>
      <c r="E5" s="26" t="s">
        <v>20</v>
      </c>
      <c r="F5" s="26">
        <v>8243567</v>
      </c>
      <c r="G5" t="b">
        <f t="shared" ref="G5:G66" si="3">ISBLANK(A5)</f>
        <v>0</v>
      </c>
      <c r="H5" t="b">
        <f t="shared" ref="H5:H66" si="4">ISTEXT(A5)</f>
        <v>0</v>
      </c>
      <c r="I5" s="29">
        <f t="shared" si="2"/>
        <v>39087</v>
      </c>
    </row>
    <row r="6" spans="1:9" ht="25.5" x14ac:dyDescent="0.2">
      <c r="A6" s="28">
        <v>39087</v>
      </c>
      <c r="B6" s="26" t="s">
        <v>4554</v>
      </c>
      <c r="C6" s="26" t="s">
        <v>2460</v>
      </c>
      <c r="D6" s="26">
        <v>20000000</v>
      </c>
      <c r="E6" s="26">
        <v>8135024</v>
      </c>
      <c r="F6" s="26" t="s">
        <v>20</v>
      </c>
      <c r="G6" t="b">
        <f t="shared" si="3"/>
        <v>0</v>
      </c>
      <c r="H6" t="b">
        <f t="shared" si="4"/>
        <v>0</v>
      </c>
      <c r="I6" s="29">
        <f t="shared" si="2"/>
        <v>39087</v>
      </c>
    </row>
    <row r="7" spans="1:9" ht="12.75" customHeight="1" x14ac:dyDescent="0.2">
      <c r="A7" s="28">
        <v>39087</v>
      </c>
      <c r="B7" s="26" t="s">
        <v>4553</v>
      </c>
      <c r="C7" s="26" t="s">
        <v>9</v>
      </c>
      <c r="D7" s="26">
        <v>2400000</v>
      </c>
      <c r="E7" s="26">
        <v>1008849</v>
      </c>
      <c r="F7" s="26">
        <v>1060418</v>
      </c>
      <c r="G7" t="b">
        <f t="shared" si="3"/>
        <v>0</v>
      </c>
      <c r="H7" t="b">
        <f t="shared" si="4"/>
        <v>0</v>
      </c>
      <c r="I7" s="29">
        <f t="shared" si="2"/>
        <v>39087</v>
      </c>
    </row>
    <row r="8" spans="1:9" ht="25.5" x14ac:dyDescent="0.2">
      <c r="A8" s="28">
        <v>39087</v>
      </c>
      <c r="B8" s="26" t="s">
        <v>4552</v>
      </c>
      <c r="C8" s="26" t="s">
        <v>9</v>
      </c>
      <c r="D8" s="26">
        <v>47000000</v>
      </c>
      <c r="E8" s="26">
        <v>15849032</v>
      </c>
      <c r="F8" s="26">
        <v>38344430</v>
      </c>
      <c r="G8" t="b">
        <f t="shared" si="3"/>
        <v>0</v>
      </c>
      <c r="H8" t="b">
        <f t="shared" si="4"/>
        <v>0</v>
      </c>
      <c r="I8" s="29">
        <f t="shared" si="2"/>
        <v>39087</v>
      </c>
    </row>
    <row r="9" spans="1:9" ht="12.75" customHeight="1" x14ac:dyDescent="0.2">
      <c r="A9" s="28">
        <v>39093</v>
      </c>
      <c r="B9" s="26" t="s">
        <v>4551</v>
      </c>
      <c r="C9" s="26" t="s">
        <v>9</v>
      </c>
      <c r="D9" s="26" t="s">
        <v>20</v>
      </c>
      <c r="E9" s="26" t="s">
        <v>20</v>
      </c>
      <c r="F9" s="26">
        <v>3325862</v>
      </c>
      <c r="G9" t="b">
        <f t="shared" si="3"/>
        <v>0</v>
      </c>
      <c r="H9" t="b">
        <f t="shared" si="4"/>
        <v>0</v>
      </c>
      <c r="I9" s="29">
        <f t="shared" si="2"/>
        <v>39093</v>
      </c>
    </row>
    <row r="10" spans="1:9" ht="12.75" customHeight="1" x14ac:dyDescent="0.2">
      <c r="A10" s="28">
        <v>39093</v>
      </c>
      <c r="B10" s="26" t="s">
        <v>4550</v>
      </c>
      <c r="C10" s="26" t="s">
        <v>9</v>
      </c>
      <c r="D10" s="26" t="s">
        <v>20</v>
      </c>
      <c r="E10" s="26" t="s">
        <v>20</v>
      </c>
      <c r="F10" s="26" t="s">
        <v>20</v>
      </c>
      <c r="G10" t="b">
        <f t="shared" si="3"/>
        <v>0</v>
      </c>
      <c r="H10" t="b">
        <f t="shared" si="4"/>
        <v>0</v>
      </c>
      <c r="I10" s="29">
        <f t="shared" si="2"/>
        <v>39093</v>
      </c>
    </row>
    <row r="11" spans="1:9" ht="12.75" customHeight="1" x14ac:dyDescent="0.2">
      <c r="A11" s="28">
        <v>39093</v>
      </c>
      <c r="B11" s="26" t="s">
        <v>4549</v>
      </c>
      <c r="C11" s="26" t="s">
        <v>9</v>
      </c>
      <c r="D11" s="26" t="s">
        <v>20</v>
      </c>
      <c r="E11" s="26" t="s">
        <v>20</v>
      </c>
      <c r="F11" s="26" t="s">
        <v>20</v>
      </c>
      <c r="G11" t="b">
        <f t="shared" si="3"/>
        <v>0</v>
      </c>
      <c r="H11" t="b">
        <f t="shared" si="4"/>
        <v>0</v>
      </c>
      <c r="I11" s="29">
        <f t="shared" si="2"/>
        <v>39093</v>
      </c>
    </row>
    <row r="12" spans="1:9" ht="12.75" customHeight="1" x14ac:dyDescent="0.2">
      <c r="A12" s="28">
        <v>39094</v>
      </c>
      <c r="B12" s="26" t="s">
        <v>4548</v>
      </c>
      <c r="C12" s="26" t="s">
        <v>9</v>
      </c>
      <c r="D12" s="26" t="s">
        <v>20</v>
      </c>
      <c r="E12" s="26">
        <v>2096000</v>
      </c>
      <c r="F12" s="26" t="s">
        <v>20</v>
      </c>
      <c r="G12" t="b">
        <f t="shared" si="3"/>
        <v>0</v>
      </c>
      <c r="H12" t="b">
        <f t="shared" si="4"/>
        <v>0</v>
      </c>
      <c r="I12" s="29">
        <f t="shared" si="2"/>
        <v>39094</v>
      </c>
    </row>
    <row r="13" spans="1:9" ht="12.75" customHeight="1" x14ac:dyDescent="0.2">
      <c r="A13" s="28">
        <v>39094</v>
      </c>
      <c r="B13" s="26" t="s">
        <v>4547</v>
      </c>
      <c r="C13" s="26" t="s">
        <v>2460</v>
      </c>
      <c r="D13" s="26" t="s">
        <v>20</v>
      </c>
      <c r="E13" s="26">
        <v>15242450</v>
      </c>
      <c r="F13" s="26">
        <v>28220442</v>
      </c>
      <c r="G13" t="b">
        <f t="shared" si="3"/>
        <v>0</v>
      </c>
      <c r="H13" t="b">
        <f t="shared" si="4"/>
        <v>0</v>
      </c>
      <c r="I13" s="29">
        <f t="shared" si="2"/>
        <v>39094</v>
      </c>
    </row>
    <row r="14" spans="1:9" ht="51" x14ac:dyDescent="0.2">
      <c r="A14" s="28">
        <v>39094</v>
      </c>
      <c r="B14" s="26" t="s">
        <v>4546</v>
      </c>
      <c r="C14" s="26" t="s">
        <v>9</v>
      </c>
      <c r="D14" s="26" t="s">
        <v>20</v>
      </c>
      <c r="E14" s="26">
        <v>11396</v>
      </c>
      <c r="F14" s="26" t="s">
        <v>20</v>
      </c>
      <c r="G14" t="b">
        <f t="shared" si="3"/>
        <v>0</v>
      </c>
      <c r="H14" t="b">
        <f t="shared" si="4"/>
        <v>0</v>
      </c>
      <c r="I14" s="29">
        <f t="shared" si="2"/>
        <v>39094</v>
      </c>
    </row>
    <row r="15" spans="1:9" ht="38.25" x14ac:dyDescent="0.2">
      <c r="A15" s="28">
        <v>39094</v>
      </c>
      <c r="B15" s="26" t="s">
        <v>4545</v>
      </c>
      <c r="C15" s="26" t="s">
        <v>9</v>
      </c>
      <c r="D15" s="26" t="s">
        <v>20</v>
      </c>
      <c r="E15" s="26">
        <v>2465</v>
      </c>
      <c r="F15" s="26" t="s">
        <v>20</v>
      </c>
      <c r="G15" t="b">
        <f t="shared" si="3"/>
        <v>0</v>
      </c>
      <c r="H15" t="b">
        <f t="shared" si="4"/>
        <v>0</v>
      </c>
      <c r="I15" s="29">
        <f t="shared" si="2"/>
        <v>39094</v>
      </c>
    </row>
    <row r="16" spans="1:9" ht="12.75" customHeight="1" x14ac:dyDescent="0.2">
      <c r="A16" s="28">
        <v>39094</v>
      </c>
      <c r="B16" s="26" t="s">
        <v>4544</v>
      </c>
      <c r="C16" s="26" t="s">
        <v>3390</v>
      </c>
      <c r="D16" s="26" t="s">
        <v>20</v>
      </c>
      <c r="E16" s="26">
        <v>10597734</v>
      </c>
      <c r="F16" s="26">
        <v>11597734</v>
      </c>
      <c r="G16" t="b">
        <f t="shared" si="3"/>
        <v>0</v>
      </c>
      <c r="H16" t="b">
        <f t="shared" si="4"/>
        <v>0</v>
      </c>
      <c r="I16" s="29">
        <f t="shared" si="2"/>
        <v>39094</v>
      </c>
    </row>
    <row r="17" spans="1:9" ht="12.75" customHeight="1" x14ac:dyDescent="0.2">
      <c r="A17" s="28">
        <v>39094</v>
      </c>
      <c r="B17" s="26" t="s">
        <v>4543</v>
      </c>
      <c r="C17" s="26" t="s">
        <v>746</v>
      </c>
      <c r="D17" s="26" t="s">
        <v>20</v>
      </c>
      <c r="E17" s="26">
        <v>75234</v>
      </c>
      <c r="F17" s="26" t="s">
        <v>20</v>
      </c>
      <c r="G17" t="b">
        <f t="shared" si="3"/>
        <v>0</v>
      </c>
      <c r="H17" t="b">
        <f t="shared" si="4"/>
        <v>0</v>
      </c>
      <c r="I17" s="29">
        <f t="shared" si="2"/>
        <v>39094</v>
      </c>
    </row>
    <row r="18" spans="1:9" ht="51" x14ac:dyDescent="0.2">
      <c r="A18" s="28">
        <v>39094</v>
      </c>
      <c r="B18" s="26" t="s">
        <v>4542</v>
      </c>
      <c r="C18" s="26" t="s">
        <v>1053</v>
      </c>
      <c r="D18" s="26" t="s">
        <v>20</v>
      </c>
      <c r="E18" s="26">
        <v>301447</v>
      </c>
      <c r="F18" s="26" t="s">
        <v>20</v>
      </c>
      <c r="G18" t="b">
        <f t="shared" si="3"/>
        <v>0</v>
      </c>
      <c r="H18" t="b">
        <f t="shared" si="4"/>
        <v>0</v>
      </c>
      <c r="I18" s="29">
        <f t="shared" si="2"/>
        <v>39094</v>
      </c>
    </row>
    <row r="19" spans="1:9" ht="12.75" customHeight="1" x14ac:dyDescent="0.2">
      <c r="A19" s="28">
        <v>39094</v>
      </c>
      <c r="B19" s="26" t="s">
        <v>4541</v>
      </c>
      <c r="C19" s="26" t="s">
        <v>2160</v>
      </c>
      <c r="D19" s="26">
        <v>14000000</v>
      </c>
      <c r="E19" s="26">
        <v>61356221</v>
      </c>
      <c r="F19" s="26">
        <v>76356221</v>
      </c>
      <c r="G19" t="b">
        <f t="shared" si="3"/>
        <v>0</v>
      </c>
      <c r="H19" t="b">
        <f t="shared" si="4"/>
        <v>0</v>
      </c>
      <c r="I19" s="29">
        <f t="shared" si="2"/>
        <v>39094</v>
      </c>
    </row>
    <row r="20" spans="1:9" ht="12.75" customHeight="1" x14ac:dyDescent="0.2">
      <c r="A20" s="28">
        <v>39094</v>
      </c>
      <c r="B20" s="26" t="s">
        <v>4540</v>
      </c>
      <c r="C20" s="26" t="s">
        <v>9</v>
      </c>
      <c r="D20" s="26" t="s">
        <v>20</v>
      </c>
      <c r="E20" s="26" t="s">
        <v>20</v>
      </c>
      <c r="F20" s="26" t="s">
        <v>20</v>
      </c>
      <c r="G20" t="b">
        <f t="shared" si="3"/>
        <v>0</v>
      </c>
      <c r="H20" t="b">
        <f t="shared" si="4"/>
        <v>0</v>
      </c>
      <c r="I20" s="29">
        <f t="shared" si="2"/>
        <v>39094</v>
      </c>
    </row>
    <row r="21" spans="1:9" x14ac:dyDescent="0.2">
      <c r="A21" s="28">
        <v>39095</v>
      </c>
      <c r="B21" s="26" t="s">
        <v>4539</v>
      </c>
      <c r="C21" s="26" t="s">
        <v>9</v>
      </c>
      <c r="D21" s="26" t="s">
        <v>20</v>
      </c>
      <c r="E21" s="26" t="s">
        <v>20</v>
      </c>
      <c r="F21" s="26" t="s">
        <v>20</v>
      </c>
      <c r="G21" t="b">
        <f t="shared" si="3"/>
        <v>0</v>
      </c>
      <c r="H21" t="b">
        <f t="shared" si="4"/>
        <v>0</v>
      </c>
      <c r="I21" s="29">
        <f t="shared" si="2"/>
        <v>39095</v>
      </c>
    </row>
    <row r="22" spans="1:9" ht="12.75" customHeight="1" x14ac:dyDescent="0.2">
      <c r="A22" s="28">
        <v>39098</v>
      </c>
      <c r="B22" s="26" t="s">
        <v>4538</v>
      </c>
      <c r="C22" s="26" t="s">
        <v>9</v>
      </c>
      <c r="D22" s="26" t="s">
        <v>20</v>
      </c>
      <c r="E22" s="26" t="s">
        <v>20</v>
      </c>
      <c r="F22" s="26" t="s">
        <v>20</v>
      </c>
      <c r="G22" t="b">
        <f t="shared" si="3"/>
        <v>0</v>
      </c>
      <c r="H22" t="b">
        <f t="shared" si="4"/>
        <v>0</v>
      </c>
      <c r="I22" s="29">
        <f t="shared" si="2"/>
        <v>39098</v>
      </c>
    </row>
    <row r="23" spans="1:9" ht="38.25" x14ac:dyDescent="0.2">
      <c r="A23" s="28">
        <v>39098</v>
      </c>
      <c r="B23" s="26" t="s">
        <v>4537</v>
      </c>
      <c r="C23" s="26" t="s">
        <v>9</v>
      </c>
      <c r="D23" s="26" t="s">
        <v>20</v>
      </c>
      <c r="E23" s="26" t="s">
        <v>20</v>
      </c>
      <c r="F23" s="26" t="s">
        <v>20</v>
      </c>
      <c r="G23" t="b">
        <f t="shared" si="3"/>
        <v>0</v>
      </c>
      <c r="H23" t="b">
        <f t="shared" si="4"/>
        <v>0</v>
      </c>
      <c r="I23" s="29">
        <f t="shared" si="2"/>
        <v>39098</v>
      </c>
    </row>
    <row r="24" spans="1:9" ht="25.5" x14ac:dyDescent="0.2">
      <c r="A24" s="28">
        <v>39098</v>
      </c>
      <c r="B24" s="26" t="s">
        <v>4536</v>
      </c>
      <c r="C24" s="26" t="s">
        <v>9</v>
      </c>
      <c r="D24" s="26" t="s">
        <v>20</v>
      </c>
      <c r="E24" s="26" t="s">
        <v>20</v>
      </c>
      <c r="F24" s="26" t="s">
        <v>20</v>
      </c>
      <c r="G24" t="b">
        <f t="shared" si="3"/>
        <v>0</v>
      </c>
      <c r="H24" t="b">
        <f t="shared" si="4"/>
        <v>0</v>
      </c>
      <c r="I24" s="29">
        <f t="shared" si="2"/>
        <v>39098</v>
      </c>
    </row>
    <row r="25" spans="1:9" ht="12.75" customHeight="1" x14ac:dyDescent="0.2">
      <c r="A25" s="28">
        <v>39098</v>
      </c>
      <c r="B25" s="26" t="s">
        <v>4535</v>
      </c>
      <c r="C25" s="26" t="s">
        <v>9</v>
      </c>
      <c r="D25" s="26" t="s">
        <v>20</v>
      </c>
      <c r="E25" s="26" t="s">
        <v>20</v>
      </c>
      <c r="F25" s="26" t="s">
        <v>20</v>
      </c>
      <c r="G25" t="b">
        <f t="shared" si="3"/>
        <v>0</v>
      </c>
      <c r="H25" t="b">
        <f t="shared" si="4"/>
        <v>0</v>
      </c>
      <c r="I25" s="29">
        <f t="shared" si="2"/>
        <v>39098</v>
      </c>
    </row>
    <row r="26" spans="1:9" ht="12.75" customHeight="1" x14ac:dyDescent="0.2">
      <c r="A26" s="28">
        <v>39099</v>
      </c>
      <c r="B26" s="26" t="s">
        <v>4534</v>
      </c>
      <c r="C26" s="26" t="s">
        <v>3466</v>
      </c>
      <c r="D26" s="26" t="s">
        <v>20</v>
      </c>
      <c r="E26" s="26">
        <v>10787</v>
      </c>
      <c r="F26" s="26" t="s">
        <v>20</v>
      </c>
      <c r="G26" t="b">
        <f t="shared" si="3"/>
        <v>0</v>
      </c>
      <c r="H26" t="b">
        <f t="shared" si="4"/>
        <v>0</v>
      </c>
      <c r="I26" s="29">
        <f t="shared" si="2"/>
        <v>39099</v>
      </c>
    </row>
    <row r="27" spans="1:9" ht="25.5" x14ac:dyDescent="0.2">
      <c r="A27" s="28">
        <v>39099</v>
      </c>
      <c r="B27" s="26" t="s">
        <v>4533</v>
      </c>
      <c r="C27" s="26" t="s">
        <v>9</v>
      </c>
      <c r="D27" s="26" t="s">
        <v>20</v>
      </c>
      <c r="E27" s="26" t="s">
        <v>20</v>
      </c>
      <c r="F27" s="26" t="s">
        <v>20</v>
      </c>
      <c r="G27" t="b">
        <f t="shared" si="3"/>
        <v>0</v>
      </c>
      <c r="H27" t="b">
        <f t="shared" si="4"/>
        <v>0</v>
      </c>
      <c r="I27" s="29">
        <f t="shared" si="2"/>
        <v>39099</v>
      </c>
    </row>
    <row r="28" spans="1:9" ht="12.75" customHeight="1" x14ac:dyDescent="0.2">
      <c r="A28" s="28">
        <v>39100</v>
      </c>
      <c r="B28" s="26" t="s">
        <v>4532</v>
      </c>
      <c r="C28" s="26" t="s">
        <v>9</v>
      </c>
      <c r="D28" s="26" t="s">
        <v>20</v>
      </c>
      <c r="E28" s="26" t="s">
        <v>20</v>
      </c>
      <c r="F28" s="26" t="s">
        <v>20</v>
      </c>
      <c r="G28" t="b">
        <f t="shared" si="3"/>
        <v>0</v>
      </c>
      <c r="H28" t="b">
        <f t="shared" si="4"/>
        <v>0</v>
      </c>
      <c r="I28" s="29">
        <f t="shared" si="2"/>
        <v>39100</v>
      </c>
    </row>
    <row r="29" spans="1:9" ht="12.75" customHeight="1" x14ac:dyDescent="0.2">
      <c r="A29" s="28">
        <v>39100</v>
      </c>
      <c r="B29" s="26" t="s">
        <v>4531</v>
      </c>
      <c r="C29" s="26" t="s">
        <v>9</v>
      </c>
      <c r="D29" s="26" t="s">
        <v>20</v>
      </c>
      <c r="E29" s="26" t="s">
        <v>20</v>
      </c>
      <c r="F29" s="26" t="s">
        <v>20</v>
      </c>
      <c r="G29" t="b">
        <f t="shared" si="3"/>
        <v>0</v>
      </c>
      <c r="H29" t="b">
        <f t="shared" si="4"/>
        <v>0</v>
      </c>
      <c r="I29" s="29">
        <f t="shared" si="2"/>
        <v>39100</v>
      </c>
    </row>
    <row r="30" spans="1:9" ht="38.25" x14ac:dyDescent="0.2">
      <c r="A30" s="28">
        <v>39101</v>
      </c>
      <c r="B30" s="26" t="s">
        <v>4530</v>
      </c>
      <c r="C30" s="26" t="s">
        <v>9</v>
      </c>
      <c r="D30" s="26" t="s">
        <v>20</v>
      </c>
      <c r="E30" s="26" t="s">
        <v>20</v>
      </c>
      <c r="F30" s="26" t="s">
        <v>20</v>
      </c>
      <c r="G30" t="b">
        <f t="shared" si="3"/>
        <v>0</v>
      </c>
      <c r="H30" t="b">
        <f t="shared" si="4"/>
        <v>0</v>
      </c>
      <c r="I30" s="29">
        <f t="shared" si="2"/>
        <v>39101</v>
      </c>
    </row>
    <row r="31" spans="1:9" ht="12.75" customHeight="1" x14ac:dyDescent="0.2">
      <c r="A31" s="28">
        <v>39101</v>
      </c>
      <c r="B31" s="26" t="s">
        <v>4529</v>
      </c>
      <c r="C31" s="26" t="s">
        <v>9</v>
      </c>
      <c r="D31" s="26" t="s">
        <v>20</v>
      </c>
      <c r="E31" s="26" t="s">
        <v>20</v>
      </c>
      <c r="F31" s="26" t="s">
        <v>20</v>
      </c>
      <c r="G31" t="b">
        <f t="shared" si="3"/>
        <v>0</v>
      </c>
      <c r="H31" t="b">
        <f t="shared" si="4"/>
        <v>0</v>
      </c>
      <c r="I31" s="29">
        <f t="shared" si="2"/>
        <v>39101</v>
      </c>
    </row>
    <row r="32" spans="1:9" ht="12.75" customHeight="1" x14ac:dyDescent="0.2">
      <c r="A32" s="28">
        <v>39101</v>
      </c>
      <c r="B32" s="26" t="s">
        <v>4528</v>
      </c>
      <c r="C32" s="26" t="s">
        <v>612</v>
      </c>
      <c r="D32" s="26" t="s">
        <v>20</v>
      </c>
      <c r="E32" s="26">
        <v>552546</v>
      </c>
      <c r="F32" s="26" t="s">
        <v>20</v>
      </c>
      <c r="G32" t="b">
        <f t="shared" si="3"/>
        <v>0</v>
      </c>
      <c r="H32" t="b">
        <f t="shared" si="4"/>
        <v>0</v>
      </c>
      <c r="I32" s="29">
        <f t="shared" si="2"/>
        <v>39101</v>
      </c>
    </row>
    <row r="33" spans="1:9" ht="25.5" x14ac:dyDescent="0.2">
      <c r="A33" s="28">
        <v>39101</v>
      </c>
      <c r="B33" s="26" t="s">
        <v>4527</v>
      </c>
      <c r="C33" s="26" t="s">
        <v>9</v>
      </c>
      <c r="D33" s="26" t="s">
        <v>20</v>
      </c>
      <c r="E33" s="26" t="s">
        <v>20</v>
      </c>
      <c r="F33" s="26" t="s">
        <v>20</v>
      </c>
      <c r="G33" t="b">
        <f t="shared" si="3"/>
        <v>0</v>
      </c>
      <c r="H33" t="b">
        <f t="shared" si="4"/>
        <v>0</v>
      </c>
      <c r="I33" s="29">
        <f t="shared" si="2"/>
        <v>39101</v>
      </c>
    </row>
    <row r="34" spans="1:9" ht="12.75" customHeight="1" x14ac:dyDescent="0.2">
      <c r="A34" s="28">
        <v>39101</v>
      </c>
      <c r="B34" s="26" t="s">
        <v>4526</v>
      </c>
      <c r="C34" s="26" t="s">
        <v>698</v>
      </c>
      <c r="D34" s="26" t="s">
        <v>20</v>
      </c>
      <c r="E34" s="26">
        <v>16379582</v>
      </c>
      <c r="F34" s="26">
        <v>20855646</v>
      </c>
      <c r="G34" t="b">
        <f t="shared" si="3"/>
        <v>0</v>
      </c>
      <c r="H34" t="b">
        <f t="shared" si="4"/>
        <v>0</v>
      </c>
      <c r="I34" s="29">
        <f t="shared" si="2"/>
        <v>39101</v>
      </c>
    </row>
    <row r="35" spans="1:9" ht="12.75" customHeight="1" x14ac:dyDescent="0.2">
      <c r="A35" s="28">
        <v>39101</v>
      </c>
      <c r="B35" s="26" t="s">
        <v>4525</v>
      </c>
      <c r="C35" s="26" t="s">
        <v>9</v>
      </c>
      <c r="D35" s="26" t="s">
        <v>20</v>
      </c>
      <c r="E35" s="26" t="s">
        <v>20</v>
      </c>
      <c r="F35" s="26" t="s">
        <v>20</v>
      </c>
      <c r="G35" t="b">
        <f t="shared" si="3"/>
        <v>0</v>
      </c>
      <c r="H35" t="b">
        <f t="shared" si="4"/>
        <v>0</v>
      </c>
      <c r="I35" s="29">
        <f t="shared" si="2"/>
        <v>39101</v>
      </c>
    </row>
    <row r="36" spans="1:9" ht="12.75" customHeight="1" x14ac:dyDescent="0.2">
      <c r="A36" s="28">
        <v>39101</v>
      </c>
      <c r="B36" s="26" t="s">
        <v>4524</v>
      </c>
      <c r="C36" s="26" t="s">
        <v>9</v>
      </c>
      <c r="D36" s="26" t="s">
        <v>20</v>
      </c>
      <c r="E36" s="26">
        <v>12185</v>
      </c>
      <c r="F36" s="26" t="s">
        <v>20</v>
      </c>
      <c r="G36" t="b">
        <f t="shared" si="3"/>
        <v>0</v>
      </c>
      <c r="H36" t="b">
        <f t="shared" si="4"/>
        <v>0</v>
      </c>
      <c r="I36" s="29">
        <f t="shared" si="2"/>
        <v>39101</v>
      </c>
    </row>
    <row r="37" spans="1:9" ht="12.75" customHeight="1" x14ac:dyDescent="0.2">
      <c r="A37" s="28">
        <v>39101</v>
      </c>
      <c r="B37" s="26" t="s">
        <v>4523</v>
      </c>
      <c r="C37" s="26" t="s">
        <v>9</v>
      </c>
      <c r="D37" s="26" t="s">
        <v>20</v>
      </c>
      <c r="E37" s="26" t="s">
        <v>20</v>
      </c>
      <c r="F37" s="26" t="s">
        <v>20</v>
      </c>
      <c r="G37" t="b">
        <f t="shared" si="3"/>
        <v>0</v>
      </c>
      <c r="H37" t="b">
        <f t="shared" si="4"/>
        <v>0</v>
      </c>
      <c r="I37" s="29">
        <f t="shared" si="2"/>
        <v>39101</v>
      </c>
    </row>
    <row r="38" spans="1:9" x14ac:dyDescent="0.2">
      <c r="A38" s="28">
        <v>39103</v>
      </c>
      <c r="B38" s="26" t="s">
        <v>4522</v>
      </c>
      <c r="C38" s="26" t="s">
        <v>9</v>
      </c>
      <c r="D38" s="26" t="s">
        <v>20</v>
      </c>
      <c r="E38" s="26">
        <v>60234</v>
      </c>
      <c r="F38" s="26" t="s">
        <v>20</v>
      </c>
      <c r="G38" t="b">
        <f t="shared" si="3"/>
        <v>0</v>
      </c>
      <c r="H38" t="b">
        <f t="shared" si="4"/>
        <v>0</v>
      </c>
      <c r="I38" s="29">
        <f t="shared" si="2"/>
        <v>39103</v>
      </c>
    </row>
    <row r="39" spans="1:9" ht="12.75" customHeight="1" x14ac:dyDescent="0.2">
      <c r="A39" s="28">
        <v>39103</v>
      </c>
      <c r="B39" s="26" t="s">
        <v>4521</v>
      </c>
      <c r="C39" s="26" t="s">
        <v>9</v>
      </c>
      <c r="D39" s="26" t="s">
        <v>20</v>
      </c>
      <c r="E39" s="26" t="s">
        <v>20</v>
      </c>
      <c r="F39" s="26" t="s">
        <v>20</v>
      </c>
      <c r="G39" t="b">
        <f t="shared" si="3"/>
        <v>0</v>
      </c>
      <c r="H39" t="b">
        <f t="shared" si="4"/>
        <v>0</v>
      </c>
      <c r="I39" s="29">
        <f t="shared" si="2"/>
        <v>39103</v>
      </c>
    </row>
    <row r="40" spans="1:9" ht="25.5" x14ac:dyDescent="0.2">
      <c r="A40" s="28">
        <v>39103</v>
      </c>
      <c r="B40" s="26" t="s">
        <v>4520</v>
      </c>
      <c r="C40" s="26" t="s">
        <v>9</v>
      </c>
      <c r="D40" s="26" t="s">
        <v>20</v>
      </c>
      <c r="E40" s="26">
        <v>32203</v>
      </c>
      <c r="F40" s="26" t="s">
        <v>20</v>
      </c>
      <c r="G40" t="b">
        <f t="shared" si="3"/>
        <v>0</v>
      </c>
      <c r="H40" t="b">
        <f t="shared" si="4"/>
        <v>0</v>
      </c>
      <c r="I40" s="29">
        <f t="shared" si="2"/>
        <v>39103</v>
      </c>
    </row>
    <row r="41" spans="1:9" ht="25.5" x14ac:dyDescent="0.2">
      <c r="A41" s="28">
        <v>39104</v>
      </c>
      <c r="B41" s="26" t="s">
        <v>4519</v>
      </c>
      <c r="C41" s="26" t="s">
        <v>9</v>
      </c>
      <c r="D41" s="26" t="s">
        <v>20</v>
      </c>
      <c r="E41" s="26" t="s">
        <v>20</v>
      </c>
      <c r="F41" s="26" t="s">
        <v>20</v>
      </c>
      <c r="G41" t="b">
        <f t="shared" si="3"/>
        <v>0</v>
      </c>
      <c r="H41" t="b">
        <f t="shared" si="4"/>
        <v>0</v>
      </c>
      <c r="I41" s="29">
        <f t="shared" si="2"/>
        <v>39104</v>
      </c>
    </row>
    <row r="42" spans="1:9" ht="25.5" x14ac:dyDescent="0.2">
      <c r="A42" s="28">
        <v>39105</v>
      </c>
      <c r="B42" s="26" t="s">
        <v>4518</v>
      </c>
      <c r="C42" s="26" t="s">
        <v>9</v>
      </c>
      <c r="D42" s="26" t="s">
        <v>20</v>
      </c>
      <c r="E42" s="26" t="s">
        <v>20</v>
      </c>
      <c r="F42" s="26" t="s">
        <v>20</v>
      </c>
      <c r="G42" t="b">
        <f t="shared" si="3"/>
        <v>0</v>
      </c>
      <c r="H42" t="b">
        <f t="shared" si="4"/>
        <v>0</v>
      </c>
      <c r="I42" s="29">
        <f t="shared" si="2"/>
        <v>39105</v>
      </c>
    </row>
    <row r="43" spans="1:9" ht="25.5" x14ac:dyDescent="0.2">
      <c r="A43" s="28">
        <v>39105</v>
      </c>
      <c r="B43" s="26" t="s">
        <v>4517</v>
      </c>
      <c r="C43" s="26" t="s">
        <v>9</v>
      </c>
      <c r="D43" s="26" t="s">
        <v>20</v>
      </c>
      <c r="E43" s="26" t="s">
        <v>20</v>
      </c>
      <c r="F43" s="26" t="s">
        <v>20</v>
      </c>
      <c r="G43" t="b">
        <f t="shared" si="3"/>
        <v>0</v>
      </c>
      <c r="H43" t="b">
        <f t="shared" si="4"/>
        <v>0</v>
      </c>
      <c r="I43" s="29">
        <f t="shared" si="2"/>
        <v>39105</v>
      </c>
    </row>
    <row r="44" spans="1:9" ht="25.5" x14ac:dyDescent="0.2">
      <c r="A44" s="28">
        <v>39107</v>
      </c>
      <c r="B44" s="26" t="s">
        <v>4516</v>
      </c>
      <c r="C44" s="26" t="s">
        <v>9</v>
      </c>
      <c r="D44" s="26" t="s">
        <v>20</v>
      </c>
      <c r="E44" s="26" t="s">
        <v>20</v>
      </c>
      <c r="F44" s="26" t="s">
        <v>20</v>
      </c>
      <c r="G44" t="b">
        <f t="shared" si="3"/>
        <v>0</v>
      </c>
      <c r="H44" t="b">
        <f t="shared" si="4"/>
        <v>0</v>
      </c>
      <c r="I44" s="29">
        <f t="shared" si="2"/>
        <v>39107</v>
      </c>
    </row>
    <row r="45" spans="1:9" ht="25.5" x14ac:dyDescent="0.2">
      <c r="A45" s="28">
        <v>39107</v>
      </c>
      <c r="B45" s="26" t="s">
        <v>4515</v>
      </c>
      <c r="C45" s="26" t="s">
        <v>647</v>
      </c>
      <c r="D45" s="26" t="s">
        <v>20</v>
      </c>
      <c r="E45" s="26">
        <v>1852050</v>
      </c>
      <c r="F45" s="26" t="s">
        <v>20</v>
      </c>
      <c r="G45" t="b">
        <f t="shared" si="3"/>
        <v>0</v>
      </c>
      <c r="H45" t="b">
        <f t="shared" si="4"/>
        <v>0</v>
      </c>
      <c r="I45" s="29">
        <f t="shared" si="2"/>
        <v>39107</v>
      </c>
    </row>
    <row r="46" spans="1:9" ht="25.5" x14ac:dyDescent="0.2">
      <c r="A46" s="28">
        <v>39108</v>
      </c>
      <c r="B46" s="26" t="s">
        <v>4514</v>
      </c>
      <c r="C46" s="26" t="s">
        <v>2779</v>
      </c>
      <c r="D46" s="26" t="s">
        <v>20</v>
      </c>
      <c r="E46" s="26">
        <v>3526588</v>
      </c>
      <c r="F46" s="26" t="s">
        <v>20</v>
      </c>
      <c r="G46" t="b">
        <f t="shared" si="3"/>
        <v>0</v>
      </c>
      <c r="H46" t="b">
        <f t="shared" si="4"/>
        <v>0</v>
      </c>
      <c r="I46" s="29">
        <f t="shared" si="2"/>
        <v>39108</v>
      </c>
    </row>
    <row r="47" spans="1:9" ht="12.75" customHeight="1" x14ac:dyDescent="0.2">
      <c r="A47" s="28">
        <v>39108</v>
      </c>
      <c r="B47" s="26" t="s">
        <v>4513</v>
      </c>
      <c r="C47" s="26" t="s">
        <v>384</v>
      </c>
      <c r="D47" s="26">
        <v>20000000</v>
      </c>
      <c r="E47" s="26">
        <v>39739367</v>
      </c>
      <c r="F47" s="26">
        <v>86858578</v>
      </c>
      <c r="G47" t="b">
        <f t="shared" si="3"/>
        <v>0</v>
      </c>
      <c r="H47" t="b">
        <f t="shared" si="4"/>
        <v>0</v>
      </c>
      <c r="I47" s="29">
        <f t="shared" si="2"/>
        <v>39108</v>
      </c>
    </row>
    <row r="48" spans="1:9" ht="25.5" x14ac:dyDescent="0.2">
      <c r="A48" s="28">
        <v>39108</v>
      </c>
      <c r="B48" s="26" t="s">
        <v>4512</v>
      </c>
      <c r="C48" s="26" t="s">
        <v>2160</v>
      </c>
      <c r="D48" s="26" t="s">
        <v>20</v>
      </c>
      <c r="E48" s="26">
        <v>15432542</v>
      </c>
      <c r="F48" s="26" t="s">
        <v>20</v>
      </c>
      <c r="G48" t="b">
        <f t="shared" si="3"/>
        <v>0</v>
      </c>
      <c r="H48" t="b">
        <f t="shared" si="4"/>
        <v>0</v>
      </c>
      <c r="I48" s="29">
        <f t="shared" si="2"/>
        <v>39108</v>
      </c>
    </row>
    <row r="49" spans="1:9" ht="12.75" customHeight="1" x14ac:dyDescent="0.2">
      <c r="A49" s="28">
        <v>39108</v>
      </c>
      <c r="B49" s="26" t="s">
        <v>4511</v>
      </c>
      <c r="C49" s="26" t="s">
        <v>9</v>
      </c>
      <c r="D49" s="26" t="s">
        <v>20</v>
      </c>
      <c r="E49" s="26">
        <v>2844</v>
      </c>
      <c r="F49" s="26" t="s">
        <v>20</v>
      </c>
      <c r="G49" t="b">
        <f t="shared" si="3"/>
        <v>0</v>
      </c>
      <c r="H49" t="b">
        <f t="shared" si="4"/>
        <v>0</v>
      </c>
      <c r="I49" s="29">
        <f t="shared" si="2"/>
        <v>39108</v>
      </c>
    </row>
    <row r="50" spans="1:9" ht="25.5" x14ac:dyDescent="0.2">
      <c r="A50" s="28">
        <v>39108</v>
      </c>
      <c r="B50" s="26" t="s">
        <v>4510</v>
      </c>
      <c r="C50" s="26" t="s">
        <v>9</v>
      </c>
      <c r="D50" s="26" t="s">
        <v>20</v>
      </c>
      <c r="E50" s="26">
        <v>23442</v>
      </c>
      <c r="F50" s="26" t="s">
        <v>20</v>
      </c>
      <c r="G50" t="b">
        <f t="shared" si="3"/>
        <v>0</v>
      </c>
      <c r="H50" t="b">
        <f t="shared" si="4"/>
        <v>0</v>
      </c>
      <c r="I50" s="29">
        <f t="shared" si="2"/>
        <v>39108</v>
      </c>
    </row>
    <row r="51" spans="1:9" ht="12.75" customHeight="1" x14ac:dyDescent="0.2">
      <c r="A51" s="28">
        <v>39108</v>
      </c>
      <c r="B51" s="26" t="s">
        <v>4509</v>
      </c>
      <c r="C51" s="26" t="s">
        <v>9</v>
      </c>
      <c r="D51" s="26" t="s">
        <v>20</v>
      </c>
      <c r="E51" s="26" t="s">
        <v>20</v>
      </c>
      <c r="F51" s="26" t="s">
        <v>20</v>
      </c>
      <c r="G51" t="b">
        <f t="shared" si="3"/>
        <v>0</v>
      </c>
      <c r="H51" t="b">
        <f t="shared" si="4"/>
        <v>0</v>
      </c>
      <c r="I51" s="29">
        <f t="shared" si="2"/>
        <v>39108</v>
      </c>
    </row>
    <row r="52" spans="1:9" ht="25.5" x14ac:dyDescent="0.2">
      <c r="A52" s="28">
        <v>39108</v>
      </c>
      <c r="B52" s="26" t="s">
        <v>4508</v>
      </c>
      <c r="C52" s="26" t="s">
        <v>9</v>
      </c>
      <c r="D52" s="26" t="s">
        <v>20</v>
      </c>
      <c r="E52" s="26" t="s">
        <v>20</v>
      </c>
      <c r="F52" s="26" t="s">
        <v>20</v>
      </c>
      <c r="G52" t="b">
        <f t="shared" si="3"/>
        <v>0</v>
      </c>
      <c r="H52" t="b">
        <f t="shared" si="4"/>
        <v>0</v>
      </c>
      <c r="I52" s="29">
        <f t="shared" si="2"/>
        <v>39108</v>
      </c>
    </row>
    <row r="53" spans="1:9" ht="12.75" customHeight="1" x14ac:dyDescent="0.2">
      <c r="A53" s="28">
        <v>39108</v>
      </c>
      <c r="B53" s="26" t="s">
        <v>4507</v>
      </c>
      <c r="C53" s="26" t="s">
        <v>9</v>
      </c>
      <c r="D53" s="26" t="s">
        <v>20</v>
      </c>
      <c r="E53" s="26">
        <v>8593</v>
      </c>
      <c r="F53" s="26" t="s">
        <v>20</v>
      </c>
      <c r="G53" t="b">
        <f t="shared" si="3"/>
        <v>0</v>
      </c>
      <c r="H53" t="b">
        <f t="shared" si="4"/>
        <v>0</v>
      </c>
      <c r="I53" s="29">
        <f t="shared" si="2"/>
        <v>39108</v>
      </c>
    </row>
    <row r="54" spans="1:9" ht="12.75" customHeight="1" x14ac:dyDescent="0.2">
      <c r="A54" s="28">
        <v>39108</v>
      </c>
      <c r="B54" s="26" t="s">
        <v>4506</v>
      </c>
      <c r="C54" s="26" t="s">
        <v>3096</v>
      </c>
      <c r="D54" s="26">
        <v>17000000</v>
      </c>
      <c r="E54" s="26">
        <v>35662731</v>
      </c>
      <c r="F54" s="26">
        <v>56047261</v>
      </c>
      <c r="G54" t="b">
        <f t="shared" si="3"/>
        <v>0</v>
      </c>
      <c r="H54" t="b">
        <f t="shared" si="4"/>
        <v>0</v>
      </c>
      <c r="I54" s="29">
        <f t="shared" si="2"/>
        <v>39108</v>
      </c>
    </row>
    <row r="55" spans="1:9" ht="12.75" customHeight="1" x14ac:dyDescent="0.2">
      <c r="A55" s="28">
        <v>39108</v>
      </c>
      <c r="B55" s="26" t="s">
        <v>4505</v>
      </c>
      <c r="C55" s="26" t="s">
        <v>9</v>
      </c>
      <c r="D55" s="26" t="s">
        <v>20</v>
      </c>
      <c r="E55" s="26">
        <v>418296</v>
      </c>
      <c r="F55" s="26" t="s">
        <v>20</v>
      </c>
      <c r="G55" t="b">
        <f t="shared" si="3"/>
        <v>0</v>
      </c>
      <c r="H55" t="b">
        <f t="shared" si="4"/>
        <v>0</v>
      </c>
      <c r="I55" s="29">
        <f t="shared" si="2"/>
        <v>39108</v>
      </c>
    </row>
    <row r="56" spans="1:9" ht="12.75" customHeight="1" x14ac:dyDescent="0.2">
      <c r="A56" s="28">
        <v>39109</v>
      </c>
      <c r="B56" s="26" t="s">
        <v>4504</v>
      </c>
      <c r="C56" s="26" t="s">
        <v>9</v>
      </c>
      <c r="D56" s="26" t="s">
        <v>20</v>
      </c>
      <c r="E56" s="26" t="s">
        <v>20</v>
      </c>
      <c r="F56" s="26" t="s">
        <v>20</v>
      </c>
      <c r="G56" t="b">
        <f t="shared" si="3"/>
        <v>0</v>
      </c>
      <c r="H56" t="b">
        <f t="shared" si="4"/>
        <v>0</v>
      </c>
      <c r="I56" s="29">
        <f t="shared" si="2"/>
        <v>39109</v>
      </c>
    </row>
    <row r="57" spans="1:9" ht="38.25" x14ac:dyDescent="0.2">
      <c r="A57" s="28">
        <v>39112</v>
      </c>
      <c r="B57" s="26" t="s">
        <v>4503</v>
      </c>
      <c r="C57" s="26" t="s">
        <v>9</v>
      </c>
      <c r="D57" s="26" t="s">
        <v>20</v>
      </c>
      <c r="E57" s="26" t="s">
        <v>20</v>
      </c>
      <c r="F57" s="26" t="s">
        <v>20</v>
      </c>
      <c r="G57" t="b">
        <f t="shared" si="3"/>
        <v>0</v>
      </c>
      <c r="H57" t="b">
        <f t="shared" si="4"/>
        <v>0</v>
      </c>
      <c r="I57" s="29">
        <f t="shared" si="2"/>
        <v>39112</v>
      </c>
    </row>
    <row r="58" spans="1:9" ht="12.75" customHeight="1" x14ac:dyDescent="0.2">
      <c r="A58" s="28">
        <v>39112</v>
      </c>
      <c r="B58" s="26" t="s">
        <v>4502</v>
      </c>
      <c r="C58" s="26" t="s">
        <v>49</v>
      </c>
      <c r="D58" s="26" t="s">
        <v>20</v>
      </c>
      <c r="E58" s="26" t="s">
        <v>20</v>
      </c>
      <c r="F58" s="26" t="s">
        <v>20</v>
      </c>
      <c r="G58" t="b">
        <f t="shared" si="3"/>
        <v>0</v>
      </c>
      <c r="H58" t="b">
        <f t="shared" si="4"/>
        <v>0</v>
      </c>
      <c r="I58" s="29">
        <f t="shared" si="2"/>
        <v>39112</v>
      </c>
    </row>
    <row r="59" spans="1:9" ht="51" x14ac:dyDescent="0.2">
      <c r="A59" s="28">
        <v>39112</v>
      </c>
      <c r="B59" s="26" t="s">
        <v>4501</v>
      </c>
      <c r="C59" s="26" t="s">
        <v>9</v>
      </c>
      <c r="D59" s="26" t="s">
        <v>20</v>
      </c>
      <c r="E59" s="26" t="s">
        <v>20</v>
      </c>
      <c r="F59" s="26" t="s">
        <v>20</v>
      </c>
      <c r="G59" t="b">
        <f t="shared" si="3"/>
        <v>0</v>
      </c>
      <c r="H59" t="b">
        <f t="shared" si="4"/>
        <v>0</v>
      </c>
      <c r="I59" s="29">
        <f t="shared" si="2"/>
        <v>39112</v>
      </c>
    </row>
    <row r="60" spans="1:9" ht="25.5" x14ac:dyDescent="0.2">
      <c r="A60" s="28">
        <v>39112</v>
      </c>
      <c r="B60" s="26" t="s">
        <v>4500</v>
      </c>
      <c r="C60" s="26" t="s">
        <v>3233</v>
      </c>
      <c r="D60" s="26">
        <v>5000000</v>
      </c>
      <c r="E60" s="26" t="s">
        <v>20</v>
      </c>
      <c r="F60" s="26" t="s">
        <v>20</v>
      </c>
      <c r="G60" t="b">
        <f t="shared" si="3"/>
        <v>0</v>
      </c>
      <c r="H60" t="b">
        <f t="shared" si="4"/>
        <v>0</v>
      </c>
      <c r="I60" s="29">
        <f t="shared" si="2"/>
        <v>39112</v>
      </c>
    </row>
    <row r="61" spans="1:9" ht="12.75" customHeight="1" x14ac:dyDescent="0.2">
      <c r="A61" s="28">
        <v>39112</v>
      </c>
      <c r="B61" s="26" t="s">
        <v>4499</v>
      </c>
      <c r="C61" s="26" t="s">
        <v>9</v>
      </c>
      <c r="D61" s="26" t="s">
        <v>20</v>
      </c>
      <c r="E61" s="26" t="s">
        <v>20</v>
      </c>
      <c r="F61" s="26" t="s">
        <v>20</v>
      </c>
      <c r="G61" t="b">
        <f t="shared" si="3"/>
        <v>0</v>
      </c>
      <c r="H61" t="b">
        <f t="shared" si="4"/>
        <v>0</v>
      </c>
      <c r="I61" s="29">
        <f t="shared" si="2"/>
        <v>39112</v>
      </c>
    </row>
    <row r="62" spans="1:9" ht="12.75" customHeight="1" x14ac:dyDescent="0.2">
      <c r="A62" s="28">
        <v>39113</v>
      </c>
      <c r="B62" s="26" t="s">
        <v>4498</v>
      </c>
      <c r="C62" s="26" t="s">
        <v>9</v>
      </c>
      <c r="D62" s="26" t="s">
        <v>20</v>
      </c>
      <c r="E62" s="26">
        <v>94901</v>
      </c>
      <c r="F62" s="26" t="s">
        <v>20</v>
      </c>
      <c r="G62" t="b">
        <f t="shared" si="3"/>
        <v>0</v>
      </c>
      <c r="H62" t="b">
        <f t="shared" si="4"/>
        <v>0</v>
      </c>
      <c r="I62" s="29">
        <f t="shared" si="2"/>
        <v>39113</v>
      </c>
    </row>
    <row r="63" spans="1:9" ht="25.5" x14ac:dyDescent="0.2">
      <c r="A63" s="28">
        <v>39113</v>
      </c>
      <c r="B63" s="26" t="s">
        <v>4497</v>
      </c>
      <c r="C63" s="26" t="s">
        <v>9</v>
      </c>
      <c r="D63" s="26" t="s">
        <v>20</v>
      </c>
      <c r="E63" s="26">
        <v>176647</v>
      </c>
      <c r="F63" s="26" t="s">
        <v>20</v>
      </c>
      <c r="G63" t="b">
        <f t="shared" si="3"/>
        <v>0</v>
      </c>
      <c r="H63" t="b">
        <f t="shared" si="4"/>
        <v>0</v>
      </c>
      <c r="I63" s="29">
        <f t="shared" si="2"/>
        <v>39113</v>
      </c>
    </row>
    <row r="64" spans="1:9" ht="25.5" x14ac:dyDescent="0.2">
      <c r="A64" s="28">
        <v>39114</v>
      </c>
      <c r="B64" s="26" t="s">
        <v>4496</v>
      </c>
      <c r="C64" s="26" t="s">
        <v>9</v>
      </c>
      <c r="D64" s="26" t="s">
        <v>20</v>
      </c>
      <c r="E64" s="26" t="s">
        <v>20</v>
      </c>
      <c r="F64" s="26" t="s">
        <v>20</v>
      </c>
      <c r="G64" t="b">
        <f t="shared" si="3"/>
        <v>0</v>
      </c>
      <c r="H64" t="b">
        <f t="shared" si="4"/>
        <v>0</v>
      </c>
      <c r="I64" s="29">
        <f t="shared" si="2"/>
        <v>39114</v>
      </c>
    </row>
    <row r="65" spans="1:9" ht="12.75" customHeight="1" x14ac:dyDescent="0.2">
      <c r="A65" s="28">
        <v>39114</v>
      </c>
      <c r="B65" s="26" t="s">
        <v>4495</v>
      </c>
      <c r="C65" s="26" t="s">
        <v>9</v>
      </c>
      <c r="D65" s="26" t="s">
        <v>20</v>
      </c>
      <c r="E65" s="26" t="s">
        <v>20</v>
      </c>
      <c r="F65" s="26" t="s">
        <v>20</v>
      </c>
      <c r="G65" t="b">
        <f t="shared" si="3"/>
        <v>0</v>
      </c>
      <c r="H65" t="b">
        <f t="shared" si="4"/>
        <v>0</v>
      </c>
      <c r="I65" s="29">
        <f t="shared" si="2"/>
        <v>39114</v>
      </c>
    </row>
    <row r="66" spans="1:9" ht="38.25" x14ac:dyDescent="0.2">
      <c r="A66" s="28">
        <v>39115</v>
      </c>
      <c r="B66" s="26" t="s">
        <v>4494</v>
      </c>
      <c r="C66" s="26" t="s">
        <v>9</v>
      </c>
      <c r="D66" s="26" t="s">
        <v>20</v>
      </c>
      <c r="E66" s="26" t="s">
        <v>20</v>
      </c>
      <c r="F66" s="26" t="s">
        <v>20</v>
      </c>
      <c r="G66" t="b">
        <f t="shared" si="3"/>
        <v>0</v>
      </c>
      <c r="H66" t="b">
        <f t="shared" si="4"/>
        <v>0</v>
      </c>
      <c r="I66" s="29">
        <f t="shared" si="2"/>
        <v>39115</v>
      </c>
    </row>
    <row r="67" spans="1:9" ht="12.75" customHeight="1" x14ac:dyDescent="0.2">
      <c r="A67" s="28">
        <v>39115</v>
      </c>
      <c r="B67" s="26" t="s">
        <v>4493</v>
      </c>
      <c r="C67" s="26" t="s">
        <v>9</v>
      </c>
      <c r="D67" s="26" t="s">
        <v>20</v>
      </c>
      <c r="E67" s="26">
        <v>48896</v>
      </c>
      <c r="F67" s="26" t="s">
        <v>20</v>
      </c>
      <c r="G67" t="b">
        <f t="shared" ref="G67:G130" si="5">ISBLANK(A67)</f>
        <v>0</v>
      </c>
      <c r="H67" t="b">
        <f t="shared" ref="H67:H130" si="6">ISTEXT(A67)</f>
        <v>0</v>
      </c>
      <c r="I67" s="29">
        <f t="shared" ref="I67:I130" si="7">DATE(2007,MONTH(A67), DAY(A67))</f>
        <v>39115</v>
      </c>
    </row>
    <row r="68" spans="1:9" ht="12.75" customHeight="1" x14ac:dyDescent="0.2">
      <c r="A68" s="28">
        <v>39115</v>
      </c>
      <c r="B68" s="26" t="s">
        <v>4492</v>
      </c>
      <c r="C68" s="26" t="s">
        <v>9</v>
      </c>
      <c r="D68" s="26">
        <v>10000000</v>
      </c>
      <c r="E68" s="26" t="s">
        <v>20</v>
      </c>
      <c r="F68" s="26" t="s">
        <v>20</v>
      </c>
      <c r="G68" t="b">
        <f t="shared" si="5"/>
        <v>0</v>
      </c>
      <c r="H68" t="b">
        <f t="shared" si="6"/>
        <v>0</v>
      </c>
      <c r="I68" s="29">
        <f t="shared" si="7"/>
        <v>39115</v>
      </c>
    </row>
    <row r="69" spans="1:9" ht="12.75" customHeight="1" x14ac:dyDescent="0.2">
      <c r="A69" s="28">
        <v>39115</v>
      </c>
      <c r="B69" s="26" t="s">
        <v>4491</v>
      </c>
      <c r="C69" s="26" t="s">
        <v>2160</v>
      </c>
      <c r="D69" s="26" t="s">
        <v>20</v>
      </c>
      <c r="E69" s="26">
        <v>35374833</v>
      </c>
      <c r="F69" s="26">
        <v>53774833</v>
      </c>
      <c r="G69" t="b">
        <f t="shared" si="5"/>
        <v>0</v>
      </c>
      <c r="H69" t="b">
        <f t="shared" si="6"/>
        <v>0</v>
      </c>
      <c r="I69" s="29">
        <f t="shared" si="7"/>
        <v>39115</v>
      </c>
    </row>
    <row r="70" spans="1:9" ht="12.75" customHeight="1" x14ac:dyDescent="0.2">
      <c r="A70" s="28">
        <v>39115</v>
      </c>
      <c r="B70" s="26" t="s">
        <v>4490</v>
      </c>
      <c r="C70" s="26" t="s">
        <v>9</v>
      </c>
      <c r="D70" s="26" t="s">
        <v>20</v>
      </c>
      <c r="E70" s="26" t="s">
        <v>20</v>
      </c>
      <c r="F70" s="26" t="s">
        <v>20</v>
      </c>
      <c r="G70" t="b">
        <f t="shared" si="5"/>
        <v>0</v>
      </c>
      <c r="H70" t="b">
        <f t="shared" si="6"/>
        <v>0</v>
      </c>
      <c r="I70" s="29">
        <f t="shared" si="7"/>
        <v>39115</v>
      </c>
    </row>
    <row r="71" spans="1:9" ht="25.5" x14ac:dyDescent="0.2">
      <c r="A71" s="28">
        <v>39115</v>
      </c>
      <c r="B71" s="26" t="s">
        <v>4489</v>
      </c>
      <c r="C71" s="26" t="s">
        <v>9</v>
      </c>
      <c r="D71" s="26" t="s">
        <v>20</v>
      </c>
      <c r="E71" s="26" t="s">
        <v>20</v>
      </c>
      <c r="F71" s="26" t="s">
        <v>20</v>
      </c>
      <c r="G71" t="b">
        <f t="shared" si="5"/>
        <v>0</v>
      </c>
      <c r="H71" t="b">
        <f t="shared" si="6"/>
        <v>0</v>
      </c>
      <c r="I71" s="29">
        <f t="shared" si="7"/>
        <v>39115</v>
      </c>
    </row>
    <row r="72" spans="1:9" ht="12.75" customHeight="1" x14ac:dyDescent="0.2">
      <c r="A72" s="28">
        <v>39115</v>
      </c>
      <c r="B72" s="26" t="s">
        <v>4488</v>
      </c>
      <c r="C72" s="26" t="s">
        <v>9</v>
      </c>
      <c r="D72" s="26" t="s">
        <v>20</v>
      </c>
      <c r="E72" s="26" t="s">
        <v>20</v>
      </c>
      <c r="F72" s="26" t="s">
        <v>20</v>
      </c>
      <c r="G72" t="b">
        <f t="shared" si="5"/>
        <v>0</v>
      </c>
      <c r="H72" t="b">
        <f t="shared" si="6"/>
        <v>0</v>
      </c>
      <c r="I72" s="29">
        <f t="shared" si="7"/>
        <v>39115</v>
      </c>
    </row>
    <row r="73" spans="1:9" ht="12.75" customHeight="1" x14ac:dyDescent="0.2">
      <c r="A73" s="28">
        <v>39115</v>
      </c>
      <c r="B73" s="26" t="s">
        <v>4487</v>
      </c>
      <c r="C73" s="26" t="s">
        <v>9</v>
      </c>
      <c r="D73" s="26" t="s">
        <v>20</v>
      </c>
      <c r="E73" s="26" t="s">
        <v>20</v>
      </c>
      <c r="F73" s="26">
        <v>16400000</v>
      </c>
      <c r="G73" t="b">
        <f t="shared" si="5"/>
        <v>0</v>
      </c>
      <c r="H73" t="b">
        <f t="shared" si="6"/>
        <v>0</v>
      </c>
      <c r="I73" s="29">
        <f t="shared" si="7"/>
        <v>39115</v>
      </c>
    </row>
    <row r="74" spans="1:9" ht="12.75" customHeight="1" x14ac:dyDescent="0.2">
      <c r="A74" s="28">
        <v>39115</v>
      </c>
      <c r="B74" s="26" t="s">
        <v>4486</v>
      </c>
      <c r="C74" s="26" t="s">
        <v>9</v>
      </c>
      <c r="D74" s="26" t="s">
        <v>20</v>
      </c>
      <c r="E74" s="26">
        <v>11550</v>
      </c>
      <c r="F74" s="26" t="s">
        <v>20</v>
      </c>
      <c r="G74" t="b">
        <f t="shared" si="5"/>
        <v>0</v>
      </c>
      <c r="H74" t="b">
        <f t="shared" si="6"/>
        <v>0</v>
      </c>
      <c r="I74" s="29">
        <f t="shared" si="7"/>
        <v>39115</v>
      </c>
    </row>
    <row r="75" spans="1:9" x14ac:dyDescent="0.2">
      <c r="A75" s="28">
        <v>39115</v>
      </c>
      <c r="B75" s="26" t="s">
        <v>4485</v>
      </c>
      <c r="C75" s="26" t="s">
        <v>3096</v>
      </c>
      <c r="D75" s="26" t="s">
        <v>20</v>
      </c>
      <c r="E75" s="26">
        <v>42674040</v>
      </c>
      <c r="F75" s="26">
        <v>68879570</v>
      </c>
      <c r="G75" t="b">
        <f t="shared" si="5"/>
        <v>0</v>
      </c>
      <c r="H75" t="b">
        <f t="shared" si="6"/>
        <v>0</v>
      </c>
      <c r="I75" s="29">
        <f t="shared" si="7"/>
        <v>39115</v>
      </c>
    </row>
    <row r="76" spans="1:9" ht="12.75" customHeight="1" x14ac:dyDescent="0.2">
      <c r="A76" s="28">
        <v>39115</v>
      </c>
      <c r="B76" s="26" t="s">
        <v>4484</v>
      </c>
      <c r="C76" s="26" t="s">
        <v>9</v>
      </c>
      <c r="D76" s="26" t="s">
        <v>20</v>
      </c>
      <c r="E76" s="26">
        <v>4109</v>
      </c>
      <c r="F76" s="26" t="s">
        <v>20</v>
      </c>
      <c r="G76" t="b">
        <f t="shared" si="5"/>
        <v>0</v>
      </c>
      <c r="H76" t="b">
        <f t="shared" si="6"/>
        <v>0</v>
      </c>
      <c r="I76" s="29">
        <f t="shared" si="7"/>
        <v>39115</v>
      </c>
    </row>
    <row r="77" spans="1:9" ht="12.75" customHeight="1" x14ac:dyDescent="0.2">
      <c r="A77" s="28">
        <v>39115</v>
      </c>
      <c r="B77" s="26" t="s">
        <v>4483</v>
      </c>
      <c r="C77" s="26" t="s">
        <v>9</v>
      </c>
      <c r="D77" s="26" t="s">
        <v>20</v>
      </c>
      <c r="E77" s="26">
        <v>5661</v>
      </c>
      <c r="F77" s="26" t="s">
        <v>20</v>
      </c>
      <c r="G77" t="b">
        <f t="shared" si="5"/>
        <v>0</v>
      </c>
      <c r="H77" t="b">
        <f t="shared" si="6"/>
        <v>0</v>
      </c>
      <c r="I77" s="29">
        <f t="shared" si="7"/>
        <v>39115</v>
      </c>
    </row>
    <row r="78" spans="1:9" ht="12.75" customHeight="1" x14ac:dyDescent="0.2">
      <c r="A78" s="28">
        <v>39115</v>
      </c>
      <c r="B78" s="26" t="s">
        <v>4482</v>
      </c>
      <c r="C78" s="26" t="s">
        <v>9</v>
      </c>
      <c r="D78" s="26" t="s">
        <v>20</v>
      </c>
      <c r="E78" s="26">
        <v>306533</v>
      </c>
      <c r="F78" s="26" t="s">
        <v>20</v>
      </c>
      <c r="G78" t="b">
        <f t="shared" si="5"/>
        <v>0</v>
      </c>
      <c r="H78" t="b">
        <f t="shared" si="6"/>
        <v>0</v>
      </c>
      <c r="I78" s="29">
        <f t="shared" si="7"/>
        <v>39115</v>
      </c>
    </row>
    <row r="79" spans="1:9" ht="25.5" x14ac:dyDescent="0.2">
      <c r="A79" s="28">
        <v>39115</v>
      </c>
      <c r="B79" s="26" t="s">
        <v>4481</v>
      </c>
      <c r="C79" s="26" t="s">
        <v>9</v>
      </c>
      <c r="D79" s="26" t="s">
        <v>20</v>
      </c>
      <c r="E79" s="26">
        <v>89417</v>
      </c>
      <c r="F79" s="26" t="s">
        <v>20</v>
      </c>
      <c r="G79" t="b">
        <f t="shared" si="5"/>
        <v>0</v>
      </c>
      <c r="H79" t="b">
        <f t="shared" si="6"/>
        <v>0</v>
      </c>
      <c r="I79" s="29">
        <f t="shared" si="7"/>
        <v>39115</v>
      </c>
    </row>
    <row r="80" spans="1:9" ht="12.75" customHeight="1" x14ac:dyDescent="0.2">
      <c r="A80" s="28">
        <v>39115</v>
      </c>
      <c r="B80" s="26" t="s">
        <v>4480</v>
      </c>
      <c r="C80" s="26" t="s">
        <v>9</v>
      </c>
      <c r="D80" s="26" t="s">
        <v>20</v>
      </c>
      <c r="E80" s="26">
        <v>10433</v>
      </c>
      <c r="F80" s="26" t="s">
        <v>20</v>
      </c>
      <c r="G80" t="b">
        <f t="shared" si="5"/>
        <v>0</v>
      </c>
      <c r="H80" t="b">
        <f t="shared" si="6"/>
        <v>0</v>
      </c>
      <c r="I80" s="29">
        <f t="shared" si="7"/>
        <v>39115</v>
      </c>
    </row>
    <row r="81" spans="1:9" ht="25.5" x14ac:dyDescent="0.2">
      <c r="A81" s="28">
        <v>39119</v>
      </c>
      <c r="B81" s="26" t="s">
        <v>4479</v>
      </c>
      <c r="C81" s="26" t="s">
        <v>3390</v>
      </c>
      <c r="D81" s="26" t="s">
        <v>20</v>
      </c>
      <c r="E81" s="26" t="s">
        <v>20</v>
      </c>
      <c r="F81" s="26" t="s">
        <v>20</v>
      </c>
      <c r="G81" t="b">
        <f t="shared" si="5"/>
        <v>0</v>
      </c>
      <c r="H81" t="b">
        <f t="shared" si="6"/>
        <v>0</v>
      </c>
      <c r="I81" s="29">
        <f t="shared" si="7"/>
        <v>39119</v>
      </c>
    </row>
    <row r="82" spans="1:9" ht="38.25" x14ac:dyDescent="0.2">
      <c r="A82" s="28">
        <v>39119</v>
      </c>
      <c r="B82" s="26" t="s">
        <v>4478</v>
      </c>
      <c r="C82" s="26" t="s">
        <v>9</v>
      </c>
      <c r="D82" s="26" t="s">
        <v>20</v>
      </c>
      <c r="E82" s="26" t="s">
        <v>20</v>
      </c>
      <c r="F82" s="26" t="s">
        <v>20</v>
      </c>
      <c r="G82" t="b">
        <f t="shared" si="5"/>
        <v>0</v>
      </c>
      <c r="H82" t="b">
        <f t="shared" si="6"/>
        <v>0</v>
      </c>
      <c r="I82" s="29">
        <f t="shared" si="7"/>
        <v>39119</v>
      </c>
    </row>
    <row r="83" spans="1:9" ht="25.5" x14ac:dyDescent="0.2">
      <c r="A83" s="28">
        <v>39120</v>
      </c>
      <c r="B83" s="26" t="s">
        <v>4477</v>
      </c>
      <c r="C83" s="26" t="s">
        <v>9</v>
      </c>
      <c r="D83" s="26" t="s">
        <v>20</v>
      </c>
      <c r="E83" s="26" t="s">
        <v>20</v>
      </c>
      <c r="F83" s="26" t="s">
        <v>20</v>
      </c>
      <c r="G83" t="b">
        <f t="shared" si="5"/>
        <v>0</v>
      </c>
      <c r="H83" t="b">
        <f t="shared" si="6"/>
        <v>0</v>
      </c>
      <c r="I83" s="29">
        <f t="shared" si="7"/>
        <v>39120</v>
      </c>
    </row>
    <row r="84" spans="1:9" ht="12.75" customHeight="1" x14ac:dyDescent="0.2">
      <c r="A84" s="28">
        <v>39121</v>
      </c>
      <c r="B84" s="26" t="s">
        <v>4476</v>
      </c>
      <c r="C84" s="26" t="s">
        <v>9</v>
      </c>
      <c r="D84" s="26" t="s">
        <v>20</v>
      </c>
      <c r="E84" s="26" t="s">
        <v>20</v>
      </c>
      <c r="F84" s="26" t="s">
        <v>20</v>
      </c>
      <c r="G84" t="b">
        <f t="shared" si="5"/>
        <v>0</v>
      </c>
      <c r="H84" t="b">
        <f t="shared" si="6"/>
        <v>0</v>
      </c>
      <c r="I84" s="29">
        <f t="shared" si="7"/>
        <v>39121</v>
      </c>
    </row>
    <row r="85" spans="1:9" ht="25.5" x14ac:dyDescent="0.2">
      <c r="A85" s="28">
        <v>39121</v>
      </c>
      <c r="B85" s="26" t="s">
        <v>4475</v>
      </c>
      <c r="C85" s="26" t="s">
        <v>9</v>
      </c>
      <c r="D85" s="26" t="s">
        <v>20</v>
      </c>
      <c r="E85" s="26" t="s">
        <v>20</v>
      </c>
      <c r="F85" s="26" t="s">
        <v>20</v>
      </c>
      <c r="G85" t="b">
        <f t="shared" si="5"/>
        <v>0</v>
      </c>
      <c r="H85" t="b">
        <f t="shared" si="6"/>
        <v>0</v>
      </c>
      <c r="I85" s="29">
        <f t="shared" si="7"/>
        <v>39121</v>
      </c>
    </row>
    <row r="86" spans="1:9" ht="12.75" customHeight="1" x14ac:dyDescent="0.2">
      <c r="A86" s="28">
        <v>39122</v>
      </c>
      <c r="B86" s="26" t="s">
        <v>4474</v>
      </c>
      <c r="C86" s="26" t="s">
        <v>9</v>
      </c>
      <c r="D86" s="26">
        <v>50000000</v>
      </c>
      <c r="E86" s="26">
        <v>27669725</v>
      </c>
      <c r="F86" s="26">
        <v>80583311</v>
      </c>
      <c r="G86" t="b">
        <f t="shared" si="5"/>
        <v>0</v>
      </c>
      <c r="H86" t="b">
        <f t="shared" si="6"/>
        <v>0</v>
      </c>
      <c r="I86" s="29">
        <f t="shared" si="7"/>
        <v>39122</v>
      </c>
    </row>
    <row r="87" spans="1:9" ht="25.5" x14ac:dyDescent="0.2">
      <c r="A87" s="28">
        <v>39122</v>
      </c>
      <c r="B87" s="26" t="s">
        <v>4473</v>
      </c>
      <c r="C87" s="26" t="s">
        <v>9</v>
      </c>
      <c r="D87" s="26" t="s">
        <v>20</v>
      </c>
      <c r="E87" s="26">
        <v>577</v>
      </c>
      <c r="F87" s="26" t="s">
        <v>20</v>
      </c>
      <c r="G87" t="b">
        <f t="shared" si="5"/>
        <v>0</v>
      </c>
      <c r="H87" t="b">
        <f t="shared" si="6"/>
        <v>0</v>
      </c>
      <c r="I87" s="29">
        <f t="shared" si="7"/>
        <v>39122</v>
      </c>
    </row>
    <row r="88" spans="1:9" ht="12.75" customHeight="1" x14ac:dyDescent="0.2">
      <c r="A88" s="28">
        <v>39122</v>
      </c>
      <c r="B88" s="26" t="s">
        <v>4472</v>
      </c>
      <c r="C88" s="26" t="s">
        <v>9</v>
      </c>
      <c r="D88" s="26" t="s">
        <v>20</v>
      </c>
      <c r="E88" s="26" t="s">
        <v>20</v>
      </c>
      <c r="F88" s="26" t="s">
        <v>20</v>
      </c>
      <c r="G88" t="b">
        <f t="shared" si="5"/>
        <v>0</v>
      </c>
      <c r="H88" t="b">
        <f t="shared" si="6"/>
        <v>0</v>
      </c>
      <c r="I88" s="29">
        <f t="shared" si="7"/>
        <v>39122</v>
      </c>
    </row>
    <row r="89" spans="1:9" ht="12.75" customHeight="1" x14ac:dyDescent="0.2">
      <c r="A89" s="28">
        <v>39122</v>
      </c>
      <c r="B89" s="26" t="s">
        <v>4471</v>
      </c>
      <c r="C89" s="26" t="s">
        <v>9</v>
      </c>
      <c r="D89" s="26" t="s">
        <v>20</v>
      </c>
      <c r="E89" s="26">
        <v>95673607</v>
      </c>
      <c r="F89" s="26">
        <v>158973607</v>
      </c>
      <c r="G89" t="b">
        <f t="shared" si="5"/>
        <v>0</v>
      </c>
      <c r="H89" t="b">
        <f t="shared" si="6"/>
        <v>0</v>
      </c>
      <c r="I89" s="29">
        <f t="shared" si="7"/>
        <v>39122</v>
      </c>
    </row>
    <row r="90" spans="1:9" ht="12.75" customHeight="1" x14ac:dyDescent="0.2">
      <c r="A90" s="28">
        <v>39122</v>
      </c>
      <c r="B90" s="26" t="s">
        <v>4470</v>
      </c>
      <c r="C90" s="26" t="s">
        <v>9</v>
      </c>
      <c r="D90" s="26" t="s">
        <v>20</v>
      </c>
      <c r="E90" s="26" t="s">
        <v>20</v>
      </c>
      <c r="F90" s="26" t="s">
        <v>20</v>
      </c>
      <c r="G90" t="b">
        <f t="shared" si="5"/>
        <v>0</v>
      </c>
      <c r="H90" t="b">
        <f t="shared" si="6"/>
        <v>0</v>
      </c>
      <c r="I90" s="29">
        <f t="shared" si="7"/>
        <v>39122</v>
      </c>
    </row>
    <row r="91" spans="1:9" ht="25.5" x14ac:dyDescent="0.2">
      <c r="A91" s="28">
        <v>39122</v>
      </c>
      <c r="B91" s="26" t="s">
        <v>4469</v>
      </c>
      <c r="C91" s="26" t="s">
        <v>612</v>
      </c>
      <c r="D91" s="26">
        <v>2000000</v>
      </c>
      <c r="E91" s="26">
        <v>11284657</v>
      </c>
      <c r="F91" s="26">
        <v>75284657</v>
      </c>
      <c r="G91" t="b">
        <f t="shared" si="5"/>
        <v>0</v>
      </c>
      <c r="H91" t="b">
        <f t="shared" si="6"/>
        <v>0</v>
      </c>
      <c r="I91" s="29">
        <f t="shared" si="7"/>
        <v>39122</v>
      </c>
    </row>
    <row r="92" spans="1:9" ht="25.5" x14ac:dyDescent="0.2">
      <c r="A92" s="28">
        <v>39122</v>
      </c>
      <c r="B92" s="26" t="s">
        <v>4468</v>
      </c>
      <c r="C92" s="26" t="s">
        <v>9</v>
      </c>
      <c r="D92" s="26" t="s">
        <v>20</v>
      </c>
      <c r="E92" s="26">
        <v>6795</v>
      </c>
      <c r="F92" s="26" t="s">
        <v>20</v>
      </c>
      <c r="G92" t="b">
        <f t="shared" si="5"/>
        <v>0</v>
      </c>
      <c r="H92" t="b">
        <f t="shared" si="6"/>
        <v>0</v>
      </c>
      <c r="I92" s="29">
        <f t="shared" si="7"/>
        <v>39122</v>
      </c>
    </row>
    <row r="93" spans="1:9" x14ac:dyDescent="0.2">
      <c r="A93" s="28">
        <v>39122</v>
      </c>
      <c r="B93" s="26" t="s">
        <v>4467</v>
      </c>
      <c r="C93" s="26" t="s">
        <v>384</v>
      </c>
      <c r="D93" s="26">
        <v>2200000</v>
      </c>
      <c r="E93" s="26">
        <v>388390</v>
      </c>
      <c r="F93" s="26" t="s">
        <v>20</v>
      </c>
      <c r="G93" t="b">
        <f t="shared" si="5"/>
        <v>0</v>
      </c>
      <c r="H93" t="b">
        <f t="shared" si="6"/>
        <v>0</v>
      </c>
      <c r="I93" s="29">
        <f t="shared" si="7"/>
        <v>39122</v>
      </c>
    </row>
    <row r="94" spans="1:9" ht="12.75" customHeight="1" x14ac:dyDescent="0.2">
      <c r="A94" s="28">
        <v>39122</v>
      </c>
      <c r="B94" s="26" t="s">
        <v>4466</v>
      </c>
      <c r="C94" s="26" t="s">
        <v>9</v>
      </c>
      <c r="D94" s="26" t="s">
        <v>20</v>
      </c>
      <c r="E94" s="26">
        <v>35000</v>
      </c>
      <c r="F94" s="26" t="s">
        <v>20</v>
      </c>
      <c r="G94" t="b">
        <f t="shared" si="5"/>
        <v>0</v>
      </c>
      <c r="H94" t="b">
        <f t="shared" si="6"/>
        <v>0</v>
      </c>
      <c r="I94" s="29">
        <f t="shared" si="7"/>
        <v>39122</v>
      </c>
    </row>
    <row r="95" spans="1:9" ht="25.5" x14ac:dyDescent="0.2">
      <c r="A95" s="28">
        <v>39123</v>
      </c>
      <c r="B95" s="26" t="s">
        <v>4465</v>
      </c>
      <c r="C95" s="26" t="s">
        <v>9</v>
      </c>
      <c r="D95" s="26" t="s">
        <v>20</v>
      </c>
      <c r="E95" s="26" t="s">
        <v>20</v>
      </c>
      <c r="F95" s="26" t="s">
        <v>20</v>
      </c>
      <c r="G95" t="b">
        <f t="shared" si="5"/>
        <v>0</v>
      </c>
      <c r="H95" t="b">
        <f t="shared" si="6"/>
        <v>0</v>
      </c>
      <c r="I95" s="29">
        <f t="shared" si="7"/>
        <v>39123</v>
      </c>
    </row>
    <row r="96" spans="1:9" ht="25.5" x14ac:dyDescent="0.2">
      <c r="A96" s="28">
        <v>39126</v>
      </c>
      <c r="B96" s="26" t="s">
        <v>4464</v>
      </c>
      <c r="C96" s="26" t="s">
        <v>9</v>
      </c>
      <c r="D96" s="26" t="s">
        <v>20</v>
      </c>
      <c r="E96" s="26" t="s">
        <v>20</v>
      </c>
      <c r="F96" s="26" t="s">
        <v>20</v>
      </c>
      <c r="G96" t="b">
        <f t="shared" si="5"/>
        <v>0</v>
      </c>
      <c r="H96" t="b">
        <f t="shared" si="6"/>
        <v>0</v>
      </c>
      <c r="I96" s="29">
        <f t="shared" si="7"/>
        <v>39126</v>
      </c>
    </row>
    <row r="97" spans="1:9" ht="25.5" x14ac:dyDescent="0.2">
      <c r="A97" s="28">
        <v>39126</v>
      </c>
      <c r="B97" s="26" t="s">
        <v>4463</v>
      </c>
      <c r="C97" s="26" t="s">
        <v>9</v>
      </c>
      <c r="D97" s="26" t="s">
        <v>20</v>
      </c>
      <c r="E97" s="26" t="s">
        <v>20</v>
      </c>
      <c r="F97" s="26" t="s">
        <v>20</v>
      </c>
      <c r="G97" t="b">
        <f t="shared" si="5"/>
        <v>0</v>
      </c>
      <c r="H97" t="b">
        <f t="shared" si="6"/>
        <v>0</v>
      </c>
      <c r="I97" s="29">
        <f t="shared" si="7"/>
        <v>39126</v>
      </c>
    </row>
    <row r="98" spans="1:9" ht="12.75" customHeight="1" x14ac:dyDescent="0.2">
      <c r="A98" s="28">
        <v>39126</v>
      </c>
      <c r="B98" s="26" t="s">
        <v>4462</v>
      </c>
      <c r="C98" s="26" t="s">
        <v>9</v>
      </c>
      <c r="D98" s="26" t="s">
        <v>20</v>
      </c>
      <c r="E98" s="26" t="s">
        <v>20</v>
      </c>
      <c r="F98" s="26" t="s">
        <v>20</v>
      </c>
      <c r="G98" t="b">
        <f t="shared" si="5"/>
        <v>0</v>
      </c>
      <c r="H98" t="b">
        <f t="shared" si="6"/>
        <v>0</v>
      </c>
      <c r="I98" s="29">
        <f t="shared" si="7"/>
        <v>39126</v>
      </c>
    </row>
    <row r="99" spans="1:9" ht="25.5" x14ac:dyDescent="0.2">
      <c r="A99" s="28">
        <v>39126</v>
      </c>
      <c r="B99" s="26" t="s">
        <v>4461</v>
      </c>
      <c r="C99" s="26" t="s">
        <v>9</v>
      </c>
      <c r="D99" s="26" t="s">
        <v>20</v>
      </c>
      <c r="E99" s="26" t="s">
        <v>20</v>
      </c>
      <c r="F99" s="26" t="s">
        <v>20</v>
      </c>
      <c r="G99" t="b">
        <f t="shared" si="5"/>
        <v>0</v>
      </c>
      <c r="H99" t="b">
        <f t="shared" si="6"/>
        <v>0</v>
      </c>
      <c r="I99" s="29">
        <f t="shared" si="7"/>
        <v>39126</v>
      </c>
    </row>
    <row r="100" spans="1:9" ht="12.75" customHeight="1" x14ac:dyDescent="0.2">
      <c r="A100" s="28">
        <v>39126</v>
      </c>
      <c r="B100" s="26" t="s">
        <v>4460</v>
      </c>
      <c r="C100" s="26" t="s">
        <v>9</v>
      </c>
      <c r="D100" s="26" t="s">
        <v>20</v>
      </c>
      <c r="E100" s="26" t="s">
        <v>20</v>
      </c>
      <c r="F100" s="26" t="s">
        <v>20</v>
      </c>
      <c r="G100" t="b">
        <f t="shared" si="5"/>
        <v>0</v>
      </c>
      <c r="H100" t="b">
        <f t="shared" si="6"/>
        <v>0</v>
      </c>
      <c r="I100" s="29">
        <f t="shared" si="7"/>
        <v>39126</v>
      </c>
    </row>
    <row r="101" spans="1:9" ht="25.5" x14ac:dyDescent="0.2">
      <c r="A101" s="28">
        <v>39127</v>
      </c>
      <c r="B101" s="26" t="s">
        <v>4459</v>
      </c>
      <c r="C101" s="26" t="s">
        <v>3419</v>
      </c>
      <c r="D101" s="26" t="s">
        <v>20</v>
      </c>
      <c r="E101" s="26">
        <v>31366978</v>
      </c>
      <c r="F101" s="26">
        <v>31517059</v>
      </c>
      <c r="G101" t="b">
        <f t="shared" si="5"/>
        <v>0</v>
      </c>
      <c r="H101" t="b">
        <f t="shared" si="6"/>
        <v>0</v>
      </c>
      <c r="I101" s="29">
        <f t="shared" si="7"/>
        <v>39127</v>
      </c>
    </row>
    <row r="102" spans="1:9" ht="12.75" customHeight="1" x14ac:dyDescent="0.2">
      <c r="A102" s="28">
        <v>39127</v>
      </c>
      <c r="B102" s="26" t="s">
        <v>4458</v>
      </c>
      <c r="C102" s="26" t="s">
        <v>3209</v>
      </c>
      <c r="D102" s="26">
        <v>40000000</v>
      </c>
      <c r="E102" s="26">
        <v>50572589</v>
      </c>
      <c r="F102" s="26">
        <v>145556146</v>
      </c>
      <c r="G102" t="b">
        <f t="shared" si="5"/>
        <v>0</v>
      </c>
      <c r="H102" t="b">
        <f t="shared" si="6"/>
        <v>0</v>
      </c>
      <c r="I102" s="29">
        <f t="shared" si="7"/>
        <v>39127</v>
      </c>
    </row>
    <row r="103" spans="1:9" ht="12.75" customHeight="1" x14ac:dyDescent="0.2">
      <c r="A103" s="28">
        <v>39127</v>
      </c>
      <c r="B103" s="26" t="s">
        <v>4457</v>
      </c>
      <c r="C103" s="26" t="s">
        <v>9</v>
      </c>
      <c r="D103" s="26" t="s">
        <v>20</v>
      </c>
      <c r="E103" s="26">
        <v>112351</v>
      </c>
      <c r="F103" s="26" t="s">
        <v>20</v>
      </c>
      <c r="G103" t="b">
        <f t="shared" si="5"/>
        <v>0</v>
      </c>
      <c r="H103" t="b">
        <f t="shared" si="6"/>
        <v>0</v>
      </c>
      <c r="I103" s="29">
        <f t="shared" si="7"/>
        <v>39127</v>
      </c>
    </row>
    <row r="104" spans="1:9" ht="25.5" x14ac:dyDescent="0.2">
      <c r="A104" s="28">
        <v>39128</v>
      </c>
      <c r="B104" s="26" t="s">
        <v>4456</v>
      </c>
      <c r="C104" s="26" t="s">
        <v>9</v>
      </c>
      <c r="D104" s="26" t="s">
        <v>20</v>
      </c>
      <c r="E104" s="26" t="s">
        <v>20</v>
      </c>
      <c r="F104" s="26" t="s">
        <v>20</v>
      </c>
      <c r="G104" t="b">
        <f t="shared" si="5"/>
        <v>0</v>
      </c>
      <c r="H104" t="b">
        <f t="shared" si="6"/>
        <v>0</v>
      </c>
      <c r="I104" s="29">
        <f t="shared" si="7"/>
        <v>39128</v>
      </c>
    </row>
    <row r="105" spans="1:9" ht="12.75" customHeight="1" x14ac:dyDescent="0.2">
      <c r="A105" s="28">
        <v>39128</v>
      </c>
      <c r="B105" s="26" t="s">
        <v>4455</v>
      </c>
      <c r="C105" s="26" t="s">
        <v>9</v>
      </c>
      <c r="D105" s="26" t="s">
        <v>20</v>
      </c>
      <c r="E105" s="26" t="s">
        <v>20</v>
      </c>
      <c r="F105" s="26" t="s">
        <v>20</v>
      </c>
      <c r="G105" t="b">
        <f t="shared" si="5"/>
        <v>0</v>
      </c>
      <c r="H105" t="b">
        <f t="shared" si="6"/>
        <v>0</v>
      </c>
      <c r="I105" s="29">
        <f t="shared" si="7"/>
        <v>39128</v>
      </c>
    </row>
    <row r="106" spans="1:9" ht="12.75" customHeight="1" x14ac:dyDescent="0.2">
      <c r="A106" s="28">
        <v>39128</v>
      </c>
      <c r="B106" s="26" t="s">
        <v>4454</v>
      </c>
      <c r="C106" s="26" t="s">
        <v>9</v>
      </c>
      <c r="D106" s="26" t="s">
        <v>20</v>
      </c>
      <c r="E106" s="26" t="s">
        <v>20</v>
      </c>
      <c r="F106" s="26" t="s">
        <v>20</v>
      </c>
      <c r="G106" t="b">
        <f t="shared" si="5"/>
        <v>0</v>
      </c>
      <c r="H106" t="b">
        <f t="shared" si="6"/>
        <v>0</v>
      </c>
      <c r="I106" s="29">
        <f t="shared" si="7"/>
        <v>39128</v>
      </c>
    </row>
    <row r="107" spans="1:9" ht="25.5" x14ac:dyDescent="0.2">
      <c r="A107" s="28">
        <v>39128</v>
      </c>
      <c r="B107" s="26" t="s">
        <v>4453</v>
      </c>
      <c r="C107" s="26" t="s">
        <v>9</v>
      </c>
      <c r="D107" s="26" t="s">
        <v>20</v>
      </c>
      <c r="E107" s="26" t="s">
        <v>20</v>
      </c>
      <c r="F107" s="26">
        <v>16529062</v>
      </c>
      <c r="G107" t="b">
        <f t="shared" si="5"/>
        <v>0</v>
      </c>
      <c r="H107" t="b">
        <f t="shared" si="6"/>
        <v>0</v>
      </c>
      <c r="I107" s="29">
        <f t="shared" si="7"/>
        <v>39128</v>
      </c>
    </row>
    <row r="108" spans="1:9" ht="12.75" customHeight="1" x14ac:dyDescent="0.2">
      <c r="A108" s="28">
        <v>39128</v>
      </c>
      <c r="B108" s="26" t="s">
        <v>4452</v>
      </c>
      <c r="C108" s="26" t="s">
        <v>9</v>
      </c>
      <c r="D108" s="26" t="s">
        <v>20</v>
      </c>
      <c r="E108" s="26" t="s">
        <v>20</v>
      </c>
      <c r="F108" s="26" t="s">
        <v>20</v>
      </c>
      <c r="G108" t="b">
        <f t="shared" si="5"/>
        <v>0</v>
      </c>
      <c r="H108" t="b">
        <f t="shared" si="6"/>
        <v>0</v>
      </c>
      <c r="I108" s="29">
        <f t="shared" si="7"/>
        <v>39128</v>
      </c>
    </row>
    <row r="109" spans="1:9" ht="12.75" customHeight="1" x14ac:dyDescent="0.2">
      <c r="A109" s="28">
        <v>39129</v>
      </c>
      <c r="B109" s="26" t="s">
        <v>4451</v>
      </c>
      <c r="C109" s="26" t="s">
        <v>9</v>
      </c>
      <c r="D109" s="26" t="s">
        <v>20</v>
      </c>
      <c r="E109" s="26" t="s">
        <v>20</v>
      </c>
      <c r="F109" s="26" t="s">
        <v>20</v>
      </c>
      <c r="G109" t="b">
        <f t="shared" si="5"/>
        <v>0</v>
      </c>
      <c r="H109" t="b">
        <f t="shared" si="6"/>
        <v>0</v>
      </c>
      <c r="I109" s="29">
        <f t="shared" si="7"/>
        <v>39129</v>
      </c>
    </row>
    <row r="110" spans="1:9" ht="25.5" x14ac:dyDescent="0.2">
      <c r="A110" s="28">
        <v>39129</v>
      </c>
      <c r="B110" s="26" t="s">
        <v>4450</v>
      </c>
      <c r="C110" s="26" t="s">
        <v>9</v>
      </c>
      <c r="D110" s="26" t="s">
        <v>20</v>
      </c>
      <c r="E110" s="26">
        <v>1290212</v>
      </c>
      <c r="F110" s="26" t="s">
        <v>20</v>
      </c>
      <c r="G110" t="b">
        <f t="shared" si="5"/>
        <v>0</v>
      </c>
      <c r="H110" t="b">
        <f t="shared" si="6"/>
        <v>0</v>
      </c>
      <c r="I110" s="29">
        <f t="shared" si="7"/>
        <v>39129</v>
      </c>
    </row>
    <row r="111" spans="1:9" ht="12.75" customHeight="1" x14ac:dyDescent="0.2">
      <c r="A111" s="28">
        <v>39129</v>
      </c>
      <c r="B111" s="26" t="s">
        <v>4449</v>
      </c>
      <c r="C111" s="26" t="s">
        <v>9</v>
      </c>
      <c r="D111" s="26" t="s">
        <v>20</v>
      </c>
      <c r="E111" s="26">
        <v>43460</v>
      </c>
      <c r="F111" s="26" t="s">
        <v>20</v>
      </c>
      <c r="G111" t="b">
        <f t="shared" si="5"/>
        <v>0</v>
      </c>
      <c r="H111" t="b">
        <f t="shared" si="6"/>
        <v>0</v>
      </c>
      <c r="I111" s="29">
        <f t="shared" si="7"/>
        <v>39129</v>
      </c>
    </row>
    <row r="112" spans="1:9" ht="12.75" customHeight="1" x14ac:dyDescent="0.2">
      <c r="A112" s="28">
        <v>39129</v>
      </c>
      <c r="B112" s="26" t="s">
        <v>4448</v>
      </c>
      <c r="C112" s="26" t="s">
        <v>9</v>
      </c>
      <c r="D112" s="26" t="s">
        <v>20</v>
      </c>
      <c r="E112" s="26" t="s">
        <v>20</v>
      </c>
      <c r="F112" s="26" t="s">
        <v>20</v>
      </c>
      <c r="G112" t="b">
        <f t="shared" si="5"/>
        <v>0</v>
      </c>
      <c r="H112" t="b">
        <f t="shared" si="6"/>
        <v>0</v>
      </c>
      <c r="I112" s="29">
        <f t="shared" si="7"/>
        <v>39129</v>
      </c>
    </row>
    <row r="113" spans="1:9" ht="25.5" x14ac:dyDescent="0.2">
      <c r="A113" s="28">
        <v>39129</v>
      </c>
      <c r="B113" s="26" t="s">
        <v>4447</v>
      </c>
      <c r="C113" s="26" t="s">
        <v>3233</v>
      </c>
      <c r="D113" s="26" t="s">
        <v>20</v>
      </c>
      <c r="E113" s="26">
        <v>2044858</v>
      </c>
      <c r="F113" s="26" t="s">
        <v>20</v>
      </c>
      <c r="G113" t="b">
        <f t="shared" si="5"/>
        <v>0</v>
      </c>
      <c r="H113" t="b">
        <f t="shared" si="6"/>
        <v>0</v>
      </c>
      <c r="I113" s="29">
        <f t="shared" si="7"/>
        <v>39129</v>
      </c>
    </row>
    <row r="114" spans="1:9" ht="38.25" x14ac:dyDescent="0.2">
      <c r="A114" s="28">
        <v>39129</v>
      </c>
      <c r="B114" s="26" t="s">
        <v>4446</v>
      </c>
      <c r="C114" s="26" t="s">
        <v>9</v>
      </c>
      <c r="D114" s="26" t="s">
        <v>20</v>
      </c>
      <c r="E114" s="26">
        <v>335090</v>
      </c>
      <c r="F114" s="26" t="s">
        <v>20</v>
      </c>
      <c r="G114" t="b">
        <f t="shared" si="5"/>
        <v>0</v>
      </c>
      <c r="H114" t="b">
        <f t="shared" si="6"/>
        <v>0</v>
      </c>
      <c r="I114" s="29">
        <f t="shared" si="7"/>
        <v>39129</v>
      </c>
    </row>
    <row r="115" spans="1:9" ht="12.75" customHeight="1" x14ac:dyDescent="0.2">
      <c r="A115" s="28">
        <v>39129</v>
      </c>
      <c r="B115" s="26" t="s">
        <v>4445</v>
      </c>
      <c r="C115" s="26" t="s">
        <v>2160</v>
      </c>
      <c r="D115" s="26">
        <v>120000000</v>
      </c>
      <c r="E115" s="26">
        <v>115802596</v>
      </c>
      <c r="F115" s="26">
        <v>237702596</v>
      </c>
      <c r="G115" t="b">
        <f t="shared" si="5"/>
        <v>0</v>
      </c>
      <c r="H115" t="b">
        <f t="shared" si="6"/>
        <v>0</v>
      </c>
      <c r="I115" s="29">
        <f t="shared" si="7"/>
        <v>39129</v>
      </c>
    </row>
    <row r="116" spans="1:9" ht="12.75" customHeight="1" x14ac:dyDescent="0.2">
      <c r="A116" s="28">
        <v>39129</v>
      </c>
      <c r="B116" s="26" t="s">
        <v>4444</v>
      </c>
      <c r="C116" s="26" t="s">
        <v>3096</v>
      </c>
      <c r="D116" s="26" t="s">
        <v>20</v>
      </c>
      <c r="E116" s="26">
        <v>33000880</v>
      </c>
      <c r="F116" s="26">
        <v>34458779</v>
      </c>
      <c r="G116" t="b">
        <f t="shared" si="5"/>
        <v>0</v>
      </c>
      <c r="H116" t="b">
        <f t="shared" si="6"/>
        <v>0</v>
      </c>
      <c r="I116" s="29">
        <f t="shared" si="7"/>
        <v>39129</v>
      </c>
    </row>
    <row r="117" spans="1:9" ht="12.75" customHeight="1" x14ac:dyDescent="0.2">
      <c r="A117" s="28">
        <v>39129</v>
      </c>
      <c r="B117" s="26" t="s">
        <v>4443</v>
      </c>
      <c r="C117" s="26" t="s">
        <v>9</v>
      </c>
      <c r="D117" s="26" t="s">
        <v>20</v>
      </c>
      <c r="E117" s="26">
        <v>20931</v>
      </c>
      <c r="F117" s="26" t="s">
        <v>20</v>
      </c>
      <c r="G117" t="b">
        <f t="shared" si="5"/>
        <v>0</v>
      </c>
      <c r="H117" t="b">
        <f t="shared" si="6"/>
        <v>0</v>
      </c>
      <c r="I117" s="29">
        <f t="shared" si="7"/>
        <v>39129</v>
      </c>
    </row>
    <row r="118" spans="1:9" ht="12.75" customHeight="1" x14ac:dyDescent="0.2">
      <c r="A118" s="28">
        <v>39129</v>
      </c>
      <c r="B118" s="26" t="s">
        <v>4442</v>
      </c>
      <c r="C118" s="26" t="s">
        <v>9</v>
      </c>
      <c r="D118" s="26" t="s">
        <v>20</v>
      </c>
      <c r="E118" s="26" t="s">
        <v>20</v>
      </c>
      <c r="F118" s="26">
        <v>60865364</v>
      </c>
      <c r="G118" t="b">
        <f t="shared" si="5"/>
        <v>0</v>
      </c>
      <c r="H118" t="b">
        <f t="shared" si="6"/>
        <v>0</v>
      </c>
      <c r="I118" s="29">
        <f t="shared" si="7"/>
        <v>39129</v>
      </c>
    </row>
    <row r="119" spans="1:9" ht="12.75" customHeight="1" x14ac:dyDescent="0.2">
      <c r="A119" s="28">
        <v>39129</v>
      </c>
      <c r="B119" s="26" t="s">
        <v>4441</v>
      </c>
      <c r="C119" s="26" t="s">
        <v>49</v>
      </c>
      <c r="D119" s="26">
        <v>18900000</v>
      </c>
      <c r="E119" s="26">
        <v>320700</v>
      </c>
      <c r="F119" s="26">
        <v>6877936</v>
      </c>
      <c r="G119" t="b">
        <f t="shared" si="5"/>
        <v>0</v>
      </c>
      <c r="H119" t="b">
        <f t="shared" si="6"/>
        <v>0</v>
      </c>
      <c r="I119" s="29">
        <f t="shared" si="7"/>
        <v>39129</v>
      </c>
    </row>
    <row r="120" spans="1:9" ht="25.5" x14ac:dyDescent="0.2">
      <c r="A120" s="28">
        <v>39129</v>
      </c>
      <c r="B120" s="26" t="s">
        <v>4440</v>
      </c>
      <c r="C120" s="26" t="s">
        <v>3390</v>
      </c>
      <c r="D120" s="26">
        <v>25000000</v>
      </c>
      <c r="E120" s="26">
        <v>82234139</v>
      </c>
      <c r="F120" s="26">
        <v>136934139</v>
      </c>
      <c r="G120" t="b">
        <f t="shared" si="5"/>
        <v>0</v>
      </c>
      <c r="H120" t="b">
        <f t="shared" si="6"/>
        <v>0</v>
      </c>
      <c r="I120" s="29">
        <f t="shared" si="7"/>
        <v>39129</v>
      </c>
    </row>
    <row r="121" spans="1:9" ht="25.5" x14ac:dyDescent="0.2">
      <c r="A121" s="28">
        <v>39129</v>
      </c>
      <c r="B121" s="26" t="s">
        <v>4439</v>
      </c>
      <c r="C121" s="26" t="s">
        <v>9</v>
      </c>
      <c r="D121" s="26" t="s">
        <v>20</v>
      </c>
      <c r="E121" s="26">
        <v>2779545</v>
      </c>
      <c r="F121" s="26" t="s">
        <v>20</v>
      </c>
      <c r="G121" t="b">
        <f t="shared" si="5"/>
        <v>0</v>
      </c>
      <c r="H121" t="b">
        <f t="shared" si="6"/>
        <v>0</v>
      </c>
      <c r="I121" s="29">
        <f t="shared" si="7"/>
        <v>39129</v>
      </c>
    </row>
    <row r="122" spans="1:9" ht="12.75" customHeight="1" x14ac:dyDescent="0.2">
      <c r="A122" s="28">
        <v>39133</v>
      </c>
      <c r="B122" s="26" t="s">
        <v>4438</v>
      </c>
      <c r="C122" s="26" t="s">
        <v>9</v>
      </c>
      <c r="D122" s="26" t="s">
        <v>20</v>
      </c>
      <c r="E122" s="26" t="s">
        <v>20</v>
      </c>
      <c r="F122" s="26" t="s">
        <v>20</v>
      </c>
      <c r="G122" t="b">
        <f t="shared" si="5"/>
        <v>0</v>
      </c>
      <c r="H122" t="b">
        <f t="shared" si="6"/>
        <v>0</v>
      </c>
      <c r="I122" s="29">
        <f t="shared" si="7"/>
        <v>39133</v>
      </c>
    </row>
    <row r="123" spans="1:9" ht="12.75" customHeight="1" x14ac:dyDescent="0.2">
      <c r="A123" s="28">
        <v>39133</v>
      </c>
      <c r="B123" s="26" t="s">
        <v>4437</v>
      </c>
      <c r="C123" s="26" t="s">
        <v>9</v>
      </c>
      <c r="D123" s="26" t="s">
        <v>20</v>
      </c>
      <c r="E123" s="26" t="s">
        <v>20</v>
      </c>
      <c r="F123" s="26" t="s">
        <v>20</v>
      </c>
      <c r="G123" t="b">
        <f t="shared" si="5"/>
        <v>0</v>
      </c>
      <c r="H123" t="b">
        <f t="shared" si="6"/>
        <v>0</v>
      </c>
      <c r="I123" s="29">
        <f t="shared" si="7"/>
        <v>39133</v>
      </c>
    </row>
    <row r="124" spans="1:9" ht="51" x14ac:dyDescent="0.2">
      <c r="A124" s="28">
        <v>39133</v>
      </c>
      <c r="B124" s="26" t="s">
        <v>4436</v>
      </c>
      <c r="C124" s="26" t="s">
        <v>9</v>
      </c>
      <c r="D124" s="26" t="s">
        <v>20</v>
      </c>
      <c r="E124" s="26" t="s">
        <v>20</v>
      </c>
      <c r="F124" s="26" t="s">
        <v>20</v>
      </c>
      <c r="G124" t="b">
        <f t="shared" si="5"/>
        <v>0</v>
      </c>
      <c r="H124" t="b">
        <f t="shared" si="6"/>
        <v>0</v>
      </c>
      <c r="I124" s="29">
        <f t="shared" si="7"/>
        <v>39133</v>
      </c>
    </row>
    <row r="125" spans="1:9" ht="12.75" customHeight="1" x14ac:dyDescent="0.2">
      <c r="A125" s="28">
        <v>39136</v>
      </c>
      <c r="B125" s="26" t="s">
        <v>4435</v>
      </c>
      <c r="C125" s="26" t="s">
        <v>9</v>
      </c>
      <c r="D125" s="26" t="s">
        <v>20</v>
      </c>
      <c r="E125" s="26" t="s">
        <v>20</v>
      </c>
      <c r="F125" s="26">
        <v>8569001</v>
      </c>
      <c r="G125" t="b">
        <f t="shared" si="5"/>
        <v>0</v>
      </c>
      <c r="H125" t="b">
        <f t="shared" si="6"/>
        <v>0</v>
      </c>
      <c r="I125" s="29">
        <f t="shared" si="7"/>
        <v>39136</v>
      </c>
    </row>
    <row r="126" spans="1:9" ht="25.5" x14ac:dyDescent="0.2">
      <c r="A126" s="28">
        <v>39136</v>
      </c>
      <c r="B126" s="26" t="s">
        <v>4434</v>
      </c>
      <c r="C126" s="26" t="s">
        <v>2168</v>
      </c>
      <c r="D126" s="26" t="s">
        <v>20</v>
      </c>
      <c r="E126" s="26">
        <v>20342161</v>
      </c>
      <c r="F126" s="26" t="s">
        <v>20</v>
      </c>
      <c r="G126" t="b">
        <f t="shared" si="5"/>
        <v>0</v>
      </c>
      <c r="H126" t="b">
        <f t="shared" si="6"/>
        <v>0</v>
      </c>
      <c r="I126" s="29">
        <f t="shared" si="7"/>
        <v>39136</v>
      </c>
    </row>
    <row r="127" spans="1:9" ht="12.75" customHeight="1" x14ac:dyDescent="0.2">
      <c r="A127" s="28">
        <v>39136</v>
      </c>
      <c r="B127" s="26" t="s">
        <v>4433</v>
      </c>
      <c r="C127" s="26" t="s">
        <v>849</v>
      </c>
      <c r="D127" s="26" t="s">
        <v>20</v>
      </c>
      <c r="E127" s="26">
        <v>216839</v>
      </c>
      <c r="F127" s="26" t="s">
        <v>20</v>
      </c>
      <c r="G127" t="b">
        <f t="shared" si="5"/>
        <v>0</v>
      </c>
      <c r="H127" t="b">
        <f t="shared" si="6"/>
        <v>0</v>
      </c>
      <c r="I127" s="29">
        <f t="shared" si="7"/>
        <v>39136</v>
      </c>
    </row>
    <row r="128" spans="1:9" ht="12.75" customHeight="1" x14ac:dyDescent="0.2">
      <c r="A128" s="28">
        <v>39136</v>
      </c>
      <c r="B128" s="26" t="s">
        <v>4432</v>
      </c>
      <c r="C128" s="26" t="s">
        <v>9</v>
      </c>
      <c r="D128" s="26" t="s">
        <v>20</v>
      </c>
      <c r="E128" s="26" t="s">
        <v>20</v>
      </c>
      <c r="F128" s="26" t="s">
        <v>20</v>
      </c>
      <c r="G128" t="b">
        <f t="shared" si="5"/>
        <v>0</v>
      </c>
      <c r="H128" t="b">
        <f t="shared" si="6"/>
        <v>0</v>
      </c>
      <c r="I128" s="29">
        <f t="shared" si="7"/>
        <v>39136</v>
      </c>
    </row>
    <row r="129" spans="1:9" ht="12.75" customHeight="1" x14ac:dyDescent="0.2">
      <c r="A129" s="28">
        <v>39136</v>
      </c>
      <c r="B129" s="26" t="s">
        <v>4431</v>
      </c>
      <c r="C129" s="26" t="s">
        <v>9</v>
      </c>
      <c r="D129" s="26" t="s">
        <v>20</v>
      </c>
      <c r="E129" s="26" t="s">
        <v>20</v>
      </c>
      <c r="F129" s="26" t="s">
        <v>20</v>
      </c>
      <c r="G129" t="b">
        <f t="shared" si="5"/>
        <v>0</v>
      </c>
      <c r="H129" t="b">
        <f t="shared" si="6"/>
        <v>0</v>
      </c>
      <c r="I129" s="29">
        <f t="shared" si="7"/>
        <v>39136</v>
      </c>
    </row>
    <row r="130" spans="1:9" ht="12.75" customHeight="1" x14ac:dyDescent="0.2">
      <c r="A130" s="28">
        <v>39136</v>
      </c>
      <c r="B130" s="26" t="s">
        <v>4430</v>
      </c>
      <c r="C130" s="26" t="s">
        <v>9</v>
      </c>
      <c r="D130" s="26" t="s">
        <v>20</v>
      </c>
      <c r="E130" s="26" t="s">
        <v>20</v>
      </c>
      <c r="F130" s="26">
        <v>6962393</v>
      </c>
      <c r="G130" t="b">
        <f t="shared" si="5"/>
        <v>0</v>
      </c>
      <c r="H130" t="b">
        <f t="shared" si="6"/>
        <v>0</v>
      </c>
      <c r="I130" s="29">
        <f t="shared" si="7"/>
        <v>39136</v>
      </c>
    </row>
    <row r="131" spans="1:9" ht="12.75" customHeight="1" x14ac:dyDescent="0.2">
      <c r="A131" s="28">
        <v>39136</v>
      </c>
      <c r="B131" s="26" t="s">
        <v>4429</v>
      </c>
      <c r="C131" s="26" t="s">
        <v>9</v>
      </c>
      <c r="D131" s="26" t="s">
        <v>20</v>
      </c>
      <c r="E131" s="26" t="s">
        <v>20</v>
      </c>
      <c r="F131" s="26" t="s">
        <v>20</v>
      </c>
      <c r="G131" t="b">
        <f t="shared" ref="G131:G192" si="8">ISBLANK(A131)</f>
        <v>0</v>
      </c>
      <c r="H131" t="b">
        <f t="shared" ref="H131:H192" si="9">ISTEXT(A131)</f>
        <v>0</v>
      </c>
      <c r="I131" s="29">
        <f t="shared" ref="I131:I194" si="10">DATE(2007,MONTH(A131), DAY(A131))</f>
        <v>39136</v>
      </c>
    </row>
    <row r="132" spans="1:9" ht="25.5" x14ac:dyDescent="0.2">
      <c r="A132" s="28">
        <v>39136</v>
      </c>
      <c r="B132" s="26" t="s">
        <v>4428</v>
      </c>
      <c r="C132" s="26" t="s">
        <v>9</v>
      </c>
      <c r="D132" s="26" t="s">
        <v>20</v>
      </c>
      <c r="E132" s="26">
        <v>291962</v>
      </c>
      <c r="F132" s="26" t="s">
        <v>20</v>
      </c>
      <c r="G132" t="b">
        <f t="shared" si="8"/>
        <v>0</v>
      </c>
      <c r="H132" t="b">
        <f t="shared" si="9"/>
        <v>0</v>
      </c>
      <c r="I132" s="29">
        <f t="shared" si="10"/>
        <v>39136</v>
      </c>
    </row>
    <row r="133" spans="1:9" ht="25.5" x14ac:dyDescent="0.2">
      <c r="A133" s="28">
        <v>39136</v>
      </c>
      <c r="B133" s="26" t="s">
        <v>4427</v>
      </c>
      <c r="C133" s="26" t="s">
        <v>9</v>
      </c>
      <c r="D133" s="26" t="s">
        <v>20</v>
      </c>
      <c r="E133" s="26" t="s">
        <v>20</v>
      </c>
      <c r="F133" s="26" t="s">
        <v>20</v>
      </c>
      <c r="G133" t="b">
        <f t="shared" si="8"/>
        <v>0</v>
      </c>
      <c r="H133" t="b">
        <f t="shared" si="9"/>
        <v>0</v>
      </c>
      <c r="I133" s="29">
        <f t="shared" si="10"/>
        <v>39136</v>
      </c>
    </row>
    <row r="134" spans="1:9" ht="12.75" customHeight="1" x14ac:dyDescent="0.2">
      <c r="A134" s="28">
        <v>39136</v>
      </c>
      <c r="B134" s="26" t="s">
        <v>4426</v>
      </c>
      <c r="C134" s="26" t="s">
        <v>9</v>
      </c>
      <c r="D134" s="26" t="s">
        <v>20</v>
      </c>
      <c r="E134" s="26">
        <v>21214987</v>
      </c>
      <c r="F134" s="26">
        <v>27986419</v>
      </c>
      <c r="G134" t="b">
        <f t="shared" si="8"/>
        <v>0</v>
      </c>
      <c r="H134" t="b">
        <f t="shared" si="9"/>
        <v>0</v>
      </c>
      <c r="I134" s="29">
        <f t="shared" si="10"/>
        <v>39136</v>
      </c>
    </row>
    <row r="135" spans="1:9" ht="12.75" customHeight="1" x14ac:dyDescent="0.2">
      <c r="A135" s="28">
        <v>39136</v>
      </c>
      <c r="B135" s="26" t="s">
        <v>4425</v>
      </c>
      <c r="C135" s="26" t="s">
        <v>2460</v>
      </c>
      <c r="D135" s="26">
        <v>32000000</v>
      </c>
      <c r="E135" s="26">
        <v>35193167</v>
      </c>
      <c r="F135" s="26">
        <v>76593167</v>
      </c>
      <c r="G135" t="b">
        <f t="shared" si="8"/>
        <v>0</v>
      </c>
      <c r="H135" t="b">
        <f t="shared" si="9"/>
        <v>0</v>
      </c>
      <c r="I135" s="29">
        <f t="shared" si="10"/>
        <v>39136</v>
      </c>
    </row>
    <row r="136" spans="1:9" ht="38.25" x14ac:dyDescent="0.2">
      <c r="A136" s="28">
        <v>39136</v>
      </c>
      <c r="B136" s="26" t="s">
        <v>4424</v>
      </c>
      <c r="C136" s="26" t="s">
        <v>2837</v>
      </c>
      <c r="D136" s="26">
        <v>13000000</v>
      </c>
      <c r="E136" s="26">
        <v>11003643</v>
      </c>
      <c r="F136" s="26" t="s">
        <v>20</v>
      </c>
      <c r="G136" t="b">
        <f t="shared" si="8"/>
        <v>0</v>
      </c>
      <c r="H136" t="b">
        <f t="shared" si="9"/>
        <v>0</v>
      </c>
      <c r="I136" s="29">
        <f t="shared" si="10"/>
        <v>39136</v>
      </c>
    </row>
    <row r="137" spans="1:9" ht="12.75" customHeight="1" x14ac:dyDescent="0.2">
      <c r="A137" s="28">
        <v>39136</v>
      </c>
      <c r="B137" s="26" t="s">
        <v>4423</v>
      </c>
      <c r="C137" s="26" t="s">
        <v>9</v>
      </c>
      <c r="D137" s="26" t="s">
        <v>20</v>
      </c>
      <c r="E137" s="26">
        <v>8419</v>
      </c>
      <c r="F137" s="26" t="s">
        <v>20</v>
      </c>
      <c r="G137" t="b">
        <f t="shared" si="8"/>
        <v>0</v>
      </c>
      <c r="H137" t="b">
        <f t="shared" si="9"/>
        <v>0</v>
      </c>
      <c r="I137" s="29">
        <f t="shared" si="10"/>
        <v>39136</v>
      </c>
    </row>
    <row r="138" spans="1:9" ht="25.5" x14ac:dyDescent="0.2">
      <c r="A138" s="28">
        <v>39136</v>
      </c>
      <c r="B138" s="26" t="s">
        <v>4422</v>
      </c>
      <c r="C138" s="26" t="s">
        <v>150</v>
      </c>
      <c r="D138" s="26" t="s">
        <v>20</v>
      </c>
      <c r="E138" s="26">
        <v>1255524</v>
      </c>
      <c r="F138" s="26" t="s">
        <v>20</v>
      </c>
      <c r="G138" t="b">
        <f t="shared" si="8"/>
        <v>0</v>
      </c>
      <c r="H138" t="b">
        <f t="shared" si="9"/>
        <v>0</v>
      </c>
      <c r="I138" s="29">
        <f t="shared" si="10"/>
        <v>39136</v>
      </c>
    </row>
    <row r="139" spans="1:9" ht="12.75" customHeight="1" x14ac:dyDescent="0.2">
      <c r="A139" s="28">
        <v>39136</v>
      </c>
      <c r="B139" s="26" t="s">
        <v>4421</v>
      </c>
      <c r="C139" s="26" t="s">
        <v>9</v>
      </c>
      <c r="D139" s="26" t="s">
        <v>20</v>
      </c>
      <c r="E139" s="26">
        <v>71561</v>
      </c>
      <c r="F139" s="26" t="s">
        <v>20</v>
      </c>
      <c r="G139" t="b">
        <f t="shared" si="8"/>
        <v>0</v>
      </c>
      <c r="H139" t="b">
        <f t="shared" si="9"/>
        <v>0</v>
      </c>
      <c r="I139" s="29">
        <f t="shared" si="10"/>
        <v>39136</v>
      </c>
    </row>
    <row r="140" spans="1:9" ht="12.75" customHeight="1" x14ac:dyDescent="0.2">
      <c r="A140" s="28">
        <v>39136</v>
      </c>
      <c r="B140" s="26" t="s">
        <v>4420</v>
      </c>
      <c r="C140" s="26" t="s">
        <v>9</v>
      </c>
      <c r="D140" s="26" t="s">
        <v>20</v>
      </c>
      <c r="E140" s="26" t="s">
        <v>20</v>
      </c>
      <c r="F140" s="26" t="s">
        <v>20</v>
      </c>
      <c r="G140" t="b">
        <f t="shared" si="8"/>
        <v>0</v>
      </c>
      <c r="H140" t="b">
        <f t="shared" si="9"/>
        <v>0</v>
      </c>
      <c r="I140" s="29">
        <f t="shared" si="10"/>
        <v>39136</v>
      </c>
    </row>
    <row r="141" spans="1:9" ht="12.75" customHeight="1" x14ac:dyDescent="0.2">
      <c r="A141" s="28">
        <v>39140</v>
      </c>
      <c r="B141" s="26" t="s">
        <v>4419</v>
      </c>
      <c r="C141" s="26" t="s">
        <v>9</v>
      </c>
      <c r="D141" s="26" t="s">
        <v>20</v>
      </c>
      <c r="E141" s="26" t="s">
        <v>20</v>
      </c>
      <c r="F141" s="26" t="s">
        <v>20</v>
      </c>
      <c r="G141" t="b">
        <f t="shared" si="8"/>
        <v>0</v>
      </c>
      <c r="H141" t="b">
        <f t="shared" si="9"/>
        <v>0</v>
      </c>
      <c r="I141" s="29">
        <f t="shared" si="10"/>
        <v>39140</v>
      </c>
    </row>
    <row r="142" spans="1:9" ht="38.25" x14ac:dyDescent="0.2">
      <c r="A142" s="28">
        <v>39140</v>
      </c>
      <c r="B142" s="26" t="s">
        <v>4418</v>
      </c>
      <c r="C142" s="26" t="s">
        <v>9</v>
      </c>
      <c r="D142" s="26" t="s">
        <v>20</v>
      </c>
      <c r="E142" s="26" t="s">
        <v>20</v>
      </c>
      <c r="F142" s="26" t="s">
        <v>20</v>
      </c>
      <c r="G142" t="b">
        <f t="shared" si="8"/>
        <v>0</v>
      </c>
      <c r="H142" t="b">
        <f t="shared" si="9"/>
        <v>0</v>
      </c>
      <c r="I142" s="29">
        <f t="shared" si="10"/>
        <v>39140</v>
      </c>
    </row>
    <row r="143" spans="1:9" ht="38.25" x14ac:dyDescent="0.2">
      <c r="A143" s="28">
        <v>39140</v>
      </c>
      <c r="B143" s="26" t="s">
        <v>4417</v>
      </c>
      <c r="C143" s="26" t="s">
        <v>9</v>
      </c>
      <c r="D143" s="26" t="s">
        <v>20</v>
      </c>
      <c r="E143" s="26" t="s">
        <v>20</v>
      </c>
      <c r="F143" s="26" t="s">
        <v>20</v>
      </c>
      <c r="G143" t="b">
        <f t="shared" si="8"/>
        <v>0</v>
      </c>
      <c r="H143" t="b">
        <f t="shared" si="9"/>
        <v>0</v>
      </c>
      <c r="I143" s="29">
        <f t="shared" si="10"/>
        <v>39140</v>
      </c>
    </row>
    <row r="144" spans="1:9" ht="38.25" x14ac:dyDescent="0.2">
      <c r="A144" s="28">
        <v>39140</v>
      </c>
      <c r="B144" s="26" t="s">
        <v>4416</v>
      </c>
      <c r="C144" s="26" t="s">
        <v>9</v>
      </c>
      <c r="D144" s="26" t="s">
        <v>20</v>
      </c>
      <c r="E144" s="26" t="s">
        <v>20</v>
      </c>
      <c r="F144" s="26" t="s">
        <v>20</v>
      </c>
      <c r="G144" t="b">
        <f t="shared" si="8"/>
        <v>0</v>
      </c>
      <c r="H144" t="b">
        <f t="shared" si="9"/>
        <v>0</v>
      </c>
      <c r="I144" s="29">
        <f t="shared" si="10"/>
        <v>39140</v>
      </c>
    </row>
    <row r="145" spans="1:9" ht="51" x14ac:dyDescent="0.2">
      <c r="A145" s="28">
        <v>39140</v>
      </c>
      <c r="B145" s="26" t="s">
        <v>4415</v>
      </c>
      <c r="C145" s="26" t="s">
        <v>9</v>
      </c>
      <c r="D145" s="26" t="s">
        <v>20</v>
      </c>
      <c r="E145" s="26" t="s">
        <v>20</v>
      </c>
      <c r="F145" s="26" t="s">
        <v>20</v>
      </c>
      <c r="G145" t="b">
        <f t="shared" si="8"/>
        <v>0</v>
      </c>
      <c r="H145" t="b">
        <f t="shared" si="9"/>
        <v>0</v>
      </c>
      <c r="I145" s="29">
        <f t="shared" si="10"/>
        <v>39140</v>
      </c>
    </row>
    <row r="146" spans="1:9" ht="25.5" x14ac:dyDescent="0.2">
      <c r="A146" s="28">
        <v>39140</v>
      </c>
      <c r="B146" s="26" t="s">
        <v>4414</v>
      </c>
      <c r="C146" s="26" t="s">
        <v>9</v>
      </c>
      <c r="D146" s="26" t="s">
        <v>20</v>
      </c>
      <c r="E146" s="26" t="s">
        <v>20</v>
      </c>
      <c r="F146" s="26" t="s">
        <v>20</v>
      </c>
      <c r="G146" t="b">
        <f t="shared" si="8"/>
        <v>0</v>
      </c>
      <c r="H146" t="b">
        <f t="shared" si="9"/>
        <v>0</v>
      </c>
      <c r="I146" s="29">
        <f t="shared" si="10"/>
        <v>39140</v>
      </c>
    </row>
    <row r="147" spans="1:9" ht="25.5" x14ac:dyDescent="0.2">
      <c r="A147" s="28">
        <v>39140</v>
      </c>
      <c r="B147" s="26" t="s">
        <v>4413</v>
      </c>
      <c r="C147" s="26" t="s">
        <v>9</v>
      </c>
      <c r="D147" s="26" t="s">
        <v>20</v>
      </c>
      <c r="E147" s="26" t="s">
        <v>20</v>
      </c>
      <c r="F147" s="26" t="s">
        <v>20</v>
      </c>
      <c r="G147" t="b">
        <f t="shared" si="8"/>
        <v>0</v>
      </c>
      <c r="H147" t="b">
        <f t="shared" si="9"/>
        <v>0</v>
      </c>
      <c r="I147" s="29">
        <f t="shared" si="10"/>
        <v>39140</v>
      </c>
    </row>
    <row r="148" spans="1:9" ht="12.75" customHeight="1" x14ac:dyDescent="0.2">
      <c r="A148" s="28">
        <v>39141</v>
      </c>
      <c r="B148" s="26" t="s">
        <v>4412</v>
      </c>
      <c r="C148" s="26" t="s">
        <v>9</v>
      </c>
      <c r="D148" s="26" t="s">
        <v>20</v>
      </c>
      <c r="E148" s="26">
        <v>790452</v>
      </c>
      <c r="F148" s="26" t="s">
        <v>20</v>
      </c>
      <c r="G148" t="b">
        <f t="shared" si="8"/>
        <v>0</v>
      </c>
      <c r="H148" t="b">
        <f t="shared" si="9"/>
        <v>0</v>
      </c>
      <c r="I148" s="29">
        <f t="shared" si="10"/>
        <v>39141</v>
      </c>
    </row>
    <row r="149" spans="1:9" ht="25.5" x14ac:dyDescent="0.2">
      <c r="A149" s="28">
        <v>39141</v>
      </c>
      <c r="B149" s="26" t="s">
        <v>4411</v>
      </c>
      <c r="C149" s="26" t="s">
        <v>9</v>
      </c>
      <c r="D149" s="26" t="s">
        <v>20</v>
      </c>
      <c r="E149" s="26">
        <v>9946</v>
      </c>
      <c r="F149" s="26" t="s">
        <v>20</v>
      </c>
      <c r="G149" t="b">
        <f t="shared" si="8"/>
        <v>0</v>
      </c>
      <c r="H149" t="b">
        <f t="shared" si="9"/>
        <v>0</v>
      </c>
      <c r="I149" s="29">
        <f t="shared" si="10"/>
        <v>39141</v>
      </c>
    </row>
    <row r="150" spans="1:9" ht="12.75" customHeight="1" x14ac:dyDescent="0.2">
      <c r="A150" s="28">
        <v>39141</v>
      </c>
      <c r="B150" s="26" t="s">
        <v>4410</v>
      </c>
      <c r="C150" s="26" t="s">
        <v>9</v>
      </c>
      <c r="D150" s="26" t="s">
        <v>20</v>
      </c>
      <c r="E150" s="26" t="s">
        <v>20</v>
      </c>
      <c r="F150" s="26">
        <v>1723084</v>
      </c>
      <c r="G150" t="b">
        <f t="shared" si="8"/>
        <v>0</v>
      </c>
      <c r="H150" t="b">
        <f t="shared" si="9"/>
        <v>0</v>
      </c>
      <c r="I150" s="29">
        <f t="shared" si="10"/>
        <v>39141</v>
      </c>
    </row>
    <row r="151" spans="1:9" ht="12.75" customHeight="1" x14ac:dyDescent="0.2">
      <c r="A151" s="28">
        <v>39142</v>
      </c>
      <c r="B151" s="26" t="s">
        <v>4409</v>
      </c>
      <c r="C151" s="26" t="s">
        <v>9</v>
      </c>
      <c r="D151" s="26" t="s">
        <v>20</v>
      </c>
      <c r="E151" s="26" t="s">
        <v>20</v>
      </c>
      <c r="F151" s="26">
        <v>10291446</v>
      </c>
      <c r="G151" t="b">
        <f t="shared" si="8"/>
        <v>0</v>
      </c>
      <c r="H151" t="b">
        <f t="shared" si="9"/>
        <v>0</v>
      </c>
      <c r="I151" s="29">
        <f t="shared" si="10"/>
        <v>39142</v>
      </c>
    </row>
    <row r="152" spans="1:9" ht="25.5" x14ac:dyDescent="0.2">
      <c r="A152" s="28">
        <v>39143</v>
      </c>
      <c r="B152" s="26" t="s">
        <v>4408</v>
      </c>
      <c r="C152" s="26" t="s">
        <v>9</v>
      </c>
      <c r="D152" s="26" t="s">
        <v>20</v>
      </c>
      <c r="E152" s="26" t="s">
        <v>20</v>
      </c>
      <c r="F152" s="26">
        <v>3540470</v>
      </c>
      <c r="G152" t="b">
        <f t="shared" si="8"/>
        <v>0</v>
      </c>
      <c r="H152" t="b">
        <f t="shared" si="9"/>
        <v>0</v>
      </c>
      <c r="I152" s="29">
        <f t="shared" si="10"/>
        <v>39143</v>
      </c>
    </row>
    <row r="153" spans="1:9" ht="12.75" customHeight="1" x14ac:dyDescent="0.2">
      <c r="A153" s="28">
        <v>39143</v>
      </c>
      <c r="B153" s="26" t="s">
        <v>4407</v>
      </c>
      <c r="C153" s="26" t="s">
        <v>9</v>
      </c>
      <c r="D153" s="26" t="s">
        <v>20</v>
      </c>
      <c r="E153" s="26" t="s">
        <v>20</v>
      </c>
      <c r="F153" s="26">
        <v>5278633</v>
      </c>
      <c r="G153" t="b">
        <f t="shared" si="8"/>
        <v>0</v>
      </c>
      <c r="H153" t="b">
        <f t="shared" si="9"/>
        <v>0</v>
      </c>
      <c r="I153" s="29">
        <f t="shared" si="10"/>
        <v>39143</v>
      </c>
    </row>
    <row r="154" spans="1:9" ht="12.75" customHeight="1" x14ac:dyDescent="0.2">
      <c r="A154" s="28">
        <v>39143</v>
      </c>
      <c r="B154" s="26" t="s">
        <v>4406</v>
      </c>
      <c r="C154" s="26" t="s">
        <v>3390</v>
      </c>
      <c r="D154" s="26" t="s">
        <v>20</v>
      </c>
      <c r="E154" s="26">
        <v>168213584</v>
      </c>
      <c r="F154" s="26">
        <v>253013584</v>
      </c>
      <c r="G154" t="b">
        <f t="shared" si="8"/>
        <v>0</v>
      </c>
      <c r="H154" t="b">
        <f t="shared" si="9"/>
        <v>0</v>
      </c>
      <c r="I154" s="29">
        <f t="shared" si="10"/>
        <v>39143</v>
      </c>
    </row>
    <row r="155" spans="1:9" ht="12.75" customHeight="1" x14ac:dyDescent="0.2">
      <c r="A155" s="28">
        <v>39143</v>
      </c>
      <c r="B155" s="26" t="s">
        <v>4405</v>
      </c>
      <c r="C155" s="26" t="s">
        <v>2460</v>
      </c>
      <c r="D155" s="26" t="s">
        <v>20</v>
      </c>
      <c r="E155" s="26">
        <v>14273</v>
      </c>
      <c r="F155" s="26" t="s">
        <v>20</v>
      </c>
      <c r="G155" t="b">
        <f t="shared" si="8"/>
        <v>0</v>
      </c>
      <c r="H155" t="b">
        <f t="shared" si="9"/>
        <v>0</v>
      </c>
      <c r="I155" s="29">
        <f t="shared" si="10"/>
        <v>39143</v>
      </c>
    </row>
    <row r="156" spans="1:9" ht="12.75" customHeight="1" x14ac:dyDescent="0.2">
      <c r="A156" s="28">
        <v>39143</v>
      </c>
      <c r="B156" s="26" t="s">
        <v>4404</v>
      </c>
      <c r="C156" s="26" t="s">
        <v>9</v>
      </c>
      <c r="D156" s="26" t="s">
        <v>20</v>
      </c>
      <c r="E156" s="26" t="s">
        <v>20</v>
      </c>
      <c r="F156" s="26" t="s">
        <v>20</v>
      </c>
      <c r="G156" t="b">
        <f t="shared" si="8"/>
        <v>0</v>
      </c>
      <c r="H156" t="b">
        <f t="shared" si="9"/>
        <v>0</v>
      </c>
      <c r="I156" s="29">
        <f t="shared" si="10"/>
        <v>39143</v>
      </c>
    </row>
    <row r="157" spans="1:9" ht="12.75" customHeight="1" x14ac:dyDescent="0.2">
      <c r="A157" s="28">
        <v>39143</v>
      </c>
      <c r="B157" s="26" t="s">
        <v>4403</v>
      </c>
      <c r="C157" s="26" t="s">
        <v>9</v>
      </c>
      <c r="D157" s="26" t="s">
        <v>20</v>
      </c>
      <c r="E157" s="26">
        <v>12890</v>
      </c>
      <c r="F157" s="26" t="s">
        <v>20</v>
      </c>
      <c r="G157" t="b">
        <f t="shared" si="8"/>
        <v>0</v>
      </c>
      <c r="H157" t="b">
        <f t="shared" si="9"/>
        <v>0</v>
      </c>
      <c r="I157" s="29">
        <f t="shared" si="10"/>
        <v>39143</v>
      </c>
    </row>
    <row r="158" spans="1:9" ht="12.75" customHeight="1" x14ac:dyDescent="0.2">
      <c r="A158" s="28">
        <v>39143</v>
      </c>
      <c r="B158" s="26" t="s">
        <v>4402</v>
      </c>
      <c r="C158" s="26" t="s">
        <v>9</v>
      </c>
      <c r="D158" s="26" t="s">
        <v>20</v>
      </c>
      <c r="E158" s="26">
        <v>73819</v>
      </c>
      <c r="F158" s="26" t="s">
        <v>20</v>
      </c>
      <c r="G158" t="b">
        <f t="shared" si="8"/>
        <v>0</v>
      </c>
      <c r="H158" t="b">
        <f t="shared" si="9"/>
        <v>0</v>
      </c>
      <c r="I158" s="29">
        <f t="shared" si="10"/>
        <v>39143</v>
      </c>
    </row>
    <row r="159" spans="1:9" ht="12.75" customHeight="1" x14ac:dyDescent="0.2">
      <c r="A159" s="28">
        <v>39143</v>
      </c>
      <c r="B159" s="26" t="s">
        <v>4401</v>
      </c>
      <c r="C159" s="26" t="s">
        <v>9</v>
      </c>
      <c r="D159" s="26" t="s">
        <v>20</v>
      </c>
      <c r="E159" s="26">
        <v>46605</v>
      </c>
      <c r="F159" s="26" t="s">
        <v>20</v>
      </c>
      <c r="G159" t="b">
        <f t="shared" si="8"/>
        <v>0</v>
      </c>
      <c r="H159" t="b">
        <f t="shared" si="9"/>
        <v>0</v>
      </c>
      <c r="I159" s="29">
        <f t="shared" si="10"/>
        <v>39143</v>
      </c>
    </row>
    <row r="160" spans="1:9" ht="12.75" customHeight="1" x14ac:dyDescent="0.2">
      <c r="A160" s="28">
        <v>39143</v>
      </c>
      <c r="B160" s="26" t="s">
        <v>4400</v>
      </c>
      <c r="C160" s="26" t="s">
        <v>9</v>
      </c>
      <c r="D160" s="26">
        <v>85000000</v>
      </c>
      <c r="E160" s="26">
        <v>33080084</v>
      </c>
      <c r="F160" s="26">
        <v>83080084</v>
      </c>
      <c r="G160" t="b">
        <f t="shared" si="8"/>
        <v>0</v>
      </c>
      <c r="H160" t="b">
        <f t="shared" si="9"/>
        <v>0</v>
      </c>
      <c r="I160" s="29">
        <f t="shared" si="10"/>
        <v>39143</v>
      </c>
    </row>
    <row r="161" spans="1:9" ht="25.5" x14ac:dyDescent="0.2">
      <c r="A161" s="28">
        <v>39143</v>
      </c>
      <c r="B161" s="26" t="s">
        <v>4399</v>
      </c>
      <c r="C161" s="26" t="s">
        <v>2992</v>
      </c>
      <c r="D161" s="26">
        <v>15000000</v>
      </c>
      <c r="E161" s="26">
        <v>9396870</v>
      </c>
      <c r="F161" s="26" t="s">
        <v>20</v>
      </c>
      <c r="G161" t="b">
        <f t="shared" si="8"/>
        <v>0</v>
      </c>
      <c r="H161" t="b">
        <f t="shared" si="9"/>
        <v>0</v>
      </c>
      <c r="I161" s="29">
        <f t="shared" si="10"/>
        <v>39143</v>
      </c>
    </row>
    <row r="162" spans="1:9" ht="25.5" x14ac:dyDescent="0.2">
      <c r="A162" s="28">
        <v>39143</v>
      </c>
      <c r="B162" s="26" t="s">
        <v>4398</v>
      </c>
      <c r="C162" s="26" t="s">
        <v>9</v>
      </c>
      <c r="D162" s="26" t="s">
        <v>20</v>
      </c>
      <c r="E162" s="26">
        <v>38925</v>
      </c>
      <c r="F162" s="26" t="s">
        <v>20</v>
      </c>
      <c r="G162" t="b">
        <f t="shared" si="8"/>
        <v>0</v>
      </c>
      <c r="H162" t="b">
        <f t="shared" si="9"/>
        <v>0</v>
      </c>
      <c r="I162" s="29">
        <f t="shared" si="10"/>
        <v>39143</v>
      </c>
    </row>
    <row r="163" spans="1:9" ht="38.25" x14ac:dyDescent="0.2">
      <c r="A163" s="28">
        <v>39144</v>
      </c>
      <c r="B163" s="26" t="s">
        <v>4397</v>
      </c>
      <c r="C163" s="26" t="s">
        <v>9</v>
      </c>
      <c r="D163" s="26" t="s">
        <v>20</v>
      </c>
      <c r="E163" s="26">
        <v>3892</v>
      </c>
      <c r="F163" s="26">
        <v>4874498</v>
      </c>
      <c r="G163" t="b">
        <f t="shared" si="8"/>
        <v>0</v>
      </c>
      <c r="H163" t="b">
        <f t="shared" si="9"/>
        <v>0</v>
      </c>
      <c r="I163" s="29">
        <f t="shared" si="10"/>
        <v>39144</v>
      </c>
    </row>
    <row r="164" spans="1:9" ht="25.5" x14ac:dyDescent="0.2">
      <c r="A164" s="28">
        <v>39145</v>
      </c>
      <c r="B164" s="26" t="s">
        <v>4396</v>
      </c>
      <c r="C164" s="26" t="s">
        <v>9</v>
      </c>
      <c r="D164" s="26" t="s">
        <v>20</v>
      </c>
      <c r="E164" s="26" t="s">
        <v>20</v>
      </c>
      <c r="F164" s="26" t="s">
        <v>20</v>
      </c>
      <c r="G164" t="b">
        <f t="shared" si="8"/>
        <v>0</v>
      </c>
      <c r="H164" t="b">
        <f t="shared" si="9"/>
        <v>0</v>
      </c>
      <c r="I164" s="29">
        <f t="shared" si="10"/>
        <v>39145</v>
      </c>
    </row>
    <row r="165" spans="1:9" ht="25.5" x14ac:dyDescent="0.2">
      <c r="A165" s="28">
        <v>39148</v>
      </c>
      <c r="B165" s="26" t="s">
        <v>4395</v>
      </c>
      <c r="C165" s="26" t="s">
        <v>9</v>
      </c>
      <c r="D165" s="26" t="s">
        <v>20</v>
      </c>
      <c r="E165" s="26">
        <v>23308</v>
      </c>
      <c r="F165" s="26" t="s">
        <v>20</v>
      </c>
      <c r="G165" t="b">
        <f t="shared" si="8"/>
        <v>0</v>
      </c>
      <c r="H165" t="b">
        <f t="shared" si="9"/>
        <v>0</v>
      </c>
      <c r="I165" s="29">
        <f t="shared" si="10"/>
        <v>39148</v>
      </c>
    </row>
    <row r="166" spans="1:9" ht="12.75" customHeight="1" x14ac:dyDescent="0.2">
      <c r="A166" s="28">
        <v>39148</v>
      </c>
      <c r="B166" s="26" t="s">
        <v>4394</v>
      </c>
      <c r="C166" s="26" t="s">
        <v>2285</v>
      </c>
      <c r="D166" s="26" t="s">
        <v>20</v>
      </c>
      <c r="E166" s="26">
        <v>77300</v>
      </c>
      <c r="F166" s="26" t="s">
        <v>20</v>
      </c>
      <c r="G166" t="b">
        <f t="shared" si="8"/>
        <v>0</v>
      </c>
      <c r="H166" t="b">
        <f t="shared" si="9"/>
        <v>0</v>
      </c>
      <c r="I166" s="29">
        <f t="shared" si="10"/>
        <v>39148</v>
      </c>
    </row>
    <row r="167" spans="1:9" ht="12.75" customHeight="1" x14ac:dyDescent="0.2">
      <c r="A167" s="28">
        <v>39150</v>
      </c>
      <c r="B167" s="26" t="s">
        <v>4393</v>
      </c>
      <c r="C167" s="26" t="s">
        <v>9</v>
      </c>
      <c r="D167" s="26" t="s">
        <v>20</v>
      </c>
      <c r="E167" s="26">
        <v>3438735</v>
      </c>
      <c r="F167" s="26" t="s">
        <v>20</v>
      </c>
      <c r="G167" t="b">
        <f t="shared" si="8"/>
        <v>0</v>
      </c>
      <c r="H167" t="b">
        <f t="shared" si="9"/>
        <v>0</v>
      </c>
      <c r="I167" s="29">
        <f t="shared" si="10"/>
        <v>39150</v>
      </c>
    </row>
    <row r="168" spans="1:9" ht="12.75" customHeight="1" x14ac:dyDescent="0.2">
      <c r="A168" s="28">
        <v>39150</v>
      </c>
      <c r="B168" s="26" t="s">
        <v>4392</v>
      </c>
      <c r="C168" s="26" t="s">
        <v>9</v>
      </c>
      <c r="D168" s="26" t="s">
        <v>20</v>
      </c>
      <c r="E168" s="26">
        <v>209654</v>
      </c>
      <c r="F168" s="26" t="s">
        <v>20</v>
      </c>
      <c r="G168" t="b">
        <f t="shared" si="8"/>
        <v>0</v>
      </c>
      <c r="H168" t="b">
        <f t="shared" si="9"/>
        <v>0</v>
      </c>
      <c r="I168" s="29">
        <f t="shared" si="10"/>
        <v>39150</v>
      </c>
    </row>
    <row r="169" spans="1:9" ht="12.75" customHeight="1" x14ac:dyDescent="0.2">
      <c r="A169" s="28">
        <v>39150</v>
      </c>
      <c r="B169" s="26" t="s">
        <v>4391</v>
      </c>
      <c r="C169" s="26" t="s">
        <v>9</v>
      </c>
      <c r="D169" s="26" t="s">
        <v>20</v>
      </c>
      <c r="E169" s="26" t="s">
        <v>20</v>
      </c>
      <c r="F169" s="26">
        <v>5300000</v>
      </c>
      <c r="G169" t="b">
        <f t="shared" si="8"/>
        <v>0</v>
      </c>
      <c r="H169" t="b">
        <f t="shared" si="9"/>
        <v>0</v>
      </c>
      <c r="I169" s="29">
        <f t="shared" si="10"/>
        <v>39150</v>
      </c>
    </row>
    <row r="170" spans="1:9" ht="51" x14ac:dyDescent="0.2">
      <c r="A170" s="28">
        <v>39150</v>
      </c>
      <c r="B170" s="26" t="s">
        <v>4390</v>
      </c>
      <c r="C170" s="26" t="s">
        <v>746</v>
      </c>
      <c r="D170" s="26" t="s">
        <v>20</v>
      </c>
      <c r="E170" s="26">
        <v>58829</v>
      </c>
      <c r="F170" s="26" t="s">
        <v>20</v>
      </c>
      <c r="G170" t="b">
        <f t="shared" si="8"/>
        <v>0</v>
      </c>
      <c r="H170" t="b">
        <f t="shared" si="9"/>
        <v>0</v>
      </c>
      <c r="I170" s="29">
        <f t="shared" si="10"/>
        <v>39150</v>
      </c>
    </row>
    <row r="171" spans="1:9" ht="12.75" customHeight="1" x14ac:dyDescent="0.2">
      <c r="A171" s="28">
        <v>39150</v>
      </c>
      <c r="B171" s="26" t="s">
        <v>4389</v>
      </c>
      <c r="C171" s="26" t="s">
        <v>9</v>
      </c>
      <c r="D171" s="26" t="s">
        <v>20</v>
      </c>
      <c r="E171" s="26" t="s">
        <v>20</v>
      </c>
      <c r="F171" s="26">
        <v>1127359</v>
      </c>
      <c r="G171" t="b">
        <f t="shared" si="8"/>
        <v>0</v>
      </c>
      <c r="H171" t="b">
        <f t="shared" si="9"/>
        <v>0</v>
      </c>
      <c r="I171" s="29">
        <f t="shared" si="10"/>
        <v>39150</v>
      </c>
    </row>
    <row r="172" spans="1:9" ht="12.75" customHeight="1" x14ac:dyDescent="0.2">
      <c r="A172" s="28">
        <v>39150</v>
      </c>
      <c r="B172" s="26">
        <v>300</v>
      </c>
      <c r="C172" s="26" t="s">
        <v>3209</v>
      </c>
      <c r="D172" s="26">
        <v>60000000</v>
      </c>
      <c r="E172" s="26">
        <v>210614939</v>
      </c>
      <c r="F172" s="26">
        <v>456068181</v>
      </c>
      <c r="G172" t="b">
        <f t="shared" si="8"/>
        <v>0</v>
      </c>
      <c r="H172" t="b">
        <f t="shared" si="9"/>
        <v>0</v>
      </c>
      <c r="I172" s="29">
        <f t="shared" si="10"/>
        <v>39150</v>
      </c>
    </row>
    <row r="173" spans="1:9" ht="12.75" customHeight="1" x14ac:dyDescent="0.2">
      <c r="A173" s="28">
        <v>39150</v>
      </c>
      <c r="B173" s="26" t="s">
        <v>4388</v>
      </c>
      <c r="C173" s="26" t="s">
        <v>9</v>
      </c>
      <c r="D173" s="26" t="s">
        <v>20</v>
      </c>
      <c r="E173" s="26" t="s">
        <v>20</v>
      </c>
      <c r="F173" s="26">
        <v>20000000</v>
      </c>
      <c r="G173" t="b">
        <f t="shared" si="8"/>
        <v>0</v>
      </c>
      <c r="H173" t="b">
        <f t="shared" si="9"/>
        <v>0</v>
      </c>
      <c r="I173" s="29">
        <f t="shared" si="10"/>
        <v>39150</v>
      </c>
    </row>
    <row r="174" spans="1:9" ht="25.5" x14ac:dyDescent="0.2">
      <c r="A174" s="28">
        <v>39150</v>
      </c>
      <c r="B174" s="26" t="s">
        <v>4387</v>
      </c>
      <c r="C174" s="26" t="s">
        <v>9</v>
      </c>
      <c r="D174" s="26" t="s">
        <v>20</v>
      </c>
      <c r="E174" s="26" t="s">
        <v>20</v>
      </c>
      <c r="F174" s="26">
        <v>1429816</v>
      </c>
      <c r="G174" t="b">
        <f t="shared" si="8"/>
        <v>0</v>
      </c>
      <c r="H174" t="b">
        <f t="shared" si="9"/>
        <v>0</v>
      </c>
      <c r="I174" s="29">
        <f t="shared" si="10"/>
        <v>39150</v>
      </c>
    </row>
    <row r="175" spans="1:9" ht="12.75" customHeight="1" x14ac:dyDescent="0.2">
      <c r="A175" s="28">
        <v>39150</v>
      </c>
      <c r="B175" s="26" t="s">
        <v>4386</v>
      </c>
      <c r="C175" s="26" t="s">
        <v>746</v>
      </c>
      <c r="D175" s="26">
        <v>12000000</v>
      </c>
      <c r="E175" s="26">
        <v>2201923</v>
      </c>
      <c r="F175" s="26">
        <v>89006691</v>
      </c>
      <c r="G175" t="b">
        <f t="shared" si="8"/>
        <v>0</v>
      </c>
      <c r="H175" t="b">
        <f t="shared" si="9"/>
        <v>0</v>
      </c>
      <c r="I175" s="29">
        <f t="shared" si="10"/>
        <v>39150</v>
      </c>
    </row>
    <row r="176" spans="1:9" ht="12.75" customHeight="1" x14ac:dyDescent="0.2">
      <c r="A176" s="28">
        <v>39150</v>
      </c>
      <c r="B176" s="26" t="s">
        <v>4385</v>
      </c>
      <c r="C176" s="26" t="s">
        <v>9</v>
      </c>
      <c r="D176" s="26" t="s">
        <v>20</v>
      </c>
      <c r="E176" s="26">
        <v>59676</v>
      </c>
      <c r="F176" s="26" t="s">
        <v>20</v>
      </c>
      <c r="G176" t="b">
        <f t="shared" si="8"/>
        <v>0</v>
      </c>
      <c r="H176" t="b">
        <f t="shared" si="9"/>
        <v>0</v>
      </c>
      <c r="I176" s="29">
        <f t="shared" si="10"/>
        <v>39150</v>
      </c>
    </row>
    <row r="177" spans="1:9" x14ac:dyDescent="0.2">
      <c r="A177" s="28">
        <v>39150</v>
      </c>
      <c r="B177" s="26" t="s">
        <v>4384</v>
      </c>
      <c r="C177" s="26" t="s">
        <v>9</v>
      </c>
      <c r="D177" s="26" t="s">
        <v>20</v>
      </c>
      <c r="E177" s="26">
        <v>40848</v>
      </c>
      <c r="F177" s="26" t="s">
        <v>20</v>
      </c>
      <c r="G177" t="b">
        <f t="shared" si="8"/>
        <v>0</v>
      </c>
      <c r="H177" t="b">
        <f t="shared" si="9"/>
        <v>0</v>
      </c>
      <c r="I177" s="29">
        <f t="shared" si="10"/>
        <v>39150</v>
      </c>
    </row>
    <row r="178" spans="1:9" ht="12.75" customHeight="1" x14ac:dyDescent="0.2">
      <c r="A178" s="28">
        <v>39150</v>
      </c>
      <c r="B178" s="26" t="s">
        <v>4383</v>
      </c>
      <c r="C178" s="26" t="s">
        <v>155</v>
      </c>
      <c r="D178" s="26">
        <v>12000000</v>
      </c>
      <c r="E178" s="26">
        <v>13610521</v>
      </c>
      <c r="F178" s="26">
        <v>20180109</v>
      </c>
      <c r="G178" t="b">
        <f t="shared" si="8"/>
        <v>0</v>
      </c>
      <c r="H178" t="b">
        <f t="shared" si="9"/>
        <v>0</v>
      </c>
      <c r="I178" s="29">
        <f t="shared" si="10"/>
        <v>39150</v>
      </c>
    </row>
    <row r="179" spans="1:9" ht="12.75" customHeight="1" x14ac:dyDescent="0.2">
      <c r="A179" s="28">
        <v>39151</v>
      </c>
      <c r="B179" s="26" t="s">
        <v>4382</v>
      </c>
      <c r="C179" s="26" t="s">
        <v>9</v>
      </c>
      <c r="D179" s="26" t="s">
        <v>20</v>
      </c>
      <c r="E179" s="26" t="s">
        <v>20</v>
      </c>
      <c r="F179" s="26">
        <v>8808213</v>
      </c>
      <c r="G179" t="b">
        <f t="shared" si="8"/>
        <v>0</v>
      </c>
      <c r="H179" t="b">
        <f t="shared" si="9"/>
        <v>0</v>
      </c>
      <c r="I179" s="29">
        <f t="shared" si="10"/>
        <v>39151</v>
      </c>
    </row>
    <row r="180" spans="1:9" ht="51" x14ac:dyDescent="0.2">
      <c r="A180" s="28">
        <v>39151</v>
      </c>
      <c r="B180" s="26" t="s">
        <v>4381</v>
      </c>
      <c r="C180" s="26" t="s">
        <v>9</v>
      </c>
      <c r="D180" s="26" t="s">
        <v>20</v>
      </c>
      <c r="E180" s="26" t="s">
        <v>20</v>
      </c>
      <c r="F180" s="26">
        <v>26872950</v>
      </c>
      <c r="G180" t="b">
        <f t="shared" si="8"/>
        <v>0</v>
      </c>
      <c r="H180" t="b">
        <f t="shared" si="9"/>
        <v>0</v>
      </c>
      <c r="I180" s="29">
        <f t="shared" si="10"/>
        <v>39151</v>
      </c>
    </row>
    <row r="181" spans="1:9" ht="38.25" x14ac:dyDescent="0.2">
      <c r="A181" s="28">
        <v>39154</v>
      </c>
      <c r="B181" s="26" t="s">
        <v>4380</v>
      </c>
      <c r="C181" s="26" t="s">
        <v>9</v>
      </c>
      <c r="D181" s="26" t="s">
        <v>20</v>
      </c>
      <c r="E181" s="26" t="s">
        <v>20</v>
      </c>
      <c r="F181" s="26" t="s">
        <v>20</v>
      </c>
      <c r="G181" t="b">
        <f t="shared" si="8"/>
        <v>0</v>
      </c>
      <c r="H181" t="b">
        <f t="shared" si="9"/>
        <v>0</v>
      </c>
      <c r="I181" s="29">
        <f t="shared" si="10"/>
        <v>39154</v>
      </c>
    </row>
    <row r="182" spans="1:9" ht="12.75" customHeight="1" x14ac:dyDescent="0.2">
      <c r="A182" s="28">
        <v>39154</v>
      </c>
      <c r="B182" s="26" t="s">
        <v>4379</v>
      </c>
      <c r="C182" s="26" t="s">
        <v>9</v>
      </c>
      <c r="D182" s="26" t="s">
        <v>20</v>
      </c>
      <c r="E182" s="26" t="s">
        <v>20</v>
      </c>
      <c r="F182" s="26" t="s">
        <v>20</v>
      </c>
      <c r="G182" t="b">
        <f t="shared" si="8"/>
        <v>0</v>
      </c>
      <c r="H182" t="b">
        <f t="shared" si="9"/>
        <v>0</v>
      </c>
      <c r="I182" s="29">
        <f t="shared" si="10"/>
        <v>39154</v>
      </c>
    </row>
    <row r="183" spans="1:9" ht="25.5" x14ac:dyDescent="0.2">
      <c r="A183" s="28">
        <v>39154</v>
      </c>
      <c r="B183" s="26" t="s">
        <v>4378</v>
      </c>
      <c r="C183" s="26" t="s">
        <v>9</v>
      </c>
      <c r="D183" s="26" t="s">
        <v>20</v>
      </c>
      <c r="E183" s="26" t="s">
        <v>20</v>
      </c>
      <c r="F183" s="26" t="s">
        <v>20</v>
      </c>
      <c r="G183" t="b">
        <f t="shared" si="8"/>
        <v>0</v>
      </c>
      <c r="H183" t="b">
        <f t="shared" si="9"/>
        <v>0</v>
      </c>
      <c r="I183" s="29">
        <f t="shared" si="10"/>
        <v>39154</v>
      </c>
    </row>
    <row r="184" spans="1:9" ht="25.5" x14ac:dyDescent="0.2">
      <c r="A184" s="28">
        <v>39154</v>
      </c>
      <c r="B184" s="26" t="s">
        <v>4377</v>
      </c>
      <c r="C184" s="26" t="s">
        <v>9</v>
      </c>
      <c r="D184" s="26" t="s">
        <v>20</v>
      </c>
      <c r="E184" s="26" t="s">
        <v>20</v>
      </c>
      <c r="F184" s="26" t="s">
        <v>20</v>
      </c>
      <c r="G184" t="b">
        <f t="shared" si="8"/>
        <v>0</v>
      </c>
      <c r="H184" t="b">
        <f t="shared" si="9"/>
        <v>0</v>
      </c>
      <c r="I184" s="29">
        <f t="shared" si="10"/>
        <v>39154</v>
      </c>
    </row>
    <row r="185" spans="1:9" ht="12.75" customHeight="1" x14ac:dyDescent="0.2">
      <c r="A185" s="28">
        <v>39155</v>
      </c>
      <c r="B185" s="26" t="s">
        <v>4376</v>
      </c>
      <c r="C185" s="26" t="s">
        <v>9</v>
      </c>
      <c r="D185" s="26" t="s">
        <v>20</v>
      </c>
      <c r="E185" s="26">
        <v>11750</v>
      </c>
      <c r="F185" s="26" t="s">
        <v>20</v>
      </c>
      <c r="G185" t="b">
        <f t="shared" si="8"/>
        <v>0</v>
      </c>
      <c r="H185" t="b">
        <f t="shared" si="9"/>
        <v>0</v>
      </c>
      <c r="I185" s="29">
        <f t="shared" si="10"/>
        <v>39155</v>
      </c>
    </row>
    <row r="186" spans="1:9" ht="12.75" customHeight="1" x14ac:dyDescent="0.2">
      <c r="A186" s="28">
        <v>39156</v>
      </c>
      <c r="B186" s="26" t="s">
        <v>4375</v>
      </c>
      <c r="C186" s="26" t="s">
        <v>9</v>
      </c>
      <c r="D186" s="26" t="s">
        <v>20</v>
      </c>
      <c r="E186" s="26" t="s">
        <v>20</v>
      </c>
      <c r="F186" s="26">
        <v>1388637</v>
      </c>
      <c r="G186" t="b">
        <f t="shared" si="8"/>
        <v>0</v>
      </c>
      <c r="H186" t="b">
        <f t="shared" si="9"/>
        <v>0</v>
      </c>
      <c r="I186" s="29">
        <f t="shared" si="10"/>
        <v>39156</v>
      </c>
    </row>
    <row r="187" spans="1:9" ht="12.75" customHeight="1" x14ac:dyDescent="0.2">
      <c r="A187" s="28">
        <v>39157</v>
      </c>
      <c r="B187" s="26" t="s">
        <v>4374</v>
      </c>
      <c r="C187" s="26" t="s">
        <v>9</v>
      </c>
      <c r="D187" s="26" t="s">
        <v>20</v>
      </c>
      <c r="E187" s="26">
        <v>1305</v>
      </c>
      <c r="F187" s="26" t="s">
        <v>20</v>
      </c>
      <c r="G187" t="b">
        <f t="shared" si="8"/>
        <v>0</v>
      </c>
      <c r="H187" t="b">
        <f t="shared" si="9"/>
        <v>0</v>
      </c>
      <c r="I187" s="29">
        <f t="shared" si="10"/>
        <v>39157</v>
      </c>
    </row>
    <row r="188" spans="1:9" ht="12.75" customHeight="1" x14ac:dyDescent="0.2">
      <c r="A188" s="28">
        <v>39157</v>
      </c>
      <c r="B188" s="26" t="s">
        <v>4373</v>
      </c>
      <c r="C188" s="26" t="s">
        <v>9</v>
      </c>
      <c r="D188" s="26" t="s">
        <v>20</v>
      </c>
      <c r="E188" s="26">
        <v>24502</v>
      </c>
      <c r="F188" s="26" t="s">
        <v>20</v>
      </c>
      <c r="G188" t="b">
        <f t="shared" si="8"/>
        <v>0</v>
      </c>
      <c r="H188" t="b">
        <f t="shared" si="9"/>
        <v>0</v>
      </c>
      <c r="I188" s="29">
        <f t="shared" si="10"/>
        <v>39157</v>
      </c>
    </row>
    <row r="189" spans="1:9" ht="25.5" x14ac:dyDescent="0.2">
      <c r="A189" s="28">
        <v>39157</v>
      </c>
      <c r="B189" s="26" t="s">
        <v>4372</v>
      </c>
      <c r="C189" s="26" t="s">
        <v>155</v>
      </c>
      <c r="D189" s="26">
        <v>14000000</v>
      </c>
      <c r="E189" s="26">
        <v>12559771</v>
      </c>
      <c r="F189" s="26">
        <v>13205411</v>
      </c>
      <c r="G189" t="b">
        <f t="shared" si="8"/>
        <v>0</v>
      </c>
      <c r="H189" t="b">
        <f t="shared" si="9"/>
        <v>0</v>
      </c>
      <c r="I189" s="29">
        <f t="shared" si="10"/>
        <v>39157</v>
      </c>
    </row>
    <row r="190" spans="1:9" ht="38.25" x14ac:dyDescent="0.2">
      <c r="A190" s="28">
        <v>39157</v>
      </c>
      <c r="B190" s="26" t="s">
        <v>4371</v>
      </c>
      <c r="C190" s="26" t="s">
        <v>3494</v>
      </c>
      <c r="D190" s="26" t="s">
        <v>20</v>
      </c>
      <c r="E190" s="26">
        <v>69136</v>
      </c>
      <c r="F190" s="26" t="s">
        <v>20</v>
      </c>
      <c r="G190" t="b">
        <f t="shared" si="8"/>
        <v>0</v>
      </c>
      <c r="H190" t="b">
        <f t="shared" si="9"/>
        <v>0</v>
      </c>
      <c r="I190" s="29">
        <f t="shared" si="10"/>
        <v>39157</v>
      </c>
    </row>
    <row r="191" spans="1:9" ht="12.75" customHeight="1" x14ac:dyDescent="0.2">
      <c r="A191" s="28">
        <v>39157</v>
      </c>
      <c r="B191" s="26" t="s">
        <v>4370</v>
      </c>
      <c r="C191" s="26" t="s">
        <v>9</v>
      </c>
      <c r="D191" s="26" t="s">
        <v>20</v>
      </c>
      <c r="E191" s="26">
        <v>105401</v>
      </c>
      <c r="F191" s="26" t="s">
        <v>20</v>
      </c>
      <c r="G191" t="b">
        <f t="shared" si="8"/>
        <v>0</v>
      </c>
      <c r="H191" t="b">
        <f t="shared" si="9"/>
        <v>0</v>
      </c>
      <c r="I191" s="29">
        <f t="shared" si="10"/>
        <v>39157</v>
      </c>
    </row>
    <row r="192" spans="1:9" ht="25.5" x14ac:dyDescent="0.2">
      <c r="A192" s="28">
        <v>39157</v>
      </c>
      <c r="B192" s="26" t="s">
        <v>4369</v>
      </c>
      <c r="C192" s="26" t="s">
        <v>3466</v>
      </c>
      <c r="D192" s="26" t="s">
        <v>20</v>
      </c>
      <c r="E192" s="26">
        <v>1829142</v>
      </c>
      <c r="F192" s="26">
        <v>10428988</v>
      </c>
      <c r="G192" t="b">
        <f t="shared" si="8"/>
        <v>0</v>
      </c>
      <c r="H192" t="b">
        <f t="shared" si="9"/>
        <v>0</v>
      </c>
      <c r="I192" s="29">
        <f t="shared" si="10"/>
        <v>39157</v>
      </c>
    </row>
    <row r="193" spans="1:9" x14ac:dyDescent="0.2">
      <c r="A193" s="28">
        <v>39157</v>
      </c>
      <c r="B193" s="26" t="s">
        <v>4368</v>
      </c>
      <c r="C193" s="26" t="s">
        <v>3495</v>
      </c>
      <c r="D193" s="26" t="s">
        <v>20</v>
      </c>
      <c r="E193" s="26" t="s">
        <v>20</v>
      </c>
      <c r="F193" s="26" t="s">
        <v>20</v>
      </c>
      <c r="G193" t="b">
        <f t="shared" ref="G193:G254" si="11">ISBLANK(A193)</f>
        <v>0</v>
      </c>
      <c r="H193" t="b">
        <f t="shared" ref="H193:H254" si="12">ISTEXT(A193)</f>
        <v>0</v>
      </c>
      <c r="I193" s="29">
        <f t="shared" si="10"/>
        <v>39157</v>
      </c>
    </row>
    <row r="194" spans="1:9" ht="12.75" customHeight="1" x14ac:dyDescent="0.2">
      <c r="A194" s="28">
        <v>39157</v>
      </c>
      <c r="B194" s="26" t="s">
        <v>4367</v>
      </c>
      <c r="C194" s="26" t="s">
        <v>9</v>
      </c>
      <c r="D194" s="26" t="s">
        <v>20</v>
      </c>
      <c r="E194" s="26">
        <v>62707</v>
      </c>
      <c r="F194" s="26" t="s">
        <v>20</v>
      </c>
      <c r="G194" t="b">
        <f t="shared" si="11"/>
        <v>0</v>
      </c>
      <c r="H194" t="b">
        <f t="shared" si="12"/>
        <v>0</v>
      </c>
      <c r="I194" s="29">
        <f t="shared" si="10"/>
        <v>39157</v>
      </c>
    </row>
    <row r="195" spans="1:9" ht="25.5" x14ac:dyDescent="0.2">
      <c r="A195" s="28">
        <v>39157</v>
      </c>
      <c r="B195" s="26" t="s">
        <v>4366</v>
      </c>
      <c r="C195" s="26" t="s">
        <v>9</v>
      </c>
      <c r="D195" s="26" t="s">
        <v>20</v>
      </c>
      <c r="E195" s="26">
        <v>16567</v>
      </c>
      <c r="F195" s="26" t="s">
        <v>20</v>
      </c>
      <c r="G195" t="b">
        <f t="shared" si="11"/>
        <v>0</v>
      </c>
      <c r="H195" t="b">
        <f t="shared" si="12"/>
        <v>0</v>
      </c>
      <c r="I195" s="29">
        <f t="shared" ref="I195:I258" si="13">DATE(2007,MONTH(A195), DAY(A195))</f>
        <v>39157</v>
      </c>
    </row>
    <row r="196" spans="1:9" ht="12.75" customHeight="1" x14ac:dyDescent="0.2">
      <c r="A196" s="28">
        <v>39157</v>
      </c>
      <c r="B196" s="26" t="s">
        <v>4365</v>
      </c>
      <c r="C196" s="26" t="s">
        <v>49</v>
      </c>
      <c r="D196" s="26">
        <v>40000000</v>
      </c>
      <c r="E196" s="26">
        <v>79123</v>
      </c>
      <c r="F196" s="26" t="s">
        <v>20</v>
      </c>
      <c r="G196" t="b">
        <f t="shared" si="11"/>
        <v>0</v>
      </c>
      <c r="H196" t="b">
        <f t="shared" si="12"/>
        <v>0</v>
      </c>
      <c r="I196" s="29">
        <f t="shared" si="13"/>
        <v>39157</v>
      </c>
    </row>
    <row r="197" spans="1:9" ht="12.75" customHeight="1" x14ac:dyDescent="0.2">
      <c r="A197" s="28">
        <v>39157</v>
      </c>
      <c r="B197" s="26" t="s">
        <v>4364</v>
      </c>
      <c r="C197" s="26" t="s">
        <v>3096</v>
      </c>
      <c r="D197" s="26" t="s">
        <v>20</v>
      </c>
      <c r="E197" s="26">
        <v>16574590</v>
      </c>
      <c r="F197" s="26">
        <v>20614661</v>
      </c>
      <c r="G197" t="b">
        <f t="shared" si="11"/>
        <v>0</v>
      </c>
      <c r="H197" t="b">
        <f t="shared" si="12"/>
        <v>0</v>
      </c>
      <c r="I197" s="29">
        <f t="shared" si="13"/>
        <v>39157</v>
      </c>
    </row>
    <row r="198" spans="1:9" ht="12.75" customHeight="1" x14ac:dyDescent="0.2">
      <c r="A198" s="28">
        <v>39157</v>
      </c>
      <c r="B198" s="26" t="s">
        <v>4363</v>
      </c>
      <c r="C198" s="26" t="s">
        <v>2160</v>
      </c>
      <c r="D198" s="26" t="s">
        <v>20</v>
      </c>
      <c r="E198" s="26">
        <v>47852604</v>
      </c>
      <c r="F198" s="26">
        <v>81461343</v>
      </c>
      <c r="G198" t="b">
        <f t="shared" si="11"/>
        <v>0</v>
      </c>
      <c r="H198" t="b">
        <f t="shared" si="12"/>
        <v>0</v>
      </c>
      <c r="I198" s="29">
        <f t="shared" si="13"/>
        <v>39157</v>
      </c>
    </row>
    <row r="199" spans="1:9" ht="12.75" customHeight="1" x14ac:dyDescent="0.2">
      <c r="A199" s="28">
        <v>39157</v>
      </c>
      <c r="B199" s="26" t="s">
        <v>4362</v>
      </c>
      <c r="C199" s="26" t="s">
        <v>9</v>
      </c>
      <c r="D199" s="26" t="s">
        <v>20</v>
      </c>
      <c r="E199" s="26" t="s">
        <v>20</v>
      </c>
      <c r="F199" s="26">
        <v>9321290</v>
      </c>
      <c r="G199" t="b">
        <f t="shared" si="11"/>
        <v>0</v>
      </c>
      <c r="H199" t="b">
        <f t="shared" si="12"/>
        <v>0</v>
      </c>
      <c r="I199" s="29">
        <f t="shared" si="13"/>
        <v>39157</v>
      </c>
    </row>
    <row r="200" spans="1:9" ht="25.5" x14ac:dyDescent="0.2">
      <c r="A200" s="28">
        <v>39157</v>
      </c>
      <c r="B200" s="26" t="s">
        <v>4361</v>
      </c>
      <c r="C200" s="26" t="s">
        <v>9</v>
      </c>
      <c r="D200" s="26" t="s">
        <v>20</v>
      </c>
      <c r="E200" s="26" t="s">
        <v>20</v>
      </c>
      <c r="F200" s="26">
        <v>5641431</v>
      </c>
      <c r="G200" t="b">
        <f t="shared" si="11"/>
        <v>0</v>
      </c>
      <c r="H200" t="b">
        <f t="shared" si="12"/>
        <v>0</v>
      </c>
      <c r="I200" s="29">
        <f t="shared" si="13"/>
        <v>39157</v>
      </c>
    </row>
    <row r="201" spans="1:9" ht="12.75" customHeight="1" x14ac:dyDescent="0.2">
      <c r="A201" s="28">
        <v>39158</v>
      </c>
      <c r="B201" s="26" t="s">
        <v>4360</v>
      </c>
      <c r="C201" s="26" t="s">
        <v>9</v>
      </c>
      <c r="D201" s="26" t="s">
        <v>20</v>
      </c>
      <c r="E201" s="26" t="s">
        <v>20</v>
      </c>
      <c r="F201" s="26">
        <v>17657692</v>
      </c>
      <c r="G201" t="b">
        <f t="shared" si="11"/>
        <v>0</v>
      </c>
      <c r="H201" t="b">
        <f t="shared" si="12"/>
        <v>0</v>
      </c>
      <c r="I201" s="29">
        <f t="shared" si="13"/>
        <v>39158</v>
      </c>
    </row>
    <row r="202" spans="1:9" ht="51" x14ac:dyDescent="0.2">
      <c r="A202" s="28">
        <v>39161</v>
      </c>
      <c r="B202" s="26" t="s">
        <v>4359</v>
      </c>
      <c r="C202" s="26" t="s">
        <v>9</v>
      </c>
      <c r="D202" s="26" t="s">
        <v>20</v>
      </c>
      <c r="E202" s="26" t="s">
        <v>20</v>
      </c>
      <c r="F202" s="26" t="s">
        <v>20</v>
      </c>
      <c r="G202" t="b">
        <f t="shared" si="11"/>
        <v>0</v>
      </c>
      <c r="H202" t="b">
        <f t="shared" si="12"/>
        <v>0</v>
      </c>
      <c r="I202" s="29">
        <f t="shared" si="13"/>
        <v>39161</v>
      </c>
    </row>
    <row r="203" spans="1:9" ht="38.25" x14ac:dyDescent="0.2">
      <c r="A203" s="28">
        <v>39161</v>
      </c>
      <c r="B203" s="26" t="s">
        <v>4358</v>
      </c>
      <c r="C203" s="26" t="s">
        <v>9</v>
      </c>
      <c r="D203" s="26" t="s">
        <v>20</v>
      </c>
      <c r="E203" s="26" t="s">
        <v>20</v>
      </c>
      <c r="F203" s="26" t="s">
        <v>20</v>
      </c>
      <c r="G203" t="b">
        <f t="shared" si="11"/>
        <v>0</v>
      </c>
      <c r="H203" t="b">
        <f t="shared" si="12"/>
        <v>0</v>
      </c>
      <c r="I203" s="29">
        <f t="shared" si="13"/>
        <v>39161</v>
      </c>
    </row>
    <row r="204" spans="1:9" ht="25.5" x14ac:dyDescent="0.2">
      <c r="A204" s="28">
        <v>39164</v>
      </c>
      <c r="B204" s="26" t="s">
        <v>4357</v>
      </c>
      <c r="C204" s="26" t="s">
        <v>2168</v>
      </c>
      <c r="D204" s="26">
        <v>60000000</v>
      </c>
      <c r="E204" s="26">
        <v>47003582</v>
      </c>
      <c r="F204" s="26">
        <v>95203582</v>
      </c>
      <c r="G204" t="b">
        <f t="shared" si="11"/>
        <v>0</v>
      </c>
      <c r="H204" t="b">
        <f t="shared" si="12"/>
        <v>0</v>
      </c>
      <c r="I204" s="29">
        <f t="shared" si="13"/>
        <v>39164</v>
      </c>
    </row>
    <row r="205" spans="1:9" ht="38.25" x14ac:dyDescent="0.2">
      <c r="A205" s="28">
        <v>39164</v>
      </c>
      <c r="B205" s="26" t="s">
        <v>4356</v>
      </c>
      <c r="C205" s="26" t="s">
        <v>9</v>
      </c>
      <c r="D205" s="26" t="s">
        <v>20</v>
      </c>
      <c r="E205" s="26">
        <v>2500</v>
      </c>
      <c r="F205" s="26" t="s">
        <v>20</v>
      </c>
      <c r="G205" t="b">
        <f t="shared" si="11"/>
        <v>0</v>
      </c>
      <c r="H205" t="b">
        <f t="shared" si="12"/>
        <v>0</v>
      </c>
      <c r="I205" s="29">
        <f t="shared" si="13"/>
        <v>39164</v>
      </c>
    </row>
    <row r="206" spans="1:9" ht="12.75" customHeight="1" x14ac:dyDescent="0.2">
      <c r="A206" s="28">
        <v>39164</v>
      </c>
      <c r="B206" s="26" t="s">
        <v>4355</v>
      </c>
      <c r="C206" s="26" t="s">
        <v>49</v>
      </c>
      <c r="D206" s="26">
        <v>35000000</v>
      </c>
      <c r="E206" s="26">
        <v>54149098</v>
      </c>
      <c r="F206" s="26">
        <v>95009888</v>
      </c>
      <c r="G206" t="b">
        <f t="shared" si="11"/>
        <v>0</v>
      </c>
      <c r="H206" t="b">
        <f t="shared" si="12"/>
        <v>0</v>
      </c>
      <c r="I206" s="29">
        <f t="shared" si="13"/>
        <v>39164</v>
      </c>
    </row>
    <row r="207" spans="1:9" ht="12.75" customHeight="1" x14ac:dyDescent="0.2">
      <c r="A207" s="28">
        <v>39164</v>
      </c>
      <c r="B207" s="26" t="s">
        <v>4354</v>
      </c>
      <c r="C207" s="26" t="s">
        <v>2460</v>
      </c>
      <c r="D207" s="26" t="s">
        <v>20</v>
      </c>
      <c r="E207" s="26">
        <v>21471047</v>
      </c>
      <c r="F207" s="26">
        <v>26620761</v>
      </c>
      <c r="G207" t="b">
        <f t="shared" si="11"/>
        <v>0</v>
      </c>
      <c r="H207" t="b">
        <f t="shared" si="12"/>
        <v>0</v>
      </c>
      <c r="I207" s="29">
        <f t="shared" si="13"/>
        <v>39164</v>
      </c>
    </row>
    <row r="208" spans="1:9" ht="12.75" customHeight="1" x14ac:dyDescent="0.2">
      <c r="A208" s="28">
        <v>39164</v>
      </c>
      <c r="B208" s="26" t="s">
        <v>4353</v>
      </c>
      <c r="C208" s="26" t="s">
        <v>9</v>
      </c>
      <c r="D208" s="26" t="s">
        <v>20</v>
      </c>
      <c r="E208" s="26">
        <v>71471</v>
      </c>
      <c r="F208" s="26">
        <v>79770</v>
      </c>
      <c r="G208" t="b">
        <f t="shared" si="11"/>
        <v>0</v>
      </c>
      <c r="H208" t="b">
        <f t="shared" si="12"/>
        <v>0</v>
      </c>
      <c r="I208" s="29">
        <f t="shared" si="13"/>
        <v>39164</v>
      </c>
    </row>
    <row r="209" spans="1:9" ht="12.75" customHeight="1" x14ac:dyDescent="0.2">
      <c r="A209" s="28">
        <v>39164</v>
      </c>
      <c r="B209" s="26" t="s">
        <v>4352</v>
      </c>
      <c r="C209" s="26" t="s">
        <v>1051</v>
      </c>
      <c r="D209" s="26" t="s">
        <v>20</v>
      </c>
      <c r="E209" s="26">
        <v>214864</v>
      </c>
      <c r="F209" s="26" t="s">
        <v>20</v>
      </c>
      <c r="G209" t="b">
        <f t="shared" si="11"/>
        <v>0</v>
      </c>
      <c r="H209" t="b">
        <f t="shared" si="12"/>
        <v>0</v>
      </c>
      <c r="I209" s="29">
        <f t="shared" si="13"/>
        <v>39164</v>
      </c>
    </row>
    <row r="210" spans="1:9" ht="12.75" customHeight="1" x14ac:dyDescent="0.2">
      <c r="A210" s="28">
        <v>39164</v>
      </c>
      <c r="B210" s="26" t="s">
        <v>4351</v>
      </c>
      <c r="C210" s="26" t="s">
        <v>3419</v>
      </c>
      <c r="D210" s="26" t="s">
        <v>20</v>
      </c>
      <c r="E210" s="26">
        <v>7057600</v>
      </c>
      <c r="F210" s="26" t="s">
        <v>20</v>
      </c>
      <c r="G210" t="b">
        <f t="shared" si="11"/>
        <v>0</v>
      </c>
      <c r="H210" t="b">
        <f t="shared" si="12"/>
        <v>0</v>
      </c>
      <c r="I210" s="29">
        <f t="shared" si="13"/>
        <v>39164</v>
      </c>
    </row>
    <row r="211" spans="1:9" ht="25.5" x14ac:dyDescent="0.2">
      <c r="A211" s="28">
        <v>39164</v>
      </c>
      <c r="B211" s="26" t="s">
        <v>4350</v>
      </c>
      <c r="C211" s="26" t="s">
        <v>9</v>
      </c>
      <c r="D211" s="26">
        <v>1300000</v>
      </c>
      <c r="E211" s="26">
        <v>635305</v>
      </c>
      <c r="F211" s="26" t="s">
        <v>20</v>
      </c>
      <c r="G211" t="b">
        <f t="shared" si="11"/>
        <v>0</v>
      </c>
      <c r="H211" t="b">
        <f t="shared" si="12"/>
        <v>0</v>
      </c>
      <c r="I211" s="29">
        <f t="shared" si="13"/>
        <v>39164</v>
      </c>
    </row>
    <row r="212" spans="1:9" x14ac:dyDescent="0.2">
      <c r="A212" s="28">
        <v>39164</v>
      </c>
      <c r="B212" s="26" t="s">
        <v>4349</v>
      </c>
      <c r="C212" s="26" t="s">
        <v>9</v>
      </c>
      <c r="D212" s="26">
        <v>8400000</v>
      </c>
      <c r="E212" s="26">
        <v>1207007</v>
      </c>
      <c r="F212" s="26">
        <v>6831069</v>
      </c>
      <c r="G212" t="b">
        <f t="shared" si="11"/>
        <v>0</v>
      </c>
      <c r="H212" t="b">
        <f t="shared" si="12"/>
        <v>0</v>
      </c>
      <c r="I212" s="29">
        <f t="shared" si="13"/>
        <v>39164</v>
      </c>
    </row>
    <row r="213" spans="1:9" ht="12.75" customHeight="1" x14ac:dyDescent="0.2">
      <c r="A213" s="28">
        <v>39164</v>
      </c>
      <c r="B213" s="26" t="s">
        <v>4348</v>
      </c>
      <c r="C213" s="26" t="s">
        <v>9</v>
      </c>
      <c r="D213" s="26" t="s">
        <v>20</v>
      </c>
      <c r="E213" s="26">
        <v>1500</v>
      </c>
      <c r="F213" s="26" t="s">
        <v>20</v>
      </c>
      <c r="G213" t="b">
        <f t="shared" si="11"/>
        <v>0</v>
      </c>
      <c r="H213" t="b">
        <f t="shared" si="12"/>
        <v>0</v>
      </c>
      <c r="I213" s="29">
        <f t="shared" si="13"/>
        <v>39164</v>
      </c>
    </row>
    <row r="214" spans="1:9" ht="12.75" customHeight="1" x14ac:dyDescent="0.2">
      <c r="A214" s="28">
        <v>39164</v>
      </c>
      <c r="B214" s="26" t="s">
        <v>4347</v>
      </c>
      <c r="C214" s="26" t="s">
        <v>9</v>
      </c>
      <c r="D214" s="26" t="s">
        <v>20</v>
      </c>
      <c r="E214" s="26">
        <v>850920</v>
      </c>
      <c r="F214" s="26">
        <v>925353</v>
      </c>
      <c r="G214" t="b">
        <f t="shared" si="11"/>
        <v>0</v>
      </c>
      <c r="H214" t="b">
        <f t="shared" si="12"/>
        <v>0</v>
      </c>
      <c r="I214" s="29">
        <f t="shared" si="13"/>
        <v>39164</v>
      </c>
    </row>
    <row r="215" spans="1:9" ht="12.75" customHeight="1" x14ac:dyDescent="0.2">
      <c r="A215" s="28">
        <v>39164</v>
      </c>
      <c r="B215" s="26" t="s">
        <v>4346</v>
      </c>
      <c r="C215" s="26" t="s">
        <v>9</v>
      </c>
      <c r="D215" s="26" t="s">
        <v>20</v>
      </c>
      <c r="E215" s="26">
        <v>18901</v>
      </c>
      <c r="F215" s="26" t="s">
        <v>20</v>
      </c>
      <c r="G215" t="b">
        <f t="shared" si="11"/>
        <v>0</v>
      </c>
      <c r="H215" t="b">
        <f t="shared" si="12"/>
        <v>0</v>
      </c>
      <c r="I215" s="29">
        <f t="shared" si="13"/>
        <v>39164</v>
      </c>
    </row>
    <row r="216" spans="1:9" ht="12.75" customHeight="1" x14ac:dyDescent="0.2">
      <c r="A216" s="28">
        <v>39164</v>
      </c>
      <c r="B216" s="26" t="s">
        <v>4345</v>
      </c>
      <c r="C216" s="26" t="s">
        <v>2160</v>
      </c>
      <c r="D216" s="26">
        <v>20000000</v>
      </c>
      <c r="E216" s="26">
        <v>19661987</v>
      </c>
      <c r="F216" s="26">
        <v>20081987</v>
      </c>
      <c r="G216" t="b">
        <f t="shared" si="11"/>
        <v>0</v>
      </c>
      <c r="H216" t="b">
        <f t="shared" si="12"/>
        <v>0</v>
      </c>
      <c r="I216" s="29">
        <f t="shared" si="13"/>
        <v>39164</v>
      </c>
    </row>
    <row r="217" spans="1:9" ht="12.75" customHeight="1" x14ac:dyDescent="0.2">
      <c r="A217" s="28">
        <v>39164</v>
      </c>
      <c r="B217" s="26" t="s">
        <v>4344</v>
      </c>
      <c r="C217" s="26" t="s">
        <v>9</v>
      </c>
      <c r="D217" s="26" t="s">
        <v>20</v>
      </c>
      <c r="E217" s="26">
        <v>220409</v>
      </c>
      <c r="F217" s="26" t="s">
        <v>20</v>
      </c>
      <c r="G217" t="b">
        <f t="shared" si="11"/>
        <v>0</v>
      </c>
      <c r="H217" t="b">
        <f t="shared" si="12"/>
        <v>0</v>
      </c>
      <c r="I217" s="29">
        <f t="shared" si="13"/>
        <v>39164</v>
      </c>
    </row>
    <row r="218" spans="1:9" ht="12.75" customHeight="1" x14ac:dyDescent="0.2">
      <c r="A218" s="28">
        <v>39164</v>
      </c>
      <c r="B218" s="26" t="s">
        <v>4343</v>
      </c>
      <c r="C218" s="26" t="s">
        <v>9</v>
      </c>
      <c r="D218" s="26" t="s">
        <v>20</v>
      </c>
      <c r="E218" s="26">
        <v>7402</v>
      </c>
      <c r="F218" s="26" t="s">
        <v>20</v>
      </c>
      <c r="G218" t="b">
        <f t="shared" si="11"/>
        <v>0</v>
      </c>
      <c r="H218" t="b">
        <f t="shared" si="12"/>
        <v>0</v>
      </c>
      <c r="I218" s="29">
        <f t="shared" si="13"/>
        <v>39164</v>
      </c>
    </row>
    <row r="219" spans="1:9" ht="25.5" x14ac:dyDescent="0.2">
      <c r="A219" s="28">
        <v>39164</v>
      </c>
      <c r="B219" s="26" t="s">
        <v>4342</v>
      </c>
      <c r="C219" s="26" t="s">
        <v>9</v>
      </c>
      <c r="D219" s="26" t="s">
        <v>20</v>
      </c>
      <c r="E219" s="26" t="s">
        <v>20</v>
      </c>
      <c r="F219" s="26">
        <v>17988919</v>
      </c>
      <c r="G219" t="b">
        <f t="shared" si="11"/>
        <v>0</v>
      </c>
      <c r="H219" t="b">
        <f t="shared" si="12"/>
        <v>0</v>
      </c>
      <c r="I219" s="29">
        <f t="shared" si="13"/>
        <v>39164</v>
      </c>
    </row>
    <row r="220" spans="1:9" ht="25.5" x14ac:dyDescent="0.2">
      <c r="A220" s="28">
        <v>39164</v>
      </c>
      <c r="B220" s="26" t="s">
        <v>4341</v>
      </c>
      <c r="C220" s="26" t="s">
        <v>9</v>
      </c>
      <c r="D220" s="26" t="s">
        <v>20</v>
      </c>
      <c r="E220" s="26">
        <v>8000</v>
      </c>
      <c r="F220" s="26" t="s">
        <v>20</v>
      </c>
      <c r="G220" t="b">
        <f t="shared" si="11"/>
        <v>0</v>
      </c>
      <c r="H220" t="b">
        <f t="shared" si="12"/>
        <v>0</v>
      </c>
      <c r="I220" s="29">
        <f t="shared" si="13"/>
        <v>39164</v>
      </c>
    </row>
    <row r="221" spans="1:9" ht="38.25" x14ac:dyDescent="0.2">
      <c r="A221" s="28">
        <v>39164</v>
      </c>
      <c r="B221" s="26" t="s">
        <v>4340</v>
      </c>
      <c r="C221" s="26" t="s">
        <v>746</v>
      </c>
      <c r="D221" s="26" t="s">
        <v>20</v>
      </c>
      <c r="E221" s="26">
        <v>71190</v>
      </c>
      <c r="F221" s="26" t="s">
        <v>20</v>
      </c>
      <c r="G221" t="b">
        <f t="shared" si="11"/>
        <v>0</v>
      </c>
      <c r="H221" t="b">
        <f t="shared" si="12"/>
        <v>0</v>
      </c>
      <c r="I221" s="29">
        <f t="shared" si="13"/>
        <v>39164</v>
      </c>
    </row>
    <row r="222" spans="1:9" ht="25.5" x14ac:dyDescent="0.2">
      <c r="A222" s="28">
        <v>39164</v>
      </c>
      <c r="B222" s="26" t="s">
        <v>4339</v>
      </c>
      <c r="C222" s="26" t="s">
        <v>3496</v>
      </c>
      <c r="D222" s="26" t="s">
        <v>20</v>
      </c>
      <c r="E222" s="26">
        <v>179948</v>
      </c>
      <c r="F222" s="26" t="s">
        <v>20</v>
      </c>
      <c r="G222" t="b">
        <f t="shared" si="11"/>
        <v>0</v>
      </c>
      <c r="H222" t="b">
        <f t="shared" si="12"/>
        <v>0</v>
      </c>
      <c r="I222" s="29">
        <f t="shared" si="13"/>
        <v>39164</v>
      </c>
    </row>
    <row r="223" spans="1:9" ht="25.5" x14ac:dyDescent="0.2">
      <c r="A223" s="28">
        <v>39164</v>
      </c>
      <c r="B223" s="26" t="s">
        <v>4338</v>
      </c>
      <c r="C223" s="26" t="s">
        <v>155</v>
      </c>
      <c r="D223" s="26">
        <v>15000000</v>
      </c>
      <c r="E223" s="26">
        <v>20804166</v>
      </c>
      <c r="F223" s="26">
        <v>37466538</v>
      </c>
      <c r="G223" t="b">
        <f t="shared" si="11"/>
        <v>0</v>
      </c>
      <c r="H223" t="b">
        <f t="shared" si="12"/>
        <v>0</v>
      </c>
      <c r="I223" s="29">
        <f t="shared" si="13"/>
        <v>39164</v>
      </c>
    </row>
    <row r="224" spans="1:9" ht="12.75" customHeight="1" x14ac:dyDescent="0.2">
      <c r="A224" s="28">
        <v>39164</v>
      </c>
      <c r="B224" s="26" t="s">
        <v>4337</v>
      </c>
      <c r="C224" s="26" t="s">
        <v>9</v>
      </c>
      <c r="D224" s="26" t="s">
        <v>20</v>
      </c>
      <c r="E224" s="26">
        <v>336</v>
      </c>
      <c r="F224" s="26" t="s">
        <v>20</v>
      </c>
      <c r="G224" t="b">
        <f t="shared" si="11"/>
        <v>0</v>
      </c>
      <c r="H224" t="b">
        <f t="shared" si="12"/>
        <v>0</v>
      </c>
      <c r="I224" s="29">
        <f t="shared" si="13"/>
        <v>39164</v>
      </c>
    </row>
    <row r="225" spans="1:9" ht="25.5" x14ac:dyDescent="0.2">
      <c r="A225" s="28">
        <v>39169</v>
      </c>
      <c r="B225" s="26" t="s">
        <v>4336</v>
      </c>
      <c r="C225" s="26" t="s">
        <v>9</v>
      </c>
      <c r="D225" s="26" t="s">
        <v>20</v>
      </c>
      <c r="E225" s="26">
        <v>494152</v>
      </c>
      <c r="F225" s="26">
        <v>503288</v>
      </c>
      <c r="G225" t="b">
        <f t="shared" si="11"/>
        <v>0</v>
      </c>
      <c r="H225" t="b">
        <f t="shared" si="12"/>
        <v>0</v>
      </c>
      <c r="I225" s="29">
        <f t="shared" si="13"/>
        <v>39169</v>
      </c>
    </row>
    <row r="226" spans="1:9" ht="12.75" customHeight="1" x14ac:dyDescent="0.2">
      <c r="A226" s="28">
        <v>39170</v>
      </c>
      <c r="B226" s="26" t="s">
        <v>4335</v>
      </c>
      <c r="C226" s="26" t="s">
        <v>9</v>
      </c>
      <c r="D226" s="26" t="s">
        <v>20</v>
      </c>
      <c r="E226" s="26" t="s">
        <v>20</v>
      </c>
      <c r="F226" s="26">
        <v>7741557</v>
      </c>
      <c r="G226" t="b">
        <f t="shared" si="11"/>
        <v>0</v>
      </c>
      <c r="H226" t="b">
        <f t="shared" si="12"/>
        <v>0</v>
      </c>
      <c r="I226" s="29">
        <f t="shared" si="13"/>
        <v>39170</v>
      </c>
    </row>
    <row r="227" spans="1:9" ht="12.75" customHeight="1" x14ac:dyDescent="0.2">
      <c r="A227" s="28">
        <v>39171</v>
      </c>
      <c r="B227" s="26" t="s">
        <v>4334</v>
      </c>
      <c r="C227" s="26" t="s">
        <v>9</v>
      </c>
      <c r="D227" s="26" t="s">
        <v>20</v>
      </c>
      <c r="E227" s="26" t="s">
        <v>20</v>
      </c>
      <c r="F227" s="26">
        <v>6301481</v>
      </c>
      <c r="G227" t="b">
        <f t="shared" si="11"/>
        <v>0</v>
      </c>
      <c r="H227" t="b">
        <f t="shared" si="12"/>
        <v>0</v>
      </c>
      <c r="I227" s="29">
        <f t="shared" si="13"/>
        <v>39171</v>
      </c>
    </row>
    <row r="228" spans="1:9" ht="12.75" customHeight="1" x14ac:dyDescent="0.2">
      <c r="A228" s="28">
        <v>39171</v>
      </c>
      <c r="B228" s="26" t="s">
        <v>4333</v>
      </c>
      <c r="C228" s="26" t="s">
        <v>9</v>
      </c>
      <c r="D228" s="26" t="s">
        <v>20</v>
      </c>
      <c r="E228" s="26">
        <v>78944</v>
      </c>
      <c r="F228" s="26" t="s">
        <v>20</v>
      </c>
      <c r="G228" t="b">
        <f t="shared" si="11"/>
        <v>0</v>
      </c>
      <c r="H228" t="b">
        <f t="shared" si="12"/>
        <v>0</v>
      </c>
      <c r="I228" s="29">
        <f t="shared" si="13"/>
        <v>39171</v>
      </c>
    </row>
    <row r="229" spans="1:9" ht="12.75" customHeight="1" x14ac:dyDescent="0.2">
      <c r="A229" s="28">
        <v>39171</v>
      </c>
      <c r="B229" s="26" t="s">
        <v>4332</v>
      </c>
      <c r="C229" s="26" t="s">
        <v>9</v>
      </c>
      <c r="D229" s="26" t="s">
        <v>20</v>
      </c>
      <c r="E229" s="26">
        <v>6404</v>
      </c>
      <c r="F229" s="26" t="s">
        <v>20</v>
      </c>
      <c r="G229" t="b">
        <f t="shared" si="11"/>
        <v>0</v>
      </c>
      <c r="H229" t="b">
        <f t="shared" si="12"/>
        <v>0</v>
      </c>
      <c r="I229" s="29">
        <f t="shared" si="13"/>
        <v>39171</v>
      </c>
    </row>
    <row r="230" spans="1:9" ht="12.75" customHeight="1" x14ac:dyDescent="0.2">
      <c r="A230" s="28">
        <v>39171</v>
      </c>
      <c r="B230" s="26" t="s">
        <v>4331</v>
      </c>
      <c r="C230" s="26" t="s">
        <v>9</v>
      </c>
      <c r="D230" s="26" t="s">
        <v>20</v>
      </c>
      <c r="E230" s="26">
        <v>8340</v>
      </c>
      <c r="F230" s="26" t="s">
        <v>20</v>
      </c>
      <c r="G230" t="b">
        <f t="shared" si="11"/>
        <v>0</v>
      </c>
      <c r="H230" t="b">
        <f t="shared" si="12"/>
        <v>0</v>
      </c>
      <c r="I230" s="29">
        <f t="shared" si="13"/>
        <v>39171</v>
      </c>
    </row>
    <row r="231" spans="1:9" ht="12.75" customHeight="1" x14ac:dyDescent="0.2">
      <c r="A231" s="28">
        <v>39171</v>
      </c>
      <c r="B231" s="26" t="s">
        <v>4330</v>
      </c>
      <c r="C231" s="26" t="s">
        <v>9</v>
      </c>
      <c r="D231" s="26" t="s">
        <v>20</v>
      </c>
      <c r="E231" s="26" t="s">
        <v>20</v>
      </c>
      <c r="F231" s="26">
        <v>1141070</v>
      </c>
      <c r="G231" t="b">
        <f t="shared" si="11"/>
        <v>0</v>
      </c>
      <c r="H231" t="b">
        <f t="shared" si="12"/>
        <v>0</v>
      </c>
      <c r="I231" s="29">
        <f t="shared" si="13"/>
        <v>39171</v>
      </c>
    </row>
    <row r="232" spans="1:9" ht="25.5" x14ac:dyDescent="0.2">
      <c r="A232" s="28">
        <v>39171</v>
      </c>
      <c r="B232" s="26" t="s">
        <v>4329</v>
      </c>
      <c r="C232" s="26" t="s">
        <v>9</v>
      </c>
      <c r="D232" s="26" t="s">
        <v>20</v>
      </c>
      <c r="E232" s="26" t="s">
        <v>20</v>
      </c>
      <c r="F232" s="26">
        <v>1110681</v>
      </c>
      <c r="G232" t="b">
        <f t="shared" si="11"/>
        <v>0</v>
      </c>
      <c r="H232" t="b">
        <f t="shared" si="12"/>
        <v>0</v>
      </c>
      <c r="I232" s="29">
        <f t="shared" si="13"/>
        <v>39171</v>
      </c>
    </row>
    <row r="233" spans="1:9" ht="12.75" customHeight="1" x14ac:dyDescent="0.2">
      <c r="A233" s="28">
        <v>39171</v>
      </c>
      <c r="B233" s="26" t="s">
        <v>4328</v>
      </c>
      <c r="C233" s="26" t="s">
        <v>9</v>
      </c>
      <c r="D233" s="26" t="s">
        <v>20</v>
      </c>
      <c r="E233" s="26">
        <v>13836</v>
      </c>
      <c r="F233" s="26" t="s">
        <v>20</v>
      </c>
      <c r="G233" t="b">
        <f t="shared" si="11"/>
        <v>0</v>
      </c>
      <c r="H233" t="b">
        <f t="shared" si="12"/>
        <v>0</v>
      </c>
      <c r="I233" s="29">
        <f t="shared" si="13"/>
        <v>39171</v>
      </c>
    </row>
    <row r="234" spans="1:9" ht="12.75" customHeight="1" x14ac:dyDescent="0.2">
      <c r="A234" s="28">
        <v>39171</v>
      </c>
      <c r="B234" s="26" t="s">
        <v>4327</v>
      </c>
      <c r="C234" s="26" t="s">
        <v>3466</v>
      </c>
      <c r="D234" s="26" t="s">
        <v>20</v>
      </c>
      <c r="E234" s="26">
        <v>1526359</v>
      </c>
      <c r="F234" s="26" t="s">
        <v>20</v>
      </c>
      <c r="G234" t="b">
        <f t="shared" si="11"/>
        <v>0</v>
      </c>
      <c r="H234" t="b">
        <f t="shared" si="12"/>
        <v>0</v>
      </c>
      <c r="I234" s="29">
        <f t="shared" si="13"/>
        <v>39171</v>
      </c>
    </row>
    <row r="235" spans="1:9" ht="12.75" customHeight="1" x14ac:dyDescent="0.2">
      <c r="A235" s="28">
        <v>39171</v>
      </c>
      <c r="B235" s="26" t="s">
        <v>4326</v>
      </c>
      <c r="C235" s="26" t="s">
        <v>3240</v>
      </c>
      <c r="D235" s="26">
        <v>61000000</v>
      </c>
      <c r="E235" s="26">
        <v>118594548</v>
      </c>
      <c r="F235" s="26">
        <v>145594548</v>
      </c>
      <c r="G235" t="b">
        <f t="shared" si="11"/>
        <v>0</v>
      </c>
      <c r="H235" t="b">
        <f t="shared" si="12"/>
        <v>0</v>
      </c>
      <c r="I235" s="29">
        <f t="shared" si="13"/>
        <v>39171</v>
      </c>
    </row>
    <row r="236" spans="1:9" ht="12.75" customHeight="1" x14ac:dyDescent="0.2">
      <c r="A236" s="28">
        <v>39171</v>
      </c>
      <c r="B236" s="26" t="s">
        <v>4325</v>
      </c>
      <c r="C236" s="26" t="s">
        <v>3390</v>
      </c>
      <c r="D236" s="26" t="s">
        <v>20</v>
      </c>
      <c r="E236" s="26">
        <v>4600585</v>
      </c>
      <c r="F236" s="26" t="s">
        <v>20</v>
      </c>
      <c r="G236" t="b">
        <f t="shared" si="11"/>
        <v>0</v>
      </c>
      <c r="H236" t="b">
        <f t="shared" si="12"/>
        <v>0</v>
      </c>
      <c r="I236" s="29">
        <f t="shared" si="13"/>
        <v>39171</v>
      </c>
    </row>
    <row r="237" spans="1:9" ht="25.5" x14ac:dyDescent="0.2">
      <c r="A237" s="28">
        <v>39171</v>
      </c>
      <c r="B237" s="26" t="s">
        <v>4324</v>
      </c>
      <c r="C237" s="26" t="s">
        <v>9</v>
      </c>
      <c r="D237" s="26" t="s">
        <v>20</v>
      </c>
      <c r="E237" s="26">
        <v>5468</v>
      </c>
      <c r="F237" s="26" t="s">
        <v>20</v>
      </c>
      <c r="G237" t="b">
        <f t="shared" si="11"/>
        <v>0</v>
      </c>
      <c r="H237" t="b">
        <f t="shared" si="12"/>
        <v>0</v>
      </c>
      <c r="I237" s="29">
        <f t="shared" si="13"/>
        <v>39171</v>
      </c>
    </row>
    <row r="238" spans="1:9" x14ac:dyDescent="0.2">
      <c r="A238" s="28">
        <v>39171</v>
      </c>
      <c r="B238" s="26" t="s">
        <v>4323</v>
      </c>
      <c r="C238" s="26" t="s">
        <v>9</v>
      </c>
      <c r="D238" s="26" t="s">
        <v>20</v>
      </c>
      <c r="E238" s="26">
        <v>7006</v>
      </c>
      <c r="F238" s="26" t="s">
        <v>20</v>
      </c>
      <c r="G238" t="b">
        <f t="shared" si="11"/>
        <v>0</v>
      </c>
      <c r="H238" t="b">
        <f t="shared" si="12"/>
        <v>0</v>
      </c>
      <c r="I238" s="29">
        <f t="shared" si="13"/>
        <v>39171</v>
      </c>
    </row>
    <row r="239" spans="1:9" x14ac:dyDescent="0.2">
      <c r="A239" s="28">
        <v>39171</v>
      </c>
      <c r="B239" s="26" t="s">
        <v>4322</v>
      </c>
      <c r="C239" s="26" t="s">
        <v>3497</v>
      </c>
      <c r="D239" s="26" t="s">
        <v>20</v>
      </c>
      <c r="E239" s="26" t="s">
        <v>20</v>
      </c>
      <c r="F239" s="26" t="s">
        <v>20</v>
      </c>
      <c r="G239" t="b">
        <f t="shared" si="11"/>
        <v>0</v>
      </c>
      <c r="H239" t="b">
        <f t="shared" si="12"/>
        <v>0</v>
      </c>
      <c r="I239" s="29">
        <f t="shared" si="13"/>
        <v>39171</v>
      </c>
    </row>
    <row r="240" spans="1:9" ht="25.5" x14ac:dyDescent="0.2">
      <c r="A240" s="28">
        <v>39171</v>
      </c>
      <c r="B240" s="26" t="s">
        <v>4321</v>
      </c>
      <c r="C240" s="26" t="s">
        <v>3390</v>
      </c>
      <c r="D240" s="26" t="s">
        <v>20</v>
      </c>
      <c r="E240" s="26">
        <v>97822171</v>
      </c>
      <c r="F240" s="26">
        <v>169332978</v>
      </c>
      <c r="G240" t="b">
        <f t="shared" si="11"/>
        <v>0</v>
      </c>
      <c r="H240" t="b">
        <f t="shared" si="12"/>
        <v>0</v>
      </c>
      <c r="I240" s="29">
        <f t="shared" si="13"/>
        <v>39171</v>
      </c>
    </row>
    <row r="241" spans="1:9" ht="38.25" x14ac:dyDescent="0.2">
      <c r="A241" s="28">
        <v>39175</v>
      </c>
      <c r="B241" s="26" t="s">
        <v>4320</v>
      </c>
      <c r="C241" s="26" t="s">
        <v>9</v>
      </c>
      <c r="D241" s="26" t="s">
        <v>20</v>
      </c>
      <c r="E241" s="26" t="s">
        <v>20</v>
      </c>
      <c r="F241" s="26" t="s">
        <v>20</v>
      </c>
      <c r="G241" t="b">
        <f t="shared" si="11"/>
        <v>0</v>
      </c>
      <c r="H241" t="b">
        <f t="shared" si="12"/>
        <v>0</v>
      </c>
      <c r="I241" s="29">
        <f t="shared" si="13"/>
        <v>39175</v>
      </c>
    </row>
    <row r="242" spans="1:9" ht="38.25" x14ac:dyDescent="0.2">
      <c r="A242" s="28">
        <v>39175</v>
      </c>
      <c r="B242" s="26" t="s">
        <v>4319</v>
      </c>
      <c r="C242" s="26" t="s">
        <v>9</v>
      </c>
      <c r="D242" s="26" t="s">
        <v>20</v>
      </c>
      <c r="E242" s="26" t="s">
        <v>20</v>
      </c>
      <c r="F242" s="26" t="s">
        <v>20</v>
      </c>
      <c r="G242" t="b">
        <f t="shared" si="11"/>
        <v>0</v>
      </c>
      <c r="H242" t="b">
        <f t="shared" si="12"/>
        <v>0</v>
      </c>
      <c r="I242" s="29">
        <f t="shared" si="13"/>
        <v>39175</v>
      </c>
    </row>
    <row r="243" spans="1:9" ht="12.75" customHeight="1" x14ac:dyDescent="0.2">
      <c r="A243" s="28">
        <v>39176</v>
      </c>
      <c r="B243" s="26" t="s">
        <v>4318</v>
      </c>
      <c r="C243" s="26" t="s">
        <v>384</v>
      </c>
      <c r="D243" s="26" t="s">
        <v>20</v>
      </c>
      <c r="E243" s="26">
        <v>13932383</v>
      </c>
      <c r="F243" s="26">
        <v>17299151</v>
      </c>
      <c r="G243" t="b">
        <f t="shared" si="11"/>
        <v>0</v>
      </c>
      <c r="H243" t="b">
        <f t="shared" si="12"/>
        <v>0</v>
      </c>
      <c r="I243" s="29">
        <f t="shared" si="13"/>
        <v>39176</v>
      </c>
    </row>
    <row r="244" spans="1:9" ht="25.5" x14ac:dyDescent="0.2">
      <c r="A244" s="28">
        <v>39176</v>
      </c>
      <c r="B244" s="26" t="s">
        <v>4317</v>
      </c>
      <c r="C244" s="26" t="s">
        <v>2160</v>
      </c>
      <c r="D244" s="26" t="s">
        <v>20</v>
      </c>
      <c r="E244" s="26">
        <v>49662533</v>
      </c>
      <c r="F244" s="26">
        <v>58388068</v>
      </c>
      <c r="G244" t="b">
        <f t="shared" si="11"/>
        <v>0</v>
      </c>
      <c r="H244" t="b">
        <f t="shared" si="12"/>
        <v>0</v>
      </c>
      <c r="I244" s="29">
        <f t="shared" si="13"/>
        <v>39176</v>
      </c>
    </row>
    <row r="245" spans="1:9" ht="12.75" customHeight="1" x14ac:dyDescent="0.2">
      <c r="A245" s="28">
        <v>39177</v>
      </c>
      <c r="B245" s="26" t="s">
        <v>4316</v>
      </c>
      <c r="C245" s="26" t="s">
        <v>3209</v>
      </c>
      <c r="D245" s="26">
        <v>40000000</v>
      </c>
      <c r="E245" s="26">
        <v>25126214</v>
      </c>
      <c r="F245" s="26">
        <v>62226214</v>
      </c>
      <c r="G245" t="b">
        <f t="shared" si="11"/>
        <v>0</v>
      </c>
      <c r="H245" t="b">
        <f t="shared" si="12"/>
        <v>0</v>
      </c>
      <c r="I245" s="29">
        <f t="shared" si="13"/>
        <v>39177</v>
      </c>
    </row>
    <row r="246" spans="1:9" ht="25.5" x14ac:dyDescent="0.2">
      <c r="A246" s="28">
        <v>39177</v>
      </c>
      <c r="B246" s="26" t="s">
        <v>4315</v>
      </c>
      <c r="C246" s="26" t="s">
        <v>9</v>
      </c>
      <c r="D246" s="26" t="s">
        <v>20</v>
      </c>
      <c r="E246" s="26" t="s">
        <v>20</v>
      </c>
      <c r="F246" s="26">
        <v>5364079</v>
      </c>
      <c r="G246" t="b">
        <f t="shared" si="11"/>
        <v>0</v>
      </c>
      <c r="H246" t="b">
        <f t="shared" si="12"/>
        <v>0</v>
      </c>
      <c r="I246" s="29">
        <f t="shared" si="13"/>
        <v>39177</v>
      </c>
    </row>
    <row r="247" spans="1:9" ht="12.75" customHeight="1" x14ac:dyDescent="0.2">
      <c r="A247" s="28">
        <v>39178</v>
      </c>
      <c r="B247" s="26" t="s">
        <v>4314</v>
      </c>
      <c r="C247" s="26" t="s">
        <v>9</v>
      </c>
      <c r="D247" s="26" t="s">
        <v>20</v>
      </c>
      <c r="E247" s="26">
        <v>11445</v>
      </c>
      <c r="F247" s="26" t="s">
        <v>20</v>
      </c>
      <c r="G247" t="b">
        <f t="shared" si="11"/>
        <v>0</v>
      </c>
      <c r="H247" t="b">
        <f t="shared" si="12"/>
        <v>0</v>
      </c>
      <c r="I247" s="29">
        <f t="shared" si="13"/>
        <v>39178</v>
      </c>
    </row>
    <row r="248" spans="1:9" ht="38.25" x14ac:dyDescent="0.2">
      <c r="A248" s="28">
        <v>39178</v>
      </c>
      <c r="B248" s="26" t="s">
        <v>4313</v>
      </c>
      <c r="C248" s="26" t="s">
        <v>9</v>
      </c>
      <c r="D248" s="26" t="s">
        <v>20</v>
      </c>
      <c r="E248" s="26" t="s">
        <v>20</v>
      </c>
      <c r="F248" s="26">
        <v>2292298</v>
      </c>
      <c r="G248" t="b">
        <f t="shared" si="11"/>
        <v>0</v>
      </c>
      <c r="H248" t="b">
        <f t="shared" si="12"/>
        <v>0</v>
      </c>
      <c r="I248" s="29">
        <f t="shared" si="13"/>
        <v>39178</v>
      </c>
    </row>
    <row r="249" spans="1:9" ht="12.75" customHeight="1" x14ac:dyDescent="0.2">
      <c r="A249" s="28">
        <v>39178</v>
      </c>
      <c r="B249" s="26" t="s">
        <v>4312</v>
      </c>
      <c r="C249" s="26" t="s">
        <v>9</v>
      </c>
      <c r="D249" s="26" t="s">
        <v>20</v>
      </c>
      <c r="E249" s="26" t="s">
        <v>20</v>
      </c>
      <c r="F249" s="26">
        <v>1703910</v>
      </c>
      <c r="G249" t="b">
        <f t="shared" si="11"/>
        <v>0</v>
      </c>
      <c r="H249" t="b">
        <f t="shared" si="12"/>
        <v>0</v>
      </c>
      <c r="I249" s="29">
        <f t="shared" si="13"/>
        <v>39178</v>
      </c>
    </row>
    <row r="250" spans="1:9" ht="12.75" customHeight="1" x14ac:dyDescent="0.2">
      <c r="A250" s="28">
        <v>39178</v>
      </c>
      <c r="B250" s="26" t="s">
        <v>4311</v>
      </c>
      <c r="C250" s="26" t="s">
        <v>9</v>
      </c>
      <c r="D250" s="26" t="s">
        <v>20</v>
      </c>
      <c r="E250" s="26">
        <v>1913</v>
      </c>
      <c r="F250" s="26" t="s">
        <v>20</v>
      </c>
      <c r="G250" t="b">
        <f t="shared" si="11"/>
        <v>0</v>
      </c>
      <c r="H250" t="b">
        <f t="shared" si="12"/>
        <v>0</v>
      </c>
      <c r="I250" s="29">
        <f t="shared" si="13"/>
        <v>39178</v>
      </c>
    </row>
    <row r="251" spans="1:9" ht="12.75" customHeight="1" x14ac:dyDescent="0.2">
      <c r="A251" s="28">
        <v>39178</v>
      </c>
      <c r="B251" s="26" t="s">
        <v>4310</v>
      </c>
      <c r="C251" s="26" t="s">
        <v>9</v>
      </c>
      <c r="D251" s="26" t="s">
        <v>20</v>
      </c>
      <c r="E251" s="26">
        <v>3027</v>
      </c>
      <c r="F251" s="26" t="s">
        <v>20</v>
      </c>
      <c r="G251" t="b">
        <f t="shared" si="11"/>
        <v>0</v>
      </c>
      <c r="H251" t="b">
        <f t="shared" si="12"/>
        <v>0</v>
      </c>
      <c r="I251" s="29">
        <f t="shared" si="13"/>
        <v>39178</v>
      </c>
    </row>
    <row r="252" spans="1:9" ht="12.75" customHeight="1" x14ac:dyDescent="0.2">
      <c r="A252" s="28">
        <v>39178</v>
      </c>
      <c r="B252" s="26" t="s">
        <v>4309</v>
      </c>
      <c r="C252" s="26" t="s">
        <v>612</v>
      </c>
      <c r="D252" s="26">
        <v>22000000</v>
      </c>
      <c r="E252" s="26">
        <v>4398392</v>
      </c>
      <c r="F252" s="26" t="s">
        <v>20</v>
      </c>
      <c r="G252" t="b">
        <f t="shared" si="11"/>
        <v>0</v>
      </c>
      <c r="H252" t="b">
        <f t="shared" si="12"/>
        <v>0</v>
      </c>
      <c r="I252" s="29">
        <f t="shared" si="13"/>
        <v>39178</v>
      </c>
    </row>
    <row r="253" spans="1:9" ht="25.5" x14ac:dyDescent="0.2">
      <c r="A253" s="28">
        <v>39178</v>
      </c>
      <c r="B253" s="26" t="s">
        <v>4308</v>
      </c>
      <c r="C253" s="26" t="s">
        <v>9</v>
      </c>
      <c r="D253" s="26" t="s">
        <v>20</v>
      </c>
      <c r="E253" s="26">
        <v>3934</v>
      </c>
      <c r="F253" s="26" t="s">
        <v>20</v>
      </c>
      <c r="G253" t="b">
        <f t="shared" si="11"/>
        <v>0</v>
      </c>
      <c r="H253" t="b">
        <f t="shared" si="12"/>
        <v>0</v>
      </c>
      <c r="I253" s="29">
        <f t="shared" si="13"/>
        <v>39178</v>
      </c>
    </row>
    <row r="254" spans="1:9" ht="12.75" customHeight="1" x14ac:dyDescent="0.2">
      <c r="A254" s="28">
        <v>39178</v>
      </c>
      <c r="B254" s="26" t="s">
        <v>4307</v>
      </c>
      <c r="C254" s="26" t="s">
        <v>571</v>
      </c>
      <c r="D254" s="26" t="s">
        <v>20</v>
      </c>
      <c r="E254" s="26">
        <v>35688</v>
      </c>
      <c r="F254" s="26" t="s">
        <v>20</v>
      </c>
      <c r="G254" t="b">
        <f t="shared" si="11"/>
        <v>0</v>
      </c>
      <c r="H254" t="b">
        <f t="shared" si="12"/>
        <v>0</v>
      </c>
      <c r="I254" s="29">
        <f t="shared" si="13"/>
        <v>39178</v>
      </c>
    </row>
    <row r="255" spans="1:9" ht="12.75" customHeight="1" x14ac:dyDescent="0.2">
      <c r="A255" s="28">
        <v>39178</v>
      </c>
      <c r="B255" s="26" t="s">
        <v>4306</v>
      </c>
      <c r="C255" s="26" t="s">
        <v>9</v>
      </c>
      <c r="D255" s="26" t="s">
        <v>20</v>
      </c>
      <c r="E255" s="26" t="s">
        <v>20</v>
      </c>
      <c r="F255" s="26" t="s">
        <v>20</v>
      </c>
      <c r="G255" t="b">
        <f t="shared" ref="G255:G318" si="14">ISBLANK(A255)</f>
        <v>0</v>
      </c>
      <c r="H255" t="b">
        <f t="shared" ref="H255:H318" si="15">ISTEXT(A255)</f>
        <v>0</v>
      </c>
      <c r="I255" s="29">
        <f t="shared" si="13"/>
        <v>39178</v>
      </c>
    </row>
    <row r="256" spans="1:9" ht="12.75" customHeight="1" x14ac:dyDescent="0.2">
      <c r="A256" s="28">
        <v>39178</v>
      </c>
      <c r="B256" s="26" t="s">
        <v>4305</v>
      </c>
      <c r="C256" s="26" t="s">
        <v>9</v>
      </c>
      <c r="D256" s="26" t="s">
        <v>20</v>
      </c>
      <c r="E256" s="26">
        <v>3303</v>
      </c>
      <c r="F256" s="26" t="s">
        <v>20</v>
      </c>
      <c r="G256" t="b">
        <f t="shared" si="14"/>
        <v>0</v>
      </c>
      <c r="H256" t="b">
        <f t="shared" si="15"/>
        <v>0</v>
      </c>
      <c r="I256" s="29">
        <f t="shared" si="13"/>
        <v>39178</v>
      </c>
    </row>
    <row r="257" spans="1:9" ht="25.5" x14ac:dyDescent="0.2">
      <c r="A257" s="28">
        <v>39178</v>
      </c>
      <c r="B257" s="26" t="s">
        <v>4304</v>
      </c>
      <c r="C257" s="26" t="s">
        <v>9</v>
      </c>
      <c r="D257" s="26" t="s">
        <v>20</v>
      </c>
      <c r="E257" s="26" t="s">
        <v>20</v>
      </c>
      <c r="F257" s="26" t="s">
        <v>20</v>
      </c>
      <c r="G257" t="b">
        <f t="shared" si="14"/>
        <v>0</v>
      </c>
      <c r="H257" t="b">
        <f t="shared" si="15"/>
        <v>0</v>
      </c>
      <c r="I257" s="29">
        <f t="shared" si="13"/>
        <v>39178</v>
      </c>
    </row>
    <row r="258" spans="1:9" ht="12.75" customHeight="1" x14ac:dyDescent="0.2">
      <c r="A258" s="28">
        <v>39178</v>
      </c>
      <c r="B258" s="26" t="s">
        <v>4303</v>
      </c>
      <c r="C258" s="26" t="s">
        <v>9</v>
      </c>
      <c r="D258" s="26">
        <v>25000000</v>
      </c>
      <c r="E258" s="26">
        <v>7164995</v>
      </c>
      <c r="F258" s="26" t="s">
        <v>20</v>
      </c>
      <c r="G258" t="b">
        <f t="shared" si="14"/>
        <v>0</v>
      </c>
      <c r="H258" t="b">
        <f t="shared" si="15"/>
        <v>0</v>
      </c>
      <c r="I258" s="29">
        <f t="shared" si="13"/>
        <v>39178</v>
      </c>
    </row>
    <row r="259" spans="1:9" ht="12.75" customHeight="1" x14ac:dyDescent="0.2">
      <c r="A259" s="28">
        <v>39178</v>
      </c>
      <c r="B259" s="26" t="s">
        <v>4302</v>
      </c>
      <c r="C259" s="26" t="s">
        <v>9</v>
      </c>
      <c r="D259" s="26" t="s">
        <v>20</v>
      </c>
      <c r="E259" s="26">
        <v>265550</v>
      </c>
      <c r="F259" s="26" t="s">
        <v>20</v>
      </c>
      <c r="G259" t="b">
        <f t="shared" si="14"/>
        <v>0</v>
      </c>
      <c r="H259" t="b">
        <f t="shared" si="15"/>
        <v>0</v>
      </c>
      <c r="I259" s="29">
        <f t="shared" ref="I259:I322" si="16">DATE(2007,MONTH(A259), DAY(A259))</f>
        <v>39178</v>
      </c>
    </row>
    <row r="260" spans="1:9" ht="12.75" customHeight="1" x14ac:dyDescent="0.2">
      <c r="A260" s="28">
        <v>39178</v>
      </c>
      <c r="B260" s="26" t="s">
        <v>4301</v>
      </c>
      <c r="C260" s="26" t="s">
        <v>9</v>
      </c>
      <c r="D260" s="26" t="s">
        <v>20</v>
      </c>
      <c r="E260" s="26" t="s">
        <v>20</v>
      </c>
      <c r="F260" s="26">
        <v>7250992</v>
      </c>
      <c r="G260" t="b">
        <f t="shared" si="14"/>
        <v>0</v>
      </c>
      <c r="H260" t="b">
        <f t="shared" si="15"/>
        <v>0</v>
      </c>
      <c r="I260" s="29">
        <f t="shared" si="16"/>
        <v>39178</v>
      </c>
    </row>
    <row r="261" spans="1:9" ht="12.75" customHeight="1" x14ac:dyDescent="0.2">
      <c r="A261" s="28">
        <v>39178</v>
      </c>
      <c r="B261" s="26" t="s">
        <v>4300</v>
      </c>
      <c r="C261" s="26" t="s">
        <v>3498</v>
      </c>
      <c r="D261" s="26">
        <v>53000000</v>
      </c>
      <c r="E261" s="26">
        <v>25031037</v>
      </c>
      <c r="F261" s="26">
        <v>50187789</v>
      </c>
      <c r="G261" t="b">
        <f t="shared" si="14"/>
        <v>0</v>
      </c>
      <c r="H261" t="b">
        <f t="shared" si="15"/>
        <v>0</v>
      </c>
      <c r="I261" s="29">
        <f t="shared" si="16"/>
        <v>39178</v>
      </c>
    </row>
    <row r="262" spans="1:9" ht="25.5" x14ac:dyDescent="0.2">
      <c r="A262" s="28">
        <v>39178</v>
      </c>
      <c r="B262" s="26" t="s">
        <v>4299</v>
      </c>
      <c r="C262" s="26" t="s">
        <v>9</v>
      </c>
      <c r="D262" s="26" t="s">
        <v>20</v>
      </c>
      <c r="E262" s="26" t="s">
        <v>20</v>
      </c>
      <c r="F262" s="26">
        <v>4152160</v>
      </c>
      <c r="G262" t="b">
        <f t="shared" si="14"/>
        <v>0</v>
      </c>
      <c r="H262" t="b">
        <f t="shared" si="15"/>
        <v>0</v>
      </c>
      <c r="I262" s="29">
        <f t="shared" si="16"/>
        <v>39178</v>
      </c>
    </row>
    <row r="263" spans="1:9" ht="25.5" x14ac:dyDescent="0.2">
      <c r="A263" s="28">
        <v>39178</v>
      </c>
      <c r="B263" s="26" t="s">
        <v>4298</v>
      </c>
      <c r="C263" s="26" t="s">
        <v>9</v>
      </c>
      <c r="D263" s="26" t="s">
        <v>20</v>
      </c>
      <c r="E263" s="26" t="s">
        <v>20</v>
      </c>
      <c r="F263" s="26">
        <v>1121517</v>
      </c>
      <c r="G263" t="b">
        <f t="shared" si="14"/>
        <v>0</v>
      </c>
      <c r="H263" t="b">
        <f t="shared" si="15"/>
        <v>0</v>
      </c>
      <c r="I263" s="29">
        <f t="shared" si="16"/>
        <v>39178</v>
      </c>
    </row>
    <row r="264" spans="1:9" ht="25.5" x14ac:dyDescent="0.2">
      <c r="A264" s="28">
        <v>39182</v>
      </c>
      <c r="B264" s="26" t="s">
        <v>4297</v>
      </c>
      <c r="C264" s="26" t="s">
        <v>9</v>
      </c>
      <c r="D264" s="26" t="s">
        <v>20</v>
      </c>
      <c r="E264" s="26" t="s">
        <v>20</v>
      </c>
      <c r="F264" s="26" t="s">
        <v>20</v>
      </c>
      <c r="G264" t="b">
        <f t="shared" si="14"/>
        <v>0</v>
      </c>
      <c r="H264" t="b">
        <f t="shared" si="15"/>
        <v>0</v>
      </c>
      <c r="I264" s="29">
        <f t="shared" si="16"/>
        <v>39182</v>
      </c>
    </row>
    <row r="265" spans="1:9" ht="25.5" x14ac:dyDescent="0.2">
      <c r="A265" s="28">
        <v>39183</v>
      </c>
      <c r="B265" s="26" t="s">
        <v>4296</v>
      </c>
      <c r="C265" s="26" t="s">
        <v>9</v>
      </c>
      <c r="D265" s="26" t="s">
        <v>20</v>
      </c>
      <c r="E265" s="26" t="s">
        <v>20</v>
      </c>
      <c r="F265" s="26">
        <v>967845</v>
      </c>
      <c r="G265" t="b">
        <f t="shared" si="14"/>
        <v>0</v>
      </c>
      <c r="H265" t="b">
        <f t="shared" si="15"/>
        <v>0</v>
      </c>
      <c r="I265" s="29">
        <f t="shared" si="16"/>
        <v>39183</v>
      </c>
    </row>
    <row r="266" spans="1:9" ht="38.25" x14ac:dyDescent="0.2">
      <c r="A266" s="28">
        <v>39183</v>
      </c>
      <c r="B266" s="26" t="s">
        <v>4295</v>
      </c>
      <c r="C266" s="26" t="s">
        <v>9</v>
      </c>
      <c r="D266" s="26" t="s">
        <v>20</v>
      </c>
      <c r="E266" s="26">
        <v>7000</v>
      </c>
      <c r="F266" s="26" t="s">
        <v>20</v>
      </c>
      <c r="G266" t="b">
        <f t="shared" si="14"/>
        <v>0</v>
      </c>
      <c r="H266" t="b">
        <f t="shared" si="15"/>
        <v>0</v>
      </c>
      <c r="I266" s="29">
        <f t="shared" si="16"/>
        <v>39183</v>
      </c>
    </row>
    <row r="267" spans="1:9" ht="12.75" customHeight="1" x14ac:dyDescent="0.2">
      <c r="A267" s="28">
        <v>39183</v>
      </c>
      <c r="B267" s="26" t="s">
        <v>4294</v>
      </c>
      <c r="C267" s="26" t="s">
        <v>9</v>
      </c>
      <c r="D267" s="26" t="s">
        <v>20</v>
      </c>
      <c r="E267" s="26">
        <v>1948</v>
      </c>
      <c r="F267" s="26" t="s">
        <v>20</v>
      </c>
      <c r="G267" t="b">
        <f t="shared" si="14"/>
        <v>0</v>
      </c>
      <c r="H267" t="b">
        <f t="shared" si="15"/>
        <v>0</v>
      </c>
      <c r="I267" s="29">
        <f t="shared" si="16"/>
        <v>39183</v>
      </c>
    </row>
    <row r="268" spans="1:9" ht="25.5" x14ac:dyDescent="0.2">
      <c r="A268" s="28">
        <v>39184</v>
      </c>
      <c r="B268" s="26" t="s">
        <v>4293</v>
      </c>
      <c r="C268" s="26" t="s">
        <v>9</v>
      </c>
      <c r="D268" s="26" t="s">
        <v>20</v>
      </c>
      <c r="E268" s="26" t="s">
        <v>20</v>
      </c>
      <c r="F268" s="26">
        <v>15061334</v>
      </c>
      <c r="G268" t="b">
        <f t="shared" si="14"/>
        <v>0</v>
      </c>
      <c r="H268" t="b">
        <f t="shared" si="15"/>
        <v>0</v>
      </c>
      <c r="I268" s="29">
        <f t="shared" si="16"/>
        <v>39184</v>
      </c>
    </row>
    <row r="269" spans="1:9" x14ac:dyDescent="0.2">
      <c r="A269" s="28">
        <v>39185</v>
      </c>
      <c r="B269" s="26" t="s">
        <v>4292</v>
      </c>
      <c r="C269" s="26" t="s">
        <v>3499</v>
      </c>
      <c r="D269" s="26" t="s">
        <v>20</v>
      </c>
      <c r="E269" s="26">
        <v>6881021</v>
      </c>
      <c r="F269" s="26" t="s">
        <v>20</v>
      </c>
      <c r="G269" t="b">
        <f t="shared" si="14"/>
        <v>0</v>
      </c>
      <c r="H269" t="b">
        <f t="shared" si="15"/>
        <v>0</v>
      </c>
      <c r="I269" s="29">
        <f t="shared" si="16"/>
        <v>39185</v>
      </c>
    </row>
    <row r="270" spans="1:9" ht="12.75" customHeight="1" x14ac:dyDescent="0.2">
      <c r="A270" s="28">
        <v>39185</v>
      </c>
      <c r="B270" s="26" t="s">
        <v>4291</v>
      </c>
      <c r="C270" s="26" t="s">
        <v>9</v>
      </c>
      <c r="D270" s="26" t="s">
        <v>20</v>
      </c>
      <c r="E270" s="26">
        <v>21504</v>
      </c>
      <c r="F270" s="26" t="s">
        <v>20</v>
      </c>
      <c r="G270" t="b">
        <f t="shared" si="14"/>
        <v>0</v>
      </c>
      <c r="H270" t="b">
        <f t="shared" si="15"/>
        <v>0</v>
      </c>
      <c r="I270" s="29">
        <f t="shared" si="16"/>
        <v>39185</v>
      </c>
    </row>
    <row r="271" spans="1:9" ht="38.25" x14ac:dyDescent="0.2">
      <c r="A271" s="28">
        <v>39185</v>
      </c>
      <c r="B271" s="26" t="s">
        <v>4290</v>
      </c>
      <c r="C271" s="26" t="s">
        <v>9</v>
      </c>
      <c r="D271" s="26" t="s">
        <v>20</v>
      </c>
      <c r="E271" s="26">
        <v>5383</v>
      </c>
      <c r="F271" s="26" t="s">
        <v>20</v>
      </c>
      <c r="G271" t="b">
        <f t="shared" si="14"/>
        <v>0</v>
      </c>
      <c r="H271" t="b">
        <f t="shared" si="15"/>
        <v>0</v>
      </c>
      <c r="I271" s="29">
        <f t="shared" si="16"/>
        <v>39185</v>
      </c>
    </row>
    <row r="272" spans="1:9" ht="12.75" customHeight="1" x14ac:dyDescent="0.2">
      <c r="A272" s="28">
        <v>39185</v>
      </c>
      <c r="B272" s="26" t="s">
        <v>4289</v>
      </c>
      <c r="C272" s="26" t="s">
        <v>3419</v>
      </c>
      <c r="D272" s="26">
        <v>15500000</v>
      </c>
      <c r="E272" s="26">
        <v>1237615</v>
      </c>
      <c r="F272" s="26" t="s">
        <v>20</v>
      </c>
      <c r="G272" t="b">
        <f t="shared" si="14"/>
        <v>0</v>
      </c>
      <c r="H272" t="b">
        <f t="shared" si="15"/>
        <v>0</v>
      </c>
      <c r="I272" s="29">
        <f t="shared" si="16"/>
        <v>39185</v>
      </c>
    </row>
    <row r="273" spans="1:9" ht="12.75" customHeight="1" x14ac:dyDescent="0.2">
      <c r="A273" s="28">
        <v>39185</v>
      </c>
      <c r="B273" s="26" t="s">
        <v>4288</v>
      </c>
      <c r="C273" s="26" t="s">
        <v>9</v>
      </c>
      <c r="D273" s="26" t="s">
        <v>20</v>
      </c>
      <c r="E273" s="26">
        <v>188565</v>
      </c>
      <c r="F273" s="26" t="s">
        <v>20</v>
      </c>
      <c r="G273" t="b">
        <f t="shared" si="14"/>
        <v>0</v>
      </c>
      <c r="H273" t="b">
        <f t="shared" si="15"/>
        <v>0</v>
      </c>
      <c r="I273" s="29">
        <f t="shared" si="16"/>
        <v>39185</v>
      </c>
    </row>
    <row r="274" spans="1:9" ht="12.75" customHeight="1" x14ac:dyDescent="0.2">
      <c r="A274" s="28">
        <v>39185</v>
      </c>
      <c r="B274" s="26" t="s">
        <v>4287</v>
      </c>
      <c r="C274" s="26" t="s">
        <v>2160</v>
      </c>
      <c r="D274" s="26" t="s">
        <v>20</v>
      </c>
      <c r="E274" s="26">
        <v>23760822</v>
      </c>
      <c r="F274" s="26">
        <v>62526388</v>
      </c>
      <c r="G274" t="b">
        <f t="shared" si="14"/>
        <v>0</v>
      </c>
      <c r="H274" t="b">
        <f t="shared" si="15"/>
        <v>0</v>
      </c>
      <c r="I274" s="29">
        <f t="shared" si="16"/>
        <v>39185</v>
      </c>
    </row>
    <row r="275" spans="1:9" ht="12.75" customHeight="1" x14ac:dyDescent="0.2">
      <c r="A275" s="28">
        <v>39185</v>
      </c>
      <c r="B275" s="26" t="s">
        <v>4286</v>
      </c>
      <c r="C275" s="26" t="s">
        <v>9</v>
      </c>
      <c r="D275" s="26" t="s">
        <v>20</v>
      </c>
      <c r="E275" s="26">
        <v>134240</v>
      </c>
      <c r="F275" s="26" t="s">
        <v>20</v>
      </c>
      <c r="G275" t="b">
        <f t="shared" si="14"/>
        <v>0</v>
      </c>
      <c r="H275" t="b">
        <f t="shared" si="15"/>
        <v>0</v>
      </c>
      <c r="I275" s="29">
        <f t="shared" si="16"/>
        <v>39185</v>
      </c>
    </row>
    <row r="276" spans="1:9" ht="12.75" customHeight="1" x14ac:dyDescent="0.2">
      <c r="A276" s="28">
        <v>39185</v>
      </c>
      <c r="B276" s="26" t="s">
        <v>4285</v>
      </c>
      <c r="C276" s="26" t="s">
        <v>384</v>
      </c>
      <c r="D276" s="26" t="s">
        <v>20</v>
      </c>
      <c r="E276" s="26">
        <v>10232081</v>
      </c>
      <c r="F276" s="26">
        <v>30822861</v>
      </c>
      <c r="G276" t="b">
        <f t="shared" si="14"/>
        <v>0</v>
      </c>
      <c r="H276" t="b">
        <f t="shared" si="15"/>
        <v>0</v>
      </c>
      <c r="I276" s="29">
        <f t="shared" si="16"/>
        <v>39185</v>
      </c>
    </row>
    <row r="277" spans="1:9" ht="25.5" x14ac:dyDescent="0.2">
      <c r="A277" s="28">
        <v>39185</v>
      </c>
      <c r="B277" s="26" t="s">
        <v>4284</v>
      </c>
      <c r="C277" s="26" t="s">
        <v>1542</v>
      </c>
      <c r="D277" s="26" t="s">
        <v>20</v>
      </c>
      <c r="E277" s="26">
        <v>19373</v>
      </c>
      <c r="F277" s="26" t="s">
        <v>20</v>
      </c>
      <c r="G277" t="b">
        <f t="shared" si="14"/>
        <v>0</v>
      </c>
      <c r="H277" t="b">
        <f t="shared" si="15"/>
        <v>0</v>
      </c>
      <c r="I277" s="29">
        <f t="shared" si="16"/>
        <v>39185</v>
      </c>
    </row>
    <row r="278" spans="1:9" ht="12.75" customHeight="1" x14ac:dyDescent="0.2">
      <c r="A278" s="28">
        <v>39185</v>
      </c>
      <c r="B278" s="26" t="s">
        <v>4283</v>
      </c>
      <c r="C278" s="26" t="s">
        <v>9</v>
      </c>
      <c r="D278" s="26" t="s">
        <v>20</v>
      </c>
      <c r="E278" s="26" t="s">
        <v>20</v>
      </c>
      <c r="F278" s="26">
        <v>5342096</v>
      </c>
      <c r="G278" t="b">
        <f t="shared" si="14"/>
        <v>0</v>
      </c>
      <c r="H278" t="b">
        <f t="shared" si="15"/>
        <v>0</v>
      </c>
      <c r="I278" s="29">
        <f t="shared" si="16"/>
        <v>39185</v>
      </c>
    </row>
    <row r="279" spans="1:9" ht="12.75" customHeight="1" x14ac:dyDescent="0.2">
      <c r="A279" s="28">
        <v>39185</v>
      </c>
      <c r="B279" s="26" t="s">
        <v>4282</v>
      </c>
      <c r="C279" s="26" t="s">
        <v>3240</v>
      </c>
      <c r="D279" s="26">
        <v>20000000</v>
      </c>
      <c r="E279" s="26">
        <v>80209692</v>
      </c>
      <c r="F279" s="26">
        <v>117573043</v>
      </c>
      <c r="G279" t="b">
        <f t="shared" si="14"/>
        <v>0</v>
      </c>
      <c r="H279" t="b">
        <f t="shared" si="15"/>
        <v>0</v>
      </c>
      <c r="I279" s="29">
        <f t="shared" si="16"/>
        <v>39185</v>
      </c>
    </row>
    <row r="280" spans="1:9" ht="12.75" customHeight="1" x14ac:dyDescent="0.2">
      <c r="A280" s="28">
        <v>39185</v>
      </c>
      <c r="B280" s="26" t="s">
        <v>4281</v>
      </c>
      <c r="C280" s="26" t="s">
        <v>9</v>
      </c>
      <c r="D280" s="26">
        <v>30000000</v>
      </c>
      <c r="E280" s="26" t="s">
        <v>20</v>
      </c>
      <c r="F280" s="26">
        <v>2717302</v>
      </c>
      <c r="G280" t="b">
        <f t="shared" si="14"/>
        <v>0</v>
      </c>
      <c r="H280" t="b">
        <f t="shared" si="15"/>
        <v>0</v>
      </c>
      <c r="I280" s="29">
        <f t="shared" si="16"/>
        <v>39185</v>
      </c>
    </row>
    <row r="281" spans="1:9" ht="12.75" customHeight="1" x14ac:dyDescent="0.2">
      <c r="A281" s="28">
        <v>39185</v>
      </c>
      <c r="B281" s="26" t="s">
        <v>4280</v>
      </c>
      <c r="C281" s="26" t="s">
        <v>9</v>
      </c>
      <c r="D281" s="26" t="s">
        <v>20</v>
      </c>
      <c r="E281" s="26">
        <v>154892</v>
      </c>
      <c r="F281" s="26">
        <v>754892</v>
      </c>
      <c r="G281" t="b">
        <f t="shared" si="14"/>
        <v>0</v>
      </c>
      <c r="H281" t="b">
        <f t="shared" si="15"/>
        <v>0</v>
      </c>
      <c r="I281" s="29">
        <f t="shared" si="16"/>
        <v>39185</v>
      </c>
    </row>
    <row r="282" spans="1:9" ht="25.5" x14ac:dyDescent="0.2">
      <c r="A282" s="28">
        <v>39185</v>
      </c>
      <c r="B282" s="26" t="s">
        <v>4279</v>
      </c>
      <c r="C282" s="26" t="s">
        <v>3495</v>
      </c>
      <c r="D282" s="26">
        <v>750000</v>
      </c>
      <c r="E282" s="26">
        <v>5520368</v>
      </c>
      <c r="F282" s="26" t="s">
        <v>20</v>
      </c>
      <c r="G282" t="b">
        <f t="shared" si="14"/>
        <v>0</v>
      </c>
      <c r="H282" t="b">
        <f t="shared" si="15"/>
        <v>0</v>
      </c>
      <c r="I282" s="29">
        <f t="shared" si="16"/>
        <v>39185</v>
      </c>
    </row>
    <row r="283" spans="1:9" ht="25.5" x14ac:dyDescent="0.2">
      <c r="A283" s="28">
        <v>39185</v>
      </c>
      <c r="B283" s="26" t="s">
        <v>4278</v>
      </c>
      <c r="C283" s="26" t="s">
        <v>2992</v>
      </c>
      <c r="D283" s="26" t="s">
        <v>20</v>
      </c>
      <c r="E283" s="26">
        <v>1540141</v>
      </c>
      <c r="F283" s="26" t="s">
        <v>20</v>
      </c>
      <c r="G283" t="b">
        <f t="shared" si="14"/>
        <v>0</v>
      </c>
      <c r="H283" t="b">
        <f t="shared" si="15"/>
        <v>0</v>
      </c>
      <c r="I283" s="29">
        <f t="shared" si="16"/>
        <v>39185</v>
      </c>
    </row>
    <row r="284" spans="1:9" ht="38.25" x14ac:dyDescent="0.2">
      <c r="A284" s="28">
        <v>39186</v>
      </c>
      <c r="B284" s="26" t="s">
        <v>4277</v>
      </c>
      <c r="C284" s="26" t="s">
        <v>9</v>
      </c>
      <c r="D284" s="26" t="s">
        <v>20</v>
      </c>
      <c r="E284" s="26" t="s">
        <v>20</v>
      </c>
      <c r="F284" s="26">
        <v>11061179</v>
      </c>
      <c r="G284" t="b">
        <f t="shared" si="14"/>
        <v>0</v>
      </c>
      <c r="H284" t="b">
        <f t="shared" si="15"/>
        <v>0</v>
      </c>
      <c r="I284" s="29">
        <f t="shared" si="16"/>
        <v>39186</v>
      </c>
    </row>
    <row r="285" spans="1:9" ht="12.75" customHeight="1" x14ac:dyDescent="0.2">
      <c r="A285" s="28">
        <v>39190</v>
      </c>
      <c r="B285" s="26" t="s">
        <v>4276</v>
      </c>
      <c r="C285" s="26" t="s">
        <v>9</v>
      </c>
      <c r="D285" s="26" t="s">
        <v>20</v>
      </c>
      <c r="E285" s="26">
        <v>16340</v>
      </c>
      <c r="F285" s="26" t="s">
        <v>20</v>
      </c>
      <c r="G285" t="b">
        <f t="shared" si="14"/>
        <v>0</v>
      </c>
      <c r="H285" t="b">
        <f t="shared" si="15"/>
        <v>0</v>
      </c>
      <c r="I285" s="29">
        <f t="shared" si="16"/>
        <v>39190</v>
      </c>
    </row>
    <row r="286" spans="1:9" ht="12.75" customHeight="1" x14ac:dyDescent="0.2">
      <c r="A286" s="28">
        <v>39191</v>
      </c>
      <c r="B286" s="26" t="s">
        <v>4275</v>
      </c>
      <c r="C286" s="26" t="s">
        <v>9</v>
      </c>
      <c r="D286" s="26" t="s">
        <v>20</v>
      </c>
      <c r="E286" s="26" t="s">
        <v>20</v>
      </c>
      <c r="F286" s="26">
        <v>2952412</v>
      </c>
      <c r="G286" t="b">
        <f t="shared" si="14"/>
        <v>0</v>
      </c>
      <c r="H286" t="b">
        <f t="shared" si="15"/>
        <v>0</v>
      </c>
      <c r="I286" s="29">
        <f t="shared" si="16"/>
        <v>39191</v>
      </c>
    </row>
    <row r="287" spans="1:9" ht="12.75" customHeight="1" x14ac:dyDescent="0.2">
      <c r="A287" s="28">
        <v>39191</v>
      </c>
      <c r="B287" s="26" t="s">
        <v>4274</v>
      </c>
      <c r="C287" s="26" t="s">
        <v>9</v>
      </c>
      <c r="D287" s="26" t="s">
        <v>20</v>
      </c>
      <c r="E287" s="26" t="s">
        <v>20</v>
      </c>
      <c r="F287" s="26">
        <v>997485</v>
      </c>
      <c r="G287" t="b">
        <f t="shared" si="14"/>
        <v>0</v>
      </c>
      <c r="H287" t="b">
        <f t="shared" si="15"/>
        <v>0</v>
      </c>
      <c r="I287" s="29">
        <f t="shared" si="16"/>
        <v>39191</v>
      </c>
    </row>
    <row r="288" spans="1:9" ht="12.75" customHeight="1" x14ac:dyDescent="0.2">
      <c r="A288" s="28">
        <v>39192</v>
      </c>
      <c r="B288" s="26" t="s">
        <v>4273</v>
      </c>
      <c r="C288" s="26" t="s">
        <v>9</v>
      </c>
      <c r="D288" s="26" t="s">
        <v>20</v>
      </c>
      <c r="E288" s="26">
        <v>8453</v>
      </c>
      <c r="F288" s="26" t="s">
        <v>20</v>
      </c>
      <c r="G288" t="b">
        <f t="shared" si="14"/>
        <v>0</v>
      </c>
      <c r="H288" t="b">
        <f t="shared" si="15"/>
        <v>0</v>
      </c>
      <c r="I288" s="29">
        <f t="shared" si="16"/>
        <v>39192</v>
      </c>
    </row>
    <row r="289" spans="1:9" ht="12.75" customHeight="1" x14ac:dyDescent="0.2">
      <c r="A289" s="28">
        <v>39192</v>
      </c>
      <c r="B289" s="26" t="s">
        <v>4272</v>
      </c>
      <c r="C289" s="26" t="s">
        <v>9</v>
      </c>
      <c r="D289" s="26" t="s">
        <v>20</v>
      </c>
      <c r="E289" s="26">
        <v>48969</v>
      </c>
      <c r="F289" s="26" t="s">
        <v>20</v>
      </c>
      <c r="G289" t="b">
        <f t="shared" si="14"/>
        <v>0</v>
      </c>
      <c r="H289" t="b">
        <f t="shared" si="15"/>
        <v>0</v>
      </c>
      <c r="I289" s="29">
        <f t="shared" si="16"/>
        <v>39192</v>
      </c>
    </row>
    <row r="290" spans="1:9" ht="12.75" customHeight="1" x14ac:dyDescent="0.2">
      <c r="A290" s="28">
        <v>39192</v>
      </c>
      <c r="B290" s="26" t="s">
        <v>4271</v>
      </c>
      <c r="C290" s="26" t="s">
        <v>9</v>
      </c>
      <c r="D290" s="26" t="s">
        <v>20</v>
      </c>
      <c r="E290" s="26">
        <v>2500</v>
      </c>
      <c r="F290" s="26" t="s">
        <v>20</v>
      </c>
      <c r="G290" t="b">
        <f t="shared" si="14"/>
        <v>0</v>
      </c>
      <c r="H290" t="b">
        <f t="shared" si="15"/>
        <v>0</v>
      </c>
      <c r="I290" s="29">
        <f t="shared" si="16"/>
        <v>39192</v>
      </c>
    </row>
    <row r="291" spans="1:9" ht="25.5" x14ac:dyDescent="0.2">
      <c r="A291" s="28">
        <v>39192</v>
      </c>
      <c r="B291" s="26" t="s">
        <v>4270</v>
      </c>
      <c r="C291" s="26" t="s">
        <v>9</v>
      </c>
      <c r="D291" s="26" t="s">
        <v>20</v>
      </c>
      <c r="E291" s="26" t="s">
        <v>20</v>
      </c>
      <c r="F291" s="26" t="s">
        <v>20</v>
      </c>
      <c r="G291" t="b">
        <f t="shared" si="14"/>
        <v>0</v>
      </c>
      <c r="H291" t="b">
        <f t="shared" si="15"/>
        <v>0</v>
      </c>
      <c r="I291" s="29">
        <f t="shared" si="16"/>
        <v>39192</v>
      </c>
    </row>
    <row r="292" spans="1:9" ht="25.5" x14ac:dyDescent="0.2">
      <c r="A292" s="28">
        <v>39192</v>
      </c>
      <c r="B292" s="26" t="s">
        <v>4269</v>
      </c>
      <c r="C292" s="26" t="s">
        <v>9</v>
      </c>
      <c r="D292" s="26" t="s">
        <v>20</v>
      </c>
      <c r="E292" s="26" t="s">
        <v>20</v>
      </c>
      <c r="F292" s="26" t="s">
        <v>20</v>
      </c>
      <c r="G292" t="b">
        <f t="shared" si="14"/>
        <v>0</v>
      </c>
      <c r="H292" t="b">
        <f t="shared" si="15"/>
        <v>0</v>
      </c>
      <c r="I292" s="29">
        <f t="shared" si="16"/>
        <v>39192</v>
      </c>
    </row>
    <row r="293" spans="1:9" ht="38.25" x14ac:dyDescent="0.2">
      <c r="A293" s="28">
        <v>39192</v>
      </c>
      <c r="B293" s="26" t="s">
        <v>4268</v>
      </c>
      <c r="C293" s="26" t="s">
        <v>2837</v>
      </c>
      <c r="D293" s="26">
        <v>10500000</v>
      </c>
      <c r="E293" s="26">
        <v>11052958</v>
      </c>
      <c r="F293" s="26">
        <v>14140402</v>
      </c>
      <c r="G293" t="b">
        <f t="shared" si="14"/>
        <v>0</v>
      </c>
      <c r="H293" t="b">
        <f t="shared" si="15"/>
        <v>0</v>
      </c>
      <c r="I293" s="29">
        <f t="shared" si="16"/>
        <v>39192</v>
      </c>
    </row>
    <row r="294" spans="1:9" ht="12.75" customHeight="1" x14ac:dyDescent="0.2">
      <c r="A294" s="28">
        <v>39192</v>
      </c>
      <c r="B294" s="26" t="s">
        <v>4267</v>
      </c>
      <c r="C294" s="26" t="s">
        <v>2460</v>
      </c>
      <c r="D294" s="26" t="s">
        <v>20</v>
      </c>
      <c r="E294" s="26">
        <v>38989507</v>
      </c>
      <c r="F294" s="26">
        <v>89189507</v>
      </c>
      <c r="G294" t="b">
        <f t="shared" si="14"/>
        <v>0</v>
      </c>
      <c r="H294" t="b">
        <f t="shared" si="15"/>
        <v>0</v>
      </c>
      <c r="I294" s="29">
        <f t="shared" si="16"/>
        <v>39192</v>
      </c>
    </row>
    <row r="295" spans="1:9" ht="12.75" customHeight="1" x14ac:dyDescent="0.2">
      <c r="A295" s="28">
        <v>39192</v>
      </c>
      <c r="B295" s="26" t="s">
        <v>4266</v>
      </c>
      <c r="C295" s="26" t="s">
        <v>2160</v>
      </c>
      <c r="D295" s="26" t="s">
        <v>20</v>
      </c>
      <c r="E295" s="26">
        <v>19063007</v>
      </c>
      <c r="F295" s="26">
        <v>24363007</v>
      </c>
      <c r="G295" t="b">
        <f t="shared" si="14"/>
        <v>0</v>
      </c>
      <c r="H295" t="b">
        <f t="shared" si="15"/>
        <v>0</v>
      </c>
      <c r="I295" s="29">
        <f t="shared" si="16"/>
        <v>39192</v>
      </c>
    </row>
    <row r="296" spans="1:9" ht="12.75" customHeight="1" x14ac:dyDescent="0.2">
      <c r="A296" s="28">
        <v>39192</v>
      </c>
      <c r="B296" s="26" t="s">
        <v>4265</v>
      </c>
      <c r="C296" s="26" t="s">
        <v>9</v>
      </c>
      <c r="D296" s="26">
        <v>16000000</v>
      </c>
      <c r="E296" s="26">
        <v>23618786</v>
      </c>
      <c r="F296" s="26">
        <v>79197493</v>
      </c>
      <c r="G296" t="b">
        <f t="shared" si="14"/>
        <v>0</v>
      </c>
      <c r="H296" t="b">
        <f t="shared" si="15"/>
        <v>0</v>
      </c>
      <c r="I296" s="29">
        <f t="shared" si="16"/>
        <v>39192</v>
      </c>
    </row>
    <row r="297" spans="1:9" ht="25.5" x14ac:dyDescent="0.2">
      <c r="A297" s="28">
        <v>39192</v>
      </c>
      <c r="B297" s="26" t="s">
        <v>4264</v>
      </c>
      <c r="C297" s="26" t="s">
        <v>150</v>
      </c>
      <c r="D297" s="26" t="s">
        <v>20</v>
      </c>
      <c r="E297" s="26">
        <v>23200</v>
      </c>
      <c r="F297" s="26" t="s">
        <v>20</v>
      </c>
      <c r="G297" t="b">
        <f t="shared" si="14"/>
        <v>0</v>
      </c>
      <c r="H297" t="b">
        <f t="shared" si="15"/>
        <v>0</v>
      </c>
      <c r="I297" s="29">
        <f t="shared" si="16"/>
        <v>39192</v>
      </c>
    </row>
    <row r="298" spans="1:9" ht="12.75" customHeight="1" x14ac:dyDescent="0.2">
      <c r="A298" s="28">
        <v>39192</v>
      </c>
      <c r="B298" s="26" t="s">
        <v>4263</v>
      </c>
      <c r="C298" s="26" t="s">
        <v>2775</v>
      </c>
      <c r="D298" s="26" t="s">
        <v>20</v>
      </c>
      <c r="E298" s="26">
        <v>25751</v>
      </c>
      <c r="F298" s="26" t="s">
        <v>20</v>
      </c>
      <c r="G298" t="b">
        <f t="shared" si="14"/>
        <v>0</v>
      </c>
      <c r="H298" t="b">
        <f t="shared" si="15"/>
        <v>0</v>
      </c>
      <c r="I298" s="29">
        <f t="shared" si="16"/>
        <v>39192</v>
      </c>
    </row>
    <row r="299" spans="1:9" ht="12.75" customHeight="1" x14ac:dyDescent="0.2">
      <c r="A299" s="28">
        <v>39192</v>
      </c>
      <c r="B299" s="26" t="s">
        <v>4262</v>
      </c>
      <c r="C299" s="26" t="s">
        <v>612</v>
      </c>
      <c r="D299" s="26" t="s">
        <v>20</v>
      </c>
      <c r="E299" s="26">
        <v>2272329</v>
      </c>
      <c r="F299" s="26" t="s">
        <v>20</v>
      </c>
      <c r="G299" t="b">
        <f t="shared" si="14"/>
        <v>0</v>
      </c>
      <c r="H299" t="b">
        <f t="shared" si="15"/>
        <v>0</v>
      </c>
      <c r="I299" s="29">
        <f t="shared" si="16"/>
        <v>39192</v>
      </c>
    </row>
    <row r="300" spans="1:9" ht="38.25" x14ac:dyDescent="0.2">
      <c r="A300" s="28">
        <v>39193</v>
      </c>
      <c r="B300" s="26" t="s">
        <v>4261</v>
      </c>
      <c r="C300" s="26" t="s">
        <v>9</v>
      </c>
      <c r="D300" s="26" t="s">
        <v>20</v>
      </c>
      <c r="E300" s="26" t="s">
        <v>20</v>
      </c>
      <c r="F300" s="26">
        <v>19139455</v>
      </c>
      <c r="G300" t="b">
        <f t="shared" si="14"/>
        <v>0</v>
      </c>
      <c r="H300" t="b">
        <f t="shared" si="15"/>
        <v>0</v>
      </c>
      <c r="I300" s="29">
        <f t="shared" si="16"/>
        <v>39193</v>
      </c>
    </row>
    <row r="301" spans="1:9" ht="25.5" x14ac:dyDescent="0.2">
      <c r="A301" s="28">
        <v>39193</v>
      </c>
      <c r="B301" s="26" t="s">
        <v>4260</v>
      </c>
      <c r="C301" s="26" t="s">
        <v>9</v>
      </c>
      <c r="D301" s="26" t="s">
        <v>20</v>
      </c>
      <c r="E301" s="26" t="s">
        <v>20</v>
      </c>
      <c r="F301" s="26">
        <v>11777171</v>
      </c>
      <c r="G301" t="b">
        <f t="shared" si="14"/>
        <v>0</v>
      </c>
      <c r="H301" t="b">
        <f t="shared" si="15"/>
        <v>0</v>
      </c>
      <c r="I301" s="29">
        <f t="shared" si="16"/>
        <v>39193</v>
      </c>
    </row>
    <row r="302" spans="1:9" ht="25.5" x14ac:dyDescent="0.2">
      <c r="A302" s="28">
        <v>39197</v>
      </c>
      <c r="B302" s="26" t="s">
        <v>4259</v>
      </c>
      <c r="C302" s="26" t="s">
        <v>9</v>
      </c>
      <c r="D302" s="26" t="s">
        <v>20</v>
      </c>
      <c r="E302" s="26">
        <v>55758</v>
      </c>
      <c r="F302" s="26" t="s">
        <v>20</v>
      </c>
      <c r="G302" t="b">
        <f t="shared" si="14"/>
        <v>0</v>
      </c>
      <c r="H302" t="b">
        <f t="shared" si="15"/>
        <v>0</v>
      </c>
      <c r="I302" s="29">
        <f t="shared" si="16"/>
        <v>39197</v>
      </c>
    </row>
    <row r="303" spans="1:9" ht="12.75" customHeight="1" x14ac:dyDescent="0.2">
      <c r="A303" s="28">
        <v>39197</v>
      </c>
      <c r="B303" s="26" t="s">
        <v>4258</v>
      </c>
      <c r="C303" s="26" t="s">
        <v>9</v>
      </c>
      <c r="D303" s="26" t="s">
        <v>20</v>
      </c>
      <c r="E303" s="26" t="s">
        <v>20</v>
      </c>
      <c r="F303" s="26">
        <v>2488495</v>
      </c>
      <c r="G303" t="b">
        <f t="shared" si="14"/>
        <v>0</v>
      </c>
      <c r="H303" t="b">
        <f t="shared" si="15"/>
        <v>0</v>
      </c>
      <c r="I303" s="29">
        <f t="shared" si="16"/>
        <v>39197</v>
      </c>
    </row>
    <row r="304" spans="1:9" ht="12.75" customHeight="1" x14ac:dyDescent="0.2">
      <c r="A304" s="28">
        <v>39197</v>
      </c>
      <c r="B304" s="26" t="s">
        <v>4257</v>
      </c>
      <c r="C304" s="26" t="s">
        <v>9</v>
      </c>
      <c r="D304" s="26" t="s">
        <v>20</v>
      </c>
      <c r="E304" s="26">
        <v>69770</v>
      </c>
      <c r="F304" s="26" t="s">
        <v>20</v>
      </c>
      <c r="G304" t="b">
        <f t="shared" si="14"/>
        <v>0</v>
      </c>
      <c r="H304" t="b">
        <f t="shared" si="15"/>
        <v>0</v>
      </c>
      <c r="I304" s="29">
        <f t="shared" si="16"/>
        <v>39197</v>
      </c>
    </row>
    <row r="305" spans="1:9" ht="25.5" x14ac:dyDescent="0.2">
      <c r="A305" s="28">
        <v>39197</v>
      </c>
      <c r="B305" s="26" t="s">
        <v>4256</v>
      </c>
      <c r="C305" s="26" t="s">
        <v>9</v>
      </c>
      <c r="D305" s="26" t="s">
        <v>20</v>
      </c>
      <c r="E305" s="26" t="s">
        <v>20</v>
      </c>
      <c r="F305" s="26">
        <v>2789144</v>
      </c>
      <c r="G305" t="b">
        <f t="shared" si="14"/>
        <v>0</v>
      </c>
      <c r="H305" t="b">
        <f t="shared" si="15"/>
        <v>0</v>
      </c>
      <c r="I305" s="29">
        <f t="shared" si="16"/>
        <v>39197</v>
      </c>
    </row>
    <row r="306" spans="1:9" ht="25.5" x14ac:dyDescent="0.2">
      <c r="A306" s="28">
        <v>39198</v>
      </c>
      <c r="B306" s="26" t="s">
        <v>4255</v>
      </c>
      <c r="C306" s="26" t="s">
        <v>9</v>
      </c>
      <c r="D306" s="26" t="s">
        <v>20</v>
      </c>
      <c r="E306" s="26">
        <v>128024</v>
      </c>
      <c r="F306" s="26" t="s">
        <v>20</v>
      </c>
      <c r="G306" t="b">
        <f t="shared" si="14"/>
        <v>0</v>
      </c>
      <c r="H306" t="b">
        <f t="shared" si="15"/>
        <v>0</v>
      </c>
      <c r="I306" s="29">
        <f t="shared" si="16"/>
        <v>39198</v>
      </c>
    </row>
    <row r="307" spans="1:9" ht="12.75" customHeight="1" x14ac:dyDescent="0.2">
      <c r="A307" s="28">
        <v>39198</v>
      </c>
      <c r="B307" s="26" t="s">
        <v>4254</v>
      </c>
      <c r="C307" s="26" t="s">
        <v>9</v>
      </c>
      <c r="D307" s="26" t="s">
        <v>20</v>
      </c>
      <c r="E307" s="26" t="s">
        <v>20</v>
      </c>
      <c r="F307" s="26">
        <v>2217531</v>
      </c>
      <c r="G307" t="b">
        <f t="shared" si="14"/>
        <v>0</v>
      </c>
      <c r="H307" t="b">
        <f t="shared" si="15"/>
        <v>0</v>
      </c>
      <c r="I307" s="29">
        <f t="shared" si="16"/>
        <v>39198</v>
      </c>
    </row>
    <row r="308" spans="1:9" ht="12.75" customHeight="1" x14ac:dyDescent="0.2">
      <c r="A308" s="28">
        <v>39199</v>
      </c>
      <c r="B308" s="26" t="s">
        <v>4253</v>
      </c>
      <c r="C308" s="26" t="s">
        <v>9</v>
      </c>
      <c r="D308" s="26">
        <v>7400000</v>
      </c>
      <c r="E308" s="26">
        <v>872643</v>
      </c>
      <c r="F308" s="26">
        <v>9443864</v>
      </c>
      <c r="G308" t="b">
        <f t="shared" si="14"/>
        <v>0</v>
      </c>
      <c r="H308" t="b">
        <f t="shared" si="15"/>
        <v>0</v>
      </c>
      <c r="I308" s="29">
        <f t="shared" si="16"/>
        <v>39199</v>
      </c>
    </row>
    <row r="309" spans="1:9" ht="12.75" customHeight="1" x14ac:dyDescent="0.2">
      <c r="A309" s="28">
        <v>39199</v>
      </c>
      <c r="B309" s="26" t="s">
        <v>4252</v>
      </c>
      <c r="C309" s="26" t="s">
        <v>746</v>
      </c>
      <c r="D309" s="26" t="s">
        <v>20</v>
      </c>
      <c r="E309" s="26">
        <v>66517</v>
      </c>
      <c r="F309" s="26" t="s">
        <v>20</v>
      </c>
      <c r="G309" t="b">
        <f t="shared" si="14"/>
        <v>0</v>
      </c>
      <c r="H309" t="b">
        <f t="shared" si="15"/>
        <v>0</v>
      </c>
      <c r="I309" s="29">
        <f t="shared" si="16"/>
        <v>39199</v>
      </c>
    </row>
    <row r="310" spans="1:9" ht="25.5" x14ac:dyDescent="0.2">
      <c r="A310" s="28">
        <v>39199</v>
      </c>
      <c r="B310" s="26" t="s">
        <v>4251</v>
      </c>
      <c r="C310" s="26" t="s">
        <v>9</v>
      </c>
      <c r="D310" s="26" t="s">
        <v>20</v>
      </c>
      <c r="E310" s="26" t="s">
        <v>20</v>
      </c>
      <c r="F310" s="26">
        <v>1760168</v>
      </c>
      <c r="G310" t="b">
        <f t="shared" si="14"/>
        <v>0</v>
      </c>
      <c r="H310" t="b">
        <f t="shared" si="15"/>
        <v>0</v>
      </c>
      <c r="I310" s="29">
        <f t="shared" si="16"/>
        <v>39199</v>
      </c>
    </row>
    <row r="311" spans="1:9" ht="12.75" customHeight="1" x14ac:dyDescent="0.2">
      <c r="A311" s="28">
        <v>39199</v>
      </c>
      <c r="B311" s="26" t="s">
        <v>4250</v>
      </c>
      <c r="C311" s="26" t="s">
        <v>612</v>
      </c>
      <c r="D311" s="26">
        <v>10800000</v>
      </c>
      <c r="E311" s="26">
        <v>399879</v>
      </c>
      <c r="F311" s="26">
        <v>2862544</v>
      </c>
      <c r="G311" t="b">
        <f t="shared" si="14"/>
        <v>0</v>
      </c>
      <c r="H311" t="b">
        <f t="shared" si="15"/>
        <v>0</v>
      </c>
      <c r="I311" s="29">
        <f t="shared" si="16"/>
        <v>39199</v>
      </c>
    </row>
    <row r="312" spans="1:9" ht="12.75" customHeight="1" x14ac:dyDescent="0.2">
      <c r="A312" s="28">
        <v>39199</v>
      </c>
      <c r="B312" s="26" t="s">
        <v>4249</v>
      </c>
      <c r="C312" s="26" t="s">
        <v>3390</v>
      </c>
      <c r="D312" s="26" t="s">
        <v>20</v>
      </c>
      <c r="E312" s="26">
        <v>20568319</v>
      </c>
      <c r="F312" s="26">
        <v>23540266</v>
      </c>
      <c r="G312" t="b">
        <f t="shared" si="14"/>
        <v>0</v>
      </c>
      <c r="H312" t="b">
        <f t="shared" si="15"/>
        <v>0</v>
      </c>
      <c r="I312" s="29">
        <f t="shared" si="16"/>
        <v>39199</v>
      </c>
    </row>
    <row r="313" spans="1:9" ht="12.75" customHeight="1" x14ac:dyDescent="0.2">
      <c r="A313" s="28">
        <v>39199</v>
      </c>
      <c r="B313" s="26" t="s">
        <v>4248</v>
      </c>
      <c r="C313" s="26" t="s">
        <v>9</v>
      </c>
      <c r="D313" s="26" t="s">
        <v>20</v>
      </c>
      <c r="E313" s="26">
        <v>26651</v>
      </c>
      <c r="F313" s="26" t="s">
        <v>20</v>
      </c>
      <c r="G313" t="b">
        <f t="shared" si="14"/>
        <v>0</v>
      </c>
      <c r="H313" t="b">
        <f t="shared" si="15"/>
        <v>0</v>
      </c>
      <c r="I313" s="29">
        <f t="shared" si="16"/>
        <v>39199</v>
      </c>
    </row>
    <row r="314" spans="1:9" ht="12.75" customHeight="1" x14ac:dyDescent="0.2">
      <c r="A314" s="28">
        <v>39199</v>
      </c>
      <c r="B314" s="26" t="s">
        <v>4247</v>
      </c>
      <c r="C314" s="26" t="s">
        <v>3419</v>
      </c>
      <c r="D314" s="26" t="s">
        <v>20</v>
      </c>
      <c r="E314" s="26">
        <v>7371706</v>
      </c>
      <c r="F314" s="26" t="s">
        <v>20</v>
      </c>
      <c r="G314" t="b">
        <f t="shared" si="14"/>
        <v>0</v>
      </c>
      <c r="H314" t="b">
        <f t="shared" si="15"/>
        <v>0</v>
      </c>
      <c r="I314" s="29">
        <f t="shared" si="16"/>
        <v>39199</v>
      </c>
    </row>
    <row r="315" spans="1:9" x14ac:dyDescent="0.2">
      <c r="A315" s="28">
        <v>39199</v>
      </c>
      <c r="B315" s="26" t="s">
        <v>4246</v>
      </c>
      <c r="C315" s="26" t="s">
        <v>9</v>
      </c>
      <c r="D315" s="26" t="s">
        <v>20</v>
      </c>
      <c r="E315" s="26">
        <v>1344</v>
      </c>
      <c r="F315" s="26" t="s">
        <v>20</v>
      </c>
      <c r="G315" t="b">
        <f t="shared" si="14"/>
        <v>0</v>
      </c>
      <c r="H315" t="b">
        <f t="shared" si="15"/>
        <v>0</v>
      </c>
      <c r="I315" s="29">
        <f t="shared" si="16"/>
        <v>39199</v>
      </c>
    </row>
    <row r="316" spans="1:9" ht="12.75" customHeight="1" x14ac:dyDescent="0.2">
      <c r="A316" s="28">
        <v>39199</v>
      </c>
      <c r="B316" s="26" t="s">
        <v>4245</v>
      </c>
      <c r="C316" s="26" t="s">
        <v>2160</v>
      </c>
      <c r="D316" s="26" t="s">
        <v>20</v>
      </c>
      <c r="E316" s="26">
        <v>18211013</v>
      </c>
      <c r="F316" s="26">
        <v>73591500</v>
      </c>
      <c r="G316" t="b">
        <f t="shared" si="14"/>
        <v>0</v>
      </c>
      <c r="H316" t="b">
        <f t="shared" si="15"/>
        <v>0</v>
      </c>
      <c r="I316" s="29">
        <f t="shared" si="16"/>
        <v>39199</v>
      </c>
    </row>
    <row r="317" spans="1:9" ht="12.75" customHeight="1" x14ac:dyDescent="0.2">
      <c r="A317" s="28">
        <v>39199</v>
      </c>
      <c r="B317" s="26" t="s">
        <v>4244</v>
      </c>
      <c r="C317" s="26" t="s">
        <v>9</v>
      </c>
      <c r="D317" s="26" t="s">
        <v>20</v>
      </c>
      <c r="E317" s="26">
        <v>4500147</v>
      </c>
      <c r="F317" s="26" t="s">
        <v>20</v>
      </c>
      <c r="G317" t="b">
        <f t="shared" si="14"/>
        <v>0</v>
      </c>
      <c r="H317" t="b">
        <f t="shared" si="15"/>
        <v>0</v>
      </c>
      <c r="I317" s="29">
        <f t="shared" si="16"/>
        <v>39199</v>
      </c>
    </row>
    <row r="318" spans="1:9" ht="38.25" x14ac:dyDescent="0.2">
      <c r="A318" s="28">
        <v>39199</v>
      </c>
      <c r="B318" s="26" t="s">
        <v>4243</v>
      </c>
      <c r="C318" s="26" t="s">
        <v>9</v>
      </c>
      <c r="D318" s="26" t="s">
        <v>20</v>
      </c>
      <c r="E318" s="26">
        <v>21908</v>
      </c>
      <c r="F318" s="26" t="s">
        <v>20</v>
      </c>
      <c r="G318" t="b">
        <f t="shared" si="14"/>
        <v>0</v>
      </c>
      <c r="H318" t="b">
        <f t="shared" si="15"/>
        <v>0</v>
      </c>
      <c r="I318" s="29">
        <f t="shared" si="16"/>
        <v>39199</v>
      </c>
    </row>
    <row r="319" spans="1:9" ht="25.5" x14ac:dyDescent="0.2">
      <c r="A319" s="28">
        <v>39199</v>
      </c>
      <c r="B319" s="26" t="s">
        <v>4242</v>
      </c>
      <c r="C319" s="26" t="s">
        <v>9</v>
      </c>
      <c r="D319" s="26" t="s">
        <v>20</v>
      </c>
      <c r="E319" s="26">
        <v>13665</v>
      </c>
      <c r="F319" s="26" t="s">
        <v>20</v>
      </c>
      <c r="G319" t="b">
        <f t="shared" ref="G319:G380" si="17">ISBLANK(A319)</f>
        <v>0</v>
      </c>
      <c r="H319" t="b">
        <f t="shared" ref="H319:H380" si="18">ISTEXT(A319)</f>
        <v>0</v>
      </c>
      <c r="I319" s="29">
        <f t="shared" si="16"/>
        <v>39199</v>
      </c>
    </row>
    <row r="320" spans="1:9" ht="12.75" customHeight="1" x14ac:dyDescent="0.2">
      <c r="A320" s="28">
        <v>39199</v>
      </c>
      <c r="B320" s="26" t="s">
        <v>4241</v>
      </c>
      <c r="C320" s="26" t="s">
        <v>2160</v>
      </c>
      <c r="D320" s="26" t="s">
        <v>20</v>
      </c>
      <c r="E320" s="26">
        <v>31388</v>
      </c>
      <c r="F320" s="26" t="s">
        <v>20</v>
      </c>
      <c r="G320" t="b">
        <f t="shared" si="17"/>
        <v>0</v>
      </c>
      <c r="H320" t="b">
        <f t="shared" si="18"/>
        <v>0</v>
      </c>
      <c r="I320" s="29">
        <f t="shared" si="16"/>
        <v>39199</v>
      </c>
    </row>
    <row r="321" spans="1:9" ht="25.5" x14ac:dyDescent="0.2">
      <c r="A321" s="28">
        <v>39199</v>
      </c>
      <c r="B321" s="26" t="s">
        <v>4240</v>
      </c>
      <c r="C321" s="26" t="s">
        <v>9</v>
      </c>
      <c r="D321" s="26" t="s">
        <v>20</v>
      </c>
      <c r="E321" s="26">
        <v>9777</v>
      </c>
      <c r="F321" s="26" t="s">
        <v>20</v>
      </c>
      <c r="G321" t="b">
        <f t="shared" si="17"/>
        <v>0</v>
      </c>
      <c r="H321" t="b">
        <f t="shared" si="18"/>
        <v>0</v>
      </c>
      <c r="I321" s="29">
        <f t="shared" si="16"/>
        <v>39199</v>
      </c>
    </row>
    <row r="322" spans="1:9" ht="12.75" customHeight="1" x14ac:dyDescent="0.2">
      <c r="A322" s="28">
        <v>39199</v>
      </c>
      <c r="B322" s="26" t="s">
        <v>4239</v>
      </c>
      <c r="C322" s="26" t="s">
        <v>571</v>
      </c>
      <c r="D322" s="26" t="s">
        <v>20</v>
      </c>
      <c r="E322" s="26">
        <v>49880</v>
      </c>
      <c r="F322" s="26" t="s">
        <v>20</v>
      </c>
      <c r="G322" t="b">
        <f t="shared" si="17"/>
        <v>0</v>
      </c>
      <c r="H322" t="b">
        <f t="shared" si="18"/>
        <v>0</v>
      </c>
      <c r="I322" s="29">
        <f t="shared" si="16"/>
        <v>39199</v>
      </c>
    </row>
    <row r="323" spans="1:9" ht="12.75" customHeight="1" x14ac:dyDescent="0.2">
      <c r="A323" s="28">
        <v>39200</v>
      </c>
      <c r="B323" s="26" t="s">
        <v>4238</v>
      </c>
      <c r="C323" s="26" t="s">
        <v>9</v>
      </c>
      <c r="D323" s="26" t="s">
        <v>20</v>
      </c>
      <c r="E323" s="26" t="s">
        <v>20</v>
      </c>
      <c r="F323" s="26">
        <v>17369625</v>
      </c>
      <c r="G323" t="b">
        <f t="shared" si="17"/>
        <v>0</v>
      </c>
      <c r="H323" t="b">
        <f t="shared" si="18"/>
        <v>0</v>
      </c>
      <c r="I323" s="29">
        <f t="shared" ref="I323:I386" si="19">DATE(2007,MONTH(A323), DAY(A323))</f>
        <v>39200</v>
      </c>
    </row>
    <row r="324" spans="1:9" ht="38.25" x14ac:dyDescent="0.2">
      <c r="A324" s="28">
        <v>39203</v>
      </c>
      <c r="B324" s="26" t="s">
        <v>4237</v>
      </c>
      <c r="C324" s="26" t="s">
        <v>9</v>
      </c>
      <c r="D324" s="26" t="s">
        <v>20</v>
      </c>
      <c r="E324" s="26" t="s">
        <v>20</v>
      </c>
      <c r="F324" s="26" t="s">
        <v>20</v>
      </c>
      <c r="G324" t="b">
        <f t="shared" si="17"/>
        <v>0</v>
      </c>
      <c r="H324" t="b">
        <f t="shared" si="18"/>
        <v>0</v>
      </c>
      <c r="I324" s="29">
        <f t="shared" si="19"/>
        <v>39203</v>
      </c>
    </row>
    <row r="325" spans="1:9" ht="12.75" customHeight="1" x14ac:dyDescent="0.2">
      <c r="A325" s="28">
        <v>39204</v>
      </c>
      <c r="B325" s="26" t="s">
        <v>4236</v>
      </c>
      <c r="C325" s="26" t="s">
        <v>155</v>
      </c>
      <c r="D325" s="26">
        <v>1500000</v>
      </c>
      <c r="E325" s="26">
        <v>19097550</v>
      </c>
      <c r="F325" s="26">
        <v>22202180</v>
      </c>
      <c r="G325" t="b">
        <f t="shared" si="17"/>
        <v>0</v>
      </c>
      <c r="H325" t="b">
        <f t="shared" si="18"/>
        <v>0</v>
      </c>
      <c r="I325" s="29">
        <f t="shared" si="19"/>
        <v>39204</v>
      </c>
    </row>
    <row r="326" spans="1:9" ht="12.75" customHeight="1" x14ac:dyDescent="0.2">
      <c r="A326" s="28">
        <v>39206</v>
      </c>
      <c r="B326" s="26" t="s">
        <v>4235</v>
      </c>
      <c r="C326" s="26" t="s">
        <v>3209</v>
      </c>
      <c r="D326" s="26">
        <v>55000000</v>
      </c>
      <c r="E326" s="26">
        <v>5755286</v>
      </c>
      <c r="F326" s="26">
        <v>6521829</v>
      </c>
      <c r="G326" t="b">
        <f t="shared" si="17"/>
        <v>0</v>
      </c>
      <c r="H326" t="b">
        <f t="shared" si="18"/>
        <v>0</v>
      </c>
      <c r="I326" s="29">
        <f t="shared" si="19"/>
        <v>39206</v>
      </c>
    </row>
    <row r="327" spans="1:9" ht="25.5" x14ac:dyDescent="0.2">
      <c r="A327" s="28">
        <v>39206</v>
      </c>
      <c r="B327" s="26" t="s">
        <v>4234</v>
      </c>
      <c r="C327" s="26" t="s">
        <v>9</v>
      </c>
      <c r="D327" s="26" t="s">
        <v>20</v>
      </c>
      <c r="E327" s="26">
        <v>136074</v>
      </c>
      <c r="F327" s="26" t="s">
        <v>20</v>
      </c>
      <c r="G327" t="b">
        <f t="shared" si="17"/>
        <v>0</v>
      </c>
      <c r="H327" t="b">
        <f t="shared" si="18"/>
        <v>0</v>
      </c>
      <c r="I327" s="29">
        <f t="shared" si="19"/>
        <v>39206</v>
      </c>
    </row>
    <row r="328" spans="1:9" ht="12.75" customHeight="1" x14ac:dyDescent="0.2">
      <c r="A328" s="28">
        <v>39206</v>
      </c>
      <c r="B328" s="26" t="s">
        <v>4233</v>
      </c>
      <c r="C328" s="26" t="s">
        <v>3419</v>
      </c>
      <c r="D328" s="26" t="s">
        <v>20</v>
      </c>
      <c r="E328" s="26">
        <v>4548331</v>
      </c>
      <c r="F328" s="26" t="s">
        <v>20</v>
      </c>
      <c r="G328" t="b">
        <f t="shared" si="17"/>
        <v>0</v>
      </c>
      <c r="H328" t="b">
        <f t="shared" si="18"/>
        <v>0</v>
      </c>
      <c r="I328" s="29">
        <f t="shared" si="19"/>
        <v>39206</v>
      </c>
    </row>
    <row r="329" spans="1:9" ht="12.75" customHeight="1" x14ac:dyDescent="0.2">
      <c r="A329" s="28">
        <v>39206</v>
      </c>
      <c r="B329" s="26" t="s">
        <v>4232</v>
      </c>
      <c r="C329" s="26" t="s">
        <v>2160</v>
      </c>
      <c r="D329" s="26">
        <v>258000000</v>
      </c>
      <c r="E329" s="26">
        <v>336530303</v>
      </c>
      <c r="F329" s="26">
        <v>890871626</v>
      </c>
      <c r="G329" t="b">
        <f t="shared" si="17"/>
        <v>0</v>
      </c>
      <c r="H329" t="b">
        <f t="shared" si="18"/>
        <v>0</v>
      </c>
      <c r="I329" s="29">
        <f t="shared" si="19"/>
        <v>39206</v>
      </c>
    </row>
    <row r="330" spans="1:9" ht="12.75" customHeight="1" x14ac:dyDescent="0.2">
      <c r="A330" s="28">
        <v>39206</v>
      </c>
      <c r="B330" s="26" t="s">
        <v>4231</v>
      </c>
      <c r="C330" s="26" t="s">
        <v>9</v>
      </c>
      <c r="D330" s="26" t="s">
        <v>20</v>
      </c>
      <c r="E330" s="26">
        <v>7506</v>
      </c>
      <c r="F330" s="26" t="s">
        <v>20</v>
      </c>
      <c r="G330" t="b">
        <f t="shared" si="17"/>
        <v>0</v>
      </c>
      <c r="H330" t="b">
        <f t="shared" si="18"/>
        <v>0</v>
      </c>
      <c r="I330" s="29">
        <f t="shared" si="19"/>
        <v>39206</v>
      </c>
    </row>
    <row r="331" spans="1:9" ht="12.75" customHeight="1" x14ac:dyDescent="0.2">
      <c r="A331" s="28">
        <v>39206</v>
      </c>
      <c r="B331" s="26" t="s">
        <v>4230</v>
      </c>
      <c r="C331" s="26" t="s">
        <v>9</v>
      </c>
      <c r="D331" s="26" t="s">
        <v>20</v>
      </c>
      <c r="E331" s="26">
        <v>19790</v>
      </c>
      <c r="F331" s="26" t="s">
        <v>20</v>
      </c>
      <c r="G331" t="b">
        <f t="shared" si="17"/>
        <v>0</v>
      </c>
      <c r="H331" t="b">
        <f t="shared" si="18"/>
        <v>0</v>
      </c>
      <c r="I331" s="29">
        <f t="shared" si="19"/>
        <v>39206</v>
      </c>
    </row>
    <row r="332" spans="1:9" ht="12.75" customHeight="1" x14ac:dyDescent="0.2">
      <c r="A332" s="28">
        <v>39206</v>
      </c>
      <c r="B332" s="26" t="s">
        <v>4229</v>
      </c>
      <c r="C332" s="26" t="s">
        <v>9</v>
      </c>
      <c r="D332" s="26" t="s">
        <v>20</v>
      </c>
      <c r="E332" s="26">
        <v>82701</v>
      </c>
      <c r="F332" s="26" t="s">
        <v>20</v>
      </c>
      <c r="G332" t="b">
        <f t="shared" si="17"/>
        <v>0</v>
      </c>
      <c r="H332" t="b">
        <f t="shared" si="18"/>
        <v>0</v>
      </c>
      <c r="I332" s="29">
        <f t="shared" si="19"/>
        <v>39206</v>
      </c>
    </row>
    <row r="333" spans="1:9" ht="12.75" customHeight="1" x14ac:dyDescent="0.2">
      <c r="A333" s="28">
        <v>39206</v>
      </c>
      <c r="B333" s="26" t="s">
        <v>4228</v>
      </c>
      <c r="C333" s="26" t="s">
        <v>9</v>
      </c>
      <c r="D333" s="26" t="s">
        <v>20</v>
      </c>
      <c r="E333" s="26">
        <v>26946</v>
      </c>
      <c r="F333" s="26" t="s">
        <v>20</v>
      </c>
      <c r="G333" t="b">
        <f t="shared" si="17"/>
        <v>0</v>
      </c>
      <c r="H333" t="b">
        <f t="shared" si="18"/>
        <v>0</v>
      </c>
      <c r="I333" s="29">
        <f t="shared" si="19"/>
        <v>39206</v>
      </c>
    </row>
    <row r="334" spans="1:9" ht="25.5" x14ac:dyDescent="0.2">
      <c r="A334" s="28">
        <v>39206</v>
      </c>
      <c r="B334" s="26" t="s">
        <v>4227</v>
      </c>
      <c r="C334" s="26" t="s">
        <v>3500</v>
      </c>
      <c r="D334" s="26" t="s">
        <v>20</v>
      </c>
      <c r="E334" s="26">
        <v>95953</v>
      </c>
      <c r="F334" s="26" t="s">
        <v>20</v>
      </c>
      <c r="G334" t="b">
        <f t="shared" si="17"/>
        <v>0</v>
      </c>
      <c r="H334" t="b">
        <f t="shared" si="18"/>
        <v>0</v>
      </c>
      <c r="I334" s="29">
        <f t="shared" si="19"/>
        <v>39206</v>
      </c>
    </row>
    <row r="335" spans="1:9" ht="12.75" customHeight="1" x14ac:dyDescent="0.2">
      <c r="A335" s="28">
        <v>39206</v>
      </c>
      <c r="B335" s="26" t="s">
        <v>4226</v>
      </c>
      <c r="C335" s="26" t="s">
        <v>2865</v>
      </c>
      <c r="D335" s="26">
        <v>13000000</v>
      </c>
      <c r="E335" s="26">
        <v>4857374</v>
      </c>
      <c r="F335" s="26" t="s">
        <v>20</v>
      </c>
      <c r="G335" t="b">
        <f t="shared" si="17"/>
        <v>0</v>
      </c>
      <c r="H335" t="b">
        <f t="shared" si="18"/>
        <v>0</v>
      </c>
      <c r="I335" s="29">
        <f t="shared" si="19"/>
        <v>39206</v>
      </c>
    </row>
    <row r="336" spans="1:9" ht="25.5" x14ac:dyDescent="0.2">
      <c r="A336" s="28">
        <v>39208</v>
      </c>
      <c r="B336" s="26" t="s">
        <v>4225</v>
      </c>
      <c r="C336" s="26" t="s">
        <v>9</v>
      </c>
      <c r="D336" s="26" t="s">
        <v>20</v>
      </c>
      <c r="E336" s="26" t="s">
        <v>20</v>
      </c>
      <c r="F336" s="26" t="s">
        <v>20</v>
      </c>
      <c r="G336" t="b">
        <f t="shared" si="17"/>
        <v>0</v>
      </c>
      <c r="H336" t="b">
        <f t="shared" si="18"/>
        <v>0</v>
      </c>
      <c r="I336" s="29">
        <f t="shared" si="19"/>
        <v>39208</v>
      </c>
    </row>
    <row r="337" spans="1:9" ht="25.5" x14ac:dyDescent="0.2">
      <c r="A337" s="28">
        <v>39211</v>
      </c>
      <c r="B337" s="26" t="s">
        <v>4224</v>
      </c>
      <c r="C337" s="26" t="s">
        <v>9</v>
      </c>
      <c r="D337" s="26" t="s">
        <v>20</v>
      </c>
      <c r="E337" s="26">
        <v>2393</v>
      </c>
      <c r="F337" s="26" t="s">
        <v>20</v>
      </c>
      <c r="G337" t="b">
        <f t="shared" si="17"/>
        <v>0</v>
      </c>
      <c r="H337" t="b">
        <f t="shared" si="18"/>
        <v>0</v>
      </c>
      <c r="I337" s="29">
        <f t="shared" si="19"/>
        <v>39211</v>
      </c>
    </row>
    <row r="338" spans="1:9" ht="25.5" x14ac:dyDescent="0.2">
      <c r="A338" s="28">
        <v>39211</v>
      </c>
      <c r="B338" s="26" t="s">
        <v>4223</v>
      </c>
      <c r="C338" s="26" t="s">
        <v>3466</v>
      </c>
      <c r="D338" s="26" t="s">
        <v>20</v>
      </c>
      <c r="E338" s="26">
        <v>31777</v>
      </c>
      <c r="F338" s="26" t="s">
        <v>20</v>
      </c>
      <c r="G338" t="b">
        <f t="shared" si="17"/>
        <v>0</v>
      </c>
      <c r="H338" t="b">
        <f t="shared" si="18"/>
        <v>0</v>
      </c>
      <c r="I338" s="29">
        <f t="shared" si="19"/>
        <v>39211</v>
      </c>
    </row>
    <row r="339" spans="1:9" ht="12.75" customHeight="1" x14ac:dyDescent="0.2">
      <c r="A339" s="28">
        <v>39211</v>
      </c>
      <c r="B339" s="26" t="s">
        <v>4222</v>
      </c>
      <c r="C339" s="26" t="s">
        <v>9</v>
      </c>
      <c r="D339" s="26" t="s">
        <v>20</v>
      </c>
      <c r="E339" s="26">
        <v>7346</v>
      </c>
      <c r="F339" s="26" t="s">
        <v>20</v>
      </c>
      <c r="G339" t="b">
        <f t="shared" si="17"/>
        <v>0</v>
      </c>
      <c r="H339" t="b">
        <f t="shared" si="18"/>
        <v>0</v>
      </c>
      <c r="I339" s="29">
        <f t="shared" si="19"/>
        <v>39211</v>
      </c>
    </row>
    <row r="340" spans="1:9" ht="25.5" x14ac:dyDescent="0.2">
      <c r="A340" s="28">
        <v>39211</v>
      </c>
      <c r="B340" s="26" t="s">
        <v>4221</v>
      </c>
      <c r="C340" s="26" t="s">
        <v>9</v>
      </c>
      <c r="D340" s="26" t="s">
        <v>20</v>
      </c>
      <c r="E340" s="26">
        <v>227064</v>
      </c>
      <c r="F340" s="26" t="s">
        <v>20</v>
      </c>
      <c r="G340" t="b">
        <f t="shared" si="17"/>
        <v>0</v>
      </c>
      <c r="H340" t="b">
        <f t="shared" si="18"/>
        <v>0</v>
      </c>
      <c r="I340" s="29">
        <f t="shared" si="19"/>
        <v>39211</v>
      </c>
    </row>
    <row r="341" spans="1:9" ht="12.75" customHeight="1" x14ac:dyDescent="0.2">
      <c r="A341" s="28">
        <v>39211</v>
      </c>
      <c r="B341" s="26" t="s">
        <v>4220</v>
      </c>
      <c r="C341" s="26" t="s">
        <v>9</v>
      </c>
      <c r="D341" s="26" t="s">
        <v>20</v>
      </c>
      <c r="E341" s="26">
        <v>19136</v>
      </c>
      <c r="F341" s="26" t="s">
        <v>20</v>
      </c>
      <c r="G341" t="b">
        <f t="shared" si="17"/>
        <v>0</v>
      </c>
      <c r="H341" t="b">
        <f t="shared" si="18"/>
        <v>0</v>
      </c>
      <c r="I341" s="29">
        <f t="shared" si="19"/>
        <v>39211</v>
      </c>
    </row>
    <row r="342" spans="1:9" ht="25.5" x14ac:dyDescent="0.2">
      <c r="A342" s="28">
        <v>39212</v>
      </c>
      <c r="B342" s="26" t="s">
        <v>4219</v>
      </c>
      <c r="C342" s="26" t="s">
        <v>9</v>
      </c>
      <c r="D342" s="26" t="s">
        <v>20</v>
      </c>
      <c r="E342" s="26" t="s">
        <v>20</v>
      </c>
      <c r="F342" s="26">
        <v>8491265</v>
      </c>
      <c r="G342" t="b">
        <f t="shared" si="17"/>
        <v>0</v>
      </c>
      <c r="H342" t="b">
        <f t="shared" si="18"/>
        <v>0</v>
      </c>
      <c r="I342" s="29">
        <f t="shared" si="19"/>
        <v>39212</v>
      </c>
    </row>
    <row r="343" spans="1:9" ht="12.75" customHeight="1" x14ac:dyDescent="0.2">
      <c r="A343" s="28">
        <v>39213</v>
      </c>
      <c r="B343" s="26" t="s">
        <v>4218</v>
      </c>
      <c r="C343" s="26" t="s">
        <v>2624</v>
      </c>
      <c r="D343" s="26">
        <v>1500000</v>
      </c>
      <c r="E343" s="26">
        <v>139084</v>
      </c>
      <c r="F343" s="26" t="s">
        <v>20</v>
      </c>
      <c r="G343" t="b">
        <f t="shared" si="17"/>
        <v>0</v>
      </c>
      <c r="H343" t="b">
        <f t="shared" si="18"/>
        <v>0</v>
      </c>
      <c r="I343" s="29">
        <f t="shared" si="19"/>
        <v>39213</v>
      </c>
    </row>
    <row r="344" spans="1:9" ht="12.75" customHeight="1" x14ac:dyDescent="0.2">
      <c r="A344" s="28">
        <v>39213</v>
      </c>
      <c r="B344" s="26" t="s">
        <v>4217</v>
      </c>
      <c r="C344" s="26" t="s">
        <v>3419</v>
      </c>
      <c r="D344" s="26" t="s">
        <v>20</v>
      </c>
      <c r="E344" s="26">
        <v>8130530</v>
      </c>
      <c r="F344" s="26" t="s">
        <v>20</v>
      </c>
      <c r="G344" t="b">
        <f t="shared" si="17"/>
        <v>0</v>
      </c>
      <c r="H344" t="b">
        <f t="shared" si="18"/>
        <v>0</v>
      </c>
      <c r="I344" s="29">
        <f t="shared" si="19"/>
        <v>39213</v>
      </c>
    </row>
    <row r="345" spans="1:9" ht="25.5" x14ac:dyDescent="0.2">
      <c r="A345" s="28">
        <v>39213</v>
      </c>
      <c r="B345" s="26" t="s">
        <v>4216</v>
      </c>
      <c r="C345" s="26" t="s">
        <v>9</v>
      </c>
      <c r="D345" s="26" t="s">
        <v>20</v>
      </c>
      <c r="E345" s="26">
        <v>918931</v>
      </c>
      <c r="F345" s="26">
        <v>2150679</v>
      </c>
      <c r="G345" t="b">
        <f t="shared" si="17"/>
        <v>0</v>
      </c>
      <c r="H345" t="b">
        <f t="shared" si="18"/>
        <v>0</v>
      </c>
      <c r="I345" s="29">
        <f t="shared" si="19"/>
        <v>39213</v>
      </c>
    </row>
    <row r="346" spans="1:9" ht="12.75" customHeight="1" x14ac:dyDescent="0.2">
      <c r="A346" s="28">
        <v>39213</v>
      </c>
      <c r="B346" s="26" t="s">
        <v>4215</v>
      </c>
      <c r="C346" s="26" t="s">
        <v>1319</v>
      </c>
      <c r="D346" s="26" t="s">
        <v>20</v>
      </c>
      <c r="E346" s="26">
        <v>87416</v>
      </c>
      <c r="F346" s="26" t="s">
        <v>20</v>
      </c>
      <c r="G346" t="b">
        <f t="shared" si="17"/>
        <v>0</v>
      </c>
      <c r="H346" t="b">
        <f t="shared" si="18"/>
        <v>0</v>
      </c>
      <c r="I346" s="29">
        <f t="shared" si="19"/>
        <v>39213</v>
      </c>
    </row>
    <row r="347" spans="1:9" ht="12.75" customHeight="1" x14ac:dyDescent="0.2">
      <c r="A347" s="28">
        <v>39213</v>
      </c>
      <c r="B347" s="26" t="s">
        <v>4214</v>
      </c>
      <c r="C347" s="26" t="s">
        <v>3419</v>
      </c>
      <c r="D347" s="26">
        <v>8000000</v>
      </c>
      <c r="E347" s="26">
        <v>458232</v>
      </c>
      <c r="F347" s="26" t="s">
        <v>20</v>
      </c>
      <c r="G347" t="b">
        <f t="shared" si="17"/>
        <v>0</v>
      </c>
      <c r="H347" t="b">
        <f t="shared" si="18"/>
        <v>0</v>
      </c>
      <c r="I347" s="29">
        <f t="shared" si="19"/>
        <v>39213</v>
      </c>
    </row>
    <row r="348" spans="1:9" ht="12.75" customHeight="1" x14ac:dyDescent="0.2">
      <c r="A348" s="28">
        <v>39213</v>
      </c>
      <c r="B348" s="26" t="s">
        <v>4213</v>
      </c>
      <c r="C348" s="26" t="s">
        <v>9</v>
      </c>
      <c r="D348" s="26" t="s">
        <v>20</v>
      </c>
      <c r="E348" s="26" t="s">
        <v>20</v>
      </c>
      <c r="F348" s="26" t="s">
        <v>20</v>
      </c>
      <c r="G348" t="b">
        <f t="shared" si="17"/>
        <v>0</v>
      </c>
      <c r="H348" t="b">
        <f t="shared" si="18"/>
        <v>0</v>
      </c>
      <c r="I348" s="29">
        <f t="shared" si="19"/>
        <v>39213</v>
      </c>
    </row>
    <row r="349" spans="1:9" ht="12.75" customHeight="1" x14ac:dyDescent="0.2">
      <c r="A349" s="28">
        <v>39213</v>
      </c>
      <c r="B349" s="26" t="s">
        <v>4212</v>
      </c>
      <c r="C349" s="26" t="s">
        <v>9</v>
      </c>
      <c r="D349" s="26">
        <v>20000000</v>
      </c>
      <c r="E349" s="26">
        <v>18882880</v>
      </c>
      <c r="F349" s="26">
        <v>20819601</v>
      </c>
      <c r="G349" t="b">
        <f t="shared" si="17"/>
        <v>0</v>
      </c>
      <c r="H349" t="b">
        <f t="shared" si="18"/>
        <v>0</v>
      </c>
      <c r="I349" s="29">
        <f t="shared" si="19"/>
        <v>39213</v>
      </c>
    </row>
    <row r="350" spans="1:9" ht="12.75" customHeight="1" x14ac:dyDescent="0.2">
      <c r="A350" s="28">
        <v>39213</v>
      </c>
      <c r="B350" s="26" t="s">
        <v>4211</v>
      </c>
      <c r="C350" s="26" t="s">
        <v>9</v>
      </c>
      <c r="D350" s="26" t="s">
        <v>20</v>
      </c>
      <c r="E350" s="26">
        <v>302845</v>
      </c>
      <c r="F350" s="26" t="s">
        <v>20</v>
      </c>
      <c r="G350" t="b">
        <f t="shared" si="17"/>
        <v>0</v>
      </c>
      <c r="H350" t="b">
        <f t="shared" si="18"/>
        <v>0</v>
      </c>
      <c r="I350" s="29">
        <f t="shared" si="19"/>
        <v>39213</v>
      </c>
    </row>
    <row r="351" spans="1:9" x14ac:dyDescent="0.2">
      <c r="A351" s="28">
        <v>39213</v>
      </c>
      <c r="B351" s="26" t="s">
        <v>4210</v>
      </c>
      <c r="C351" s="26" t="s">
        <v>9</v>
      </c>
      <c r="D351" s="26" t="s">
        <v>20</v>
      </c>
      <c r="E351" s="26">
        <v>43753</v>
      </c>
      <c r="F351" s="26" t="s">
        <v>20</v>
      </c>
      <c r="G351" t="b">
        <f t="shared" si="17"/>
        <v>0</v>
      </c>
      <c r="H351" t="b">
        <f t="shared" si="18"/>
        <v>0</v>
      </c>
      <c r="I351" s="29">
        <f t="shared" si="19"/>
        <v>39213</v>
      </c>
    </row>
    <row r="352" spans="1:9" ht="12.75" customHeight="1" x14ac:dyDescent="0.2">
      <c r="A352" s="28">
        <v>39213</v>
      </c>
      <c r="B352" s="26" t="s">
        <v>4209</v>
      </c>
      <c r="C352" s="26" t="s">
        <v>9</v>
      </c>
      <c r="D352" s="26" t="s">
        <v>20</v>
      </c>
      <c r="E352" s="26">
        <v>6922</v>
      </c>
      <c r="F352" s="26" t="s">
        <v>20</v>
      </c>
      <c r="G352" t="b">
        <f t="shared" si="17"/>
        <v>0</v>
      </c>
      <c r="H352" t="b">
        <f t="shared" si="18"/>
        <v>0</v>
      </c>
      <c r="I352" s="29">
        <f t="shared" si="19"/>
        <v>39213</v>
      </c>
    </row>
    <row r="353" spans="1:9" ht="12.75" customHeight="1" x14ac:dyDescent="0.2">
      <c r="A353" s="28">
        <v>39213</v>
      </c>
      <c r="B353" s="26" t="s">
        <v>4208</v>
      </c>
      <c r="C353" s="26" t="s">
        <v>49</v>
      </c>
      <c r="D353" s="26" t="s">
        <v>20</v>
      </c>
      <c r="E353" s="26">
        <v>3091922</v>
      </c>
      <c r="F353" s="26">
        <v>3738622</v>
      </c>
      <c r="G353" t="b">
        <f t="shared" si="17"/>
        <v>0</v>
      </c>
      <c r="H353" t="b">
        <f t="shared" si="18"/>
        <v>0</v>
      </c>
      <c r="I353" s="29">
        <f t="shared" si="19"/>
        <v>39213</v>
      </c>
    </row>
    <row r="354" spans="1:9" ht="25.5" x14ac:dyDescent="0.2">
      <c r="A354" s="28">
        <v>39213</v>
      </c>
      <c r="B354" s="26" t="s">
        <v>4207</v>
      </c>
      <c r="C354" s="26" t="s">
        <v>3233</v>
      </c>
      <c r="D354" s="26" t="s">
        <v>20</v>
      </c>
      <c r="E354" s="26">
        <v>46208</v>
      </c>
      <c r="F354" s="26" t="s">
        <v>20</v>
      </c>
      <c r="G354" t="b">
        <f t="shared" si="17"/>
        <v>0</v>
      </c>
      <c r="H354" t="b">
        <f t="shared" si="18"/>
        <v>0</v>
      </c>
      <c r="I354" s="29">
        <f t="shared" si="19"/>
        <v>39213</v>
      </c>
    </row>
    <row r="355" spans="1:9" ht="12.75" customHeight="1" x14ac:dyDescent="0.2">
      <c r="A355" s="28">
        <v>39213</v>
      </c>
      <c r="B355" s="26" t="s">
        <v>4206</v>
      </c>
      <c r="C355" s="26" t="s">
        <v>384</v>
      </c>
      <c r="D355" s="26">
        <v>15000000</v>
      </c>
      <c r="E355" s="26">
        <v>28638916</v>
      </c>
      <c r="F355" s="26">
        <v>64238440</v>
      </c>
      <c r="G355" t="b">
        <f t="shared" si="17"/>
        <v>0</v>
      </c>
      <c r="H355" t="b">
        <f t="shared" si="18"/>
        <v>0</v>
      </c>
      <c r="I355" s="29">
        <f t="shared" si="19"/>
        <v>39213</v>
      </c>
    </row>
    <row r="356" spans="1:9" ht="12.75" customHeight="1" x14ac:dyDescent="0.2">
      <c r="A356" s="28">
        <v>39213</v>
      </c>
      <c r="B356" s="26" t="s">
        <v>4205</v>
      </c>
      <c r="C356" s="26" t="s">
        <v>9</v>
      </c>
      <c r="D356" s="26" t="s">
        <v>20</v>
      </c>
      <c r="E356" s="26">
        <v>150212</v>
      </c>
      <c r="F356" s="26">
        <v>2253352</v>
      </c>
      <c r="G356" t="b">
        <f t="shared" si="17"/>
        <v>0</v>
      </c>
      <c r="H356" t="b">
        <f t="shared" si="18"/>
        <v>0</v>
      </c>
      <c r="I356" s="29">
        <f t="shared" si="19"/>
        <v>39213</v>
      </c>
    </row>
    <row r="357" spans="1:9" ht="12.75" customHeight="1" x14ac:dyDescent="0.2">
      <c r="A357" s="28">
        <v>39213</v>
      </c>
      <c r="B357" s="26" t="s">
        <v>4204</v>
      </c>
      <c r="C357" s="26" t="s">
        <v>2051</v>
      </c>
      <c r="D357" s="26" t="s">
        <v>20</v>
      </c>
      <c r="E357" s="26">
        <v>151792</v>
      </c>
      <c r="F357" s="26" t="s">
        <v>20</v>
      </c>
      <c r="G357" t="b">
        <f t="shared" si="17"/>
        <v>0</v>
      </c>
      <c r="H357" t="b">
        <f t="shared" si="18"/>
        <v>0</v>
      </c>
      <c r="I357" s="29">
        <f t="shared" si="19"/>
        <v>39213</v>
      </c>
    </row>
    <row r="358" spans="1:9" ht="12.75" customHeight="1" x14ac:dyDescent="0.2">
      <c r="A358" s="28">
        <v>39214</v>
      </c>
      <c r="B358" s="26" t="s">
        <v>4203</v>
      </c>
      <c r="C358" s="26" t="s">
        <v>9</v>
      </c>
      <c r="D358" s="26" t="s">
        <v>20</v>
      </c>
      <c r="E358" s="26" t="s">
        <v>20</v>
      </c>
      <c r="F358" s="26">
        <v>7391563</v>
      </c>
      <c r="G358" t="b">
        <f t="shared" si="17"/>
        <v>0</v>
      </c>
      <c r="H358" t="b">
        <f t="shared" si="18"/>
        <v>0</v>
      </c>
      <c r="I358" s="29">
        <f t="shared" si="19"/>
        <v>39214</v>
      </c>
    </row>
    <row r="359" spans="1:9" ht="38.25" x14ac:dyDescent="0.2">
      <c r="A359" s="28">
        <v>39214</v>
      </c>
      <c r="B359" s="26" t="s">
        <v>4202</v>
      </c>
      <c r="C359" s="26" t="s">
        <v>9</v>
      </c>
      <c r="D359" s="26" t="s">
        <v>20</v>
      </c>
      <c r="E359" s="26" t="s">
        <v>20</v>
      </c>
      <c r="F359" s="26">
        <v>5575613</v>
      </c>
      <c r="G359" t="b">
        <f t="shared" si="17"/>
        <v>0</v>
      </c>
      <c r="H359" t="b">
        <f t="shared" si="18"/>
        <v>0</v>
      </c>
      <c r="I359" s="29">
        <f t="shared" si="19"/>
        <v>39214</v>
      </c>
    </row>
    <row r="360" spans="1:9" ht="12.75" customHeight="1" x14ac:dyDescent="0.2">
      <c r="A360" s="28">
        <v>39218</v>
      </c>
      <c r="B360" s="26" t="s">
        <v>4201</v>
      </c>
      <c r="C360" s="26" t="s">
        <v>155</v>
      </c>
      <c r="D360" s="26">
        <v>150000</v>
      </c>
      <c r="E360" s="26">
        <v>9445857</v>
      </c>
      <c r="F360" s="26">
        <v>18997174</v>
      </c>
      <c r="G360" t="b">
        <f t="shared" si="17"/>
        <v>0</v>
      </c>
      <c r="H360" t="b">
        <f t="shared" si="18"/>
        <v>0</v>
      </c>
      <c r="I360" s="29">
        <f t="shared" si="19"/>
        <v>39218</v>
      </c>
    </row>
    <row r="361" spans="1:9" ht="12.75" customHeight="1" x14ac:dyDescent="0.2">
      <c r="A361" s="28">
        <v>39220</v>
      </c>
      <c r="B361" s="26" t="s">
        <v>4200</v>
      </c>
      <c r="C361" s="26" t="s">
        <v>3240</v>
      </c>
      <c r="D361" s="26">
        <v>160000000</v>
      </c>
      <c r="E361" s="26">
        <v>322719944</v>
      </c>
      <c r="F361" s="26">
        <v>798958162</v>
      </c>
      <c r="G361" t="b">
        <f t="shared" si="17"/>
        <v>0</v>
      </c>
      <c r="H361" t="b">
        <f t="shared" si="18"/>
        <v>0</v>
      </c>
      <c r="I361" s="29">
        <f t="shared" si="19"/>
        <v>39220</v>
      </c>
    </row>
    <row r="362" spans="1:9" ht="12.75" customHeight="1" x14ac:dyDescent="0.2">
      <c r="A362" s="28">
        <v>39220</v>
      </c>
      <c r="B362" s="26" t="s">
        <v>4199</v>
      </c>
      <c r="C362" s="26" t="s">
        <v>9</v>
      </c>
      <c r="D362" s="26" t="s">
        <v>20</v>
      </c>
      <c r="E362" s="26">
        <v>21056</v>
      </c>
      <c r="F362" s="26" t="s">
        <v>20</v>
      </c>
      <c r="G362" t="b">
        <f t="shared" si="17"/>
        <v>0</v>
      </c>
      <c r="H362" t="b">
        <f t="shared" si="18"/>
        <v>0</v>
      </c>
      <c r="I362" s="29">
        <f t="shared" si="19"/>
        <v>39220</v>
      </c>
    </row>
    <row r="363" spans="1:9" x14ac:dyDescent="0.2">
      <c r="A363" s="28">
        <v>39220</v>
      </c>
      <c r="B363" s="26" t="s">
        <v>4198</v>
      </c>
      <c r="C363" s="26" t="s">
        <v>9</v>
      </c>
      <c r="D363" s="26" t="s">
        <v>20</v>
      </c>
      <c r="E363" s="26">
        <v>171255</v>
      </c>
      <c r="F363" s="26" t="s">
        <v>20</v>
      </c>
      <c r="G363" t="b">
        <f t="shared" si="17"/>
        <v>0</v>
      </c>
      <c r="H363" t="b">
        <f t="shared" si="18"/>
        <v>0</v>
      </c>
      <c r="I363" s="29">
        <f t="shared" si="19"/>
        <v>39220</v>
      </c>
    </row>
    <row r="364" spans="1:9" ht="25.5" x14ac:dyDescent="0.2">
      <c r="A364" s="28">
        <v>39220</v>
      </c>
      <c r="B364" s="26" t="s">
        <v>4197</v>
      </c>
      <c r="C364" s="26" t="s">
        <v>9</v>
      </c>
      <c r="D364" s="26">
        <v>8000000</v>
      </c>
      <c r="E364" s="26">
        <v>127188</v>
      </c>
      <c r="F364" s="26" t="s">
        <v>20</v>
      </c>
      <c r="G364" t="b">
        <f t="shared" si="17"/>
        <v>0</v>
      </c>
      <c r="H364" t="b">
        <f t="shared" si="18"/>
        <v>0</v>
      </c>
      <c r="I364" s="29">
        <f t="shared" si="19"/>
        <v>39220</v>
      </c>
    </row>
    <row r="365" spans="1:9" ht="12.75" customHeight="1" x14ac:dyDescent="0.2">
      <c r="A365" s="28">
        <v>39220</v>
      </c>
      <c r="B365" s="26" t="s">
        <v>4196</v>
      </c>
      <c r="C365" s="26" t="s">
        <v>9</v>
      </c>
      <c r="D365" s="26" t="s">
        <v>20</v>
      </c>
      <c r="E365" s="26" t="s">
        <v>20</v>
      </c>
      <c r="F365" s="26">
        <v>722635</v>
      </c>
      <c r="G365" t="b">
        <f t="shared" si="17"/>
        <v>0</v>
      </c>
      <c r="H365" t="b">
        <f t="shared" si="18"/>
        <v>0</v>
      </c>
      <c r="I365" s="29">
        <f t="shared" si="19"/>
        <v>39220</v>
      </c>
    </row>
    <row r="366" spans="1:9" ht="12.75" customHeight="1" x14ac:dyDescent="0.2">
      <c r="A366" s="28">
        <v>39220</v>
      </c>
      <c r="B366" s="26" t="s">
        <v>4195</v>
      </c>
      <c r="C366" s="26" t="s">
        <v>9</v>
      </c>
      <c r="D366" s="26" t="s">
        <v>20</v>
      </c>
      <c r="E366" s="26" t="s">
        <v>20</v>
      </c>
      <c r="F366" s="26">
        <v>1901495</v>
      </c>
      <c r="G366" t="b">
        <f t="shared" si="17"/>
        <v>0</v>
      </c>
      <c r="H366" t="b">
        <f t="shared" si="18"/>
        <v>0</v>
      </c>
      <c r="I366" s="29">
        <f t="shared" si="19"/>
        <v>39220</v>
      </c>
    </row>
    <row r="367" spans="1:9" ht="12.75" customHeight="1" x14ac:dyDescent="0.2">
      <c r="A367" s="28">
        <v>39220</v>
      </c>
      <c r="B367" s="26" t="s">
        <v>4194</v>
      </c>
      <c r="C367" s="26" t="s">
        <v>1051</v>
      </c>
      <c r="D367" s="26" t="s">
        <v>20</v>
      </c>
      <c r="E367" s="26">
        <v>64458</v>
      </c>
      <c r="F367" s="26" t="s">
        <v>20</v>
      </c>
      <c r="G367" t="b">
        <f t="shared" si="17"/>
        <v>0</v>
      </c>
      <c r="H367" t="b">
        <f t="shared" si="18"/>
        <v>0</v>
      </c>
      <c r="I367" s="29">
        <f t="shared" si="19"/>
        <v>39220</v>
      </c>
    </row>
    <row r="368" spans="1:9" ht="12.75" customHeight="1" x14ac:dyDescent="0.2">
      <c r="A368" s="28">
        <v>39220</v>
      </c>
      <c r="B368" s="26" t="s">
        <v>4193</v>
      </c>
      <c r="C368" s="26" t="s">
        <v>2160</v>
      </c>
      <c r="D368" s="26" t="s">
        <v>20</v>
      </c>
      <c r="E368" s="26" t="s">
        <v>20</v>
      </c>
      <c r="F368" s="26" t="s">
        <v>20</v>
      </c>
      <c r="G368" t="b">
        <f t="shared" si="17"/>
        <v>0</v>
      </c>
      <c r="H368" t="b">
        <f t="shared" si="18"/>
        <v>0</v>
      </c>
      <c r="I368" s="29">
        <f t="shared" si="19"/>
        <v>39220</v>
      </c>
    </row>
    <row r="369" spans="1:9" ht="12.75" customHeight="1" x14ac:dyDescent="0.2">
      <c r="A369" s="28">
        <v>39220</v>
      </c>
      <c r="B369" s="26" t="s">
        <v>4192</v>
      </c>
      <c r="C369" s="26" t="s">
        <v>746</v>
      </c>
      <c r="D369" s="26" t="s">
        <v>20</v>
      </c>
      <c r="E369" s="26">
        <v>126714</v>
      </c>
      <c r="F369" s="26" t="s">
        <v>20</v>
      </c>
      <c r="G369" t="b">
        <f t="shared" si="17"/>
        <v>0</v>
      </c>
      <c r="H369" t="b">
        <f t="shared" si="18"/>
        <v>0</v>
      </c>
      <c r="I369" s="29">
        <f t="shared" si="19"/>
        <v>39220</v>
      </c>
    </row>
    <row r="370" spans="1:9" ht="25.5" x14ac:dyDescent="0.2">
      <c r="A370" s="28">
        <v>39220</v>
      </c>
      <c r="B370" s="26" t="s">
        <v>4191</v>
      </c>
      <c r="C370" s="26" t="s">
        <v>9</v>
      </c>
      <c r="D370" s="26" t="s">
        <v>20</v>
      </c>
      <c r="E370" s="26">
        <v>140200</v>
      </c>
      <c r="F370" s="26" t="s">
        <v>20</v>
      </c>
      <c r="G370" t="b">
        <f t="shared" si="17"/>
        <v>0</v>
      </c>
      <c r="H370" t="b">
        <f t="shared" si="18"/>
        <v>0</v>
      </c>
      <c r="I370" s="29">
        <f t="shared" si="19"/>
        <v>39220</v>
      </c>
    </row>
    <row r="371" spans="1:9" ht="12.75" customHeight="1" x14ac:dyDescent="0.2">
      <c r="A371" s="28">
        <v>39220</v>
      </c>
      <c r="B371" s="26" t="s">
        <v>4190</v>
      </c>
      <c r="C371" s="26" t="s">
        <v>9</v>
      </c>
      <c r="D371" s="26" t="s">
        <v>20</v>
      </c>
      <c r="E371" s="26">
        <v>62897</v>
      </c>
      <c r="F371" s="26" t="s">
        <v>20</v>
      </c>
      <c r="G371" t="b">
        <f t="shared" si="17"/>
        <v>0</v>
      </c>
      <c r="H371" t="b">
        <f t="shared" si="18"/>
        <v>0</v>
      </c>
      <c r="I371" s="29">
        <f t="shared" si="19"/>
        <v>39220</v>
      </c>
    </row>
    <row r="372" spans="1:9" ht="12.75" customHeight="1" x14ac:dyDescent="0.2">
      <c r="A372" s="28">
        <v>39220</v>
      </c>
      <c r="B372" s="26" t="s">
        <v>4189</v>
      </c>
      <c r="C372" s="26" t="s">
        <v>746</v>
      </c>
      <c r="D372" s="26" t="s">
        <v>20</v>
      </c>
      <c r="E372" s="26">
        <v>137221</v>
      </c>
      <c r="F372" s="26" t="s">
        <v>20</v>
      </c>
      <c r="G372" t="b">
        <f t="shared" si="17"/>
        <v>0</v>
      </c>
      <c r="H372" t="b">
        <f t="shared" si="18"/>
        <v>0</v>
      </c>
      <c r="I372" s="29">
        <f t="shared" si="19"/>
        <v>39220</v>
      </c>
    </row>
    <row r="373" spans="1:9" ht="25.5" x14ac:dyDescent="0.2">
      <c r="A373" s="28">
        <v>39221</v>
      </c>
      <c r="B373" s="26" t="s">
        <v>4188</v>
      </c>
      <c r="C373" s="26" t="s">
        <v>9</v>
      </c>
      <c r="D373" s="26" t="s">
        <v>20</v>
      </c>
      <c r="E373" s="26" t="s">
        <v>20</v>
      </c>
      <c r="F373" s="26">
        <v>500598</v>
      </c>
      <c r="G373" t="b">
        <f t="shared" si="17"/>
        <v>0</v>
      </c>
      <c r="H373" t="b">
        <f t="shared" si="18"/>
        <v>0</v>
      </c>
      <c r="I373" s="29">
        <f t="shared" si="19"/>
        <v>39221</v>
      </c>
    </row>
    <row r="374" spans="1:9" ht="25.5" x14ac:dyDescent="0.2">
      <c r="A374" s="28">
        <v>39225</v>
      </c>
      <c r="B374" s="26" t="s">
        <v>4187</v>
      </c>
      <c r="C374" s="26" t="s">
        <v>3466</v>
      </c>
      <c r="D374" s="26" t="s">
        <v>20</v>
      </c>
      <c r="E374" s="26">
        <v>51300</v>
      </c>
      <c r="F374" s="26">
        <v>2951300</v>
      </c>
      <c r="G374" t="b">
        <f t="shared" si="17"/>
        <v>0</v>
      </c>
      <c r="H374" t="b">
        <f t="shared" si="18"/>
        <v>0</v>
      </c>
      <c r="I374" s="29">
        <f t="shared" si="19"/>
        <v>39225</v>
      </c>
    </row>
    <row r="375" spans="1:9" x14ac:dyDescent="0.2">
      <c r="A375" s="28">
        <v>39225</v>
      </c>
      <c r="B375" s="26" t="s">
        <v>4186</v>
      </c>
      <c r="C375" s="26" t="s">
        <v>9</v>
      </c>
      <c r="D375" s="26" t="s">
        <v>20</v>
      </c>
      <c r="E375" s="26">
        <v>2900</v>
      </c>
      <c r="F375" s="26" t="s">
        <v>20</v>
      </c>
      <c r="G375" t="b">
        <f t="shared" si="17"/>
        <v>0</v>
      </c>
      <c r="H375" t="b">
        <f t="shared" si="18"/>
        <v>0</v>
      </c>
      <c r="I375" s="29">
        <f t="shared" si="19"/>
        <v>39225</v>
      </c>
    </row>
    <row r="376" spans="1:9" ht="51" x14ac:dyDescent="0.2">
      <c r="A376" s="28">
        <v>39225</v>
      </c>
      <c r="B376" s="26" t="s">
        <v>4185</v>
      </c>
      <c r="C376" s="26" t="s">
        <v>9</v>
      </c>
      <c r="D376" s="26" t="s">
        <v>20</v>
      </c>
      <c r="E376" s="26">
        <v>105930</v>
      </c>
      <c r="F376" s="26" t="s">
        <v>20</v>
      </c>
      <c r="G376" t="b">
        <f t="shared" si="17"/>
        <v>0</v>
      </c>
      <c r="H376" t="b">
        <f t="shared" si="18"/>
        <v>0</v>
      </c>
      <c r="I376" s="29">
        <f t="shared" si="19"/>
        <v>39225</v>
      </c>
    </row>
    <row r="377" spans="1:9" ht="12.75" customHeight="1" x14ac:dyDescent="0.2">
      <c r="A377" s="28">
        <v>39226</v>
      </c>
      <c r="B377" s="26" t="s">
        <v>4184</v>
      </c>
      <c r="C377" s="26" t="s">
        <v>9</v>
      </c>
      <c r="D377" s="26" t="s">
        <v>20</v>
      </c>
      <c r="E377" s="26" t="s">
        <v>20</v>
      </c>
      <c r="F377" s="26">
        <v>10031302</v>
      </c>
      <c r="G377" t="b">
        <f t="shared" si="17"/>
        <v>0</v>
      </c>
      <c r="H377" t="b">
        <f t="shared" si="18"/>
        <v>0</v>
      </c>
      <c r="I377" s="29">
        <f t="shared" si="19"/>
        <v>39226</v>
      </c>
    </row>
    <row r="378" spans="1:9" ht="12.75" customHeight="1" x14ac:dyDescent="0.2">
      <c r="A378" s="28">
        <v>39226</v>
      </c>
      <c r="B378" s="26" t="s">
        <v>4183</v>
      </c>
      <c r="C378" s="26" t="s">
        <v>9</v>
      </c>
      <c r="D378" s="26" t="s">
        <v>20</v>
      </c>
      <c r="E378" s="26" t="s">
        <v>20</v>
      </c>
      <c r="F378" s="26">
        <v>2517430</v>
      </c>
      <c r="G378" t="b">
        <f t="shared" si="17"/>
        <v>0</v>
      </c>
      <c r="H378" t="b">
        <f t="shared" si="18"/>
        <v>0</v>
      </c>
      <c r="I378" s="29">
        <f t="shared" si="19"/>
        <v>39226</v>
      </c>
    </row>
    <row r="379" spans="1:9" ht="12.75" customHeight="1" x14ac:dyDescent="0.2">
      <c r="A379" s="28">
        <v>39227</v>
      </c>
      <c r="B379" s="26" t="s">
        <v>4182</v>
      </c>
      <c r="C379" s="26" t="s">
        <v>9</v>
      </c>
      <c r="D379" s="26" t="s">
        <v>20</v>
      </c>
      <c r="E379" s="26">
        <v>22121</v>
      </c>
      <c r="F379" s="26" t="s">
        <v>20</v>
      </c>
      <c r="G379" t="b">
        <f t="shared" si="17"/>
        <v>0</v>
      </c>
      <c r="H379" t="b">
        <f t="shared" si="18"/>
        <v>0</v>
      </c>
      <c r="I379" s="29">
        <f t="shared" si="19"/>
        <v>39227</v>
      </c>
    </row>
    <row r="380" spans="1:9" ht="25.5" x14ac:dyDescent="0.2">
      <c r="A380" s="28">
        <v>39227</v>
      </c>
      <c r="B380" s="26" t="s">
        <v>4181</v>
      </c>
      <c r="C380" s="26" t="s">
        <v>9</v>
      </c>
      <c r="D380" s="26" t="s">
        <v>20</v>
      </c>
      <c r="E380" s="26" t="s">
        <v>20</v>
      </c>
      <c r="F380" s="26">
        <v>601765</v>
      </c>
      <c r="G380" t="b">
        <f t="shared" si="17"/>
        <v>0</v>
      </c>
      <c r="H380" t="b">
        <f t="shared" si="18"/>
        <v>0</v>
      </c>
      <c r="I380" s="29">
        <f t="shared" si="19"/>
        <v>39227</v>
      </c>
    </row>
    <row r="381" spans="1:9" ht="25.5" x14ac:dyDescent="0.2">
      <c r="A381" s="28">
        <v>39227</v>
      </c>
      <c r="B381" s="26" t="s">
        <v>4180</v>
      </c>
      <c r="C381" s="26" t="s">
        <v>3496</v>
      </c>
      <c r="D381" s="26" t="s">
        <v>20</v>
      </c>
      <c r="E381" s="26">
        <v>881302</v>
      </c>
      <c r="F381" s="26" t="s">
        <v>20</v>
      </c>
      <c r="G381" t="b">
        <f t="shared" ref="G381:G442" si="20">ISBLANK(A381)</f>
        <v>0</v>
      </c>
      <c r="H381" t="b">
        <f t="shared" ref="H381:H442" si="21">ISTEXT(A381)</f>
        <v>0</v>
      </c>
      <c r="I381" s="29">
        <f t="shared" si="19"/>
        <v>39227</v>
      </c>
    </row>
    <row r="382" spans="1:9" ht="12.75" customHeight="1" x14ac:dyDescent="0.2">
      <c r="A382" s="28">
        <v>39227</v>
      </c>
      <c r="B382" s="26" t="s">
        <v>4179</v>
      </c>
      <c r="C382" s="26" t="s">
        <v>9</v>
      </c>
      <c r="D382" s="26" t="s">
        <v>20</v>
      </c>
      <c r="E382" s="26">
        <v>277991</v>
      </c>
      <c r="F382" s="26">
        <v>3277991</v>
      </c>
      <c r="G382" t="b">
        <f t="shared" si="20"/>
        <v>0</v>
      </c>
      <c r="H382" t="b">
        <f t="shared" si="21"/>
        <v>0</v>
      </c>
      <c r="I382" s="29">
        <f t="shared" si="19"/>
        <v>39227</v>
      </c>
    </row>
    <row r="383" spans="1:9" ht="12.75" customHeight="1" x14ac:dyDescent="0.2">
      <c r="A383" s="28">
        <v>39227</v>
      </c>
      <c r="B383" s="26" t="s">
        <v>4178</v>
      </c>
      <c r="C383" s="26" t="s">
        <v>9</v>
      </c>
      <c r="D383" s="26" t="s">
        <v>20</v>
      </c>
      <c r="E383" s="26">
        <v>678792</v>
      </c>
      <c r="F383" s="26">
        <v>7837674</v>
      </c>
      <c r="G383" t="b">
        <f t="shared" si="20"/>
        <v>0</v>
      </c>
      <c r="H383" t="b">
        <f t="shared" si="21"/>
        <v>0</v>
      </c>
      <c r="I383" s="29">
        <f t="shared" si="19"/>
        <v>39227</v>
      </c>
    </row>
    <row r="384" spans="1:9" ht="38.25" x14ac:dyDescent="0.2">
      <c r="A384" s="28">
        <v>39227</v>
      </c>
      <c r="B384" s="26" t="s">
        <v>4177</v>
      </c>
      <c r="C384" s="26" t="s">
        <v>3390</v>
      </c>
      <c r="D384" s="26">
        <v>300000000</v>
      </c>
      <c r="E384" s="26">
        <v>309420425</v>
      </c>
      <c r="F384" s="26">
        <v>960996492</v>
      </c>
      <c r="G384" t="b">
        <f t="shared" si="20"/>
        <v>0</v>
      </c>
      <c r="H384" t="b">
        <f t="shared" si="21"/>
        <v>0</v>
      </c>
      <c r="I384" s="29">
        <f t="shared" si="19"/>
        <v>39227</v>
      </c>
    </row>
    <row r="385" spans="1:9" ht="25.5" x14ac:dyDescent="0.2">
      <c r="A385" s="28">
        <v>39227</v>
      </c>
      <c r="B385" s="26" t="s">
        <v>4176</v>
      </c>
      <c r="C385" s="26" t="s">
        <v>3496</v>
      </c>
      <c r="D385" s="26" t="s">
        <v>20</v>
      </c>
      <c r="E385" s="26">
        <v>202200</v>
      </c>
      <c r="F385" s="26" t="s">
        <v>20</v>
      </c>
      <c r="G385" t="b">
        <f t="shared" si="20"/>
        <v>0</v>
      </c>
      <c r="H385" t="b">
        <f t="shared" si="21"/>
        <v>0</v>
      </c>
      <c r="I385" s="29">
        <f t="shared" si="19"/>
        <v>39227</v>
      </c>
    </row>
    <row r="386" spans="1:9" ht="12.75" customHeight="1" x14ac:dyDescent="0.2">
      <c r="A386" s="28">
        <v>39227</v>
      </c>
      <c r="B386" s="26" t="s">
        <v>4175</v>
      </c>
      <c r="C386" s="26" t="s">
        <v>9</v>
      </c>
      <c r="D386" s="26" t="s">
        <v>20</v>
      </c>
      <c r="E386" s="26">
        <v>10227</v>
      </c>
      <c r="F386" s="26" t="s">
        <v>20</v>
      </c>
      <c r="G386" t="b">
        <f t="shared" si="20"/>
        <v>0</v>
      </c>
      <c r="H386" t="b">
        <f t="shared" si="21"/>
        <v>0</v>
      </c>
      <c r="I386" s="29">
        <f t="shared" si="19"/>
        <v>39227</v>
      </c>
    </row>
    <row r="387" spans="1:9" ht="25.5" x14ac:dyDescent="0.2">
      <c r="A387" s="28">
        <v>39227</v>
      </c>
      <c r="B387" s="26" t="s">
        <v>4174</v>
      </c>
      <c r="C387" s="26" t="s">
        <v>9</v>
      </c>
      <c r="D387" s="26" t="s">
        <v>20</v>
      </c>
      <c r="E387" s="26">
        <v>289232</v>
      </c>
      <c r="F387" s="26">
        <v>8191079</v>
      </c>
      <c r="G387" t="b">
        <f t="shared" si="20"/>
        <v>0</v>
      </c>
      <c r="H387" t="b">
        <f t="shared" si="21"/>
        <v>0</v>
      </c>
      <c r="I387" s="29">
        <f t="shared" ref="I387:I450" si="22">DATE(2007,MONTH(A387), DAY(A387))</f>
        <v>39227</v>
      </c>
    </row>
    <row r="388" spans="1:9" ht="12.75" customHeight="1" x14ac:dyDescent="0.2">
      <c r="A388" s="28">
        <v>39227</v>
      </c>
      <c r="B388" s="26" t="s">
        <v>4173</v>
      </c>
      <c r="C388" s="26" t="s">
        <v>3218</v>
      </c>
      <c r="D388" s="26" t="s">
        <v>20</v>
      </c>
      <c r="E388" s="26">
        <v>1063647</v>
      </c>
      <c r="F388" s="26" t="s">
        <v>20</v>
      </c>
      <c r="G388" t="b">
        <f t="shared" si="20"/>
        <v>0</v>
      </c>
      <c r="H388" t="b">
        <f t="shared" si="21"/>
        <v>0</v>
      </c>
      <c r="I388" s="29">
        <f t="shared" si="22"/>
        <v>39227</v>
      </c>
    </row>
    <row r="389" spans="1:9" ht="12.75" customHeight="1" x14ac:dyDescent="0.2">
      <c r="A389" s="28">
        <v>39227</v>
      </c>
      <c r="B389" s="26" t="s">
        <v>4172</v>
      </c>
      <c r="C389" s="26" t="s">
        <v>3419</v>
      </c>
      <c r="D389" s="26">
        <v>4000000</v>
      </c>
      <c r="E389" s="26">
        <v>7006708</v>
      </c>
      <c r="F389" s="26" t="s">
        <v>20</v>
      </c>
      <c r="G389" t="b">
        <f t="shared" si="20"/>
        <v>0</v>
      </c>
      <c r="H389" t="b">
        <f t="shared" si="21"/>
        <v>0</v>
      </c>
      <c r="I389" s="29">
        <f t="shared" si="22"/>
        <v>39227</v>
      </c>
    </row>
    <row r="390" spans="1:9" ht="25.5" x14ac:dyDescent="0.2">
      <c r="A390" s="28">
        <v>39233</v>
      </c>
      <c r="B390" s="26" t="s">
        <v>4171</v>
      </c>
      <c r="C390" s="26" t="s">
        <v>9</v>
      </c>
      <c r="D390" s="26" t="s">
        <v>20</v>
      </c>
      <c r="E390" s="26" t="s">
        <v>20</v>
      </c>
      <c r="F390" s="26">
        <v>1759123</v>
      </c>
      <c r="G390" t="b">
        <f t="shared" si="20"/>
        <v>0</v>
      </c>
      <c r="H390" t="b">
        <f t="shared" si="21"/>
        <v>0</v>
      </c>
      <c r="I390" s="29">
        <f t="shared" si="22"/>
        <v>39233</v>
      </c>
    </row>
    <row r="391" spans="1:9" ht="12.75" customHeight="1" x14ac:dyDescent="0.2">
      <c r="A391" s="28">
        <v>39233</v>
      </c>
      <c r="B391" s="26" t="s">
        <v>4170</v>
      </c>
      <c r="C391" s="26" t="s">
        <v>746</v>
      </c>
      <c r="D391" s="26" t="s">
        <v>20</v>
      </c>
      <c r="E391" s="26">
        <v>23446</v>
      </c>
      <c r="F391" s="26">
        <v>7928615</v>
      </c>
      <c r="G391" t="b">
        <f t="shared" si="20"/>
        <v>0</v>
      </c>
      <c r="H391" t="b">
        <f t="shared" si="21"/>
        <v>0</v>
      </c>
      <c r="I391" s="29">
        <f t="shared" si="22"/>
        <v>39233</v>
      </c>
    </row>
    <row r="392" spans="1:9" ht="12.75" customHeight="1" x14ac:dyDescent="0.2">
      <c r="A392" s="28">
        <v>39234</v>
      </c>
      <c r="B392" s="26" t="s">
        <v>4169</v>
      </c>
      <c r="C392" s="26" t="s">
        <v>9</v>
      </c>
      <c r="D392" s="26" t="s">
        <v>20</v>
      </c>
      <c r="E392" s="26">
        <v>3567</v>
      </c>
      <c r="F392" s="26" t="s">
        <v>20</v>
      </c>
      <c r="G392" t="b">
        <f t="shared" si="20"/>
        <v>0</v>
      </c>
      <c r="H392" t="b">
        <f t="shared" si="21"/>
        <v>0</v>
      </c>
      <c r="I392" s="29">
        <f t="shared" si="22"/>
        <v>39234</v>
      </c>
    </row>
    <row r="393" spans="1:9" ht="25.5" x14ac:dyDescent="0.2">
      <c r="A393" s="28">
        <v>39234</v>
      </c>
      <c r="B393" s="26" t="s">
        <v>4168</v>
      </c>
      <c r="C393" s="26" t="s">
        <v>9</v>
      </c>
      <c r="D393" s="26" t="s">
        <v>20</v>
      </c>
      <c r="E393" s="26" t="s">
        <v>20</v>
      </c>
      <c r="F393" s="26">
        <v>1373395</v>
      </c>
      <c r="G393" t="b">
        <f t="shared" si="20"/>
        <v>0</v>
      </c>
      <c r="H393" t="b">
        <f t="shared" si="21"/>
        <v>0</v>
      </c>
      <c r="I393" s="29">
        <f t="shared" si="22"/>
        <v>39234</v>
      </c>
    </row>
    <row r="394" spans="1:9" ht="25.5" x14ac:dyDescent="0.2">
      <c r="A394" s="28">
        <v>39234</v>
      </c>
      <c r="B394" s="26" t="s">
        <v>4167</v>
      </c>
      <c r="C394" s="26" t="s">
        <v>9</v>
      </c>
      <c r="D394" s="26" t="s">
        <v>20</v>
      </c>
      <c r="E394" s="26">
        <v>1393</v>
      </c>
      <c r="F394" s="26" t="s">
        <v>20</v>
      </c>
      <c r="G394" t="b">
        <f t="shared" si="20"/>
        <v>0</v>
      </c>
      <c r="H394" t="b">
        <f t="shared" si="21"/>
        <v>0</v>
      </c>
      <c r="I394" s="29">
        <f t="shared" si="22"/>
        <v>39234</v>
      </c>
    </row>
    <row r="395" spans="1:9" ht="25.5" x14ac:dyDescent="0.2">
      <c r="A395" s="28">
        <v>39234</v>
      </c>
      <c r="B395" s="26" t="s">
        <v>4166</v>
      </c>
      <c r="C395" s="26" t="s">
        <v>9</v>
      </c>
      <c r="D395" s="26" t="s">
        <v>20</v>
      </c>
      <c r="E395" s="26" t="s">
        <v>20</v>
      </c>
      <c r="F395" s="26">
        <v>910000</v>
      </c>
      <c r="G395" t="b">
        <f t="shared" si="20"/>
        <v>0</v>
      </c>
      <c r="H395" t="b">
        <f t="shared" si="21"/>
        <v>0</v>
      </c>
      <c r="I395" s="29">
        <f t="shared" si="22"/>
        <v>39234</v>
      </c>
    </row>
    <row r="396" spans="1:9" ht="12.75" customHeight="1" x14ac:dyDescent="0.2">
      <c r="A396" s="28">
        <v>39234</v>
      </c>
      <c r="B396" s="26" t="s">
        <v>4165</v>
      </c>
      <c r="C396" s="26" t="s">
        <v>2621</v>
      </c>
      <c r="D396" s="26" t="s">
        <v>20</v>
      </c>
      <c r="E396" s="26">
        <v>301027</v>
      </c>
      <c r="F396" s="26" t="s">
        <v>20</v>
      </c>
      <c r="G396" t="b">
        <f t="shared" si="20"/>
        <v>0</v>
      </c>
      <c r="H396" t="b">
        <f t="shared" si="21"/>
        <v>0</v>
      </c>
      <c r="I396" s="29">
        <f t="shared" si="22"/>
        <v>39234</v>
      </c>
    </row>
    <row r="397" spans="1:9" ht="12.75" customHeight="1" x14ac:dyDescent="0.2">
      <c r="A397" s="28">
        <v>39234</v>
      </c>
      <c r="B397" s="26" t="s">
        <v>4164</v>
      </c>
      <c r="C397" s="26" t="s">
        <v>2256</v>
      </c>
      <c r="D397" s="26" t="s">
        <v>20</v>
      </c>
      <c r="E397" s="26">
        <v>28476219</v>
      </c>
      <c r="F397" s="26">
        <v>45989012</v>
      </c>
      <c r="G397" t="b">
        <f t="shared" si="20"/>
        <v>0</v>
      </c>
      <c r="H397" t="b">
        <f t="shared" si="21"/>
        <v>0</v>
      </c>
      <c r="I397" s="29">
        <f t="shared" si="22"/>
        <v>39234</v>
      </c>
    </row>
    <row r="398" spans="1:9" ht="12.75" customHeight="1" x14ac:dyDescent="0.2">
      <c r="A398" s="28">
        <v>39234</v>
      </c>
      <c r="B398" s="26" t="s">
        <v>4163</v>
      </c>
      <c r="C398" s="26" t="s">
        <v>3096</v>
      </c>
      <c r="D398" s="26">
        <v>27500000</v>
      </c>
      <c r="E398" s="26">
        <v>148761765</v>
      </c>
      <c r="F398" s="26">
        <v>218994109</v>
      </c>
      <c r="G398" t="b">
        <f t="shared" si="20"/>
        <v>0</v>
      </c>
      <c r="H398" t="b">
        <f t="shared" si="21"/>
        <v>0</v>
      </c>
      <c r="I398" s="29">
        <f t="shared" si="22"/>
        <v>39234</v>
      </c>
    </row>
    <row r="399" spans="1:9" ht="12.75" customHeight="1" x14ac:dyDescent="0.2">
      <c r="A399" s="28">
        <v>39234</v>
      </c>
      <c r="B399" s="26" t="s">
        <v>4162</v>
      </c>
      <c r="C399" s="26" t="s">
        <v>849</v>
      </c>
      <c r="D399" s="26">
        <v>9000000</v>
      </c>
      <c r="E399" s="26">
        <v>2956339</v>
      </c>
      <c r="F399" s="26">
        <v>3036736</v>
      </c>
      <c r="G399" t="b">
        <f t="shared" si="20"/>
        <v>0</v>
      </c>
      <c r="H399" t="b">
        <f t="shared" si="21"/>
        <v>0</v>
      </c>
      <c r="I399" s="29">
        <f t="shared" si="22"/>
        <v>39234</v>
      </c>
    </row>
    <row r="400" spans="1:9" ht="25.5" x14ac:dyDescent="0.2">
      <c r="A400" s="28">
        <v>39234</v>
      </c>
      <c r="B400" s="26" t="s">
        <v>4161</v>
      </c>
      <c r="C400" s="26" t="s">
        <v>9</v>
      </c>
      <c r="D400" s="26">
        <v>989000</v>
      </c>
      <c r="E400" s="26">
        <v>8158</v>
      </c>
      <c r="F400" s="26" t="s">
        <v>20</v>
      </c>
      <c r="G400" t="b">
        <f t="shared" si="20"/>
        <v>0</v>
      </c>
      <c r="H400" t="b">
        <f t="shared" si="21"/>
        <v>0</v>
      </c>
      <c r="I400" s="29">
        <f t="shared" si="22"/>
        <v>39234</v>
      </c>
    </row>
    <row r="401" spans="1:9" ht="12.75" customHeight="1" x14ac:dyDescent="0.2">
      <c r="A401" s="28">
        <v>39234</v>
      </c>
      <c r="B401" s="26" t="s">
        <v>4160</v>
      </c>
      <c r="C401" s="26" t="s">
        <v>9</v>
      </c>
      <c r="D401" s="26" t="s">
        <v>20</v>
      </c>
      <c r="E401" s="26">
        <v>459095</v>
      </c>
      <c r="F401" s="26">
        <v>38870910</v>
      </c>
      <c r="G401" t="b">
        <f t="shared" si="20"/>
        <v>0</v>
      </c>
      <c r="H401" t="b">
        <f t="shared" si="21"/>
        <v>0</v>
      </c>
      <c r="I401" s="29">
        <f t="shared" si="22"/>
        <v>39234</v>
      </c>
    </row>
    <row r="402" spans="1:9" ht="25.5" x14ac:dyDescent="0.2">
      <c r="A402" s="28">
        <v>39234</v>
      </c>
      <c r="B402" s="26" t="s">
        <v>4159</v>
      </c>
      <c r="C402" s="26" t="s">
        <v>9</v>
      </c>
      <c r="D402" s="26" t="s">
        <v>20</v>
      </c>
      <c r="E402" s="26">
        <v>4256</v>
      </c>
      <c r="F402" s="26" t="s">
        <v>20</v>
      </c>
      <c r="G402" t="b">
        <f t="shared" si="20"/>
        <v>0</v>
      </c>
      <c r="H402" t="b">
        <f t="shared" si="21"/>
        <v>0</v>
      </c>
      <c r="I402" s="29">
        <f t="shared" si="22"/>
        <v>39234</v>
      </c>
    </row>
    <row r="403" spans="1:9" ht="25.5" x14ac:dyDescent="0.2">
      <c r="A403" s="28">
        <v>39234</v>
      </c>
      <c r="B403" s="26" t="s">
        <v>4158</v>
      </c>
      <c r="C403" s="26" t="s">
        <v>3466</v>
      </c>
      <c r="D403" s="26" t="s">
        <v>20</v>
      </c>
      <c r="E403" s="26">
        <v>21766</v>
      </c>
      <c r="F403" s="26" t="s">
        <v>20</v>
      </c>
      <c r="G403" t="b">
        <f t="shared" si="20"/>
        <v>0</v>
      </c>
      <c r="H403" t="b">
        <f t="shared" si="21"/>
        <v>0</v>
      </c>
      <c r="I403" s="29">
        <f t="shared" si="22"/>
        <v>39234</v>
      </c>
    </row>
    <row r="404" spans="1:9" ht="25.5" x14ac:dyDescent="0.2">
      <c r="A404" s="28">
        <v>39234</v>
      </c>
      <c r="B404" s="26" t="s">
        <v>4157</v>
      </c>
      <c r="C404" s="26" t="s">
        <v>9</v>
      </c>
      <c r="D404" s="26" t="s">
        <v>20</v>
      </c>
      <c r="E404" s="26">
        <v>114306</v>
      </c>
      <c r="F404" s="26" t="s">
        <v>20</v>
      </c>
      <c r="G404" t="b">
        <f t="shared" si="20"/>
        <v>0</v>
      </c>
      <c r="H404" t="b">
        <f t="shared" si="21"/>
        <v>0</v>
      </c>
      <c r="I404" s="29">
        <f t="shared" si="22"/>
        <v>39234</v>
      </c>
    </row>
    <row r="405" spans="1:9" ht="12.75" customHeight="1" x14ac:dyDescent="0.2">
      <c r="A405" s="28">
        <v>39234</v>
      </c>
      <c r="B405" s="26" t="s">
        <v>4156</v>
      </c>
      <c r="C405" s="26" t="s">
        <v>9</v>
      </c>
      <c r="D405" s="26" t="s">
        <v>20</v>
      </c>
      <c r="E405" s="26" t="s">
        <v>20</v>
      </c>
      <c r="F405" s="26">
        <v>2673450</v>
      </c>
      <c r="G405" t="b">
        <f t="shared" si="20"/>
        <v>0</v>
      </c>
      <c r="H405" t="b">
        <f t="shared" si="21"/>
        <v>0</v>
      </c>
      <c r="I405" s="29">
        <f t="shared" si="22"/>
        <v>39234</v>
      </c>
    </row>
    <row r="406" spans="1:9" ht="12.75" customHeight="1" x14ac:dyDescent="0.2">
      <c r="A406" s="28">
        <v>39234</v>
      </c>
      <c r="B406" s="26" t="s">
        <v>4155</v>
      </c>
      <c r="C406" s="26" t="s">
        <v>9</v>
      </c>
      <c r="D406" s="26" t="s">
        <v>20</v>
      </c>
      <c r="E406" s="26" t="s">
        <v>20</v>
      </c>
      <c r="F406" s="26">
        <v>714637</v>
      </c>
      <c r="G406" t="b">
        <f t="shared" si="20"/>
        <v>0</v>
      </c>
      <c r="H406" t="b">
        <f t="shared" si="21"/>
        <v>0</v>
      </c>
      <c r="I406" s="29">
        <f t="shared" si="22"/>
        <v>39234</v>
      </c>
    </row>
    <row r="407" spans="1:9" ht="38.25" x14ac:dyDescent="0.2">
      <c r="A407" s="28">
        <v>39235</v>
      </c>
      <c r="B407" s="26" t="s">
        <v>4154</v>
      </c>
      <c r="C407" s="26" t="s">
        <v>9</v>
      </c>
      <c r="D407" s="26" t="s">
        <v>20</v>
      </c>
      <c r="E407" s="26" t="s">
        <v>20</v>
      </c>
      <c r="F407" s="26" t="s">
        <v>20</v>
      </c>
      <c r="G407" t="b">
        <f t="shared" si="20"/>
        <v>0</v>
      </c>
      <c r="H407" t="b">
        <f t="shared" si="21"/>
        <v>0</v>
      </c>
      <c r="I407" s="29">
        <f t="shared" si="22"/>
        <v>39235</v>
      </c>
    </row>
    <row r="408" spans="1:9" ht="12.75" customHeight="1" x14ac:dyDescent="0.2">
      <c r="A408" s="28">
        <v>39239</v>
      </c>
      <c r="B408" s="26" t="s">
        <v>4153</v>
      </c>
      <c r="C408" s="26" t="s">
        <v>9</v>
      </c>
      <c r="D408" s="26" t="s">
        <v>20</v>
      </c>
      <c r="E408" s="26" t="s">
        <v>20</v>
      </c>
      <c r="F408" s="26">
        <v>7923851</v>
      </c>
      <c r="G408" t="b">
        <f t="shared" si="20"/>
        <v>0</v>
      </c>
      <c r="H408" t="b">
        <f t="shared" si="21"/>
        <v>0</v>
      </c>
      <c r="I408" s="29">
        <f t="shared" si="22"/>
        <v>39239</v>
      </c>
    </row>
    <row r="409" spans="1:9" ht="25.5" x14ac:dyDescent="0.2">
      <c r="A409" s="28">
        <v>39239</v>
      </c>
      <c r="B409" s="26" t="s">
        <v>4152</v>
      </c>
      <c r="C409" s="26" t="s">
        <v>9</v>
      </c>
      <c r="D409" s="26" t="s">
        <v>20</v>
      </c>
      <c r="E409" s="26">
        <v>89550</v>
      </c>
      <c r="F409" s="26" t="s">
        <v>20</v>
      </c>
      <c r="G409" t="b">
        <f t="shared" si="20"/>
        <v>0</v>
      </c>
      <c r="H409" t="b">
        <f t="shared" si="21"/>
        <v>0</v>
      </c>
      <c r="I409" s="29">
        <f t="shared" si="22"/>
        <v>39239</v>
      </c>
    </row>
    <row r="410" spans="1:9" ht="12.75" customHeight="1" x14ac:dyDescent="0.2">
      <c r="A410" s="28">
        <v>39241</v>
      </c>
      <c r="B410" s="26" t="s">
        <v>4151</v>
      </c>
      <c r="C410" s="26" t="s">
        <v>9</v>
      </c>
      <c r="D410" s="26" t="s">
        <v>20</v>
      </c>
      <c r="E410" s="26">
        <v>10643</v>
      </c>
      <c r="F410" s="26" t="s">
        <v>20</v>
      </c>
      <c r="G410" t="b">
        <f t="shared" si="20"/>
        <v>0</v>
      </c>
      <c r="H410" t="b">
        <f t="shared" si="21"/>
        <v>0</v>
      </c>
      <c r="I410" s="29">
        <f t="shared" si="22"/>
        <v>39241</v>
      </c>
    </row>
    <row r="411" spans="1:9" ht="12.75" customHeight="1" x14ac:dyDescent="0.2">
      <c r="A411" s="28">
        <v>39241</v>
      </c>
      <c r="B411" s="26" t="s">
        <v>4150</v>
      </c>
      <c r="C411" s="26" t="s">
        <v>9</v>
      </c>
      <c r="D411" s="26" t="s">
        <v>20</v>
      </c>
      <c r="E411" s="26" t="s">
        <v>20</v>
      </c>
      <c r="F411" s="26" t="s">
        <v>20</v>
      </c>
      <c r="G411" t="b">
        <f t="shared" si="20"/>
        <v>0</v>
      </c>
      <c r="H411" t="b">
        <f t="shared" si="21"/>
        <v>0</v>
      </c>
      <c r="I411" s="29">
        <f t="shared" si="22"/>
        <v>39241</v>
      </c>
    </row>
    <row r="412" spans="1:9" ht="25.5" x14ac:dyDescent="0.2">
      <c r="A412" s="28">
        <v>39241</v>
      </c>
      <c r="B412" s="26" t="s">
        <v>4149</v>
      </c>
      <c r="C412" s="26" t="s">
        <v>9</v>
      </c>
      <c r="D412" s="26" t="s">
        <v>20</v>
      </c>
      <c r="E412" s="26" t="s">
        <v>20</v>
      </c>
      <c r="F412" s="26" t="s">
        <v>20</v>
      </c>
      <c r="G412" t="b">
        <f t="shared" si="20"/>
        <v>0</v>
      </c>
      <c r="H412" t="b">
        <f t="shared" si="21"/>
        <v>0</v>
      </c>
      <c r="I412" s="29">
        <f t="shared" si="22"/>
        <v>39241</v>
      </c>
    </row>
    <row r="413" spans="1:9" ht="12.75" customHeight="1" x14ac:dyDescent="0.2">
      <c r="A413" s="28">
        <v>39241</v>
      </c>
      <c r="B413" s="26" t="s">
        <v>4148</v>
      </c>
      <c r="C413" s="26" t="s">
        <v>849</v>
      </c>
      <c r="D413" s="26">
        <v>15500000</v>
      </c>
      <c r="E413" s="26">
        <v>10299782</v>
      </c>
      <c r="F413" s="26">
        <v>83499782</v>
      </c>
      <c r="G413" t="b">
        <f t="shared" si="20"/>
        <v>0</v>
      </c>
      <c r="H413" t="b">
        <f t="shared" si="21"/>
        <v>0</v>
      </c>
      <c r="I413" s="29">
        <f t="shared" si="22"/>
        <v>39241</v>
      </c>
    </row>
    <row r="414" spans="1:9" ht="12.75" customHeight="1" x14ac:dyDescent="0.2">
      <c r="A414" s="28">
        <v>39241</v>
      </c>
      <c r="B414" s="26" t="s">
        <v>4147</v>
      </c>
      <c r="C414" s="26" t="s">
        <v>2160</v>
      </c>
      <c r="D414" s="26">
        <v>100000000</v>
      </c>
      <c r="E414" s="26">
        <v>58867694</v>
      </c>
      <c r="F414" s="26">
        <v>145395745</v>
      </c>
      <c r="G414" t="b">
        <f t="shared" si="20"/>
        <v>0</v>
      </c>
      <c r="H414" t="b">
        <f t="shared" si="21"/>
        <v>0</v>
      </c>
      <c r="I414" s="29">
        <f t="shared" si="22"/>
        <v>39241</v>
      </c>
    </row>
    <row r="415" spans="1:9" ht="12.75" customHeight="1" x14ac:dyDescent="0.2">
      <c r="A415" s="28">
        <v>39241</v>
      </c>
      <c r="B415" s="26" t="s">
        <v>4146</v>
      </c>
      <c r="C415" s="26" t="s">
        <v>3419</v>
      </c>
      <c r="D415" s="26">
        <v>7500000</v>
      </c>
      <c r="E415" s="26">
        <v>17544812</v>
      </c>
      <c r="F415" s="26">
        <v>33606409</v>
      </c>
      <c r="G415" t="b">
        <f t="shared" si="20"/>
        <v>0</v>
      </c>
      <c r="H415" t="b">
        <f t="shared" si="21"/>
        <v>0</v>
      </c>
      <c r="I415" s="29">
        <f t="shared" si="22"/>
        <v>39241</v>
      </c>
    </row>
    <row r="416" spans="1:9" ht="25.5" x14ac:dyDescent="0.2">
      <c r="A416" s="28">
        <v>39241</v>
      </c>
      <c r="B416" s="26" t="s">
        <v>4145</v>
      </c>
      <c r="C416" s="26" t="s">
        <v>3501</v>
      </c>
      <c r="D416" s="26" t="s">
        <v>20</v>
      </c>
      <c r="E416" s="26">
        <v>2324</v>
      </c>
      <c r="F416" s="26" t="s">
        <v>20</v>
      </c>
      <c r="G416" t="b">
        <f t="shared" si="20"/>
        <v>0</v>
      </c>
      <c r="H416" t="b">
        <f t="shared" si="21"/>
        <v>0</v>
      </c>
      <c r="I416" s="29">
        <f t="shared" si="22"/>
        <v>39241</v>
      </c>
    </row>
    <row r="417" spans="1:9" ht="12.75" customHeight="1" x14ac:dyDescent="0.2">
      <c r="A417" s="28">
        <v>39241</v>
      </c>
      <c r="B417" s="26" t="s">
        <v>4144</v>
      </c>
      <c r="C417" s="26" t="s">
        <v>3209</v>
      </c>
      <c r="D417" s="26">
        <v>85000000</v>
      </c>
      <c r="E417" s="26">
        <v>117144465</v>
      </c>
      <c r="F417" s="26">
        <v>311744465</v>
      </c>
      <c r="G417" t="b">
        <f t="shared" si="20"/>
        <v>0</v>
      </c>
      <c r="H417" t="b">
        <f t="shared" si="21"/>
        <v>0</v>
      </c>
      <c r="I417" s="29">
        <f t="shared" si="22"/>
        <v>39241</v>
      </c>
    </row>
    <row r="418" spans="1:9" ht="25.5" x14ac:dyDescent="0.2">
      <c r="A418" s="28">
        <v>39246</v>
      </c>
      <c r="B418" s="26" t="s">
        <v>4143</v>
      </c>
      <c r="C418" s="26" t="s">
        <v>9</v>
      </c>
      <c r="D418" s="26" t="s">
        <v>20</v>
      </c>
      <c r="E418" s="26">
        <v>14018</v>
      </c>
      <c r="F418" s="26" t="s">
        <v>20</v>
      </c>
      <c r="G418" t="b">
        <f t="shared" si="20"/>
        <v>0</v>
      </c>
      <c r="H418" t="b">
        <f t="shared" si="21"/>
        <v>0</v>
      </c>
      <c r="I418" s="29">
        <f t="shared" si="22"/>
        <v>39246</v>
      </c>
    </row>
    <row r="419" spans="1:9" ht="25.5" x14ac:dyDescent="0.2">
      <c r="A419" s="28">
        <v>39247</v>
      </c>
      <c r="B419" s="26" t="s">
        <v>4142</v>
      </c>
      <c r="C419" s="26" t="s">
        <v>9</v>
      </c>
      <c r="D419" s="26" t="s">
        <v>20</v>
      </c>
      <c r="E419" s="26" t="s">
        <v>20</v>
      </c>
      <c r="F419" s="26" t="s">
        <v>20</v>
      </c>
      <c r="G419" t="b">
        <f t="shared" si="20"/>
        <v>0</v>
      </c>
      <c r="H419" t="b">
        <f t="shared" si="21"/>
        <v>0</v>
      </c>
      <c r="I419" s="29">
        <f t="shared" si="22"/>
        <v>39247</v>
      </c>
    </row>
    <row r="420" spans="1:9" ht="25.5" x14ac:dyDescent="0.2">
      <c r="A420" s="28">
        <v>39248</v>
      </c>
      <c r="B420" s="26" t="s">
        <v>4141</v>
      </c>
      <c r="C420" s="26" t="s">
        <v>9</v>
      </c>
      <c r="D420" s="26" t="s">
        <v>20</v>
      </c>
      <c r="E420" s="26">
        <v>8872</v>
      </c>
      <c r="F420" s="26" t="s">
        <v>20</v>
      </c>
      <c r="G420" t="b">
        <f t="shared" si="20"/>
        <v>0</v>
      </c>
      <c r="H420" t="b">
        <f t="shared" si="21"/>
        <v>0</v>
      </c>
      <c r="I420" s="29">
        <f t="shared" si="22"/>
        <v>39248</v>
      </c>
    </row>
    <row r="421" spans="1:9" ht="12.75" customHeight="1" x14ac:dyDescent="0.2">
      <c r="A421" s="28">
        <v>39248</v>
      </c>
      <c r="B421" s="26" t="s">
        <v>4140</v>
      </c>
      <c r="C421" s="26" t="s">
        <v>2466</v>
      </c>
      <c r="D421" s="26" t="s">
        <v>20</v>
      </c>
      <c r="E421" s="26">
        <v>9613</v>
      </c>
      <c r="F421" s="26" t="s">
        <v>20</v>
      </c>
      <c r="G421" t="b">
        <f t="shared" si="20"/>
        <v>0</v>
      </c>
      <c r="H421" t="b">
        <f t="shared" si="21"/>
        <v>0</v>
      </c>
      <c r="I421" s="29">
        <f t="shared" si="22"/>
        <v>39248</v>
      </c>
    </row>
    <row r="422" spans="1:9" ht="25.5" x14ac:dyDescent="0.2">
      <c r="A422" s="28">
        <v>39248</v>
      </c>
      <c r="B422" s="26" t="s">
        <v>4139</v>
      </c>
      <c r="C422" s="26" t="s">
        <v>9</v>
      </c>
      <c r="D422" s="26" t="s">
        <v>20</v>
      </c>
      <c r="E422" s="26" t="s">
        <v>20</v>
      </c>
      <c r="F422" s="26">
        <v>619519</v>
      </c>
      <c r="G422" t="b">
        <f t="shared" si="20"/>
        <v>0</v>
      </c>
      <c r="H422" t="b">
        <f t="shared" si="21"/>
        <v>0</v>
      </c>
      <c r="I422" s="29">
        <f t="shared" si="22"/>
        <v>39248</v>
      </c>
    </row>
    <row r="423" spans="1:9" ht="12.75" customHeight="1" x14ac:dyDescent="0.2">
      <c r="A423" s="28">
        <v>39248</v>
      </c>
      <c r="B423" s="26" t="s">
        <v>4138</v>
      </c>
      <c r="C423" s="26" t="s">
        <v>9</v>
      </c>
      <c r="D423" s="26" t="s">
        <v>20</v>
      </c>
      <c r="E423" s="26">
        <v>44064</v>
      </c>
      <c r="F423" s="26">
        <v>3437024</v>
      </c>
      <c r="G423" t="b">
        <f t="shared" si="20"/>
        <v>0</v>
      </c>
      <c r="H423" t="b">
        <f t="shared" si="21"/>
        <v>0</v>
      </c>
      <c r="I423" s="29">
        <f t="shared" si="22"/>
        <v>39248</v>
      </c>
    </row>
    <row r="424" spans="1:9" ht="25.5" x14ac:dyDescent="0.2">
      <c r="A424" s="28">
        <v>39248</v>
      </c>
      <c r="B424" s="26" t="s">
        <v>4137</v>
      </c>
      <c r="C424" s="26" t="s">
        <v>9</v>
      </c>
      <c r="D424" s="26" t="s">
        <v>20</v>
      </c>
      <c r="E424" s="26" t="s">
        <v>20</v>
      </c>
      <c r="F424" s="26">
        <v>753566</v>
      </c>
      <c r="G424" t="b">
        <f t="shared" si="20"/>
        <v>0</v>
      </c>
      <c r="H424" t="b">
        <f t="shared" si="21"/>
        <v>0</v>
      </c>
      <c r="I424" s="29">
        <f t="shared" si="22"/>
        <v>39248</v>
      </c>
    </row>
    <row r="425" spans="1:9" ht="25.5" x14ac:dyDescent="0.2">
      <c r="A425" s="28">
        <v>39248</v>
      </c>
      <c r="B425" s="26" t="s">
        <v>4136</v>
      </c>
      <c r="C425" s="26" t="s">
        <v>9</v>
      </c>
      <c r="D425" s="26" t="s">
        <v>20</v>
      </c>
      <c r="E425" s="26">
        <v>695156</v>
      </c>
      <c r="F425" s="26">
        <v>8370665</v>
      </c>
      <c r="G425" t="b">
        <f t="shared" si="20"/>
        <v>0</v>
      </c>
      <c r="H425" t="b">
        <f t="shared" si="21"/>
        <v>0</v>
      </c>
      <c r="I425" s="29">
        <f t="shared" si="22"/>
        <v>39248</v>
      </c>
    </row>
    <row r="426" spans="1:9" ht="38.25" x14ac:dyDescent="0.2">
      <c r="A426" s="28">
        <v>39248</v>
      </c>
      <c r="B426" s="26" t="s">
        <v>4135</v>
      </c>
      <c r="C426" s="26" t="s">
        <v>9</v>
      </c>
      <c r="D426" s="26" t="s">
        <v>20</v>
      </c>
      <c r="E426" s="26">
        <v>442936</v>
      </c>
      <c r="F426" s="26" t="s">
        <v>20</v>
      </c>
      <c r="G426" t="b">
        <f t="shared" si="20"/>
        <v>0</v>
      </c>
      <c r="H426" t="b">
        <f t="shared" si="21"/>
        <v>0</v>
      </c>
      <c r="I426" s="29">
        <f t="shared" si="22"/>
        <v>39248</v>
      </c>
    </row>
    <row r="427" spans="1:9" ht="25.5" x14ac:dyDescent="0.2">
      <c r="A427" s="28">
        <v>39248</v>
      </c>
      <c r="B427" s="26" t="s">
        <v>4134</v>
      </c>
      <c r="C427" s="26" t="s">
        <v>9</v>
      </c>
      <c r="D427" s="26" t="s">
        <v>20</v>
      </c>
      <c r="E427" s="26">
        <v>1217</v>
      </c>
      <c r="F427" s="26" t="s">
        <v>20</v>
      </c>
      <c r="G427" t="b">
        <f t="shared" si="20"/>
        <v>0</v>
      </c>
      <c r="H427" t="b">
        <f t="shared" si="21"/>
        <v>0</v>
      </c>
      <c r="I427" s="29">
        <f t="shared" si="22"/>
        <v>39248</v>
      </c>
    </row>
    <row r="428" spans="1:9" ht="12.75" customHeight="1" x14ac:dyDescent="0.2">
      <c r="A428" s="28">
        <v>39248</v>
      </c>
      <c r="B428" s="26" t="s">
        <v>4133</v>
      </c>
      <c r="C428" s="26" t="s">
        <v>9</v>
      </c>
      <c r="D428" s="26" t="s">
        <v>20</v>
      </c>
      <c r="E428" s="26">
        <v>4364</v>
      </c>
      <c r="F428" s="26" t="s">
        <v>20</v>
      </c>
      <c r="G428" t="b">
        <f t="shared" si="20"/>
        <v>0</v>
      </c>
      <c r="H428" t="b">
        <f t="shared" si="21"/>
        <v>0</v>
      </c>
      <c r="I428" s="29">
        <f t="shared" si="22"/>
        <v>39248</v>
      </c>
    </row>
    <row r="429" spans="1:9" ht="12.75" customHeight="1" x14ac:dyDescent="0.2">
      <c r="A429" s="28">
        <v>39248</v>
      </c>
      <c r="B429" s="26" t="s">
        <v>4132</v>
      </c>
      <c r="C429" s="26" t="s">
        <v>9</v>
      </c>
      <c r="D429" s="26" t="s">
        <v>20</v>
      </c>
      <c r="E429" s="26" t="s">
        <v>20</v>
      </c>
      <c r="F429" s="26">
        <v>1995149</v>
      </c>
      <c r="G429" t="b">
        <f t="shared" si="20"/>
        <v>0</v>
      </c>
      <c r="H429" t="b">
        <f t="shared" si="21"/>
        <v>0</v>
      </c>
      <c r="I429" s="29">
        <f t="shared" si="22"/>
        <v>39248</v>
      </c>
    </row>
    <row r="430" spans="1:9" ht="38.25" x14ac:dyDescent="0.2">
      <c r="A430" s="28">
        <v>39248</v>
      </c>
      <c r="B430" s="26" t="s">
        <v>4131</v>
      </c>
      <c r="C430" s="26" t="s">
        <v>9</v>
      </c>
      <c r="D430" s="26" t="s">
        <v>20</v>
      </c>
      <c r="E430" s="26">
        <v>1476</v>
      </c>
      <c r="F430" s="26" t="s">
        <v>20</v>
      </c>
      <c r="G430" t="b">
        <f t="shared" si="20"/>
        <v>0</v>
      </c>
      <c r="H430" t="b">
        <f t="shared" si="21"/>
        <v>0</v>
      </c>
      <c r="I430" s="29">
        <f t="shared" si="22"/>
        <v>39248</v>
      </c>
    </row>
    <row r="431" spans="1:9" ht="25.5" x14ac:dyDescent="0.2">
      <c r="A431" s="28">
        <v>39248</v>
      </c>
      <c r="B431" s="26" t="s">
        <v>4130</v>
      </c>
      <c r="C431" s="26" t="s">
        <v>3475</v>
      </c>
      <c r="D431" s="26">
        <v>30000000</v>
      </c>
      <c r="E431" s="26">
        <v>480314</v>
      </c>
      <c r="F431" s="26">
        <v>2670860</v>
      </c>
      <c r="G431" t="b">
        <f t="shared" si="20"/>
        <v>0</v>
      </c>
      <c r="H431" t="b">
        <f t="shared" si="21"/>
        <v>0</v>
      </c>
      <c r="I431" s="29">
        <f t="shared" si="22"/>
        <v>39248</v>
      </c>
    </row>
    <row r="432" spans="1:9" ht="12.75" customHeight="1" x14ac:dyDescent="0.2">
      <c r="A432" s="28">
        <v>39248</v>
      </c>
      <c r="B432" s="26" t="s">
        <v>4129</v>
      </c>
      <c r="C432" s="26" t="s">
        <v>9</v>
      </c>
      <c r="D432" s="26" t="s">
        <v>20</v>
      </c>
      <c r="E432" s="26" t="s">
        <v>20</v>
      </c>
      <c r="F432" s="26">
        <v>391303</v>
      </c>
      <c r="G432" t="b">
        <f t="shared" si="20"/>
        <v>0</v>
      </c>
      <c r="H432" t="b">
        <f t="shared" si="21"/>
        <v>0</v>
      </c>
      <c r="I432" s="29">
        <f t="shared" si="22"/>
        <v>39248</v>
      </c>
    </row>
    <row r="433" spans="1:9" ht="12.75" customHeight="1" x14ac:dyDescent="0.2">
      <c r="A433" s="28">
        <v>39248</v>
      </c>
      <c r="B433" s="26" t="s">
        <v>4128</v>
      </c>
      <c r="C433" s="26" t="s">
        <v>3419</v>
      </c>
      <c r="D433" s="26">
        <v>8000000</v>
      </c>
      <c r="E433" s="26">
        <v>298110</v>
      </c>
      <c r="F433" s="26">
        <v>419801</v>
      </c>
      <c r="G433" t="b">
        <f t="shared" si="20"/>
        <v>0</v>
      </c>
      <c r="H433" t="b">
        <f t="shared" si="21"/>
        <v>0</v>
      </c>
      <c r="I433" s="29">
        <f t="shared" si="22"/>
        <v>39248</v>
      </c>
    </row>
    <row r="434" spans="1:9" ht="12.75" customHeight="1" x14ac:dyDescent="0.2">
      <c r="A434" s="28">
        <v>39248</v>
      </c>
      <c r="B434" s="26" t="s">
        <v>4127</v>
      </c>
      <c r="C434" s="26" t="s">
        <v>2650</v>
      </c>
      <c r="D434" s="26" t="s">
        <v>20</v>
      </c>
      <c r="E434" s="26">
        <v>70807</v>
      </c>
      <c r="F434" s="26" t="s">
        <v>20</v>
      </c>
      <c r="G434" t="b">
        <f t="shared" si="20"/>
        <v>0</v>
      </c>
      <c r="H434" t="b">
        <f t="shared" si="21"/>
        <v>0</v>
      </c>
      <c r="I434" s="29">
        <f t="shared" si="22"/>
        <v>39248</v>
      </c>
    </row>
    <row r="435" spans="1:9" ht="38.25" x14ac:dyDescent="0.2">
      <c r="A435" s="28">
        <v>39248</v>
      </c>
      <c r="B435" s="26" t="s">
        <v>4126</v>
      </c>
      <c r="C435" s="26" t="s">
        <v>384</v>
      </c>
      <c r="D435" s="26">
        <v>120000000</v>
      </c>
      <c r="E435" s="26">
        <v>131921738</v>
      </c>
      <c r="F435" s="26">
        <v>288215319</v>
      </c>
      <c r="G435" t="b">
        <f t="shared" si="20"/>
        <v>0</v>
      </c>
      <c r="H435" t="b">
        <f t="shared" si="21"/>
        <v>0</v>
      </c>
      <c r="I435" s="29">
        <f t="shared" si="22"/>
        <v>39248</v>
      </c>
    </row>
    <row r="436" spans="1:9" ht="12.75" customHeight="1" x14ac:dyDescent="0.2">
      <c r="A436" s="28">
        <v>39248</v>
      </c>
      <c r="B436" s="26" t="s">
        <v>4125</v>
      </c>
      <c r="C436" s="26" t="s">
        <v>3218</v>
      </c>
      <c r="D436" s="26" t="s">
        <v>20</v>
      </c>
      <c r="E436" s="26">
        <v>221846</v>
      </c>
      <c r="F436" s="26" t="s">
        <v>20</v>
      </c>
      <c r="G436" t="b">
        <f t="shared" si="20"/>
        <v>0</v>
      </c>
      <c r="H436" t="b">
        <f t="shared" si="21"/>
        <v>0</v>
      </c>
      <c r="I436" s="29">
        <f t="shared" si="22"/>
        <v>39248</v>
      </c>
    </row>
    <row r="437" spans="1:9" ht="12.75" customHeight="1" x14ac:dyDescent="0.2">
      <c r="A437" s="28">
        <v>39248</v>
      </c>
      <c r="B437" s="26" t="s">
        <v>4124</v>
      </c>
      <c r="C437" s="26" t="s">
        <v>9</v>
      </c>
      <c r="D437" s="26" t="s">
        <v>20</v>
      </c>
      <c r="E437" s="26" t="s">
        <v>20</v>
      </c>
      <c r="F437" s="26">
        <v>5246967</v>
      </c>
      <c r="G437" t="b">
        <f t="shared" si="20"/>
        <v>0</v>
      </c>
      <c r="H437" t="b">
        <f t="shared" si="21"/>
        <v>0</v>
      </c>
      <c r="I437" s="29">
        <f t="shared" si="22"/>
        <v>39248</v>
      </c>
    </row>
    <row r="438" spans="1:9" ht="12.75" customHeight="1" x14ac:dyDescent="0.2">
      <c r="A438" s="28">
        <v>39248</v>
      </c>
      <c r="B438" s="26" t="s">
        <v>4123</v>
      </c>
      <c r="C438" s="26" t="s">
        <v>3209</v>
      </c>
      <c r="D438" s="26" t="s">
        <v>20</v>
      </c>
      <c r="E438" s="26">
        <v>25584685</v>
      </c>
      <c r="F438" s="26">
        <v>30584685</v>
      </c>
      <c r="G438" t="b">
        <f t="shared" si="20"/>
        <v>0</v>
      </c>
      <c r="H438" t="b">
        <f t="shared" si="21"/>
        <v>0</v>
      </c>
      <c r="I438" s="29">
        <f t="shared" si="22"/>
        <v>39248</v>
      </c>
    </row>
    <row r="439" spans="1:9" ht="12.75" customHeight="1" x14ac:dyDescent="0.2">
      <c r="A439" s="28">
        <v>39248</v>
      </c>
      <c r="B439" s="26" t="s">
        <v>4122</v>
      </c>
      <c r="C439" s="26" t="s">
        <v>9</v>
      </c>
      <c r="D439" s="26" t="s">
        <v>20</v>
      </c>
      <c r="E439" s="26">
        <v>19662</v>
      </c>
      <c r="F439" s="26" t="s">
        <v>20</v>
      </c>
      <c r="G439" t="b">
        <f t="shared" si="20"/>
        <v>0</v>
      </c>
      <c r="H439" t="b">
        <f t="shared" si="21"/>
        <v>0</v>
      </c>
      <c r="I439" s="29">
        <f t="shared" si="22"/>
        <v>39248</v>
      </c>
    </row>
    <row r="440" spans="1:9" ht="25.5" x14ac:dyDescent="0.2">
      <c r="A440" s="28">
        <v>39248</v>
      </c>
      <c r="B440" s="26" t="s">
        <v>4121</v>
      </c>
      <c r="C440" s="26" t="s">
        <v>9</v>
      </c>
      <c r="D440" s="26" t="s">
        <v>20</v>
      </c>
      <c r="E440" s="26">
        <v>949</v>
      </c>
      <c r="F440" s="26" t="s">
        <v>20</v>
      </c>
      <c r="G440" t="b">
        <f t="shared" si="20"/>
        <v>0</v>
      </c>
      <c r="H440" t="b">
        <f t="shared" si="21"/>
        <v>0</v>
      </c>
      <c r="I440" s="29">
        <f t="shared" si="22"/>
        <v>39248</v>
      </c>
    </row>
    <row r="441" spans="1:9" ht="12.75" customHeight="1" x14ac:dyDescent="0.2">
      <c r="A441" s="28">
        <v>39249</v>
      </c>
      <c r="B441" s="26" t="s">
        <v>4120</v>
      </c>
      <c r="C441" s="26" t="s">
        <v>9</v>
      </c>
      <c r="D441" s="26" t="s">
        <v>20</v>
      </c>
      <c r="E441" s="26" t="s">
        <v>20</v>
      </c>
      <c r="F441" s="26">
        <v>15287683</v>
      </c>
      <c r="G441" t="b">
        <f t="shared" si="20"/>
        <v>0</v>
      </c>
      <c r="H441" t="b">
        <f t="shared" si="21"/>
        <v>0</v>
      </c>
      <c r="I441" s="29">
        <f t="shared" si="22"/>
        <v>39249</v>
      </c>
    </row>
    <row r="442" spans="1:9" ht="12.75" customHeight="1" x14ac:dyDescent="0.2">
      <c r="A442" s="28">
        <v>39253</v>
      </c>
      <c r="B442" s="26" t="s">
        <v>4119</v>
      </c>
      <c r="C442" s="26" t="s">
        <v>9</v>
      </c>
      <c r="D442" s="26" t="s">
        <v>20</v>
      </c>
      <c r="E442" s="26" t="s">
        <v>20</v>
      </c>
      <c r="F442" s="26" t="s">
        <v>20</v>
      </c>
      <c r="G442" t="b">
        <f t="shared" si="20"/>
        <v>0</v>
      </c>
      <c r="H442" t="b">
        <f t="shared" si="21"/>
        <v>0</v>
      </c>
      <c r="I442" s="29">
        <f t="shared" si="22"/>
        <v>39253</v>
      </c>
    </row>
    <row r="443" spans="1:9" ht="25.5" x14ac:dyDescent="0.2">
      <c r="A443" s="28">
        <v>39253</v>
      </c>
      <c r="B443" s="26" t="s">
        <v>4118</v>
      </c>
      <c r="C443" s="26" t="s">
        <v>9</v>
      </c>
      <c r="D443" s="26" t="s">
        <v>20</v>
      </c>
      <c r="E443" s="26">
        <v>395623</v>
      </c>
      <c r="F443" s="26" t="s">
        <v>20</v>
      </c>
      <c r="G443" t="b">
        <f t="shared" ref="G443:G504" si="23">ISBLANK(A443)</f>
        <v>0</v>
      </c>
      <c r="H443" t="b">
        <f t="shared" ref="H443:H504" si="24">ISTEXT(A443)</f>
        <v>0</v>
      </c>
      <c r="I443" s="29">
        <f t="shared" si="22"/>
        <v>39253</v>
      </c>
    </row>
    <row r="444" spans="1:9" ht="12.75" customHeight="1" x14ac:dyDescent="0.2">
      <c r="A444" s="28">
        <v>39255</v>
      </c>
      <c r="B444" s="26" t="s">
        <v>4117</v>
      </c>
      <c r="C444" s="26" t="s">
        <v>9</v>
      </c>
      <c r="D444" s="26" t="s">
        <v>20</v>
      </c>
      <c r="E444" s="26">
        <v>86051</v>
      </c>
      <c r="F444" s="26" t="s">
        <v>20</v>
      </c>
      <c r="G444" t="b">
        <f t="shared" si="23"/>
        <v>0</v>
      </c>
      <c r="H444" t="b">
        <f t="shared" si="24"/>
        <v>0</v>
      </c>
      <c r="I444" s="29">
        <f t="shared" si="22"/>
        <v>39255</v>
      </c>
    </row>
    <row r="445" spans="1:9" ht="12.75" customHeight="1" x14ac:dyDescent="0.2">
      <c r="A445" s="28">
        <v>39255</v>
      </c>
      <c r="B445" s="26">
        <v>1408</v>
      </c>
      <c r="C445" s="26" t="s">
        <v>3475</v>
      </c>
      <c r="D445" s="26">
        <v>22500000</v>
      </c>
      <c r="E445" s="26">
        <v>71985628</v>
      </c>
      <c r="F445" s="26">
        <v>128529299</v>
      </c>
      <c r="G445" t="b">
        <f t="shared" si="23"/>
        <v>0</v>
      </c>
      <c r="H445" t="b">
        <f t="shared" si="24"/>
        <v>0</v>
      </c>
      <c r="I445" s="29">
        <f t="shared" si="22"/>
        <v>39255</v>
      </c>
    </row>
    <row r="446" spans="1:9" ht="25.5" x14ac:dyDescent="0.2">
      <c r="A446" s="28">
        <v>39255</v>
      </c>
      <c r="B446" s="26" t="s">
        <v>4116</v>
      </c>
      <c r="C446" s="26" t="s">
        <v>2168</v>
      </c>
      <c r="D446" s="26">
        <v>15000000</v>
      </c>
      <c r="E446" s="26">
        <v>9176787</v>
      </c>
      <c r="F446" s="26">
        <v>18932117</v>
      </c>
      <c r="G446" t="b">
        <f t="shared" si="23"/>
        <v>0</v>
      </c>
      <c r="H446" t="b">
        <f t="shared" si="24"/>
        <v>0</v>
      </c>
      <c r="I446" s="29">
        <f t="shared" si="22"/>
        <v>39255</v>
      </c>
    </row>
    <row r="447" spans="1:9" ht="12.75" customHeight="1" x14ac:dyDescent="0.2">
      <c r="A447" s="28">
        <v>39255</v>
      </c>
      <c r="B447" s="26" t="s">
        <v>4115</v>
      </c>
      <c r="C447" s="26" t="s">
        <v>3466</v>
      </c>
      <c r="D447" s="26">
        <v>4000000</v>
      </c>
      <c r="E447" s="26">
        <v>2426851</v>
      </c>
      <c r="F447" s="26" t="s">
        <v>20</v>
      </c>
      <c r="G447" t="b">
        <f t="shared" si="23"/>
        <v>0</v>
      </c>
      <c r="H447" t="b">
        <f t="shared" si="24"/>
        <v>0</v>
      </c>
      <c r="I447" s="29">
        <f t="shared" si="22"/>
        <v>39255</v>
      </c>
    </row>
    <row r="448" spans="1:9" ht="12.75" customHeight="1" x14ac:dyDescent="0.2">
      <c r="A448" s="28">
        <v>39255</v>
      </c>
      <c r="B448" s="26" t="s">
        <v>4114</v>
      </c>
      <c r="C448" s="26" t="s">
        <v>3466</v>
      </c>
      <c r="D448" s="26" t="s">
        <v>20</v>
      </c>
      <c r="E448" s="26">
        <v>82987</v>
      </c>
      <c r="F448" s="26">
        <v>4460308</v>
      </c>
      <c r="G448" t="b">
        <f t="shared" si="23"/>
        <v>0</v>
      </c>
      <c r="H448" t="b">
        <f t="shared" si="24"/>
        <v>0</v>
      </c>
      <c r="I448" s="29">
        <f t="shared" si="22"/>
        <v>39255</v>
      </c>
    </row>
    <row r="449" spans="1:9" ht="12.75" customHeight="1" x14ac:dyDescent="0.2">
      <c r="A449" s="28">
        <v>39255</v>
      </c>
      <c r="B449" s="26" t="s">
        <v>4113</v>
      </c>
      <c r="C449" s="26" t="s">
        <v>746</v>
      </c>
      <c r="D449" s="26" t="s">
        <v>20</v>
      </c>
      <c r="E449" s="26">
        <v>956919</v>
      </c>
      <c r="F449" s="26">
        <v>1944150</v>
      </c>
      <c r="G449" t="b">
        <f t="shared" si="23"/>
        <v>0</v>
      </c>
      <c r="H449" t="b">
        <f t="shared" si="24"/>
        <v>0</v>
      </c>
      <c r="I449" s="29">
        <f t="shared" si="22"/>
        <v>39255</v>
      </c>
    </row>
    <row r="450" spans="1:9" ht="12.75" customHeight="1" x14ac:dyDescent="0.2">
      <c r="A450" s="28">
        <v>39255</v>
      </c>
      <c r="B450" s="26" t="s">
        <v>4112</v>
      </c>
      <c r="C450" s="26" t="s">
        <v>3096</v>
      </c>
      <c r="D450" s="26">
        <v>175000000</v>
      </c>
      <c r="E450" s="26">
        <v>100289690</v>
      </c>
      <c r="F450" s="26">
        <v>173219280</v>
      </c>
      <c r="G450" t="b">
        <f t="shared" si="23"/>
        <v>0</v>
      </c>
      <c r="H450" t="b">
        <f t="shared" si="24"/>
        <v>0</v>
      </c>
      <c r="I450" s="29">
        <f t="shared" si="22"/>
        <v>39255</v>
      </c>
    </row>
    <row r="451" spans="1:9" ht="12.75" customHeight="1" x14ac:dyDescent="0.2">
      <c r="A451" s="28">
        <v>39255</v>
      </c>
      <c r="B451" s="26" t="s">
        <v>4111</v>
      </c>
      <c r="C451" s="26" t="s">
        <v>49</v>
      </c>
      <c r="D451" s="26">
        <v>9000000</v>
      </c>
      <c r="E451" s="26">
        <v>24538513</v>
      </c>
      <c r="F451" s="26">
        <v>33538513</v>
      </c>
      <c r="G451" t="b">
        <f t="shared" si="23"/>
        <v>0</v>
      </c>
      <c r="H451" t="b">
        <f t="shared" si="24"/>
        <v>0</v>
      </c>
      <c r="I451" s="29">
        <f t="shared" ref="I451:I514" si="25">DATE(2007,MONTH(A451), DAY(A451))</f>
        <v>39255</v>
      </c>
    </row>
    <row r="452" spans="1:9" ht="12.75" customHeight="1" x14ac:dyDescent="0.2">
      <c r="A452" s="28">
        <v>39255</v>
      </c>
      <c r="B452" s="26" t="s">
        <v>4110</v>
      </c>
      <c r="C452" s="26" t="s">
        <v>9</v>
      </c>
      <c r="D452" s="26" t="s">
        <v>20</v>
      </c>
      <c r="E452" s="26">
        <v>18361</v>
      </c>
      <c r="F452" s="26">
        <v>632782</v>
      </c>
      <c r="G452" t="b">
        <f t="shared" si="23"/>
        <v>0</v>
      </c>
      <c r="H452" t="b">
        <f t="shared" si="24"/>
        <v>0</v>
      </c>
      <c r="I452" s="29">
        <f t="shared" si="25"/>
        <v>39255</v>
      </c>
    </row>
    <row r="453" spans="1:9" ht="12.75" customHeight="1" x14ac:dyDescent="0.2">
      <c r="A453" s="28">
        <v>39255</v>
      </c>
      <c r="B453" s="26" t="s">
        <v>4109</v>
      </c>
      <c r="C453" s="26" t="s">
        <v>2160</v>
      </c>
      <c r="D453" s="26" t="s">
        <v>20</v>
      </c>
      <c r="E453" s="26" t="s">
        <v>20</v>
      </c>
      <c r="F453" s="26" t="s">
        <v>20</v>
      </c>
      <c r="G453" t="b">
        <f t="shared" si="23"/>
        <v>0</v>
      </c>
      <c r="H453" t="b">
        <f t="shared" si="24"/>
        <v>0</v>
      </c>
      <c r="I453" s="29">
        <f t="shared" si="25"/>
        <v>39255</v>
      </c>
    </row>
    <row r="454" spans="1:9" ht="25.5" x14ac:dyDescent="0.2">
      <c r="A454" s="28">
        <v>39255</v>
      </c>
      <c r="B454" s="26" t="s">
        <v>4108</v>
      </c>
      <c r="C454" s="26" t="s">
        <v>9</v>
      </c>
      <c r="D454" s="26" t="s">
        <v>20</v>
      </c>
      <c r="E454" s="26" t="s">
        <v>20</v>
      </c>
      <c r="F454" s="26">
        <v>4306083</v>
      </c>
      <c r="G454" t="b">
        <f t="shared" si="23"/>
        <v>0</v>
      </c>
      <c r="H454" t="b">
        <f t="shared" si="24"/>
        <v>0</v>
      </c>
      <c r="I454" s="29">
        <f t="shared" si="25"/>
        <v>39255</v>
      </c>
    </row>
    <row r="455" spans="1:9" ht="25.5" x14ac:dyDescent="0.2">
      <c r="A455" s="28">
        <v>39255</v>
      </c>
      <c r="B455" s="26" t="s">
        <v>4107</v>
      </c>
      <c r="C455" s="26" t="s">
        <v>9</v>
      </c>
      <c r="D455" s="26" t="s">
        <v>20</v>
      </c>
      <c r="E455" s="26">
        <v>41004</v>
      </c>
      <c r="F455" s="26" t="s">
        <v>20</v>
      </c>
      <c r="G455" t="b">
        <f t="shared" si="23"/>
        <v>0</v>
      </c>
      <c r="H455" t="b">
        <f t="shared" si="24"/>
        <v>0</v>
      </c>
      <c r="I455" s="29">
        <f t="shared" si="25"/>
        <v>39255</v>
      </c>
    </row>
    <row r="456" spans="1:9" ht="12.75" customHeight="1" x14ac:dyDescent="0.2">
      <c r="A456" s="28">
        <v>39255</v>
      </c>
      <c r="B456" s="26" t="s">
        <v>4106</v>
      </c>
      <c r="C456" s="26" t="s">
        <v>9</v>
      </c>
      <c r="D456" s="26" t="s">
        <v>20</v>
      </c>
      <c r="E456" s="26">
        <v>687414</v>
      </c>
      <c r="F456" s="26" t="s">
        <v>20</v>
      </c>
      <c r="G456" t="b">
        <f t="shared" si="23"/>
        <v>0</v>
      </c>
      <c r="H456" t="b">
        <f t="shared" si="24"/>
        <v>0</v>
      </c>
      <c r="I456" s="29">
        <f t="shared" si="25"/>
        <v>39255</v>
      </c>
    </row>
    <row r="457" spans="1:9" ht="25.5" x14ac:dyDescent="0.2">
      <c r="A457" s="28">
        <v>39255</v>
      </c>
      <c r="B457" s="26" t="s">
        <v>4105</v>
      </c>
      <c r="C457" s="26" t="s">
        <v>9</v>
      </c>
      <c r="D457" s="26" t="s">
        <v>20</v>
      </c>
      <c r="E457" s="26" t="s">
        <v>20</v>
      </c>
      <c r="F457" s="26">
        <v>8374592</v>
      </c>
      <c r="G457" t="b">
        <f t="shared" si="23"/>
        <v>0</v>
      </c>
      <c r="H457" t="b">
        <f t="shared" si="24"/>
        <v>0</v>
      </c>
      <c r="I457" s="29">
        <f t="shared" si="25"/>
        <v>39255</v>
      </c>
    </row>
    <row r="458" spans="1:9" ht="12.75" customHeight="1" x14ac:dyDescent="0.2">
      <c r="A458" s="28">
        <v>39255</v>
      </c>
      <c r="B458" s="26" t="s">
        <v>4104</v>
      </c>
      <c r="C458" s="26" t="s">
        <v>9</v>
      </c>
      <c r="D458" s="26" t="s">
        <v>20</v>
      </c>
      <c r="E458" s="26" t="s">
        <v>20</v>
      </c>
      <c r="F458" s="26">
        <v>464265</v>
      </c>
      <c r="G458" t="b">
        <f t="shared" si="23"/>
        <v>0</v>
      </c>
      <c r="H458" t="b">
        <f t="shared" si="24"/>
        <v>0</v>
      </c>
      <c r="I458" s="29">
        <f t="shared" si="25"/>
        <v>39255</v>
      </c>
    </row>
    <row r="459" spans="1:9" ht="12.75" customHeight="1" x14ac:dyDescent="0.2">
      <c r="A459" s="28">
        <v>39255</v>
      </c>
      <c r="B459" s="26" t="s">
        <v>4103</v>
      </c>
      <c r="C459" s="26" t="s">
        <v>9</v>
      </c>
      <c r="D459" s="26" t="s">
        <v>20</v>
      </c>
      <c r="E459" s="26" t="s">
        <v>20</v>
      </c>
      <c r="F459" s="26">
        <v>542554</v>
      </c>
      <c r="G459" t="b">
        <f t="shared" si="23"/>
        <v>0</v>
      </c>
      <c r="H459" t="b">
        <f t="shared" si="24"/>
        <v>0</v>
      </c>
      <c r="I459" s="29">
        <f t="shared" si="25"/>
        <v>39255</v>
      </c>
    </row>
    <row r="460" spans="1:9" ht="12.75" customHeight="1" x14ac:dyDescent="0.2">
      <c r="A460" s="28">
        <v>39255</v>
      </c>
      <c r="B460" s="26" t="s">
        <v>4102</v>
      </c>
      <c r="C460" s="26" t="s">
        <v>9</v>
      </c>
      <c r="D460" s="26" t="s">
        <v>20</v>
      </c>
      <c r="E460" s="26" t="s">
        <v>20</v>
      </c>
      <c r="F460" s="26">
        <v>9306547</v>
      </c>
      <c r="G460" t="b">
        <f t="shared" si="23"/>
        <v>0</v>
      </c>
      <c r="H460" t="b">
        <f t="shared" si="24"/>
        <v>0</v>
      </c>
      <c r="I460" s="29">
        <f t="shared" si="25"/>
        <v>39255</v>
      </c>
    </row>
    <row r="461" spans="1:9" ht="38.25" x14ac:dyDescent="0.2">
      <c r="A461" s="28">
        <v>39259</v>
      </c>
      <c r="B461" s="26" t="s">
        <v>4101</v>
      </c>
      <c r="C461" s="26" t="s">
        <v>9</v>
      </c>
      <c r="D461" s="26" t="s">
        <v>20</v>
      </c>
      <c r="E461" s="26" t="s">
        <v>20</v>
      </c>
      <c r="F461" s="26" t="s">
        <v>20</v>
      </c>
      <c r="G461" t="b">
        <f t="shared" si="23"/>
        <v>0</v>
      </c>
      <c r="H461" t="b">
        <f t="shared" si="24"/>
        <v>0</v>
      </c>
      <c r="I461" s="29">
        <f t="shared" si="25"/>
        <v>39259</v>
      </c>
    </row>
    <row r="462" spans="1:9" ht="12.75" customHeight="1" x14ac:dyDescent="0.2">
      <c r="A462" s="28">
        <v>39260</v>
      </c>
      <c r="B462" s="26" t="s">
        <v>4100</v>
      </c>
      <c r="C462" s="26" t="s">
        <v>1760</v>
      </c>
      <c r="D462" s="26" t="s">
        <v>20</v>
      </c>
      <c r="E462" s="26">
        <v>23465</v>
      </c>
      <c r="F462" s="26" t="s">
        <v>20</v>
      </c>
      <c r="G462" t="b">
        <f t="shared" si="23"/>
        <v>0</v>
      </c>
      <c r="H462" t="b">
        <f t="shared" si="24"/>
        <v>0</v>
      </c>
      <c r="I462" s="29">
        <f t="shared" si="25"/>
        <v>39260</v>
      </c>
    </row>
    <row r="463" spans="1:9" ht="25.5" x14ac:dyDescent="0.2">
      <c r="A463" s="28">
        <v>39260</v>
      </c>
      <c r="B463" s="26" t="s">
        <v>4099</v>
      </c>
      <c r="C463" s="26" t="s">
        <v>384</v>
      </c>
      <c r="D463" s="26">
        <v>110000000</v>
      </c>
      <c r="E463" s="26">
        <v>134529403</v>
      </c>
      <c r="F463" s="26">
        <v>383531464</v>
      </c>
      <c r="G463" t="b">
        <f t="shared" si="23"/>
        <v>0</v>
      </c>
      <c r="H463" t="b">
        <f t="shared" si="24"/>
        <v>0</v>
      </c>
      <c r="I463" s="29">
        <f t="shared" si="25"/>
        <v>39260</v>
      </c>
    </row>
    <row r="464" spans="1:9" ht="12.75" customHeight="1" x14ac:dyDescent="0.2">
      <c r="A464" s="28">
        <v>39262</v>
      </c>
      <c r="B464" s="26" t="s">
        <v>4098</v>
      </c>
      <c r="C464" s="26" t="s">
        <v>3502</v>
      </c>
      <c r="D464" s="26" t="s">
        <v>20</v>
      </c>
      <c r="E464" s="26" t="s">
        <v>20</v>
      </c>
      <c r="F464" s="26" t="s">
        <v>20</v>
      </c>
      <c r="G464" t="b">
        <f t="shared" si="23"/>
        <v>0</v>
      </c>
      <c r="H464" t="b">
        <f t="shared" si="24"/>
        <v>0</v>
      </c>
      <c r="I464" s="29">
        <f t="shared" si="25"/>
        <v>39262</v>
      </c>
    </row>
    <row r="465" spans="1:9" ht="25.5" x14ac:dyDescent="0.2">
      <c r="A465" s="28">
        <v>39262</v>
      </c>
      <c r="B465" s="26" t="s">
        <v>4097</v>
      </c>
      <c r="C465" s="26" t="s">
        <v>2911</v>
      </c>
      <c r="D465" s="26" t="s">
        <v>20</v>
      </c>
      <c r="E465" s="26">
        <v>20577</v>
      </c>
      <c r="F465" s="26" t="s">
        <v>20</v>
      </c>
      <c r="G465" t="b">
        <f t="shared" si="23"/>
        <v>0</v>
      </c>
      <c r="H465" t="b">
        <f t="shared" si="24"/>
        <v>0</v>
      </c>
      <c r="I465" s="29">
        <f t="shared" si="25"/>
        <v>39262</v>
      </c>
    </row>
    <row r="466" spans="1:9" ht="12.75" customHeight="1" x14ac:dyDescent="0.2">
      <c r="A466" s="28">
        <v>39262</v>
      </c>
      <c r="B466" s="26" t="s">
        <v>4096</v>
      </c>
      <c r="C466" s="26" t="s">
        <v>9</v>
      </c>
      <c r="D466" s="26" t="s">
        <v>20</v>
      </c>
      <c r="E466" s="26">
        <v>82772</v>
      </c>
      <c r="F466" s="26" t="s">
        <v>20</v>
      </c>
      <c r="G466" t="b">
        <f t="shared" si="23"/>
        <v>0</v>
      </c>
      <c r="H466" t="b">
        <f t="shared" si="24"/>
        <v>0</v>
      </c>
      <c r="I466" s="29">
        <f t="shared" si="25"/>
        <v>39262</v>
      </c>
    </row>
    <row r="467" spans="1:9" ht="25.5" x14ac:dyDescent="0.2">
      <c r="A467" s="28">
        <v>39262</v>
      </c>
      <c r="B467" s="26" t="s">
        <v>4095</v>
      </c>
      <c r="C467" s="26" t="s">
        <v>9</v>
      </c>
      <c r="D467" s="26" t="s">
        <v>20</v>
      </c>
      <c r="E467" s="26" t="s">
        <v>20</v>
      </c>
      <c r="F467" s="26">
        <v>2327800</v>
      </c>
      <c r="G467" t="b">
        <f t="shared" si="23"/>
        <v>0</v>
      </c>
      <c r="H467" t="b">
        <f t="shared" si="24"/>
        <v>0</v>
      </c>
      <c r="I467" s="29">
        <f t="shared" si="25"/>
        <v>39262</v>
      </c>
    </row>
    <row r="468" spans="1:9" ht="12.75" customHeight="1" x14ac:dyDescent="0.2">
      <c r="A468" s="28">
        <v>39262</v>
      </c>
      <c r="B468" s="26" t="s">
        <v>4094</v>
      </c>
      <c r="C468" s="26" t="s">
        <v>2285</v>
      </c>
      <c r="D468" s="26">
        <v>1900000</v>
      </c>
      <c r="E468" s="26">
        <v>18435</v>
      </c>
      <c r="F468" s="26" t="s">
        <v>20</v>
      </c>
      <c r="G468" t="b">
        <f t="shared" si="23"/>
        <v>0</v>
      </c>
      <c r="H468" t="b">
        <f t="shared" si="24"/>
        <v>0</v>
      </c>
      <c r="I468" s="29">
        <f t="shared" si="25"/>
        <v>39262</v>
      </c>
    </row>
    <row r="469" spans="1:9" ht="12.75" customHeight="1" x14ac:dyDescent="0.2">
      <c r="A469" s="28">
        <v>39262</v>
      </c>
      <c r="B469" s="26" t="s">
        <v>4093</v>
      </c>
      <c r="C469" s="26" t="s">
        <v>9</v>
      </c>
      <c r="D469" s="26" t="s">
        <v>20</v>
      </c>
      <c r="E469" s="26" t="s">
        <v>20</v>
      </c>
      <c r="F469" s="26">
        <v>393000</v>
      </c>
      <c r="G469" t="b">
        <f t="shared" si="23"/>
        <v>0</v>
      </c>
      <c r="H469" t="b">
        <f t="shared" si="24"/>
        <v>0</v>
      </c>
      <c r="I469" s="29">
        <f t="shared" si="25"/>
        <v>39262</v>
      </c>
    </row>
    <row r="470" spans="1:9" ht="12.75" customHeight="1" x14ac:dyDescent="0.2">
      <c r="A470" s="28">
        <v>39262</v>
      </c>
      <c r="B470" s="26" t="s">
        <v>4092</v>
      </c>
      <c r="C470" s="26" t="s">
        <v>612</v>
      </c>
      <c r="D470" s="26" t="s">
        <v>20</v>
      </c>
      <c r="E470" s="26">
        <v>187480</v>
      </c>
      <c r="F470" s="26">
        <v>6079556</v>
      </c>
      <c r="G470" t="b">
        <f t="shared" si="23"/>
        <v>0</v>
      </c>
      <c r="H470" t="b">
        <f t="shared" si="24"/>
        <v>0</v>
      </c>
      <c r="I470" s="29">
        <f t="shared" si="25"/>
        <v>39262</v>
      </c>
    </row>
    <row r="471" spans="1:9" ht="12.75" customHeight="1" x14ac:dyDescent="0.2">
      <c r="A471" s="28">
        <v>39262</v>
      </c>
      <c r="B471" s="26" t="s">
        <v>4091</v>
      </c>
      <c r="C471" s="26" t="s">
        <v>1712</v>
      </c>
      <c r="D471" s="26" t="s">
        <v>20</v>
      </c>
      <c r="E471" s="26" t="s">
        <v>20</v>
      </c>
      <c r="F471" s="26">
        <v>6643574</v>
      </c>
      <c r="G471" t="b">
        <f t="shared" si="23"/>
        <v>0</v>
      </c>
      <c r="H471" t="b">
        <f t="shared" si="24"/>
        <v>0</v>
      </c>
      <c r="I471" s="29">
        <f t="shared" si="25"/>
        <v>39262</v>
      </c>
    </row>
    <row r="472" spans="1:9" ht="12.75" customHeight="1" x14ac:dyDescent="0.2">
      <c r="A472" s="28">
        <v>39262</v>
      </c>
      <c r="B472" s="26" t="s">
        <v>4090</v>
      </c>
      <c r="C472" s="26" t="s">
        <v>3390</v>
      </c>
      <c r="D472" s="26">
        <v>150000000</v>
      </c>
      <c r="E472" s="26">
        <v>206445654</v>
      </c>
      <c r="F472" s="26">
        <v>624445654</v>
      </c>
      <c r="G472" t="b">
        <f t="shared" si="23"/>
        <v>0</v>
      </c>
      <c r="H472" t="b">
        <f t="shared" si="24"/>
        <v>0</v>
      </c>
      <c r="I472" s="29">
        <f t="shared" si="25"/>
        <v>39262</v>
      </c>
    </row>
    <row r="473" spans="1:9" ht="25.5" x14ac:dyDescent="0.2">
      <c r="A473" s="28">
        <v>39262</v>
      </c>
      <c r="B473" s="26" t="s">
        <v>4089</v>
      </c>
      <c r="C473" s="26" t="s">
        <v>3233</v>
      </c>
      <c r="D473" s="26" t="s">
        <v>20</v>
      </c>
      <c r="E473" s="26">
        <v>48752</v>
      </c>
      <c r="F473" s="26" t="s">
        <v>20</v>
      </c>
      <c r="G473" t="b">
        <f t="shared" si="23"/>
        <v>0</v>
      </c>
      <c r="H473" t="b">
        <f t="shared" si="24"/>
        <v>0</v>
      </c>
      <c r="I473" s="29">
        <f t="shared" si="25"/>
        <v>39262</v>
      </c>
    </row>
    <row r="474" spans="1:9" ht="12.75" customHeight="1" x14ac:dyDescent="0.2">
      <c r="A474" s="28">
        <v>39262</v>
      </c>
      <c r="B474" s="26" t="s">
        <v>4088</v>
      </c>
      <c r="C474" s="26" t="s">
        <v>9</v>
      </c>
      <c r="D474" s="26" t="s">
        <v>20</v>
      </c>
      <c r="E474" s="26" t="s">
        <v>20</v>
      </c>
      <c r="F474" s="26">
        <v>1299428</v>
      </c>
      <c r="G474" t="b">
        <f t="shared" si="23"/>
        <v>0</v>
      </c>
      <c r="H474" t="b">
        <f t="shared" si="24"/>
        <v>0</v>
      </c>
      <c r="I474" s="29">
        <f t="shared" si="25"/>
        <v>39262</v>
      </c>
    </row>
    <row r="475" spans="1:9" ht="25.5" x14ac:dyDescent="0.2">
      <c r="A475" s="28">
        <v>39262</v>
      </c>
      <c r="B475" s="26" t="s">
        <v>4087</v>
      </c>
      <c r="C475" s="26" t="s">
        <v>9</v>
      </c>
      <c r="D475" s="26" t="s">
        <v>20</v>
      </c>
      <c r="E475" s="26" t="s">
        <v>20</v>
      </c>
      <c r="F475" s="26">
        <v>653855</v>
      </c>
      <c r="G475" t="b">
        <f t="shared" si="23"/>
        <v>0</v>
      </c>
      <c r="H475" t="b">
        <f t="shared" si="24"/>
        <v>0</v>
      </c>
      <c r="I475" s="29">
        <f t="shared" si="25"/>
        <v>39262</v>
      </c>
    </row>
    <row r="476" spans="1:9" ht="25.5" x14ac:dyDescent="0.2">
      <c r="A476" s="28">
        <v>39262</v>
      </c>
      <c r="B476" s="26" t="s">
        <v>4086</v>
      </c>
      <c r="C476" s="26" t="s">
        <v>9</v>
      </c>
      <c r="D476" s="26" t="s">
        <v>20</v>
      </c>
      <c r="E476" s="26" t="s">
        <v>20</v>
      </c>
      <c r="F476" s="26">
        <v>2040604</v>
      </c>
      <c r="G476" t="b">
        <f t="shared" si="23"/>
        <v>0</v>
      </c>
      <c r="H476" t="b">
        <f t="shared" si="24"/>
        <v>0</v>
      </c>
      <c r="I476" s="29">
        <f t="shared" si="25"/>
        <v>39262</v>
      </c>
    </row>
    <row r="477" spans="1:9" ht="12.75" customHeight="1" x14ac:dyDescent="0.2">
      <c r="A477" s="28">
        <v>39262</v>
      </c>
      <c r="B477" s="26" t="s">
        <v>4085</v>
      </c>
      <c r="C477" s="26" t="s">
        <v>9</v>
      </c>
      <c r="D477" s="26" t="s">
        <v>20</v>
      </c>
      <c r="E477" s="26" t="s">
        <v>20</v>
      </c>
      <c r="F477" s="26">
        <v>4791144</v>
      </c>
      <c r="G477" t="b">
        <f t="shared" si="23"/>
        <v>0</v>
      </c>
      <c r="H477" t="b">
        <f t="shared" si="24"/>
        <v>0</v>
      </c>
      <c r="I477" s="29">
        <f t="shared" si="25"/>
        <v>39262</v>
      </c>
    </row>
    <row r="478" spans="1:9" ht="12.75" customHeight="1" x14ac:dyDescent="0.2">
      <c r="A478" s="28">
        <v>39262</v>
      </c>
      <c r="B478" s="26" t="s">
        <v>4084</v>
      </c>
      <c r="C478" s="26" t="s">
        <v>1760</v>
      </c>
      <c r="D478" s="26" t="s">
        <v>20</v>
      </c>
      <c r="E478" s="26">
        <v>509</v>
      </c>
      <c r="F478" s="26" t="s">
        <v>20</v>
      </c>
      <c r="G478" t="b">
        <f t="shared" si="23"/>
        <v>0</v>
      </c>
      <c r="H478" t="b">
        <f t="shared" si="24"/>
        <v>0</v>
      </c>
      <c r="I478" s="29">
        <f t="shared" si="25"/>
        <v>39262</v>
      </c>
    </row>
    <row r="479" spans="1:9" ht="12.75" customHeight="1" x14ac:dyDescent="0.2">
      <c r="A479" s="28">
        <v>39262</v>
      </c>
      <c r="B479" s="26" t="s">
        <v>4083</v>
      </c>
      <c r="C479" s="26" t="s">
        <v>698</v>
      </c>
      <c r="D479" s="26" t="s">
        <v>20</v>
      </c>
      <c r="E479" s="26">
        <v>12406646</v>
      </c>
      <c r="F479" s="26">
        <v>12885574</v>
      </c>
      <c r="G479" t="b">
        <f t="shared" si="23"/>
        <v>0</v>
      </c>
      <c r="H479" t="b">
        <f t="shared" si="24"/>
        <v>0</v>
      </c>
      <c r="I479" s="29">
        <f t="shared" si="25"/>
        <v>39262</v>
      </c>
    </row>
    <row r="480" spans="1:9" ht="12.75" customHeight="1" x14ac:dyDescent="0.2">
      <c r="A480" s="28">
        <v>39263</v>
      </c>
      <c r="B480" s="26" t="s">
        <v>4082</v>
      </c>
      <c r="C480" s="26" t="s">
        <v>9</v>
      </c>
      <c r="D480" s="26" t="s">
        <v>20</v>
      </c>
      <c r="E480" s="26">
        <v>3768878</v>
      </c>
      <c r="F480" s="26" t="s">
        <v>20</v>
      </c>
      <c r="G480" t="b">
        <f t="shared" si="23"/>
        <v>0</v>
      </c>
      <c r="H480" t="b">
        <f t="shared" si="24"/>
        <v>0</v>
      </c>
      <c r="I480" s="29">
        <f t="shared" si="25"/>
        <v>39263</v>
      </c>
    </row>
    <row r="481" spans="1:9" ht="12.75" customHeight="1" x14ac:dyDescent="0.2">
      <c r="A481" s="28">
        <v>39266</v>
      </c>
      <c r="B481" s="26" t="s">
        <v>4081</v>
      </c>
      <c r="C481" s="26" t="s">
        <v>3240</v>
      </c>
      <c r="D481" s="26">
        <v>151000000</v>
      </c>
      <c r="E481" s="26">
        <v>319246193</v>
      </c>
      <c r="F481" s="26">
        <v>708272592</v>
      </c>
      <c r="G481" t="b">
        <f t="shared" si="23"/>
        <v>0</v>
      </c>
      <c r="H481" t="b">
        <f t="shared" si="24"/>
        <v>0</v>
      </c>
      <c r="I481" s="29">
        <f t="shared" si="25"/>
        <v>39266</v>
      </c>
    </row>
    <row r="482" spans="1:9" ht="12.75" customHeight="1" x14ac:dyDescent="0.2">
      <c r="A482" s="28">
        <v>39266</v>
      </c>
      <c r="B482" s="26" t="s">
        <v>4080</v>
      </c>
      <c r="C482" s="26" t="s">
        <v>3209</v>
      </c>
      <c r="D482" s="26">
        <v>35000000</v>
      </c>
      <c r="E482" s="26">
        <v>43792641</v>
      </c>
      <c r="F482" s="26">
        <v>70792641</v>
      </c>
      <c r="G482" t="b">
        <f t="shared" si="23"/>
        <v>0</v>
      </c>
      <c r="H482" t="b">
        <f t="shared" si="24"/>
        <v>0</v>
      </c>
      <c r="I482" s="29">
        <f t="shared" si="25"/>
        <v>39266</v>
      </c>
    </row>
    <row r="483" spans="1:9" ht="12.75" customHeight="1" x14ac:dyDescent="0.2">
      <c r="A483" s="28">
        <v>39266</v>
      </c>
      <c r="B483" s="26" t="s">
        <v>4079</v>
      </c>
      <c r="C483" s="26" t="s">
        <v>9</v>
      </c>
      <c r="D483" s="26" t="s">
        <v>20</v>
      </c>
      <c r="E483" s="26" t="s">
        <v>20</v>
      </c>
      <c r="F483" s="26" t="s">
        <v>20</v>
      </c>
      <c r="G483" t="b">
        <f t="shared" si="23"/>
        <v>0</v>
      </c>
      <c r="H483" t="b">
        <f t="shared" si="24"/>
        <v>0</v>
      </c>
      <c r="I483" s="29">
        <f t="shared" si="25"/>
        <v>39266</v>
      </c>
    </row>
    <row r="484" spans="1:9" ht="38.25" x14ac:dyDescent="0.2">
      <c r="A484" s="28">
        <v>39267</v>
      </c>
      <c r="B484" s="26" t="s">
        <v>4078</v>
      </c>
      <c r="C484" s="26" t="s">
        <v>2837</v>
      </c>
      <c r="D484" s="26" t="s">
        <v>20</v>
      </c>
      <c r="E484" s="26">
        <v>378921</v>
      </c>
      <c r="F484" s="26" t="s">
        <v>20</v>
      </c>
      <c r="G484" t="b">
        <f t="shared" si="23"/>
        <v>0</v>
      </c>
      <c r="H484" t="b">
        <f t="shared" si="24"/>
        <v>0</v>
      </c>
      <c r="I484" s="29">
        <f t="shared" si="25"/>
        <v>39267</v>
      </c>
    </row>
    <row r="485" spans="1:9" ht="12.75" customHeight="1" x14ac:dyDescent="0.2">
      <c r="A485" s="28">
        <v>39267</v>
      </c>
      <c r="B485" s="26" t="s">
        <v>4077</v>
      </c>
      <c r="C485" s="26" t="s">
        <v>2256</v>
      </c>
      <c r="D485" s="26">
        <v>10000000</v>
      </c>
      <c r="E485" s="26">
        <v>5490423</v>
      </c>
      <c r="F485" s="26">
        <v>7037886</v>
      </c>
      <c r="G485" t="b">
        <f t="shared" si="23"/>
        <v>0</v>
      </c>
      <c r="H485" t="b">
        <f t="shared" si="24"/>
        <v>0</v>
      </c>
      <c r="I485" s="29">
        <f t="shared" si="25"/>
        <v>39267</v>
      </c>
    </row>
    <row r="486" spans="1:9" ht="38.25" x14ac:dyDescent="0.2">
      <c r="A486" s="28">
        <v>39267</v>
      </c>
      <c r="B486" s="26" t="s">
        <v>4076</v>
      </c>
      <c r="C486" s="26" t="s">
        <v>1876</v>
      </c>
      <c r="D486" s="26" t="s">
        <v>20</v>
      </c>
      <c r="E486" s="26">
        <v>16856</v>
      </c>
      <c r="F486" s="26" t="s">
        <v>20</v>
      </c>
      <c r="G486" t="b">
        <f t="shared" si="23"/>
        <v>0</v>
      </c>
      <c r="H486" t="b">
        <f t="shared" si="24"/>
        <v>0</v>
      </c>
      <c r="I486" s="29">
        <f t="shared" si="25"/>
        <v>39267</v>
      </c>
    </row>
    <row r="487" spans="1:9" ht="12.75" customHeight="1" x14ac:dyDescent="0.2">
      <c r="A487" s="28">
        <v>39269</v>
      </c>
      <c r="B487" s="26" t="s">
        <v>4075</v>
      </c>
      <c r="C487" s="26" t="s">
        <v>9</v>
      </c>
      <c r="D487" s="26" t="s">
        <v>20</v>
      </c>
      <c r="E487" s="26">
        <v>5757</v>
      </c>
      <c r="F487" s="26" t="s">
        <v>20</v>
      </c>
      <c r="G487" t="b">
        <f t="shared" si="23"/>
        <v>0</v>
      </c>
      <c r="H487" t="b">
        <f t="shared" si="24"/>
        <v>0</v>
      </c>
      <c r="I487" s="29">
        <f t="shared" si="25"/>
        <v>39269</v>
      </c>
    </row>
    <row r="488" spans="1:9" ht="12.75" customHeight="1" x14ac:dyDescent="0.2">
      <c r="A488" s="28">
        <v>39269</v>
      </c>
      <c r="B488" s="26" t="s">
        <v>4074</v>
      </c>
      <c r="C488" s="26" t="s">
        <v>155</v>
      </c>
      <c r="D488" s="26" t="s">
        <v>20</v>
      </c>
      <c r="E488" s="26">
        <v>482355</v>
      </c>
      <c r="F488" s="26">
        <v>715704</v>
      </c>
      <c r="G488" t="b">
        <f t="shared" si="23"/>
        <v>0</v>
      </c>
      <c r="H488" t="b">
        <f t="shared" si="24"/>
        <v>0</v>
      </c>
      <c r="I488" s="29">
        <f t="shared" si="25"/>
        <v>39269</v>
      </c>
    </row>
    <row r="489" spans="1:9" ht="38.25" x14ac:dyDescent="0.2">
      <c r="A489" s="28">
        <v>39269</v>
      </c>
      <c r="B489" s="26" t="s">
        <v>4073</v>
      </c>
      <c r="C489" s="26" t="s">
        <v>9</v>
      </c>
      <c r="D489" s="26" t="s">
        <v>20</v>
      </c>
      <c r="E489" s="26" t="s">
        <v>20</v>
      </c>
      <c r="F489" s="26">
        <v>1909603</v>
      </c>
      <c r="G489" t="b">
        <f t="shared" si="23"/>
        <v>0</v>
      </c>
      <c r="H489" t="b">
        <f t="shared" si="24"/>
        <v>0</v>
      </c>
      <c r="I489" s="29">
        <f t="shared" si="25"/>
        <v>39269</v>
      </c>
    </row>
    <row r="490" spans="1:9" ht="25.5" x14ac:dyDescent="0.2">
      <c r="A490" s="28">
        <v>39269</v>
      </c>
      <c r="B490" s="26" t="s">
        <v>4072</v>
      </c>
      <c r="C490" s="26" t="s">
        <v>9</v>
      </c>
      <c r="D490" s="26" t="s">
        <v>20</v>
      </c>
      <c r="E490" s="26" t="s">
        <v>20</v>
      </c>
      <c r="F490" s="26">
        <v>5758778</v>
      </c>
      <c r="G490" t="b">
        <f t="shared" si="23"/>
        <v>0</v>
      </c>
      <c r="H490" t="b">
        <f t="shared" si="24"/>
        <v>0</v>
      </c>
      <c r="I490" s="29">
        <f t="shared" si="25"/>
        <v>39269</v>
      </c>
    </row>
    <row r="491" spans="1:9" ht="12.75" customHeight="1" x14ac:dyDescent="0.2">
      <c r="A491" s="28">
        <v>39269</v>
      </c>
      <c r="B491" s="26" t="s">
        <v>4071</v>
      </c>
      <c r="C491" s="26" t="s">
        <v>9</v>
      </c>
      <c r="D491" s="26" t="s">
        <v>20</v>
      </c>
      <c r="E491" s="26" t="s">
        <v>20</v>
      </c>
      <c r="F491" s="26">
        <v>1150605</v>
      </c>
      <c r="G491" t="b">
        <f t="shared" si="23"/>
        <v>0</v>
      </c>
      <c r="H491" t="b">
        <f t="shared" si="24"/>
        <v>0</v>
      </c>
      <c r="I491" s="29">
        <f t="shared" si="25"/>
        <v>39269</v>
      </c>
    </row>
    <row r="492" spans="1:9" ht="12.75" customHeight="1" x14ac:dyDescent="0.2">
      <c r="A492" s="28">
        <v>39269</v>
      </c>
      <c r="B492" s="26" t="s">
        <v>4070</v>
      </c>
      <c r="C492" s="26" t="s">
        <v>746</v>
      </c>
      <c r="D492" s="26" t="s">
        <v>20</v>
      </c>
      <c r="E492" s="26">
        <v>5229</v>
      </c>
      <c r="F492" s="26" t="s">
        <v>20</v>
      </c>
      <c r="G492" t="b">
        <f t="shared" si="23"/>
        <v>0</v>
      </c>
      <c r="H492" t="b">
        <f t="shared" si="24"/>
        <v>0</v>
      </c>
      <c r="I492" s="29">
        <f t="shared" si="25"/>
        <v>39269</v>
      </c>
    </row>
    <row r="493" spans="1:9" ht="25.5" x14ac:dyDescent="0.2">
      <c r="A493" s="28">
        <v>39270</v>
      </c>
      <c r="B493" s="26" t="s">
        <v>4069</v>
      </c>
      <c r="C493" s="26" t="s">
        <v>3503</v>
      </c>
      <c r="D493" s="26">
        <v>2000000</v>
      </c>
      <c r="E493" s="26" t="s">
        <v>20</v>
      </c>
      <c r="F493" s="26" t="s">
        <v>20</v>
      </c>
      <c r="G493" t="b">
        <f t="shared" si="23"/>
        <v>0</v>
      </c>
      <c r="H493" t="b">
        <f t="shared" si="24"/>
        <v>0</v>
      </c>
      <c r="I493" s="29">
        <f t="shared" si="25"/>
        <v>39270</v>
      </c>
    </row>
    <row r="494" spans="1:9" ht="12.75" customHeight="1" x14ac:dyDescent="0.2">
      <c r="A494" s="28">
        <v>39270</v>
      </c>
      <c r="B494" s="26" t="s">
        <v>4068</v>
      </c>
      <c r="C494" s="26" t="s">
        <v>3504</v>
      </c>
      <c r="D494" s="26" t="s">
        <v>20</v>
      </c>
      <c r="E494" s="26" t="s">
        <v>20</v>
      </c>
      <c r="F494" s="26" t="s">
        <v>20</v>
      </c>
      <c r="G494" t="b">
        <f t="shared" si="23"/>
        <v>0</v>
      </c>
      <c r="H494" t="b">
        <f t="shared" si="24"/>
        <v>0</v>
      </c>
      <c r="I494" s="29">
        <f t="shared" si="25"/>
        <v>39270</v>
      </c>
    </row>
    <row r="495" spans="1:9" ht="12.75" customHeight="1" x14ac:dyDescent="0.2">
      <c r="A495" s="28">
        <v>39273</v>
      </c>
      <c r="B495" s="26" t="s">
        <v>4067</v>
      </c>
      <c r="C495" s="26" t="s">
        <v>9</v>
      </c>
      <c r="D495" s="26" t="s">
        <v>20</v>
      </c>
      <c r="E495" s="26" t="s">
        <v>20</v>
      </c>
      <c r="F495" s="26" t="s">
        <v>20</v>
      </c>
      <c r="G495" t="b">
        <f t="shared" si="23"/>
        <v>0</v>
      </c>
      <c r="H495" t="b">
        <f t="shared" si="24"/>
        <v>0</v>
      </c>
      <c r="I495" s="29">
        <f t="shared" si="25"/>
        <v>39273</v>
      </c>
    </row>
    <row r="496" spans="1:9" ht="12.75" customHeight="1" x14ac:dyDescent="0.2">
      <c r="A496" s="28">
        <v>39274</v>
      </c>
      <c r="B496" s="26" t="s">
        <v>4066</v>
      </c>
      <c r="C496" s="26" t="s">
        <v>1393</v>
      </c>
      <c r="D496" s="26" t="s">
        <v>20</v>
      </c>
      <c r="E496" s="26">
        <v>7699</v>
      </c>
      <c r="F496" s="26" t="s">
        <v>20</v>
      </c>
      <c r="G496" t="b">
        <f t="shared" si="23"/>
        <v>0</v>
      </c>
      <c r="H496" t="b">
        <f t="shared" si="24"/>
        <v>0</v>
      </c>
      <c r="I496" s="29">
        <f t="shared" si="25"/>
        <v>39274</v>
      </c>
    </row>
    <row r="497" spans="1:9" ht="38.25" x14ac:dyDescent="0.2">
      <c r="A497" s="28">
        <v>39274</v>
      </c>
      <c r="B497" s="26" t="s">
        <v>4065</v>
      </c>
      <c r="C497" s="26" t="s">
        <v>3209</v>
      </c>
      <c r="D497" s="26">
        <v>150000000</v>
      </c>
      <c r="E497" s="26">
        <v>292004738</v>
      </c>
      <c r="F497" s="26">
        <v>938468864</v>
      </c>
      <c r="G497" t="b">
        <f t="shared" si="23"/>
        <v>0</v>
      </c>
      <c r="H497" t="b">
        <f t="shared" si="24"/>
        <v>0</v>
      </c>
      <c r="I497" s="29">
        <f t="shared" si="25"/>
        <v>39274</v>
      </c>
    </row>
    <row r="498" spans="1:9" ht="25.5" x14ac:dyDescent="0.2">
      <c r="A498" s="28">
        <v>39276</v>
      </c>
      <c r="B498" s="26" t="s">
        <v>4064</v>
      </c>
      <c r="C498" s="26" t="s">
        <v>9</v>
      </c>
      <c r="D498" s="26" t="s">
        <v>20</v>
      </c>
      <c r="E498" s="26" t="s">
        <v>20</v>
      </c>
      <c r="F498" s="26">
        <v>398991</v>
      </c>
      <c r="G498" t="b">
        <f t="shared" si="23"/>
        <v>0</v>
      </c>
      <c r="H498" t="b">
        <f t="shared" si="24"/>
        <v>0</v>
      </c>
      <c r="I498" s="29">
        <f t="shared" si="25"/>
        <v>39276</v>
      </c>
    </row>
    <row r="499" spans="1:9" ht="12.75" customHeight="1" x14ac:dyDescent="0.2">
      <c r="A499" s="28">
        <v>39276</v>
      </c>
      <c r="B499" s="26" t="s">
        <v>4063</v>
      </c>
      <c r="C499" s="26" t="s">
        <v>612</v>
      </c>
      <c r="D499" s="26" t="s">
        <v>20</v>
      </c>
      <c r="E499" s="26">
        <v>416417</v>
      </c>
      <c r="F499" s="26" t="s">
        <v>20</v>
      </c>
      <c r="G499" t="b">
        <f t="shared" si="23"/>
        <v>0</v>
      </c>
      <c r="H499" t="b">
        <f t="shared" si="24"/>
        <v>0</v>
      </c>
      <c r="I499" s="29">
        <f t="shared" si="25"/>
        <v>39276</v>
      </c>
    </row>
    <row r="500" spans="1:9" ht="12.75" customHeight="1" x14ac:dyDescent="0.2">
      <c r="A500" s="28">
        <v>39276</v>
      </c>
      <c r="B500" s="26" t="s">
        <v>4062</v>
      </c>
      <c r="C500" s="26" t="s">
        <v>9</v>
      </c>
      <c r="D500" s="26" t="s">
        <v>20</v>
      </c>
      <c r="E500" s="26" t="s">
        <v>20</v>
      </c>
      <c r="F500" s="26">
        <v>33824181</v>
      </c>
      <c r="G500" t="b">
        <f t="shared" si="23"/>
        <v>0</v>
      </c>
      <c r="H500" t="b">
        <f t="shared" si="24"/>
        <v>0</v>
      </c>
      <c r="I500" s="29">
        <f t="shared" si="25"/>
        <v>39276</v>
      </c>
    </row>
    <row r="501" spans="1:9" ht="12.75" customHeight="1" x14ac:dyDescent="0.2">
      <c r="A501" s="28">
        <v>39276</v>
      </c>
      <c r="B501" s="26" t="s">
        <v>4061</v>
      </c>
      <c r="C501" s="26" t="s">
        <v>9</v>
      </c>
      <c r="D501" s="26" t="s">
        <v>20</v>
      </c>
      <c r="E501" s="26" t="s">
        <v>20</v>
      </c>
      <c r="F501" s="26">
        <v>5461630</v>
      </c>
      <c r="G501" t="b">
        <f t="shared" si="23"/>
        <v>0</v>
      </c>
      <c r="H501" t="b">
        <f t="shared" si="24"/>
        <v>0</v>
      </c>
      <c r="I501" s="29">
        <f t="shared" si="25"/>
        <v>39276</v>
      </c>
    </row>
    <row r="502" spans="1:9" ht="25.5" x14ac:dyDescent="0.2">
      <c r="A502" s="28">
        <v>39276</v>
      </c>
      <c r="B502" s="26" t="s">
        <v>4060</v>
      </c>
      <c r="C502" s="26" t="s">
        <v>9</v>
      </c>
      <c r="D502" s="26" t="s">
        <v>20</v>
      </c>
      <c r="E502" s="26" t="s">
        <v>20</v>
      </c>
      <c r="F502" s="26">
        <v>39739776</v>
      </c>
      <c r="G502" t="b">
        <f t="shared" si="23"/>
        <v>0</v>
      </c>
      <c r="H502" t="b">
        <f t="shared" si="24"/>
        <v>0</v>
      </c>
      <c r="I502" s="29">
        <f t="shared" si="25"/>
        <v>39276</v>
      </c>
    </row>
    <row r="503" spans="1:9" ht="12.75" customHeight="1" x14ac:dyDescent="0.2">
      <c r="A503" s="28">
        <v>39276</v>
      </c>
      <c r="B503" s="26" t="s">
        <v>4059</v>
      </c>
      <c r="C503" s="26" t="s">
        <v>9</v>
      </c>
      <c r="D503" s="26" t="s">
        <v>20</v>
      </c>
      <c r="E503" s="26">
        <v>6000</v>
      </c>
      <c r="F503" s="26" t="s">
        <v>20</v>
      </c>
      <c r="G503" t="b">
        <f t="shared" si="23"/>
        <v>0</v>
      </c>
      <c r="H503" t="b">
        <f t="shared" si="24"/>
        <v>0</v>
      </c>
      <c r="I503" s="29">
        <f t="shared" si="25"/>
        <v>39276</v>
      </c>
    </row>
    <row r="504" spans="1:9" ht="12.75" customHeight="1" x14ac:dyDescent="0.2">
      <c r="A504" s="28">
        <v>39276</v>
      </c>
      <c r="B504" s="26" t="s">
        <v>4058</v>
      </c>
      <c r="C504" s="26" t="s">
        <v>698</v>
      </c>
      <c r="D504" s="26" t="s">
        <v>20</v>
      </c>
      <c r="E504" s="26">
        <v>4526759</v>
      </c>
      <c r="F504" s="26">
        <v>4755905</v>
      </c>
      <c r="G504" t="b">
        <f t="shared" si="23"/>
        <v>0</v>
      </c>
      <c r="H504" t="b">
        <f t="shared" si="24"/>
        <v>0</v>
      </c>
      <c r="I504" s="29">
        <f t="shared" si="25"/>
        <v>39276</v>
      </c>
    </row>
    <row r="505" spans="1:9" ht="12.75" customHeight="1" x14ac:dyDescent="0.2">
      <c r="A505" s="28">
        <v>39276</v>
      </c>
      <c r="B505" s="26" t="s">
        <v>4057</v>
      </c>
      <c r="C505" s="26" t="s">
        <v>3419</v>
      </c>
      <c r="D505" s="26" t="s">
        <v>20</v>
      </c>
      <c r="E505" s="26">
        <v>2686800</v>
      </c>
      <c r="F505" s="26">
        <v>9459740</v>
      </c>
      <c r="G505" t="b">
        <f t="shared" ref="G505:G566" si="26">ISBLANK(A505)</f>
        <v>0</v>
      </c>
      <c r="H505" t="b">
        <f t="shared" ref="H505:H566" si="27">ISTEXT(A505)</f>
        <v>0</v>
      </c>
      <c r="I505" s="29">
        <f t="shared" si="25"/>
        <v>39276</v>
      </c>
    </row>
    <row r="506" spans="1:9" ht="25.5" x14ac:dyDescent="0.2">
      <c r="A506" s="28">
        <v>39276</v>
      </c>
      <c r="B506" s="26" t="s">
        <v>4056</v>
      </c>
      <c r="C506" s="26" t="s">
        <v>1051</v>
      </c>
      <c r="D506" s="26" t="s">
        <v>20</v>
      </c>
      <c r="E506" s="26" t="s">
        <v>20</v>
      </c>
      <c r="F506" s="26" t="s">
        <v>20</v>
      </c>
      <c r="G506" t="b">
        <f t="shared" si="26"/>
        <v>0</v>
      </c>
      <c r="H506" t="b">
        <f t="shared" si="27"/>
        <v>0</v>
      </c>
      <c r="I506" s="29">
        <f t="shared" si="25"/>
        <v>39276</v>
      </c>
    </row>
    <row r="507" spans="1:9" ht="12.75" customHeight="1" x14ac:dyDescent="0.2">
      <c r="A507" s="28">
        <v>39276</v>
      </c>
      <c r="B507" s="26" t="s">
        <v>4055</v>
      </c>
      <c r="C507" s="26" t="s">
        <v>3505</v>
      </c>
      <c r="D507" s="26" t="s">
        <v>20</v>
      </c>
      <c r="E507" s="26">
        <v>14743</v>
      </c>
      <c r="F507" s="26" t="s">
        <v>20</v>
      </c>
      <c r="G507" t="b">
        <f t="shared" si="26"/>
        <v>0</v>
      </c>
      <c r="H507" t="b">
        <f t="shared" si="27"/>
        <v>0</v>
      </c>
      <c r="I507" s="29">
        <f t="shared" si="25"/>
        <v>39276</v>
      </c>
    </row>
    <row r="508" spans="1:9" ht="12.75" customHeight="1" x14ac:dyDescent="0.2">
      <c r="A508" s="28">
        <v>39276</v>
      </c>
      <c r="B508" s="26" t="s">
        <v>4054</v>
      </c>
      <c r="C508" s="26" t="s">
        <v>3506</v>
      </c>
      <c r="D508" s="26" t="s">
        <v>20</v>
      </c>
      <c r="E508" s="26" t="s">
        <v>20</v>
      </c>
      <c r="F508" s="26" t="s">
        <v>20</v>
      </c>
      <c r="G508" t="b">
        <f t="shared" si="26"/>
        <v>0</v>
      </c>
      <c r="H508" t="b">
        <f t="shared" si="27"/>
        <v>0</v>
      </c>
      <c r="I508" s="29">
        <f t="shared" si="25"/>
        <v>39276</v>
      </c>
    </row>
    <row r="509" spans="1:9" ht="12.75" customHeight="1" x14ac:dyDescent="0.2">
      <c r="A509" s="28">
        <v>39276</v>
      </c>
      <c r="B509" s="26" t="s">
        <v>4053</v>
      </c>
      <c r="C509" s="26" t="s">
        <v>9</v>
      </c>
      <c r="D509" s="26" t="s">
        <v>20</v>
      </c>
      <c r="E509" s="26" t="s">
        <v>20</v>
      </c>
      <c r="F509" s="26">
        <v>3684688</v>
      </c>
      <c r="G509" t="b">
        <f t="shared" si="26"/>
        <v>0</v>
      </c>
      <c r="H509" t="b">
        <f t="shared" si="27"/>
        <v>0</v>
      </c>
      <c r="I509" s="29">
        <f t="shared" si="25"/>
        <v>39276</v>
      </c>
    </row>
    <row r="510" spans="1:9" ht="12.75" customHeight="1" x14ac:dyDescent="0.2">
      <c r="A510" s="28">
        <v>39276</v>
      </c>
      <c r="B510" s="26" t="s">
        <v>4052</v>
      </c>
      <c r="C510" s="26" t="s">
        <v>9</v>
      </c>
      <c r="D510" s="26" t="s">
        <v>20</v>
      </c>
      <c r="E510" s="26">
        <v>15100</v>
      </c>
      <c r="F510" s="26" t="s">
        <v>20</v>
      </c>
      <c r="G510" t="b">
        <f t="shared" si="26"/>
        <v>0</v>
      </c>
      <c r="H510" t="b">
        <f t="shared" si="27"/>
        <v>0</v>
      </c>
      <c r="I510" s="29">
        <f t="shared" si="25"/>
        <v>39276</v>
      </c>
    </row>
    <row r="511" spans="1:9" ht="12.75" customHeight="1" x14ac:dyDescent="0.2">
      <c r="A511" s="28">
        <v>39280</v>
      </c>
      <c r="B511" s="26" t="s">
        <v>4051</v>
      </c>
      <c r="C511" s="26" t="s">
        <v>384</v>
      </c>
      <c r="D511" s="26" t="s">
        <v>20</v>
      </c>
      <c r="E511" s="26" t="s">
        <v>20</v>
      </c>
      <c r="F511" s="26" t="s">
        <v>20</v>
      </c>
      <c r="G511" t="b">
        <f t="shared" si="26"/>
        <v>0</v>
      </c>
      <c r="H511" t="b">
        <f t="shared" si="27"/>
        <v>0</v>
      </c>
      <c r="I511" s="29">
        <f t="shared" si="25"/>
        <v>39280</v>
      </c>
    </row>
    <row r="512" spans="1:9" ht="12.75" customHeight="1" x14ac:dyDescent="0.2">
      <c r="A512" s="28">
        <v>39281</v>
      </c>
      <c r="B512" s="26" t="s">
        <v>4050</v>
      </c>
      <c r="C512" s="26" t="s">
        <v>3507</v>
      </c>
      <c r="D512" s="26">
        <v>800000</v>
      </c>
      <c r="E512" s="26">
        <v>200433</v>
      </c>
      <c r="F512" s="26" t="s">
        <v>20</v>
      </c>
      <c r="G512" t="b">
        <f t="shared" si="26"/>
        <v>0</v>
      </c>
      <c r="H512" t="b">
        <f t="shared" si="27"/>
        <v>0</v>
      </c>
      <c r="I512" s="29">
        <f t="shared" si="25"/>
        <v>39281</v>
      </c>
    </row>
    <row r="513" spans="1:9" ht="12.75" customHeight="1" x14ac:dyDescent="0.2">
      <c r="A513" s="28">
        <v>39281</v>
      </c>
      <c r="B513" s="26" t="s">
        <v>4049</v>
      </c>
      <c r="C513" s="26" t="s">
        <v>3508</v>
      </c>
      <c r="D513" s="26" t="s">
        <v>20</v>
      </c>
      <c r="E513" s="26">
        <v>2600</v>
      </c>
      <c r="F513" s="26" t="s">
        <v>20</v>
      </c>
      <c r="G513" t="b">
        <f t="shared" si="26"/>
        <v>0</v>
      </c>
      <c r="H513" t="b">
        <f t="shared" si="27"/>
        <v>0</v>
      </c>
      <c r="I513" s="29">
        <f t="shared" si="25"/>
        <v>39281</v>
      </c>
    </row>
    <row r="514" spans="1:9" ht="12.75" customHeight="1" x14ac:dyDescent="0.2">
      <c r="A514" s="28">
        <v>39282</v>
      </c>
      <c r="B514" s="26" t="s">
        <v>4048</v>
      </c>
      <c r="C514" s="26" t="s">
        <v>9</v>
      </c>
      <c r="D514" s="26" t="s">
        <v>20</v>
      </c>
      <c r="E514" s="26" t="s">
        <v>20</v>
      </c>
      <c r="F514" s="26" t="s">
        <v>20</v>
      </c>
      <c r="G514" t="b">
        <f t="shared" si="26"/>
        <v>0</v>
      </c>
      <c r="H514" t="b">
        <f t="shared" si="27"/>
        <v>0</v>
      </c>
      <c r="I514" s="29">
        <f t="shared" si="25"/>
        <v>39282</v>
      </c>
    </row>
    <row r="515" spans="1:9" ht="12.75" customHeight="1" x14ac:dyDescent="0.2">
      <c r="A515" s="28">
        <v>39283</v>
      </c>
      <c r="B515" s="26" t="s">
        <v>4047</v>
      </c>
      <c r="C515" s="26" t="s">
        <v>1319</v>
      </c>
      <c r="D515" s="26" t="s">
        <v>20</v>
      </c>
      <c r="E515" s="26">
        <v>1000626</v>
      </c>
      <c r="F515" s="26" t="s">
        <v>20</v>
      </c>
      <c r="G515" t="b">
        <f t="shared" si="26"/>
        <v>0</v>
      </c>
      <c r="H515" t="b">
        <f t="shared" si="27"/>
        <v>0</v>
      </c>
      <c r="I515" s="29">
        <f t="shared" ref="I515:I578" si="28">DATE(2007,MONTH(A515), DAY(A515))</f>
        <v>39283</v>
      </c>
    </row>
    <row r="516" spans="1:9" ht="12.75" customHeight="1" x14ac:dyDescent="0.2">
      <c r="A516" s="28">
        <v>39283</v>
      </c>
      <c r="B516" s="26" t="s">
        <v>4046</v>
      </c>
      <c r="C516" s="26" t="s">
        <v>2159</v>
      </c>
      <c r="D516" s="26" t="s">
        <v>20</v>
      </c>
      <c r="E516" s="26">
        <v>30276</v>
      </c>
      <c r="F516" s="26" t="s">
        <v>20</v>
      </c>
      <c r="G516" t="b">
        <f t="shared" si="26"/>
        <v>0</v>
      </c>
      <c r="H516" t="b">
        <f t="shared" si="27"/>
        <v>0</v>
      </c>
      <c r="I516" s="29">
        <f t="shared" si="28"/>
        <v>39283</v>
      </c>
    </row>
    <row r="517" spans="1:9" ht="12.75" customHeight="1" x14ac:dyDescent="0.2">
      <c r="A517" s="28">
        <v>39283</v>
      </c>
      <c r="B517" s="26" t="s">
        <v>4045</v>
      </c>
      <c r="C517" s="26" t="s">
        <v>746</v>
      </c>
      <c r="D517" s="26" t="s">
        <v>20</v>
      </c>
      <c r="E517" s="26">
        <v>25343</v>
      </c>
      <c r="F517" s="26" t="s">
        <v>20</v>
      </c>
      <c r="G517" t="b">
        <f t="shared" si="26"/>
        <v>0</v>
      </c>
      <c r="H517" t="b">
        <f t="shared" si="27"/>
        <v>0</v>
      </c>
      <c r="I517" s="29">
        <f t="shared" si="28"/>
        <v>39283</v>
      </c>
    </row>
    <row r="518" spans="1:9" ht="12.75" customHeight="1" x14ac:dyDescent="0.2">
      <c r="A518" s="28">
        <v>39283</v>
      </c>
      <c r="B518" s="26" t="s">
        <v>4044</v>
      </c>
      <c r="C518" s="26" t="s">
        <v>3509</v>
      </c>
      <c r="D518" s="26" t="s">
        <v>20</v>
      </c>
      <c r="E518" s="26">
        <v>120750</v>
      </c>
      <c r="F518" s="26" t="s">
        <v>20</v>
      </c>
      <c r="G518" t="b">
        <f t="shared" si="26"/>
        <v>0</v>
      </c>
      <c r="H518" t="b">
        <f t="shared" si="27"/>
        <v>0</v>
      </c>
      <c r="I518" s="29">
        <f t="shared" si="28"/>
        <v>39283</v>
      </c>
    </row>
    <row r="519" spans="1:9" ht="12.75" customHeight="1" x14ac:dyDescent="0.2">
      <c r="A519" s="28">
        <v>39283</v>
      </c>
      <c r="B519" s="26" t="s">
        <v>4043</v>
      </c>
      <c r="C519" s="26" t="s">
        <v>647</v>
      </c>
      <c r="D519" s="26" t="s">
        <v>20</v>
      </c>
      <c r="E519" s="26">
        <v>1062840</v>
      </c>
      <c r="F519" s="26">
        <v>21916101</v>
      </c>
      <c r="G519" t="b">
        <f t="shared" si="26"/>
        <v>0</v>
      </c>
      <c r="H519" t="b">
        <f t="shared" si="27"/>
        <v>0</v>
      </c>
      <c r="I519" s="29">
        <f t="shared" si="28"/>
        <v>39283</v>
      </c>
    </row>
    <row r="520" spans="1:9" ht="38.25" x14ac:dyDescent="0.2">
      <c r="A520" s="28">
        <v>39283</v>
      </c>
      <c r="B520" s="26" t="s">
        <v>4042</v>
      </c>
      <c r="C520" s="26" t="s">
        <v>3096</v>
      </c>
      <c r="D520" s="26">
        <v>85000000</v>
      </c>
      <c r="E520" s="26">
        <v>119725280</v>
      </c>
      <c r="F520" s="26">
        <v>185708462</v>
      </c>
      <c r="G520" t="b">
        <f t="shared" si="26"/>
        <v>0</v>
      </c>
      <c r="H520" t="b">
        <f t="shared" si="27"/>
        <v>0</v>
      </c>
      <c r="I520" s="29">
        <f t="shared" si="28"/>
        <v>39283</v>
      </c>
    </row>
    <row r="521" spans="1:9" ht="25.5" x14ac:dyDescent="0.2">
      <c r="A521" s="28">
        <v>39283</v>
      </c>
      <c r="B521" s="26" t="s">
        <v>4041</v>
      </c>
      <c r="C521" s="26" t="s">
        <v>9</v>
      </c>
      <c r="D521" s="26" t="s">
        <v>20</v>
      </c>
      <c r="E521" s="26">
        <v>225000</v>
      </c>
      <c r="F521" s="26" t="s">
        <v>20</v>
      </c>
      <c r="G521" t="b">
        <f t="shared" si="26"/>
        <v>0</v>
      </c>
      <c r="H521" t="b">
        <f t="shared" si="27"/>
        <v>0</v>
      </c>
      <c r="I521" s="29">
        <f t="shared" si="28"/>
        <v>39283</v>
      </c>
    </row>
    <row r="522" spans="1:9" ht="12.75" customHeight="1" x14ac:dyDescent="0.2">
      <c r="A522" s="28">
        <v>39283</v>
      </c>
      <c r="B522" s="26" t="s">
        <v>4040</v>
      </c>
      <c r="C522" s="26" t="s">
        <v>2460</v>
      </c>
      <c r="D522" s="26">
        <v>75000000</v>
      </c>
      <c r="E522" s="26">
        <v>118823091</v>
      </c>
      <c r="F522" s="26">
        <v>202823091</v>
      </c>
      <c r="G522" t="b">
        <f t="shared" si="26"/>
        <v>0</v>
      </c>
      <c r="H522" t="b">
        <f t="shared" si="27"/>
        <v>0</v>
      </c>
      <c r="I522" s="29">
        <f t="shared" si="28"/>
        <v>39283</v>
      </c>
    </row>
    <row r="523" spans="1:9" ht="12.75" customHeight="1" x14ac:dyDescent="0.2">
      <c r="A523" s="28">
        <v>39283</v>
      </c>
      <c r="B523" s="26" t="s">
        <v>4039</v>
      </c>
      <c r="C523" s="26" t="s">
        <v>9</v>
      </c>
      <c r="D523" s="26">
        <v>40000000</v>
      </c>
      <c r="E523" s="26">
        <v>3688560</v>
      </c>
      <c r="F523" s="26">
        <v>32030610</v>
      </c>
      <c r="G523" t="b">
        <f t="shared" si="26"/>
        <v>0</v>
      </c>
      <c r="H523" t="b">
        <f t="shared" si="27"/>
        <v>0</v>
      </c>
      <c r="I523" s="29">
        <f t="shared" si="28"/>
        <v>39283</v>
      </c>
    </row>
    <row r="524" spans="1:9" ht="12.75" customHeight="1" x14ac:dyDescent="0.2">
      <c r="A524" s="28">
        <v>39283</v>
      </c>
      <c r="B524" s="26" t="s">
        <v>4038</v>
      </c>
      <c r="C524" s="26" t="s">
        <v>9</v>
      </c>
      <c r="D524" s="26" t="s">
        <v>20</v>
      </c>
      <c r="E524" s="26" t="s">
        <v>20</v>
      </c>
      <c r="F524" s="26">
        <v>1682173</v>
      </c>
      <c r="G524" t="b">
        <f t="shared" si="26"/>
        <v>0</v>
      </c>
      <c r="H524" t="b">
        <f t="shared" si="27"/>
        <v>0</v>
      </c>
      <c r="I524" s="29">
        <f t="shared" si="28"/>
        <v>39283</v>
      </c>
    </row>
    <row r="525" spans="1:9" ht="25.5" x14ac:dyDescent="0.2">
      <c r="A525" s="28">
        <v>39283</v>
      </c>
      <c r="B525" s="26" t="s">
        <v>4037</v>
      </c>
      <c r="C525" s="26" t="s">
        <v>3510</v>
      </c>
      <c r="D525" s="26" t="s">
        <v>20</v>
      </c>
      <c r="E525" s="26" t="s">
        <v>20</v>
      </c>
      <c r="F525" s="26" t="s">
        <v>20</v>
      </c>
      <c r="G525" t="b">
        <f t="shared" si="26"/>
        <v>0</v>
      </c>
      <c r="H525" t="b">
        <f t="shared" si="27"/>
        <v>0</v>
      </c>
      <c r="I525" s="29">
        <f t="shared" si="28"/>
        <v>39283</v>
      </c>
    </row>
    <row r="526" spans="1:9" ht="12.75" customHeight="1" x14ac:dyDescent="0.2">
      <c r="A526" s="28">
        <v>39283</v>
      </c>
      <c r="B526" s="26" t="s">
        <v>4036</v>
      </c>
      <c r="C526" s="26" t="s">
        <v>9</v>
      </c>
      <c r="D526" s="26" t="s">
        <v>20</v>
      </c>
      <c r="E526" s="26" t="s">
        <v>20</v>
      </c>
      <c r="F526" s="26">
        <v>5520795</v>
      </c>
      <c r="G526" t="b">
        <f t="shared" si="26"/>
        <v>0</v>
      </c>
      <c r="H526" t="b">
        <f t="shared" si="27"/>
        <v>0</v>
      </c>
      <c r="I526" s="29">
        <f t="shared" si="28"/>
        <v>39283</v>
      </c>
    </row>
    <row r="527" spans="1:9" ht="12.75" customHeight="1" x14ac:dyDescent="0.2">
      <c r="A527" s="28">
        <v>39283</v>
      </c>
      <c r="B527" s="26" t="s">
        <v>4035</v>
      </c>
      <c r="C527" s="26" t="s">
        <v>1619</v>
      </c>
      <c r="D527" s="26" t="s">
        <v>20</v>
      </c>
      <c r="E527" s="26">
        <v>1027636</v>
      </c>
      <c r="F527" s="26" t="s">
        <v>20</v>
      </c>
      <c r="G527" t="b">
        <f t="shared" si="26"/>
        <v>0</v>
      </c>
      <c r="H527" t="b">
        <f t="shared" si="27"/>
        <v>0</v>
      </c>
      <c r="I527" s="29">
        <f t="shared" si="28"/>
        <v>39283</v>
      </c>
    </row>
    <row r="528" spans="1:9" ht="38.25" x14ac:dyDescent="0.2">
      <c r="A528" s="28">
        <v>39283</v>
      </c>
      <c r="B528" s="26" t="s">
        <v>4034</v>
      </c>
      <c r="C528" s="26" t="s">
        <v>2464</v>
      </c>
      <c r="D528" s="26" t="s">
        <v>20</v>
      </c>
      <c r="E528" s="26">
        <v>15818</v>
      </c>
      <c r="F528" s="26" t="s">
        <v>20</v>
      </c>
      <c r="G528" t="b">
        <f t="shared" si="26"/>
        <v>0</v>
      </c>
      <c r="H528" t="b">
        <f t="shared" si="27"/>
        <v>0</v>
      </c>
      <c r="I528" s="29">
        <f t="shared" si="28"/>
        <v>39283</v>
      </c>
    </row>
    <row r="529" spans="1:9" ht="25.5" x14ac:dyDescent="0.2">
      <c r="A529" s="28">
        <v>39283</v>
      </c>
      <c r="B529" s="26" t="s">
        <v>4033</v>
      </c>
      <c r="C529" s="26" t="s">
        <v>9</v>
      </c>
      <c r="D529" s="26" t="s">
        <v>20</v>
      </c>
      <c r="E529" s="26" t="s">
        <v>20</v>
      </c>
      <c r="F529" s="26">
        <v>606524</v>
      </c>
      <c r="G529" t="b">
        <f t="shared" si="26"/>
        <v>0</v>
      </c>
      <c r="H529" t="b">
        <f t="shared" si="27"/>
        <v>0</v>
      </c>
      <c r="I529" s="29">
        <f t="shared" si="28"/>
        <v>39283</v>
      </c>
    </row>
    <row r="530" spans="1:9" ht="12.75" customHeight="1" x14ac:dyDescent="0.2">
      <c r="A530" s="28">
        <v>39287</v>
      </c>
      <c r="B530" s="26" t="s">
        <v>4032</v>
      </c>
      <c r="C530" s="26" t="s">
        <v>9</v>
      </c>
      <c r="D530" s="26" t="s">
        <v>20</v>
      </c>
      <c r="E530" s="26" t="s">
        <v>20</v>
      </c>
      <c r="F530" s="26">
        <v>1462668</v>
      </c>
      <c r="G530" t="b">
        <f t="shared" si="26"/>
        <v>0</v>
      </c>
      <c r="H530" t="b">
        <f t="shared" si="27"/>
        <v>0</v>
      </c>
      <c r="I530" s="29">
        <f t="shared" si="28"/>
        <v>39287</v>
      </c>
    </row>
    <row r="531" spans="1:9" x14ac:dyDescent="0.2">
      <c r="A531" s="28">
        <v>39288</v>
      </c>
      <c r="B531" s="26" t="s">
        <v>4031</v>
      </c>
      <c r="C531" s="26" t="s">
        <v>9</v>
      </c>
      <c r="D531" s="26" t="s">
        <v>20</v>
      </c>
      <c r="E531" s="26">
        <v>929</v>
      </c>
      <c r="F531" s="26" t="s">
        <v>20</v>
      </c>
      <c r="G531" t="b">
        <f t="shared" si="26"/>
        <v>0</v>
      </c>
      <c r="H531" t="b">
        <f t="shared" si="27"/>
        <v>0</v>
      </c>
      <c r="I531" s="29">
        <f t="shared" si="28"/>
        <v>39288</v>
      </c>
    </row>
    <row r="532" spans="1:9" ht="25.5" x14ac:dyDescent="0.2">
      <c r="A532" s="28">
        <v>39288</v>
      </c>
      <c r="B532" s="26" t="s">
        <v>4030</v>
      </c>
      <c r="C532" s="26" t="s">
        <v>3511</v>
      </c>
      <c r="D532" s="26" t="s">
        <v>20</v>
      </c>
      <c r="E532" s="26">
        <v>833532</v>
      </c>
      <c r="F532" s="26">
        <v>1027622</v>
      </c>
      <c r="G532" t="b">
        <f t="shared" si="26"/>
        <v>0</v>
      </c>
      <c r="H532" t="b">
        <f t="shared" si="27"/>
        <v>0</v>
      </c>
      <c r="I532" s="29">
        <f t="shared" si="28"/>
        <v>39288</v>
      </c>
    </row>
    <row r="533" spans="1:9" ht="12.75" customHeight="1" x14ac:dyDescent="0.2">
      <c r="A533" s="28">
        <v>39288</v>
      </c>
      <c r="B533" s="26" t="s">
        <v>4029</v>
      </c>
      <c r="C533" s="26" t="s">
        <v>3466</v>
      </c>
      <c r="D533" s="26" t="s">
        <v>20</v>
      </c>
      <c r="E533" s="26">
        <v>327919</v>
      </c>
      <c r="F533" s="26" t="s">
        <v>20</v>
      </c>
      <c r="G533" t="b">
        <f t="shared" si="26"/>
        <v>0</v>
      </c>
      <c r="H533" t="b">
        <f t="shared" si="27"/>
        <v>0</v>
      </c>
      <c r="I533" s="29">
        <f t="shared" si="28"/>
        <v>39288</v>
      </c>
    </row>
    <row r="534" spans="1:9" ht="25.5" x14ac:dyDescent="0.2">
      <c r="A534" s="28">
        <v>39288</v>
      </c>
      <c r="B534" s="26" t="s">
        <v>4028</v>
      </c>
      <c r="C534" s="26" t="s">
        <v>9</v>
      </c>
      <c r="D534" s="26" t="s">
        <v>20</v>
      </c>
      <c r="E534" s="26">
        <v>132782</v>
      </c>
      <c r="F534" s="26" t="s">
        <v>20</v>
      </c>
      <c r="G534" t="b">
        <f t="shared" si="26"/>
        <v>0</v>
      </c>
      <c r="H534" t="b">
        <f t="shared" si="27"/>
        <v>0</v>
      </c>
      <c r="I534" s="29">
        <f t="shared" si="28"/>
        <v>39288</v>
      </c>
    </row>
    <row r="535" spans="1:9" ht="25.5" x14ac:dyDescent="0.2">
      <c r="A535" s="28">
        <v>39289</v>
      </c>
      <c r="B535" s="26" t="s">
        <v>4027</v>
      </c>
      <c r="C535" s="26" t="s">
        <v>9</v>
      </c>
      <c r="D535" s="26" t="s">
        <v>20</v>
      </c>
      <c r="E535" s="26" t="s">
        <v>20</v>
      </c>
      <c r="F535" s="26" t="s">
        <v>20</v>
      </c>
      <c r="G535" t="b">
        <f t="shared" si="26"/>
        <v>0</v>
      </c>
      <c r="H535" t="b">
        <f t="shared" si="27"/>
        <v>0</v>
      </c>
      <c r="I535" s="29">
        <f t="shared" si="28"/>
        <v>39289</v>
      </c>
    </row>
    <row r="536" spans="1:9" ht="25.5" x14ac:dyDescent="0.2">
      <c r="A536" s="28">
        <v>39290</v>
      </c>
      <c r="B536" s="26" t="s">
        <v>4026</v>
      </c>
      <c r="C536" s="26" t="s">
        <v>384</v>
      </c>
      <c r="D536" s="26">
        <v>72500000</v>
      </c>
      <c r="E536" s="26">
        <v>183135014</v>
      </c>
      <c r="F536" s="26">
        <v>527071022</v>
      </c>
      <c r="G536" t="b">
        <f t="shared" si="26"/>
        <v>0</v>
      </c>
      <c r="H536" t="b">
        <f t="shared" si="27"/>
        <v>0</v>
      </c>
      <c r="I536" s="29">
        <f t="shared" si="28"/>
        <v>39290</v>
      </c>
    </row>
    <row r="537" spans="1:9" ht="12.75" customHeight="1" x14ac:dyDescent="0.2">
      <c r="A537" s="28">
        <v>39290</v>
      </c>
      <c r="B537" s="26" t="s">
        <v>4025</v>
      </c>
      <c r="C537" s="26" t="s">
        <v>9</v>
      </c>
      <c r="D537" s="26" t="s">
        <v>20</v>
      </c>
      <c r="E537" s="26" t="s">
        <v>20</v>
      </c>
      <c r="F537" s="26">
        <v>419094</v>
      </c>
      <c r="G537" t="b">
        <f t="shared" si="26"/>
        <v>0</v>
      </c>
      <c r="H537" t="b">
        <f t="shared" si="27"/>
        <v>0</v>
      </c>
      <c r="I537" s="29">
        <f t="shared" si="28"/>
        <v>39290</v>
      </c>
    </row>
    <row r="538" spans="1:9" ht="12.75" customHeight="1" x14ac:dyDescent="0.2">
      <c r="A538" s="28">
        <v>39290</v>
      </c>
      <c r="B538" s="26" t="s">
        <v>4024</v>
      </c>
      <c r="C538" s="26" t="s">
        <v>3512</v>
      </c>
      <c r="D538" s="26" t="s">
        <v>20</v>
      </c>
      <c r="E538" s="26">
        <v>8025</v>
      </c>
      <c r="F538" s="26" t="s">
        <v>20</v>
      </c>
      <c r="G538" t="b">
        <f t="shared" si="26"/>
        <v>0</v>
      </c>
      <c r="H538" t="b">
        <f t="shared" si="27"/>
        <v>0</v>
      </c>
      <c r="I538" s="29">
        <f t="shared" si="28"/>
        <v>39290</v>
      </c>
    </row>
    <row r="539" spans="1:9" ht="12.75" customHeight="1" x14ac:dyDescent="0.2">
      <c r="A539" s="28">
        <v>39290</v>
      </c>
      <c r="B539" s="26" t="s">
        <v>4023</v>
      </c>
      <c r="C539" s="26" t="s">
        <v>9</v>
      </c>
      <c r="D539" s="26" t="s">
        <v>20</v>
      </c>
      <c r="E539" s="26" t="s">
        <v>20</v>
      </c>
      <c r="F539" s="26">
        <v>616082</v>
      </c>
      <c r="G539" t="b">
        <f t="shared" si="26"/>
        <v>0</v>
      </c>
      <c r="H539" t="b">
        <f t="shared" si="27"/>
        <v>0</v>
      </c>
      <c r="I539" s="29">
        <f t="shared" si="28"/>
        <v>39290</v>
      </c>
    </row>
    <row r="540" spans="1:9" ht="12.75" customHeight="1" x14ac:dyDescent="0.2">
      <c r="A540" s="28">
        <v>39290</v>
      </c>
      <c r="B540" s="26" t="s">
        <v>4022</v>
      </c>
      <c r="C540" s="26" t="s">
        <v>9</v>
      </c>
      <c r="D540" s="26" t="s">
        <v>20</v>
      </c>
      <c r="E540" s="26" t="s">
        <v>20</v>
      </c>
      <c r="F540" s="26">
        <v>49136551</v>
      </c>
      <c r="G540" t="b">
        <f t="shared" si="26"/>
        <v>0</v>
      </c>
      <c r="H540" t="b">
        <f t="shared" si="27"/>
        <v>0</v>
      </c>
      <c r="I540" s="29">
        <f t="shared" si="28"/>
        <v>39290</v>
      </c>
    </row>
    <row r="541" spans="1:9" ht="12.75" customHeight="1" x14ac:dyDescent="0.2">
      <c r="A541" s="28">
        <v>39290</v>
      </c>
      <c r="B541" s="26" t="s">
        <v>4021</v>
      </c>
      <c r="C541" s="26" t="s">
        <v>9</v>
      </c>
      <c r="D541" s="26">
        <v>21600000</v>
      </c>
      <c r="E541" s="26">
        <v>635733</v>
      </c>
      <c r="F541" s="26">
        <v>791154</v>
      </c>
      <c r="G541" t="b">
        <f t="shared" si="26"/>
        <v>0</v>
      </c>
      <c r="H541" t="b">
        <f t="shared" si="27"/>
        <v>0</v>
      </c>
      <c r="I541" s="29">
        <f t="shared" si="28"/>
        <v>39290</v>
      </c>
    </row>
    <row r="542" spans="1:9" ht="25.5" x14ac:dyDescent="0.2">
      <c r="A542" s="28">
        <v>39290</v>
      </c>
      <c r="B542" s="26" t="s">
        <v>4020</v>
      </c>
      <c r="C542" s="26" t="s">
        <v>9</v>
      </c>
      <c r="D542" s="26" t="s">
        <v>20</v>
      </c>
      <c r="E542" s="26">
        <v>7233485</v>
      </c>
      <c r="F542" s="26" t="s">
        <v>20</v>
      </c>
      <c r="G542" t="b">
        <f t="shared" si="26"/>
        <v>0</v>
      </c>
      <c r="H542" t="b">
        <f t="shared" si="27"/>
        <v>0</v>
      </c>
      <c r="I542" s="29">
        <f t="shared" si="28"/>
        <v>39290</v>
      </c>
    </row>
    <row r="543" spans="1:9" ht="25.5" x14ac:dyDescent="0.2">
      <c r="A543" s="28">
        <v>39290</v>
      </c>
      <c r="B543" s="26" t="s">
        <v>4019</v>
      </c>
      <c r="C543" s="26" t="s">
        <v>9</v>
      </c>
      <c r="D543" s="26" t="s">
        <v>20</v>
      </c>
      <c r="E543" s="26">
        <v>5694308</v>
      </c>
      <c r="F543" s="26" t="s">
        <v>20</v>
      </c>
      <c r="G543" t="b">
        <f t="shared" si="26"/>
        <v>0</v>
      </c>
      <c r="H543" t="b">
        <f t="shared" si="27"/>
        <v>0</v>
      </c>
      <c r="I543" s="29">
        <f t="shared" si="28"/>
        <v>39290</v>
      </c>
    </row>
    <row r="544" spans="1:9" ht="38.25" x14ac:dyDescent="0.2">
      <c r="A544" s="28">
        <v>39290</v>
      </c>
      <c r="B544" s="26" t="s">
        <v>4018</v>
      </c>
      <c r="C544" s="26" t="s">
        <v>9</v>
      </c>
      <c r="D544" s="26" t="s">
        <v>20</v>
      </c>
      <c r="E544" s="26">
        <v>49919</v>
      </c>
      <c r="F544" s="26" t="s">
        <v>20</v>
      </c>
      <c r="G544" t="b">
        <f t="shared" si="26"/>
        <v>0</v>
      </c>
      <c r="H544" t="b">
        <f t="shared" si="27"/>
        <v>0</v>
      </c>
      <c r="I544" s="29">
        <f t="shared" si="28"/>
        <v>39290</v>
      </c>
    </row>
    <row r="545" spans="1:9" ht="12.75" customHeight="1" x14ac:dyDescent="0.2">
      <c r="A545" s="28">
        <v>39290</v>
      </c>
      <c r="B545" s="26" t="s">
        <v>4017</v>
      </c>
      <c r="C545" s="26" t="s">
        <v>9</v>
      </c>
      <c r="D545" s="26" t="s">
        <v>20</v>
      </c>
      <c r="E545" s="26">
        <v>6983</v>
      </c>
      <c r="F545" s="26" t="s">
        <v>20</v>
      </c>
      <c r="G545" t="b">
        <f t="shared" si="26"/>
        <v>0</v>
      </c>
      <c r="H545" t="b">
        <f t="shared" si="27"/>
        <v>0</v>
      </c>
      <c r="I545" s="29">
        <f t="shared" si="28"/>
        <v>39290</v>
      </c>
    </row>
    <row r="546" spans="1:9" ht="12.75" customHeight="1" x14ac:dyDescent="0.2">
      <c r="A546" s="28">
        <v>39290</v>
      </c>
      <c r="B546" s="26" t="s">
        <v>4016</v>
      </c>
      <c r="C546" s="26" t="s">
        <v>3209</v>
      </c>
      <c r="D546" s="26">
        <v>28000000</v>
      </c>
      <c r="E546" s="26">
        <v>43107979</v>
      </c>
      <c r="F546" s="26">
        <v>92107979</v>
      </c>
      <c r="G546" t="b">
        <f t="shared" si="26"/>
        <v>0</v>
      </c>
      <c r="H546" t="b">
        <f t="shared" si="27"/>
        <v>0</v>
      </c>
      <c r="I546" s="29">
        <f t="shared" si="28"/>
        <v>39290</v>
      </c>
    </row>
    <row r="547" spans="1:9" ht="12.75" customHeight="1" x14ac:dyDescent="0.2">
      <c r="A547" s="28">
        <v>39290</v>
      </c>
      <c r="B547" s="26" t="s">
        <v>4015</v>
      </c>
      <c r="C547" s="26" t="s">
        <v>746</v>
      </c>
      <c r="D547" s="26">
        <v>2000000</v>
      </c>
      <c r="E547" s="26">
        <v>1433319</v>
      </c>
      <c r="F547" s="26" t="s">
        <v>20</v>
      </c>
      <c r="G547" t="b">
        <f t="shared" si="26"/>
        <v>0</v>
      </c>
      <c r="H547" t="b">
        <f t="shared" si="27"/>
        <v>0</v>
      </c>
      <c r="I547" s="29">
        <f t="shared" si="28"/>
        <v>39290</v>
      </c>
    </row>
    <row r="548" spans="1:9" ht="25.5" x14ac:dyDescent="0.2">
      <c r="A548" s="28">
        <v>39290</v>
      </c>
      <c r="B548" s="26" t="s">
        <v>4014</v>
      </c>
      <c r="C548" s="26" t="s">
        <v>9</v>
      </c>
      <c r="D548" s="26" t="s">
        <v>20</v>
      </c>
      <c r="E548" s="26" t="s">
        <v>20</v>
      </c>
      <c r="F548" s="26" t="s">
        <v>20</v>
      </c>
      <c r="G548" t="b">
        <f t="shared" si="26"/>
        <v>0</v>
      </c>
      <c r="H548" t="b">
        <f t="shared" si="27"/>
        <v>0</v>
      </c>
      <c r="I548" s="29">
        <f t="shared" si="28"/>
        <v>39290</v>
      </c>
    </row>
    <row r="549" spans="1:9" ht="12.75" customHeight="1" x14ac:dyDescent="0.2">
      <c r="A549" s="28">
        <v>39290</v>
      </c>
      <c r="B549" s="26" t="s">
        <v>4013</v>
      </c>
      <c r="C549" s="26" t="s">
        <v>9</v>
      </c>
      <c r="D549" s="26" t="s">
        <v>20</v>
      </c>
      <c r="E549" s="26">
        <v>2065</v>
      </c>
      <c r="F549" s="26" t="s">
        <v>20</v>
      </c>
      <c r="G549" t="b">
        <f t="shared" si="26"/>
        <v>0</v>
      </c>
      <c r="H549" t="b">
        <f t="shared" si="27"/>
        <v>0</v>
      </c>
      <c r="I549" s="29">
        <f t="shared" si="28"/>
        <v>39290</v>
      </c>
    </row>
    <row r="550" spans="1:9" ht="25.5" x14ac:dyDescent="0.2">
      <c r="A550" s="28">
        <v>39294</v>
      </c>
      <c r="B550" s="26" t="s">
        <v>4012</v>
      </c>
      <c r="C550" s="26" t="s">
        <v>2748</v>
      </c>
      <c r="D550" s="26" t="s">
        <v>20</v>
      </c>
      <c r="E550" s="26" t="s">
        <v>20</v>
      </c>
      <c r="F550" s="26" t="s">
        <v>20</v>
      </c>
      <c r="G550" t="b">
        <f t="shared" si="26"/>
        <v>0</v>
      </c>
      <c r="H550" t="b">
        <f t="shared" si="27"/>
        <v>0</v>
      </c>
      <c r="I550" s="29">
        <f t="shared" si="28"/>
        <v>39294</v>
      </c>
    </row>
    <row r="551" spans="1:9" ht="25.5" x14ac:dyDescent="0.2">
      <c r="A551" s="28">
        <v>39294</v>
      </c>
      <c r="B551" s="26" t="s">
        <v>4011</v>
      </c>
      <c r="C551" s="26" t="s">
        <v>9</v>
      </c>
      <c r="D551" s="26" t="s">
        <v>20</v>
      </c>
      <c r="E551" s="26" t="s">
        <v>20</v>
      </c>
      <c r="F551" s="26" t="s">
        <v>20</v>
      </c>
      <c r="G551" t="b">
        <f t="shared" si="26"/>
        <v>0</v>
      </c>
      <c r="H551" t="b">
        <f t="shared" si="27"/>
        <v>0</v>
      </c>
      <c r="I551" s="29">
        <f t="shared" si="28"/>
        <v>39294</v>
      </c>
    </row>
    <row r="552" spans="1:9" ht="12.75" customHeight="1" x14ac:dyDescent="0.2">
      <c r="A552" s="28">
        <v>39295</v>
      </c>
      <c r="B552" s="26" t="s">
        <v>4010</v>
      </c>
      <c r="C552" s="26" t="s">
        <v>849</v>
      </c>
      <c r="D552" s="26" t="s">
        <v>20</v>
      </c>
      <c r="E552" s="26">
        <v>7556004</v>
      </c>
      <c r="F552" s="26" t="s">
        <v>20</v>
      </c>
      <c r="G552" t="b">
        <f t="shared" si="26"/>
        <v>0</v>
      </c>
      <c r="H552" t="b">
        <f t="shared" si="27"/>
        <v>0</v>
      </c>
      <c r="I552" s="29">
        <f t="shared" si="28"/>
        <v>39295</v>
      </c>
    </row>
    <row r="553" spans="1:9" ht="12.75" customHeight="1" x14ac:dyDescent="0.2">
      <c r="A553" s="28">
        <v>39295</v>
      </c>
      <c r="B553" s="26" t="s">
        <v>4009</v>
      </c>
      <c r="C553" s="26" t="s">
        <v>842</v>
      </c>
      <c r="D553" s="26" t="s">
        <v>20</v>
      </c>
      <c r="E553" s="26">
        <v>20475</v>
      </c>
      <c r="F553" s="26" t="s">
        <v>20</v>
      </c>
      <c r="G553" t="b">
        <f t="shared" si="26"/>
        <v>0</v>
      </c>
      <c r="H553" t="b">
        <f t="shared" si="27"/>
        <v>0</v>
      </c>
      <c r="I553" s="29">
        <f t="shared" si="28"/>
        <v>39295</v>
      </c>
    </row>
    <row r="554" spans="1:9" ht="25.5" x14ac:dyDescent="0.2">
      <c r="A554" s="28">
        <v>39296</v>
      </c>
      <c r="B554" s="26" t="s">
        <v>4008</v>
      </c>
      <c r="C554" s="26" t="s">
        <v>9</v>
      </c>
      <c r="D554" s="26" t="s">
        <v>20</v>
      </c>
      <c r="E554" s="26" t="s">
        <v>20</v>
      </c>
      <c r="F554" s="26" t="s">
        <v>20</v>
      </c>
      <c r="G554" t="b">
        <f t="shared" si="26"/>
        <v>0</v>
      </c>
      <c r="H554" t="b">
        <f t="shared" si="27"/>
        <v>0</v>
      </c>
      <c r="I554" s="29">
        <f t="shared" si="28"/>
        <v>39296</v>
      </c>
    </row>
    <row r="555" spans="1:9" ht="12.75" customHeight="1" x14ac:dyDescent="0.2">
      <c r="A555" s="28">
        <v>39296</v>
      </c>
      <c r="B555" s="26" t="s">
        <v>4007</v>
      </c>
      <c r="C555" s="26" t="s">
        <v>9</v>
      </c>
      <c r="D555" s="26" t="s">
        <v>20</v>
      </c>
      <c r="E555" s="26" t="s">
        <v>20</v>
      </c>
      <c r="F555" s="26">
        <v>4314771</v>
      </c>
      <c r="G555" t="b">
        <f t="shared" si="26"/>
        <v>0</v>
      </c>
      <c r="H555" t="b">
        <f t="shared" si="27"/>
        <v>0</v>
      </c>
      <c r="I555" s="29">
        <f t="shared" si="28"/>
        <v>39296</v>
      </c>
    </row>
    <row r="556" spans="1:9" ht="12.75" customHeight="1" x14ac:dyDescent="0.2">
      <c r="A556" s="28">
        <v>39297</v>
      </c>
      <c r="B556" s="26" t="s">
        <v>4006</v>
      </c>
      <c r="C556" s="26" t="s">
        <v>3419</v>
      </c>
      <c r="D556" s="26" t="s">
        <v>20</v>
      </c>
      <c r="E556" s="26">
        <v>10010209</v>
      </c>
      <c r="F556" s="26">
        <v>25747223</v>
      </c>
      <c r="G556" t="b">
        <f t="shared" si="26"/>
        <v>0</v>
      </c>
      <c r="H556" t="b">
        <f t="shared" si="27"/>
        <v>0</v>
      </c>
      <c r="I556" s="29">
        <f t="shared" si="28"/>
        <v>39297</v>
      </c>
    </row>
    <row r="557" spans="1:9" ht="12.75" customHeight="1" x14ac:dyDescent="0.2">
      <c r="A557" s="28">
        <v>39297</v>
      </c>
      <c r="B557" s="26" t="s">
        <v>4005</v>
      </c>
      <c r="C557" s="26" t="s">
        <v>3390</v>
      </c>
      <c r="D557" s="26" t="s">
        <v>20</v>
      </c>
      <c r="E557" s="26">
        <v>43760605</v>
      </c>
      <c r="F557" s="26">
        <v>65301347</v>
      </c>
      <c r="G557" t="b">
        <f t="shared" si="26"/>
        <v>0</v>
      </c>
      <c r="H557" t="b">
        <f t="shared" si="27"/>
        <v>0</v>
      </c>
      <c r="I557" s="29">
        <f t="shared" si="28"/>
        <v>39297</v>
      </c>
    </row>
    <row r="558" spans="1:9" ht="12.75" customHeight="1" x14ac:dyDescent="0.2">
      <c r="A558" s="28">
        <v>39297</v>
      </c>
      <c r="B558" s="26" t="s">
        <v>4004</v>
      </c>
      <c r="C558" s="26" t="s">
        <v>3218</v>
      </c>
      <c r="D558" s="26">
        <v>16500000</v>
      </c>
      <c r="E558" s="26">
        <v>18663911</v>
      </c>
      <c r="F558" s="26">
        <v>37304637</v>
      </c>
      <c r="G558" t="b">
        <f t="shared" si="26"/>
        <v>0</v>
      </c>
      <c r="H558" t="b">
        <f t="shared" si="27"/>
        <v>0</v>
      </c>
      <c r="I558" s="29">
        <f t="shared" si="28"/>
        <v>39297</v>
      </c>
    </row>
    <row r="559" spans="1:9" ht="12.75" customHeight="1" x14ac:dyDescent="0.2">
      <c r="A559" s="28">
        <v>39297</v>
      </c>
      <c r="B559" s="26" t="s">
        <v>4003</v>
      </c>
      <c r="C559" s="26" t="s">
        <v>3233</v>
      </c>
      <c r="D559" s="26" t="s">
        <v>20</v>
      </c>
      <c r="E559" s="26">
        <v>769726</v>
      </c>
      <c r="F559" s="26" t="s">
        <v>20</v>
      </c>
      <c r="G559" t="b">
        <f t="shared" si="26"/>
        <v>0</v>
      </c>
      <c r="H559" t="b">
        <f t="shared" si="27"/>
        <v>0</v>
      </c>
      <c r="I559" s="29">
        <f t="shared" si="28"/>
        <v>39297</v>
      </c>
    </row>
    <row r="560" spans="1:9" ht="25.5" x14ac:dyDescent="0.2">
      <c r="A560" s="28">
        <v>39297</v>
      </c>
      <c r="B560" s="26" t="s">
        <v>4002</v>
      </c>
      <c r="C560" s="26" t="s">
        <v>2168</v>
      </c>
      <c r="D560" s="26">
        <v>25000000</v>
      </c>
      <c r="E560" s="26">
        <v>13938332</v>
      </c>
      <c r="F560" s="26">
        <v>14334401</v>
      </c>
      <c r="G560" t="b">
        <f t="shared" si="26"/>
        <v>0</v>
      </c>
      <c r="H560" t="b">
        <f t="shared" si="27"/>
        <v>0</v>
      </c>
      <c r="I560" s="29">
        <f t="shared" si="28"/>
        <v>39297</v>
      </c>
    </row>
    <row r="561" spans="1:9" ht="25.5" x14ac:dyDescent="0.2">
      <c r="A561" s="28">
        <v>39297</v>
      </c>
      <c r="B561" s="26" t="s">
        <v>4001</v>
      </c>
      <c r="C561" s="26" t="s">
        <v>9</v>
      </c>
      <c r="D561" s="26" t="s">
        <v>20</v>
      </c>
      <c r="E561" s="26" t="s">
        <v>20</v>
      </c>
      <c r="F561" s="26">
        <v>6788688</v>
      </c>
      <c r="G561" t="b">
        <f t="shared" si="26"/>
        <v>0</v>
      </c>
      <c r="H561" t="b">
        <f t="shared" si="27"/>
        <v>0</v>
      </c>
      <c r="I561" s="29">
        <f t="shared" si="28"/>
        <v>39297</v>
      </c>
    </row>
    <row r="562" spans="1:9" ht="12.75" customHeight="1" x14ac:dyDescent="0.2">
      <c r="A562" s="28">
        <v>39297</v>
      </c>
      <c r="B562" s="26" t="s">
        <v>4000</v>
      </c>
      <c r="C562" s="26" t="s">
        <v>9</v>
      </c>
      <c r="D562" s="26" t="s">
        <v>20</v>
      </c>
      <c r="E562" s="26" t="s">
        <v>20</v>
      </c>
      <c r="F562" s="26">
        <v>5512027</v>
      </c>
      <c r="G562" t="b">
        <f t="shared" si="26"/>
        <v>0</v>
      </c>
      <c r="H562" t="b">
        <f t="shared" si="27"/>
        <v>0</v>
      </c>
      <c r="I562" s="29">
        <f t="shared" si="28"/>
        <v>39297</v>
      </c>
    </row>
    <row r="563" spans="1:9" ht="12.75" customHeight="1" x14ac:dyDescent="0.2">
      <c r="A563" s="28">
        <v>39297</v>
      </c>
      <c r="B563" s="26" t="s">
        <v>3999</v>
      </c>
      <c r="C563" s="26" t="s">
        <v>9</v>
      </c>
      <c r="D563" s="26" t="s">
        <v>20</v>
      </c>
      <c r="E563" s="26" t="s">
        <v>20</v>
      </c>
      <c r="F563" s="26">
        <v>1530776</v>
      </c>
      <c r="G563" t="b">
        <f t="shared" si="26"/>
        <v>0</v>
      </c>
      <c r="H563" t="b">
        <f t="shared" si="27"/>
        <v>0</v>
      </c>
      <c r="I563" s="29">
        <f t="shared" si="28"/>
        <v>39297</v>
      </c>
    </row>
    <row r="564" spans="1:9" ht="25.5" x14ac:dyDescent="0.2">
      <c r="A564" s="28">
        <v>39297</v>
      </c>
      <c r="B564" s="26" t="s">
        <v>3998</v>
      </c>
      <c r="C564" s="26" t="s">
        <v>9</v>
      </c>
      <c r="D564" s="26" t="s">
        <v>20</v>
      </c>
      <c r="E564" s="26" t="s">
        <v>20</v>
      </c>
      <c r="F564" s="26">
        <v>7947209</v>
      </c>
      <c r="G564" t="b">
        <f t="shared" si="26"/>
        <v>0</v>
      </c>
      <c r="H564" t="b">
        <f t="shared" si="27"/>
        <v>0</v>
      </c>
      <c r="I564" s="29">
        <f t="shared" si="28"/>
        <v>39297</v>
      </c>
    </row>
    <row r="565" spans="1:9" ht="12.75" customHeight="1" x14ac:dyDescent="0.2">
      <c r="A565" s="28">
        <v>39297</v>
      </c>
      <c r="B565" s="26" t="s">
        <v>3997</v>
      </c>
      <c r="C565" s="26" t="s">
        <v>9</v>
      </c>
      <c r="D565" s="26" t="s">
        <v>20</v>
      </c>
      <c r="E565" s="26" t="s">
        <v>20</v>
      </c>
      <c r="F565" s="26">
        <v>560490</v>
      </c>
      <c r="G565" t="b">
        <f t="shared" si="26"/>
        <v>0</v>
      </c>
      <c r="H565" t="b">
        <f t="shared" si="27"/>
        <v>0</v>
      </c>
      <c r="I565" s="29">
        <f t="shared" si="28"/>
        <v>39297</v>
      </c>
    </row>
    <row r="566" spans="1:9" ht="12.75" customHeight="1" x14ac:dyDescent="0.2">
      <c r="A566" s="28">
        <v>39297</v>
      </c>
      <c r="B566" s="26" t="s">
        <v>3996</v>
      </c>
      <c r="C566" s="26" t="s">
        <v>400</v>
      </c>
      <c r="D566" s="26" t="s">
        <v>20</v>
      </c>
      <c r="E566" s="26">
        <v>25525</v>
      </c>
      <c r="F566" s="26" t="s">
        <v>20</v>
      </c>
      <c r="G566" t="b">
        <f t="shared" si="26"/>
        <v>0</v>
      </c>
      <c r="H566" t="b">
        <f t="shared" si="27"/>
        <v>0</v>
      </c>
      <c r="I566" s="29">
        <f t="shared" si="28"/>
        <v>39297</v>
      </c>
    </row>
    <row r="567" spans="1:9" ht="25.5" x14ac:dyDescent="0.2">
      <c r="A567" s="28">
        <v>39297</v>
      </c>
      <c r="B567" s="26" t="s">
        <v>3995</v>
      </c>
      <c r="C567" s="26" t="s">
        <v>3096</v>
      </c>
      <c r="D567" s="26">
        <v>130000000</v>
      </c>
      <c r="E567" s="26">
        <v>227471070</v>
      </c>
      <c r="F567" s="26">
        <v>442161562</v>
      </c>
      <c r="G567" t="b">
        <f t="shared" ref="G567:G630" si="29">ISBLANK(A567)</f>
        <v>0</v>
      </c>
      <c r="H567" t="b">
        <f t="shared" ref="H567:H630" si="30">ISTEXT(A567)</f>
        <v>0</v>
      </c>
      <c r="I567" s="29">
        <f t="shared" si="28"/>
        <v>39297</v>
      </c>
    </row>
    <row r="568" spans="1:9" ht="12.75" customHeight="1" x14ac:dyDescent="0.2">
      <c r="A568" s="28">
        <v>39297</v>
      </c>
      <c r="B568" s="26" t="s">
        <v>3994</v>
      </c>
      <c r="C568" s="26" t="s">
        <v>1876</v>
      </c>
      <c r="D568" s="26" t="s">
        <v>20</v>
      </c>
      <c r="E568" s="26">
        <v>8527</v>
      </c>
      <c r="F568" s="26" t="s">
        <v>20</v>
      </c>
      <c r="G568" t="b">
        <f t="shared" si="29"/>
        <v>0</v>
      </c>
      <c r="H568" t="b">
        <f t="shared" si="30"/>
        <v>0</v>
      </c>
      <c r="I568" s="29">
        <f t="shared" si="28"/>
        <v>39297</v>
      </c>
    </row>
    <row r="569" spans="1:9" ht="12.75" customHeight="1" x14ac:dyDescent="0.2">
      <c r="A569" s="28">
        <v>39297</v>
      </c>
      <c r="B569" s="26" t="s">
        <v>3993</v>
      </c>
      <c r="C569" s="26" t="s">
        <v>734</v>
      </c>
      <c r="D569" s="26" t="s">
        <v>20</v>
      </c>
      <c r="E569" s="26">
        <v>168065</v>
      </c>
      <c r="F569" s="26" t="s">
        <v>20</v>
      </c>
      <c r="G569" t="b">
        <f t="shared" si="29"/>
        <v>0</v>
      </c>
      <c r="H569" t="b">
        <f t="shared" si="30"/>
        <v>0</v>
      </c>
      <c r="I569" s="29">
        <f t="shared" si="28"/>
        <v>39297</v>
      </c>
    </row>
    <row r="570" spans="1:9" x14ac:dyDescent="0.2">
      <c r="A570" s="28">
        <v>39297</v>
      </c>
      <c r="B570" s="26" t="s">
        <v>3992</v>
      </c>
      <c r="C570" s="26" t="s">
        <v>647</v>
      </c>
      <c r="D570" s="26">
        <v>5000000</v>
      </c>
      <c r="E570" s="26">
        <v>240425</v>
      </c>
      <c r="F570" s="26">
        <v>1375194</v>
      </c>
      <c r="G570" t="b">
        <f t="shared" si="29"/>
        <v>0</v>
      </c>
      <c r="H570" t="b">
        <f t="shared" si="30"/>
        <v>0</v>
      </c>
      <c r="I570" s="29">
        <f t="shared" si="28"/>
        <v>39297</v>
      </c>
    </row>
    <row r="571" spans="1:9" ht="25.5" x14ac:dyDescent="0.2">
      <c r="A571" s="28">
        <v>39298</v>
      </c>
      <c r="B571" s="26" t="s">
        <v>3991</v>
      </c>
      <c r="C571" s="26" t="s">
        <v>2624</v>
      </c>
      <c r="D571" s="26" t="s">
        <v>20</v>
      </c>
      <c r="E571" s="26" t="s">
        <v>20</v>
      </c>
      <c r="F571" s="26" t="s">
        <v>20</v>
      </c>
      <c r="G571" t="b">
        <f t="shared" si="29"/>
        <v>0</v>
      </c>
      <c r="H571" t="b">
        <f t="shared" si="30"/>
        <v>0</v>
      </c>
      <c r="I571" s="29">
        <f t="shared" si="28"/>
        <v>39298</v>
      </c>
    </row>
    <row r="572" spans="1:9" ht="25.5" x14ac:dyDescent="0.2">
      <c r="A572" s="28">
        <v>39298</v>
      </c>
      <c r="B572" s="26" t="s">
        <v>3990</v>
      </c>
      <c r="C572" s="26" t="s">
        <v>9</v>
      </c>
      <c r="D572" s="26" t="s">
        <v>20</v>
      </c>
      <c r="E572" s="26" t="s">
        <v>20</v>
      </c>
      <c r="F572" s="26">
        <v>8353721</v>
      </c>
      <c r="G572" t="b">
        <f t="shared" si="29"/>
        <v>0</v>
      </c>
      <c r="H572" t="b">
        <f t="shared" si="30"/>
        <v>0</v>
      </c>
      <c r="I572" s="29">
        <f t="shared" si="28"/>
        <v>39298</v>
      </c>
    </row>
    <row r="573" spans="1:9" ht="12.75" customHeight="1" x14ac:dyDescent="0.2">
      <c r="A573" s="28">
        <v>39298</v>
      </c>
      <c r="B573" s="26" t="s">
        <v>3989</v>
      </c>
      <c r="C573" s="26" t="s">
        <v>9</v>
      </c>
      <c r="D573" s="26" t="s">
        <v>20</v>
      </c>
      <c r="E573" s="26" t="s">
        <v>20</v>
      </c>
      <c r="F573" s="26">
        <v>3608964</v>
      </c>
      <c r="G573" t="b">
        <f t="shared" si="29"/>
        <v>0</v>
      </c>
      <c r="H573" t="b">
        <f t="shared" si="30"/>
        <v>0</v>
      </c>
      <c r="I573" s="29">
        <f t="shared" si="28"/>
        <v>39298</v>
      </c>
    </row>
    <row r="574" spans="1:9" ht="25.5" x14ac:dyDescent="0.2">
      <c r="A574" s="28">
        <v>39298</v>
      </c>
      <c r="B574" s="26" t="s">
        <v>3988</v>
      </c>
      <c r="C574" s="26" t="s">
        <v>9</v>
      </c>
      <c r="D574" s="26" t="s">
        <v>20</v>
      </c>
      <c r="E574" s="26" t="s">
        <v>20</v>
      </c>
      <c r="F574" s="26" t="s">
        <v>20</v>
      </c>
      <c r="G574" t="b">
        <f t="shared" si="29"/>
        <v>0</v>
      </c>
      <c r="H574" t="b">
        <f t="shared" si="30"/>
        <v>0</v>
      </c>
      <c r="I574" s="29">
        <f t="shared" si="28"/>
        <v>39298</v>
      </c>
    </row>
    <row r="575" spans="1:9" ht="12.75" customHeight="1" x14ac:dyDescent="0.2">
      <c r="A575" s="28">
        <v>39302</v>
      </c>
      <c r="B575" s="26" t="s">
        <v>3987</v>
      </c>
      <c r="C575" s="26" t="s">
        <v>1393</v>
      </c>
      <c r="D575" s="26" t="s">
        <v>20</v>
      </c>
      <c r="E575" s="26">
        <v>63049</v>
      </c>
      <c r="F575" s="26" t="s">
        <v>20</v>
      </c>
      <c r="G575" t="b">
        <f t="shared" si="29"/>
        <v>0</v>
      </c>
      <c r="H575" t="b">
        <f t="shared" si="30"/>
        <v>0</v>
      </c>
      <c r="I575" s="29">
        <f t="shared" si="28"/>
        <v>39302</v>
      </c>
    </row>
    <row r="576" spans="1:9" ht="12.75" customHeight="1" x14ac:dyDescent="0.2">
      <c r="A576" s="28">
        <v>39302</v>
      </c>
      <c r="B576" s="26" t="s">
        <v>3986</v>
      </c>
      <c r="C576" s="26" t="s">
        <v>1760</v>
      </c>
      <c r="D576" s="26" t="s">
        <v>20</v>
      </c>
      <c r="E576" s="26">
        <v>9258</v>
      </c>
      <c r="F576" s="26" t="s">
        <v>20</v>
      </c>
      <c r="G576" t="b">
        <f t="shared" si="29"/>
        <v>0</v>
      </c>
      <c r="H576" t="b">
        <f t="shared" si="30"/>
        <v>0</v>
      </c>
      <c r="I576" s="29">
        <f t="shared" si="28"/>
        <v>39302</v>
      </c>
    </row>
    <row r="577" spans="1:9" ht="12.75" customHeight="1" x14ac:dyDescent="0.2">
      <c r="A577" s="28">
        <v>39302</v>
      </c>
      <c r="B577" s="26" t="s">
        <v>3985</v>
      </c>
      <c r="C577" s="26" t="s">
        <v>2160</v>
      </c>
      <c r="D577" s="26">
        <v>76000000</v>
      </c>
      <c r="E577" s="26">
        <v>13235267</v>
      </c>
      <c r="F577" s="26">
        <v>18197398</v>
      </c>
      <c r="G577" t="b">
        <f t="shared" si="29"/>
        <v>0</v>
      </c>
      <c r="H577" t="b">
        <f t="shared" si="30"/>
        <v>0</v>
      </c>
      <c r="I577" s="29">
        <f t="shared" si="28"/>
        <v>39302</v>
      </c>
    </row>
    <row r="578" spans="1:9" ht="25.5" x14ac:dyDescent="0.2">
      <c r="A578" s="28">
        <v>39304</v>
      </c>
      <c r="B578" s="26" t="s">
        <v>3984</v>
      </c>
      <c r="C578" s="26" t="s">
        <v>2168</v>
      </c>
      <c r="D578" s="26">
        <v>70000000</v>
      </c>
      <c r="E578" s="26">
        <v>38634938</v>
      </c>
      <c r="F578" s="26">
        <v>135556675</v>
      </c>
      <c r="G578" t="b">
        <f t="shared" si="29"/>
        <v>0</v>
      </c>
      <c r="H578" t="b">
        <f t="shared" si="30"/>
        <v>0</v>
      </c>
      <c r="I578" s="29">
        <f t="shared" si="28"/>
        <v>39304</v>
      </c>
    </row>
    <row r="579" spans="1:9" ht="12.75" customHeight="1" x14ac:dyDescent="0.2">
      <c r="A579" s="28">
        <v>39304</v>
      </c>
      <c r="B579" s="26" t="s">
        <v>3983</v>
      </c>
      <c r="C579" s="26" t="s">
        <v>849</v>
      </c>
      <c r="D579" s="26" t="s">
        <v>20</v>
      </c>
      <c r="E579" s="26">
        <v>712391</v>
      </c>
      <c r="F579" s="26" t="s">
        <v>20</v>
      </c>
      <c r="G579" t="b">
        <f t="shared" si="29"/>
        <v>0</v>
      </c>
      <c r="H579" t="b">
        <f t="shared" si="30"/>
        <v>0</v>
      </c>
      <c r="I579" s="29">
        <f t="shared" ref="I579:I642" si="31">DATE(2007,MONTH(A579), DAY(A579))</f>
        <v>39304</v>
      </c>
    </row>
    <row r="580" spans="1:9" ht="25.5" x14ac:dyDescent="0.2">
      <c r="A580" s="28">
        <v>39304</v>
      </c>
      <c r="B580" s="26" t="s">
        <v>3982</v>
      </c>
      <c r="C580" s="26" t="s">
        <v>3513</v>
      </c>
      <c r="D580" s="26" t="s">
        <v>20</v>
      </c>
      <c r="E580" s="26">
        <v>15233</v>
      </c>
      <c r="F580" s="26" t="s">
        <v>20</v>
      </c>
      <c r="G580" t="b">
        <f t="shared" si="29"/>
        <v>0</v>
      </c>
      <c r="H580" t="b">
        <f t="shared" si="30"/>
        <v>0</v>
      </c>
      <c r="I580" s="29">
        <f t="shared" si="31"/>
        <v>39304</v>
      </c>
    </row>
    <row r="581" spans="1:9" ht="12.75" customHeight="1" x14ac:dyDescent="0.2">
      <c r="A581" s="28">
        <v>39304</v>
      </c>
      <c r="B581" s="26" t="s">
        <v>3981</v>
      </c>
      <c r="C581" s="26" t="s">
        <v>2051</v>
      </c>
      <c r="D581" s="26" t="s">
        <v>20</v>
      </c>
      <c r="E581" s="26">
        <v>13875</v>
      </c>
      <c r="F581" s="26" t="s">
        <v>20</v>
      </c>
      <c r="G581" t="b">
        <f t="shared" si="29"/>
        <v>0</v>
      </c>
      <c r="H581" t="b">
        <f t="shared" si="30"/>
        <v>0</v>
      </c>
      <c r="I581" s="29">
        <f t="shared" si="31"/>
        <v>39304</v>
      </c>
    </row>
    <row r="582" spans="1:9" ht="12.75" customHeight="1" x14ac:dyDescent="0.2">
      <c r="A582" s="28">
        <v>39304</v>
      </c>
      <c r="B582" s="26" t="s">
        <v>3980</v>
      </c>
      <c r="C582" s="26" t="s">
        <v>9</v>
      </c>
      <c r="D582" s="26" t="s">
        <v>20</v>
      </c>
      <c r="E582" s="26">
        <v>98438</v>
      </c>
      <c r="F582" s="26" t="s">
        <v>20</v>
      </c>
      <c r="G582" t="b">
        <f t="shared" si="29"/>
        <v>0</v>
      </c>
      <c r="H582" t="b">
        <f t="shared" si="30"/>
        <v>0</v>
      </c>
      <c r="I582" s="29">
        <f t="shared" si="31"/>
        <v>39304</v>
      </c>
    </row>
    <row r="583" spans="1:9" ht="12.75" customHeight="1" x14ac:dyDescent="0.2">
      <c r="A583" s="28">
        <v>39304</v>
      </c>
      <c r="B583" s="26" t="s">
        <v>3979</v>
      </c>
      <c r="C583" s="26" t="s">
        <v>9</v>
      </c>
      <c r="D583" s="26" t="s">
        <v>20</v>
      </c>
      <c r="E583" s="26">
        <v>1113541</v>
      </c>
      <c r="F583" s="26">
        <v>14959326</v>
      </c>
      <c r="G583" t="b">
        <f t="shared" si="29"/>
        <v>0</v>
      </c>
      <c r="H583" t="b">
        <f t="shared" si="30"/>
        <v>0</v>
      </c>
      <c r="I583" s="29">
        <f t="shared" si="31"/>
        <v>39304</v>
      </c>
    </row>
    <row r="584" spans="1:9" ht="12.75" customHeight="1" x14ac:dyDescent="0.2">
      <c r="A584" s="28">
        <v>39304</v>
      </c>
      <c r="B584" s="26" t="s">
        <v>3978</v>
      </c>
      <c r="C584" s="26" t="s">
        <v>3233</v>
      </c>
      <c r="D584" s="26" t="s">
        <v>20</v>
      </c>
      <c r="E584" s="26" t="s">
        <v>20</v>
      </c>
      <c r="F584" s="26" t="s">
        <v>20</v>
      </c>
      <c r="G584" t="b">
        <f t="shared" si="29"/>
        <v>0</v>
      </c>
      <c r="H584" t="b">
        <f t="shared" si="30"/>
        <v>0</v>
      </c>
      <c r="I584" s="29">
        <f t="shared" si="31"/>
        <v>39304</v>
      </c>
    </row>
    <row r="585" spans="1:9" x14ac:dyDescent="0.2">
      <c r="A585" s="28">
        <v>39304</v>
      </c>
      <c r="B585" s="26" t="s">
        <v>3977</v>
      </c>
      <c r="C585" s="26" t="s">
        <v>1319</v>
      </c>
      <c r="D585" s="26" t="s">
        <v>20</v>
      </c>
      <c r="E585" s="26">
        <v>4433994</v>
      </c>
      <c r="F585" s="26">
        <v>14521665</v>
      </c>
      <c r="G585" t="b">
        <f t="shared" si="29"/>
        <v>0</v>
      </c>
      <c r="H585" t="b">
        <f t="shared" si="30"/>
        <v>0</v>
      </c>
      <c r="I585" s="29">
        <f t="shared" si="31"/>
        <v>39304</v>
      </c>
    </row>
    <row r="586" spans="1:9" ht="12.75" customHeight="1" x14ac:dyDescent="0.2">
      <c r="A586" s="28">
        <v>39304</v>
      </c>
      <c r="B586" s="26" t="s">
        <v>3976</v>
      </c>
      <c r="C586" s="26" t="s">
        <v>2460</v>
      </c>
      <c r="D586" s="26">
        <v>180000000</v>
      </c>
      <c r="E586" s="26">
        <v>140125968</v>
      </c>
      <c r="F586" s="26">
        <v>253025968</v>
      </c>
      <c r="G586" t="b">
        <f t="shared" si="29"/>
        <v>0</v>
      </c>
      <c r="H586" t="b">
        <f t="shared" si="30"/>
        <v>0</v>
      </c>
      <c r="I586" s="29">
        <f t="shared" si="31"/>
        <v>39304</v>
      </c>
    </row>
    <row r="587" spans="1:9" ht="12.75" customHeight="1" x14ac:dyDescent="0.2">
      <c r="A587" s="28">
        <v>39304</v>
      </c>
      <c r="B587" s="26" t="s">
        <v>3975</v>
      </c>
      <c r="C587" s="26" t="s">
        <v>3419</v>
      </c>
      <c r="D587" s="26" t="s">
        <v>20</v>
      </c>
      <c r="E587" s="26">
        <v>1018965</v>
      </c>
      <c r="F587" s="26" t="s">
        <v>20</v>
      </c>
      <c r="G587" t="b">
        <f t="shared" si="29"/>
        <v>0</v>
      </c>
      <c r="H587" t="b">
        <f t="shared" si="30"/>
        <v>0</v>
      </c>
      <c r="I587" s="29">
        <f t="shared" si="31"/>
        <v>39304</v>
      </c>
    </row>
    <row r="588" spans="1:9" ht="12.75" customHeight="1" x14ac:dyDescent="0.2">
      <c r="A588" s="28">
        <v>39305</v>
      </c>
      <c r="B588" s="26" t="s">
        <v>3974</v>
      </c>
      <c r="C588" s="26" t="s">
        <v>9</v>
      </c>
      <c r="D588" s="26" t="s">
        <v>20</v>
      </c>
      <c r="E588" s="26" t="s">
        <v>20</v>
      </c>
      <c r="F588" s="26">
        <v>2318779</v>
      </c>
      <c r="G588" t="b">
        <f t="shared" si="29"/>
        <v>0</v>
      </c>
      <c r="H588" t="b">
        <f t="shared" si="30"/>
        <v>0</v>
      </c>
      <c r="I588" s="29">
        <f t="shared" si="31"/>
        <v>39305</v>
      </c>
    </row>
    <row r="589" spans="1:9" ht="12.75" customHeight="1" x14ac:dyDescent="0.2">
      <c r="A589" s="28">
        <v>39305</v>
      </c>
      <c r="B589" s="26" t="s">
        <v>3973</v>
      </c>
      <c r="C589" s="26" t="s">
        <v>9</v>
      </c>
      <c r="D589" s="26" t="s">
        <v>20</v>
      </c>
      <c r="E589" s="26" t="s">
        <v>20</v>
      </c>
      <c r="F589" s="26">
        <v>733816</v>
      </c>
      <c r="G589" t="b">
        <f t="shared" si="29"/>
        <v>0</v>
      </c>
      <c r="H589" t="b">
        <f t="shared" si="30"/>
        <v>0</v>
      </c>
      <c r="I589" s="29">
        <f t="shared" si="31"/>
        <v>39305</v>
      </c>
    </row>
    <row r="590" spans="1:9" ht="12.75" customHeight="1" x14ac:dyDescent="0.2">
      <c r="A590" s="28">
        <v>39308</v>
      </c>
      <c r="B590" s="26" t="s">
        <v>3972</v>
      </c>
      <c r="C590" s="26" t="s">
        <v>9</v>
      </c>
      <c r="D590" s="26" t="s">
        <v>20</v>
      </c>
      <c r="E590" s="26" t="s">
        <v>20</v>
      </c>
      <c r="F590" s="26" t="s">
        <v>20</v>
      </c>
      <c r="G590" t="b">
        <f t="shared" si="29"/>
        <v>0</v>
      </c>
      <c r="H590" t="b">
        <f t="shared" si="30"/>
        <v>0</v>
      </c>
      <c r="I590" s="29">
        <f t="shared" si="31"/>
        <v>39308</v>
      </c>
    </row>
    <row r="591" spans="1:9" ht="12.75" customHeight="1" x14ac:dyDescent="0.2">
      <c r="A591" s="28">
        <v>39309</v>
      </c>
      <c r="B591" s="26" t="s">
        <v>3971</v>
      </c>
      <c r="C591" s="26" t="s">
        <v>9</v>
      </c>
      <c r="D591" s="26" t="s">
        <v>20</v>
      </c>
      <c r="E591" s="26" t="s">
        <v>20</v>
      </c>
      <c r="F591" s="26">
        <v>3887998</v>
      </c>
      <c r="G591" t="b">
        <f t="shared" si="29"/>
        <v>0</v>
      </c>
      <c r="H591" t="b">
        <f t="shared" si="30"/>
        <v>0</v>
      </c>
      <c r="I591" s="29">
        <f t="shared" si="31"/>
        <v>39309</v>
      </c>
    </row>
    <row r="592" spans="1:9" ht="12.75" customHeight="1" x14ac:dyDescent="0.2">
      <c r="A592" s="28">
        <v>39309</v>
      </c>
      <c r="B592" s="26" t="s">
        <v>3970</v>
      </c>
      <c r="C592" s="26" t="s">
        <v>9</v>
      </c>
      <c r="D592" s="26" t="s">
        <v>20</v>
      </c>
      <c r="E592" s="26" t="s">
        <v>20</v>
      </c>
      <c r="F592" s="26">
        <v>1493728</v>
      </c>
      <c r="G592" t="b">
        <f t="shared" si="29"/>
        <v>0</v>
      </c>
      <c r="H592" t="b">
        <f t="shared" si="30"/>
        <v>0</v>
      </c>
      <c r="I592" s="29">
        <f t="shared" si="31"/>
        <v>39309</v>
      </c>
    </row>
    <row r="593" spans="1:9" ht="25.5" x14ac:dyDescent="0.2">
      <c r="A593" s="28">
        <v>39309</v>
      </c>
      <c r="B593" s="26" t="s">
        <v>3969</v>
      </c>
      <c r="C593" s="26" t="s">
        <v>9</v>
      </c>
      <c r="D593" s="26" t="s">
        <v>20</v>
      </c>
      <c r="E593" s="26" t="s">
        <v>20</v>
      </c>
      <c r="F593" s="26">
        <v>8165482</v>
      </c>
      <c r="G593" t="b">
        <f t="shared" si="29"/>
        <v>0</v>
      </c>
      <c r="H593" t="b">
        <f t="shared" si="30"/>
        <v>0</v>
      </c>
      <c r="I593" s="29">
        <f t="shared" si="31"/>
        <v>39309</v>
      </c>
    </row>
    <row r="594" spans="1:9" ht="12.75" customHeight="1" x14ac:dyDescent="0.2">
      <c r="A594" s="28">
        <v>39309</v>
      </c>
      <c r="B594" s="26" t="s">
        <v>3968</v>
      </c>
      <c r="C594" s="26" t="s">
        <v>1228</v>
      </c>
      <c r="D594" s="26" t="s">
        <v>20</v>
      </c>
      <c r="E594" s="26">
        <v>12007</v>
      </c>
      <c r="F594" s="26" t="s">
        <v>20</v>
      </c>
      <c r="G594" t="b">
        <f t="shared" si="29"/>
        <v>0</v>
      </c>
      <c r="H594" t="b">
        <f t="shared" si="30"/>
        <v>0</v>
      </c>
      <c r="I594" s="29">
        <f t="shared" si="31"/>
        <v>39309</v>
      </c>
    </row>
    <row r="595" spans="1:9" ht="12.75" customHeight="1" x14ac:dyDescent="0.2">
      <c r="A595" s="28">
        <v>39309</v>
      </c>
      <c r="B595" s="26" t="s">
        <v>3967</v>
      </c>
      <c r="C595" s="26" t="s">
        <v>9</v>
      </c>
      <c r="D595" s="26">
        <v>1600000</v>
      </c>
      <c r="E595" s="26">
        <v>1060591</v>
      </c>
      <c r="F595" s="26">
        <v>14253760</v>
      </c>
      <c r="G595" t="b">
        <f t="shared" si="29"/>
        <v>0</v>
      </c>
      <c r="H595" t="b">
        <f t="shared" si="30"/>
        <v>0</v>
      </c>
      <c r="I595" s="29">
        <f t="shared" si="31"/>
        <v>39309</v>
      </c>
    </row>
    <row r="596" spans="1:9" ht="25.5" x14ac:dyDescent="0.2">
      <c r="A596" s="28">
        <v>39309</v>
      </c>
      <c r="B596" s="26" t="s">
        <v>3966</v>
      </c>
      <c r="C596" s="26" t="s">
        <v>3100</v>
      </c>
      <c r="D596" s="26" t="s">
        <v>20</v>
      </c>
      <c r="E596" s="26">
        <v>86460</v>
      </c>
      <c r="F596" s="26" t="s">
        <v>20</v>
      </c>
      <c r="G596" t="b">
        <f t="shared" si="29"/>
        <v>0</v>
      </c>
      <c r="H596" t="b">
        <f t="shared" si="30"/>
        <v>0</v>
      </c>
      <c r="I596" s="29">
        <f t="shared" si="31"/>
        <v>39309</v>
      </c>
    </row>
    <row r="597" spans="1:9" x14ac:dyDescent="0.2">
      <c r="A597" s="28">
        <v>39309</v>
      </c>
      <c r="B597" s="26" t="s">
        <v>3965</v>
      </c>
      <c r="C597" s="26" t="s">
        <v>9</v>
      </c>
      <c r="D597" s="26" t="s">
        <v>20</v>
      </c>
      <c r="E597" s="26" t="s">
        <v>20</v>
      </c>
      <c r="F597" s="26">
        <v>6348194</v>
      </c>
      <c r="G597" t="b">
        <f t="shared" si="29"/>
        <v>0</v>
      </c>
      <c r="H597" t="b">
        <f t="shared" si="30"/>
        <v>0</v>
      </c>
      <c r="I597" s="29">
        <f t="shared" si="31"/>
        <v>39309</v>
      </c>
    </row>
    <row r="598" spans="1:9" x14ac:dyDescent="0.2">
      <c r="A598" s="28">
        <v>39311</v>
      </c>
      <c r="B598" s="26" t="s">
        <v>3437</v>
      </c>
      <c r="C598" s="26" t="s">
        <v>2256</v>
      </c>
      <c r="D598" s="26">
        <v>20000000</v>
      </c>
      <c r="E598" s="26">
        <v>8580428</v>
      </c>
      <c r="F598" s="26">
        <v>34743644</v>
      </c>
      <c r="G598" t="b">
        <f t="shared" si="29"/>
        <v>0</v>
      </c>
      <c r="H598" t="b">
        <f t="shared" si="30"/>
        <v>0</v>
      </c>
      <c r="I598" s="29">
        <f t="shared" si="31"/>
        <v>39311</v>
      </c>
    </row>
    <row r="599" spans="1:9" ht="12.75" customHeight="1" x14ac:dyDescent="0.2">
      <c r="A599" s="28">
        <v>39311</v>
      </c>
      <c r="B599" s="26" t="s">
        <v>3964</v>
      </c>
      <c r="C599" s="26" t="s">
        <v>49</v>
      </c>
      <c r="D599" s="26">
        <v>67000000</v>
      </c>
      <c r="E599" s="26">
        <v>5932060</v>
      </c>
      <c r="F599" s="26">
        <v>21439015</v>
      </c>
      <c r="G599" t="b">
        <f t="shared" si="29"/>
        <v>0</v>
      </c>
      <c r="H599" t="b">
        <f t="shared" si="30"/>
        <v>0</v>
      </c>
      <c r="I599" s="29">
        <f t="shared" si="31"/>
        <v>39311</v>
      </c>
    </row>
    <row r="600" spans="1:9" ht="12.75" customHeight="1" x14ac:dyDescent="0.2">
      <c r="A600" s="28">
        <v>39311</v>
      </c>
      <c r="B600" s="26" t="s">
        <v>3963</v>
      </c>
      <c r="C600" s="26" t="s">
        <v>2160</v>
      </c>
      <c r="D600" s="26">
        <v>17500000</v>
      </c>
      <c r="E600" s="26">
        <v>121463226</v>
      </c>
      <c r="F600" s="26">
        <v>169863226</v>
      </c>
      <c r="G600" t="b">
        <f t="shared" si="29"/>
        <v>0</v>
      </c>
      <c r="H600" t="b">
        <f t="shared" si="30"/>
        <v>0</v>
      </c>
      <c r="I600" s="29">
        <f t="shared" si="31"/>
        <v>39311</v>
      </c>
    </row>
    <row r="601" spans="1:9" ht="38.25" x14ac:dyDescent="0.2">
      <c r="A601" s="28">
        <v>39311</v>
      </c>
      <c r="B601" s="26" t="s">
        <v>3962</v>
      </c>
      <c r="C601" s="26" t="s">
        <v>2837</v>
      </c>
      <c r="D601" s="26" t="s">
        <v>20</v>
      </c>
      <c r="E601" s="26">
        <v>703464</v>
      </c>
      <c r="F601" s="26">
        <v>925976</v>
      </c>
      <c r="G601" t="b">
        <f t="shared" si="29"/>
        <v>0</v>
      </c>
      <c r="H601" t="b">
        <f t="shared" si="30"/>
        <v>0</v>
      </c>
      <c r="I601" s="29">
        <f t="shared" si="31"/>
        <v>39311</v>
      </c>
    </row>
    <row r="602" spans="1:9" ht="12.75" customHeight="1" x14ac:dyDescent="0.2">
      <c r="A602" s="28">
        <v>39311</v>
      </c>
      <c r="B602" s="26" t="s">
        <v>3961</v>
      </c>
      <c r="C602" s="26" t="s">
        <v>9</v>
      </c>
      <c r="D602" s="26" t="s">
        <v>20</v>
      </c>
      <c r="E602" s="26">
        <v>122905</v>
      </c>
      <c r="F602" s="26" t="s">
        <v>20</v>
      </c>
      <c r="G602" t="b">
        <f t="shared" si="29"/>
        <v>0</v>
      </c>
      <c r="H602" t="b">
        <f t="shared" si="30"/>
        <v>0</v>
      </c>
      <c r="I602" s="29">
        <f t="shared" si="31"/>
        <v>39311</v>
      </c>
    </row>
    <row r="603" spans="1:9" ht="12.75" customHeight="1" x14ac:dyDescent="0.2">
      <c r="A603" s="28">
        <v>39311</v>
      </c>
      <c r="B603" s="26" t="s">
        <v>3960</v>
      </c>
      <c r="C603" s="26" t="s">
        <v>9</v>
      </c>
      <c r="D603" s="26" t="s">
        <v>20</v>
      </c>
      <c r="E603" s="26" t="s">
        <v>20</v>
      </c>
      <c r="F603" s="26">
        <v>886341</v>
      </c>
      <c r="G603" t="b">
        <f t="shared" si="29"/>
        <v>0</v>
      </c>
      <c r="H603" t="b">
        <f t="shared" si="30"/>
        <v>0</v>
      </c>
      <c r="I603" s="29">
        <f t="shared" si="31"/>
        <v>39311</v>
      </c>
    </row>
    <row r="604" spans="1:9" ht="12.75" customHeight="1" x14ac:dyDescent="0.2">
      <c r="A604" s="28">
        <v>39311</v>
      </c>
      <c r="B604" s="26" t="s">
        <v>68</v>
      </c>
      <c r="C604" s="26" t="s">
        <v>3514</v>
      </c>
      <c r="D604" s="26" t="s">
        <v>20</v>
      </c>
      <c r="E604" s="26">
        <v>10497</v>
      </c>
      <c r="F604" s="26" t="s">
        <v>20</v>
      </c>
      <c r="G604" t="b">
        <f t="shared" si="29"/>
        <v>0</v>
      </c>
      <c r="H604" t="b">
        <f t="shared" si="30"/>
        <v>0</v>
      </c>
      <c r="I604" s="29">
        <f t="shared" si="31"/>
        <v>39311</v>
      </c>
    </row>
    <row r="605" spans="1:9" ht="12.75" customHeight="1" x14ac:dyDescent="0.2">
      <c r="A605" s="28">
        <v>39311</v>
      </c>
      <c r="B605" s="26" t="s">
        <v>3959</v>
      </c>
      <c r="C605" s="26" t="s">
        <v>842</v>
      </c>
      <c r="D605" s="26" t="s">
        <v>20</v>
      </c>
      <c r="E605" s="26">
        <v>22026</v>
      </c>
      <c r="F605" s="26" t="s">
        <v>20</v>
      </c>
      <c r="G605" t="b">
        <f t="shared" si="29"/>
        <v>0</v>
      </c>
      <c r="H605" t="b">
        <f t="shared" si="30"/>
        <v>0</v>
      </c>
      <c r="I605" s="29">
        <f t="shared" si="31"/>
        <v>39311</v>
      </c>
    </row>
    <row r="606" spans="1:9" x14ac:dyDescent="0.2">
      <c r="A606" s="28">
        <v>39311</v>
      </c>
      <c r="B606" s="26" t="s">
        <v>3958</v>
      </c>
      <c r="C606" s="26" t="s">
        <v>647</v>
      </c>
      <c r="D606" s="26" t="s">
        <v>20</v>
      </c>
      <c r="E606" s="26">
        <v>13871</v>
      </c>
      <c r="F606" s="26" t="s">
        <v>20</v>
      </c>
      <c r="G606" t="b">
        <f t="shared" si="29"/>
        <v>0</v>
      </c>
      <c r="H606" t="b">
        <f t="shared" si="30"/>
        <v>0</v>
      </c>
      <c r="I606" s="29">
        <f t="shared" si="31"/>
        <v>39311</v>
      </c>
    </row>
    <row r="607" spans="1:9" ht="12.75" customHeight="1" x14ac:dyDescent="0.2">
      <c r="A607" s="28">
        <v>39311</v>
      </c>
      <c r="B607" s="26" t="s">
        <v>3957</v>
      </c>
      <c r="C607" s="26" t="s">
        <v>400</v>
      </c>
      <c r="D607" s="26" t="s">
        <v>20</v>
      </c>
      <c r="E607" s="26">
        <v>23307</v>
      </c>
      <c r="F607" s="26" t="s">
        <v>20</v>
      </c>
      <c r="G607" t="b">
        <f t="shared" si="29"/>
        <v>0</v>
      </c>
      <c r="H607" t="b">
        <f t="shared" si="30"/>
        <v>0</v>
      </c>
      <c r="I607" s="29">
        <f t="shared" si="31"/>
        <v>39311</v>
      </c>
    </row>
    <row r="608" spans="1:9" ht="25.5" x14ac:dyDescent="0.2">
      <c r="A608" s="28">
        <v>39311</v>
      </c>
      <c r="B608" s="26" t="s">
        <v>3956</v>
      </c>
      <c r="C608" s="26" t="s">
        <v>9</v>
      </c>
      <c r="D608" s="26" t="s">
        <v>20</v>
      </c>
      <c r="E608" s="26" t="s">
        <v>20</v>
      </c>
      <c r="F608" s="26" t="s">
        <v>20</v>
      </c>
      <c r="G608" t="b">
        <f t="shared" si="29"/>
        <v>0</v>
      </c>
      <c r="H608" t="b">
        <f t="shared" si="30"/>
        <v>0</v>
      </c>
      <c r="I608" s="29">
        <f t="shared" si="31"/>
        <v>39311</v>
      </c>
    </row>
    <row r="609" spans="1:9" ht="12.75" customHeight="1" x14ac:dyDescent="0.2">
      <c r="A609" s="28">
        <v>39311</v>
      </c>
      <c r="B609" s="26" t="s">
        <v>3955</v>
      </c>
      <c r="C609" s="26" t="s">
        <v>3515</v>
      </c>
      <c r="D609" s="26" t="s">
        <v>20</v>
      </c>
      <c r="E609" s="26">
        <v>16000</v>
      </c>
      <c r="F609" s="26" t="s">
        <v>20</v>
      </c>
      <c r="G609" t="b">
        <f t="shared" si="29"/>
        <v>0</v>
      </c>
      <c r="H609" t="b">
        <f t="shared" si="30"/>
        <v>0</v>
      </c>
      <c r="I609" s="29">
        <f t="shared" si="31"/>
        <v>39311</v>
      </c>
    </row>
    <row r="610" spans="1:9" ht="12.75" customHeight="1" x14ac:dyDescent="0.2">
      <c r="A610" s="28">
        <v>39311</v>
      </c>
      <c r="B610" s="26" t="s">
        <v>3954</v>
      </c>
      <c r="C610" s="26" t="s">
        <v>9</v>
      </c>
      <c r="D610" s="26" t="s">
        <v>20</v>
      </c>
      <c r="E610" s="26">
        <v>16791</v>
      </c>
      <c r="F610" s="26" t="s">
        <v>20</v>
      </c>
      <c r="G610" t="b">
        <f t="shared" si="29"/>
        <v>0</v>
      </c>
      <c r="H610" t="b">
        <f t="shared" si="30"/>
        <v>0</v>
      </c>
      <c r="I610" s="29">
        <f t="shared" si="31"/>
        <v>39311</v>
      </c>
    </row>
    <row r="611" spans="1:9" ht="25.5" x14ac:dyDescent="0.2">
      <c r="A611" s="28">
        <v>39311</v>
      </c>
      <c r="B611" s="26" t="s">
        <v>3953</v>
      </c>
      <c r="C611" s="26" t="s">
        <v>9</v>
      </c>
      <c r="D611" s="26" t="s">
        <v>20</v>
      </c>
      <c r="E611" s="26" t="s">
        <v>20</v>
      </c>
      <c r="F611" s="26">
        <v>1553198</v>
      </c>
      <c r="G611" t="b">
        <f t="shared" si="29"/>
        <v>0</v>
      </c>
      <c r="H611" t="b">
        <f t="shared" si="30"/>
        <v>0</v>
      </c>
      <c r="I611" s="29">
        <f t="shared" si="31"/>
        <v>39311</v>
      </c>
    </row>
    <row r="612" spans="1:9" ht="12.75" customHeight="1" x14ac:dyDescent="0.2">
      <c r="A612" s="28">
        <v>39311</v>
      </c>
      <c r="B612" s="26" t="s">
        <v>3952</v>
      </c>
      <c r="C612" s="26" t="s">
        <v>849</v>
      </c>
      <c r="D612" s="26" t="s">
        <v>20</v>
      </c>
      <c r="E612" s="26">
        <v>674925</v>
      </c>
      <c r="F612" s="26" t="s">
        <v>20</v>
      </c>
      <c r="G612" t="b">
        <f t="shared" si="29"/>
        <v>0</v>
      </c>
      <c r="H612" t="b">
        <f t="shared" si="30"/>
        <v>0</v>
      </c>
      <c r="I612" s="29">
        <f t="shared" si="31"/>
        <v>39311</v>
      </c>
    </row>
    <row r="613" spans="1:9" ht="12.75" customHeight="1" x14ac:dyDescent="0.2">
      <c r="A613" s="28">
        <v>39311</v>
      </c>
      <c r="B613" s="26" t="s">
        <v>3951</v>
      </c>
      <c r="C613" s="26" t="s">
        <v>3209</v>
      </c>
      <c r="D613" s="26">
        <v>80000000</v>
      </c>
      <c r="E613" s="26">
        <v>15074191</v>
      </c>
      <c r="F613" s="26">
        <v>40147042</v>
      </c>
      <c r="G613" t="b">
        <f t="shared" si="29"/>
        <v>0</v>
      </c>
      <c r="H613" t="b">
        <f t="shared" si="30"/>
        <v>0</v>
      </c>
      <c r="I613" s="29">
        <f t="shared" si="31"/>
        <v>39311</v>
      </c>
    </row>
    <row r="614" spans="1:9" ht="12.75" customHeight="1" x14ac:dyDescent="0.2">
      <c r="A614" s="28">
        <v>39315</v>
      </c>
      <c r="B614" s="26" t="s">
        <v>3950</v>
      </c>
      <c r="C614" s="26" t="s">
        <v>9</v>
      </c>
      <c r="D614" s="26" t="s">
        <v>20</v>
      </c>
      <c r="E614" s="26" t="s">
        <v>20</v>
      </c>
      <c r="F614" s="26">
        <v>4084232</v>
      </c>
      <c r="G614" t="b">
        <f t="shared" si="29"/>
        <v>0</v>
      </c>
      <c r="H614" t="b">
        <f t="shared" si="30"/>
        <v>0</v>
      </c>
      <c r="I614" s="29">
        <f t="shared" si="31"/>
        <v>39315</v>
      </c>
    </row>
    <row r="615" spans="1:9" ht="12.75" customHeight="1" x14ac:dyDescent="0.2">
      <c r="A615" s="28">
        <v>39316</v>
      </c>
      <c r="B615" s="26" t="s">
        <v>3949</v>
      </c>
      <c r="C615" s="26" t="s">
        <v>9</v>
      </c>
      <c r="D615" s="26" t="s">
        <v>20</v>
      </c>
      <c r="E615" s="26" t="s">
        <v>20</v>
      </c>
      <c r="F615" s="26">
        <v>3915346</v>
      </c>
      <c r="G615" t="b">
        <f t="shared" si="29"/>
        <v>0</v>
      </c>
      <c r="H615" t="b">
        <f t="shared" si="30"/>
        <v>0</v>
      </c>
      <c r="I615" s="29">
        <f t="shared" si="31"/>
        <v>39316</v>
      </c>
    </row>
    <row r="616" spans="1:9" ht="38.25" x14ac:dyDescent="0.2">
      <c r="A616" s="28">
        <v>39316</v>
      </c>
      <c r="B616" s="26" t="s">
        <v>3948</v>
      </c>
      <c r="C616" s="26" t="s">
        <v>9</v>
      </c>
      <c r="D616" s="26" t="s">
        <v>20</v>
      </c>
      <c r="E616" s="26" t="s">
        <v>20</v>
      </c>
      <c r="F616" s="26" t="s">
        <v>20</v>
      </c>
      <c r="G616" t="b">
        <f t="shared" si="29"/>
        <v>0</v>
      </c>
      <c r="H616" t="b">
        <f t="shared" si="30"/>
        <v>0</v>
      </c>
      <c r="I616" s="29">
        <f t="shared" si="31"/>
        <v>39316</v>
      </c>
    </row>
    <row r="617" spans="1:9" ht="25.5" x14ac:dyDescent="0.2">
      <c r="A617" s="28">
        <v>39316</v>
      </c>
      <c r="B617" s="26" t="s">
        <v>3947</v>
      </c>
      <c r="C617" s="26" t="s">
        <v>3466</v>
      </c>
      <c r="D617" s="26" t="s">
        <v>20</v>
      </c>
      <c r="E617" s="26">
        <v>22509</v>
      </c>
      <c r="F617" s="26" t="s">
        <v>20</v>
      </c>
      <c r="G617" t="b">
        <f t="shared" si="29"/>
        <v>0</v>
      </c>
      <c r="H617" t="b">
        <f t="shared" si="30"/>
        <v>0</v>
      </c>
      <c r="I617" s="29">
        <f t="shared" si="31"/>
        <v>39316</v>
      </c>
    </row>
    <row r="618" spans="1:9" ht="25.5" x14ac:dyDescent="0.2">
      <c r="A618" s="28">
        <v>39317</v>
      </c>
      <c r="B618" s="26" t="s">
        <v>3946</v>
      </c>
      <c r="C618" s="26" t="s">
        <v>9</v>
      </c>
      <c r="D618" s="26" t="s">
        <v>20</v>
      </c>
      <c r="E618" s="26" t="s">
        <v>20</v>
      </c>
      <c r="F618" s="26">
        <v>1150497</v>
      </c>
      <c r="G618" t="b">
        <f t="shared" si="29"/>
        <v>0</v>
      </c>
      <c r="H618" t="b">
        <f t="shared" si="30"/>
        <v>0</v>
      </c>
      <c r="I618" s="29">
        <f t="shared" si="31"/>
        <v>39317</v>
      </c>
    </row>
    <row r="619" spans="1:9" ht="25.5" x14ac:dyDescent="0.2">
      <c r="A619" s="28">
        <v>39317</v>
      </c>
      <c r="B619" s="26" t="s">
        <v>3945</v>
      </c>
      <c r="C619" s="26" t="s">
        <v>9</v>
      </c>
      <c r="D619" s="26" t="s">
        <v>20</v>
      </c>
      <c r="E619" s="26" t="s">
        <v>20</v>
      </c>
      <c r="F619" s="26">
        <v>2260734</v>
      </c>
      <c r="G619" t="b">
        <f t="shared" si="29"/>
        <v>0</v>
      </c>
      <c r="H619" t="b">
        <f t="shared" si="30"/>
        <v>0</v>
      </c>
      <c r="I619" s="29">
        <f t="shared" si="31"/>
        <v>39317</v>
      </c>
    </row>
    <row r="620" spans="1:9" ht="12.75" customHeight="1" x14ac:dyDescent="0.2">
      <c r="A620" s="28">
        <v>39317</v>
      </c>
      <c r="B620" s="26" t="s">
        <v>3944</v>
      </c>
      <c r="C620" s="26" t="s">
        <v>9</v>
      </c>
      <c r="D620" s="26" t="s">
        <v>20</v>
      </c>
      <c r="E620" s="26" t="s">
        <v>20</v>
      </c>
      <c r="F620" s="26">
        <v>3899426</v>
      </c>
      <c r="G620" t="b">
        <f t="shared" si="29"/>
        <v>0</v>
      </c>
      <c r="H620" t="b">
        <f t="shared" si="30"/>
        <v>0</v>
      </c>
      <c r="I620" s="29">
        <f t="shared" si="31"/>
        <v>39317</v>
      </c>
    </row>
    <row r="621" spans="1:9" x14ac:dyDescent="0.2">
      <c r="A621" s="28">
        <v>39318</v>
      </c>
      <c r="B621" s="26" t="s">
        <v>3943</v>
      </c>
      <c r="C621" s="26" t="s">
        <v>3466</v>
      </c>
      <c r="D621" s="26" t="s">
        <v>20</v>
      </c>
      <c r="E621" s="26">
        <v>31216</v>
      </c>
      <c r="F621" s="26" t="s">
        <v>20</v>
      </c>
      <c r="G621" t="b">
        <f t="shared" si="29"/>
        <v>0</v>
      </c>
      <c r="H621" t="b">
        <f t="shared" si="30"/>
        <v>0</v>
      </c>
      <c r="I621" s="29">
        <f t="shared" si="31"/>
        <v>39318</v>
      </c>
    </row>
    <row r="622" spans="1:9" ht="12.75" customHeight="1" x14ac:dyDescent="0.2">
      <c r="A622" s="28">
        <v>39318</v>
      </c>
      <c r="B622" s="26" t="s">
        <v>3942</v>
      </c>
      <c r="C622" s="26" t="s">
        <v>647</v>
      </c>
      <c r="D622" s="26" t="s">
        <v>20</v>
      </c>
      <c r="E622" s="26">
        <v>1411065</v>
      </c>
      <c r="F622" s="26">
        <v>18429951</v>
      </c>
      <c r="G622" t="b">
        <f t="shared" si="29"/>
        <v>0</v>
      </c>
      <c r="H622" t="b">
        <f t="shared" si="30"/>
        <v>0</v>
      </c>
      <c r="I622" s="29">
        <f t="shared" si="31"/>
        <v>39318</v>
      </c>
    </row>
    <row r="623" spans="1:9" ht="12.75" customHeight="1" x14ac:dyDescent="0.2">
      <c r="A623" s="28">
        <v>39318</v>
      </c>
      <c r="B623" s="26" t="s">
        <v>3941</v>
      </c>
      <c r="C623" s="26" t="s">
        <v>746</v>
      </c>
      <c r="D623" s="26" t="s">
        <v>20</v>
      </c>
      <c r="E623" s="26">
        <v>8719</v>
      </c>
      <c r="F623" s="26" t="s">
        <v>20</v>
      </c>
      <c r="G623" t="b">
        <f t="shared" si="29"/>
        <v>0</v>
      </c>
      <c r="H623" t="b">
        <f t="shared" si="30"/>
        <v>0</v>
      </c>
      <c r="I623" s="29">
        <f t="shared" si="31"/>
        <v>39318</v>
      </c>
    </row>
    <row r="624" spans="1:9" ht="25.5" x14ac:dyDescent="0.2">
      <c r="A624" s="28">
        <v>39318</v>
      </c>
      <c r="B624" s="26" t="s">
        <v>3940</v>
      </c>
      <c r="C624" s="26" t="s">
        <v>9</v>
      </c>
      <c r="D624" s="26" t="s">
        <v>20</v>
      </c>
      <c r="E624" s="26">
        <v>3172382</v>
      </c>
      <c r="F624" s="26" t="s">
        <v>20</v>
      </c>
      <c r="G624" t="b">
        <f t="shared" si="29"/>
        <v>0</v>
      </c>
      <c r="H624" t="b">
        <f t="shared" si="30"/>
        <v>0</v>
      </c>
      <c r="I624" s="29">
        <f t="shared" si="31"/>
        <v>39318</v>
      </c>
    </row>
    <row r="625" spans="1:9" ht="12.75" customHeight="1" x14ac:dyDescent="0.2">
      <c r="A625" s="28">
        <v>39318</v>
      </c>
      <c r="B625" s="26" t="s">
        <v>3939</v>
      </c>
      <c r="C625" s="26" t="s">
        <v>3419</v>
      </c>
      <c r="D625" s="26">
        <v>25000000</v>
      </c>
      <c r="E625" s="26">
        <v>22466994</v>
      </c>
      <c r="F625" s="26">
        <v>40666994</v>
      </c>
      <c r="G625" t="b">
        <f t="shared" si="29"/>
        <v>0</v>
      </c>
      <c r="H625" t="b">
        <f t="shared" si="30"/>
        <v>0</v>
      </c>
      <c r="I625" s="29">
        <f t="shared" si="31"/>
        <v>39318</v>
      </c>
    </row>
    <row r="626" spans="1:9" ht="12.75" customHeight="1" x14ac:dyDescent="0.2">
      <c r="A626" s="28">
        <v>39318</v>
      </c>
      <c r="B626" s="26" t="s">
        <v>3938</v>
      </c>
      <c r="C626" s="26" t="s">
        <v>3466</v>
      </c>
      <c r="D626" s="26" t="s">
        <v>20</v>
      </c>
      <c r="E626" s="26">
        <v>271143</v>
      </c>
      <c r="F626" s="26" t="s">
        <v>20</v>
      </c>
      <c r="G626" t="b">
        <f t="shared" si="29"/>
        <v>0</v>
      </c>
      <c r="H626" t="b">
        <f t="shared" si="30"/>
        <v>0</v>
      </c>
      <c r="I626" s="29">
        <f t="shared" si="31"/>
        <v>39318</v>
      </c>
    </row>
    <row r="627" spans="1:9" x14ac:dyDescent="0.2">
      <c r="A627" s="28">
        <v>39318</v>
      </c>
      <c r="B627" s="26" t="s">
        <v>3937</v>
      </c>
      <c r="C627" s="26" t="s">
        <v>9</v>
      </c>
      <c r="D627" s="26" t="s">
        <v>20</v>
      </c>
      <c r="E627" s="26">
        <v>72210</v>
      </c>
      <c r="F627" s="26" t="s">
        <v>20</v>
      </c>
      <c r="G627" t="b">
        <f t="shared" si="29"/>
        <v>0</v>
      </c>
      <c r="H627" t="b">
        <f t="shared" si="30"/>
        <v>0</v>
      </c>
      <c r="I627" s="29">
        <f t="shared" si="31"/>
        <v>39318</v>
      </c>
    </row>
    <row r="628" spans="1:9" ht="12.75" customHeight="1" x14ac:dyDescent="0.2">
      <c r="A628" s="28">
        <v>39318</v>
      </c>
      <c r="B628" s="26" t="s">
        <v>3936</v>
      </c>
      <c r="C628" s="26" t="s">
        <v>49</v>
      </c>
      <c r="D628" s="26" t="s">
        <v>20</v>
      </c>
      <c r="E628" s="26">
        <v>91164</v>
      </c>
      <c r="F628" s="26" t="s">
        <v>20</v>
      </c>
      <c r="G628" t="b">
        <f t="shared" si="29"/>
        <v>0</v>
      </c>
      <c r="H628" t="b">
        <f t="shared" si="30"/>
        <v>0</v>
      </c>
      <c r="I628" s="29">
        <f t="shared" si="31"/>
        <v>39318</v>
      </c>
    </row>
    <row r="629" spans="1:9" ht="25.5" x14ac:dyDescent="0.2">
      <c r="A629" s="28">
        <v>39318</v>
      </c>
      <c r="B629" s="26" t="s">
        <v>3935</v>
      </c>
      <c r="C629" s="26" t="s">
        <v>3516</v>
      </c>
      <c r="D629" s="26">
        <v>10100000</v>
      </c>
      <c r="E629" s="26">
        <v>901857</v>
      </c>
      <c r="F629" s="26">
        <v>901857</v>
      </c>
      <c r="G629" t="b">
        <f t="shared" si="29"/>
        <v>0</v>
      </c>
      <c r="H629" t="b">
        <f t="shared" si="30"/>
        <v>0</v>
      </c>
      <c r="I629" s="29">
        <f t="shared" si="31"/>
        <v>39318</v>
      </c>
    </row>
    <row r="630" spans="1:9" x14ac:dyDescent="0.2">
      <c r="A630" s="28">
        <v>39318</v>
      </c>
      <c r="B630" s="26" t="s">
        <v>3934</v>
      </c>
      <c r="C630" s="26" t="s">
        <v>3218</v>
      </c>
      <c r="D630" s="26" t="s">
        <v>20</v>
      </c>
      <c r="E630" s="26">
        <v>25926673</v>
      </c>
      <c r="F630" s="26">
        <v>45991195</v>
      </c>
      <c r="G630" t="b">
        <f t="shared" si="29"/>
        <v>0</v>
      </c>
      <c r="H630" t="b">
        <f t="shared" si="30"/>
        <v>0</v>
      </c>
      <c r="I630" s="29">
        <f t="shared" si="31"/>
        <v>39318</v>
      </c>
    </row>
    <row r="631" spans="1:9" ht="25.5" x14ac:dyDescent="0.2">
      <c r="A631" s="28">
        <v>39318</v>
      </c>
      <c r="B631" s="26" t="s">
        <v>3933</v>
      </c>
      <c r="C631" s="26" t="s">
        <v>9</v>
      </c>
      <c r="D631" s="26" t="s">
        <v>20</v>
      </c>
      <c r="E631" s="26" t="s">
        <v>20</v>
      </c>
      <c r="F631" s="26">
        <v>727193</v>
      </c>
      <c r="G631" t="b">
        <f t="shared" ref="G631:G693" si="32">ISBLANK(A631)</f>
        <v>0</v>
      </c>
      <c r="H631" t="b">
        <f t="shared" ref="H631:H693" si="33">ISTEXT(A631)</f>
        <v>0</v>
      </c>
      <c r="I631" s="29">
        <f t="shared" si="31"/>
        <v>39318</v>
      </c>
    </row>
    <row r="632" spans="1:9" x14ac:dyDescent="0.2">
      <c r="A632" s="28">
        <v>39318</v>
      </c>
      <c r="B632" s="26" t="s">
        <v>3932</v>
      </c>
      <c r="C632" s="26" t="s">
        <v>117</v>
      </c>
      <c r="D632" s="26" t="s">
        <v>20</v>
      </c>
      <c r="E632" s="26">
        <v>64802</v>
      </c>
      <c r="F632" s="26" t="s">
        <v>20</v>
      </c>
      <c r="G632" t="b">
        <f t="shared" si="32"/>
        <v>0</v>
      </c>
      <c r="H632" t="b">
        <f t="shared" si="33"/>
        <v>0</v>
      </c>
      <c r="I632" s="29">
        <f t="shared" si="31"/>
        <v>39318</v>
      </c>
    </row>
    <row r="633" spans="1:9" ht="12.75" customHeight="1" x14ac:dyDescent="0.2">
      <c r="A633" s="28">
        <v>39318</v>
      </c>
      <c r="B633" s="26" t="s">
        <v>3931</v>
      </c>
      <c r="C633" s="26" t="s">
        <v>3096</v>
      </c>
      <c r="D633" s="26" t="s">
        <v>20</v>
      </c>
      <c r="E633" s="26">
        <v>3054430</v>
      </c>
      <c r="F633" s="26" t="s">
        <v>20</v>
      </c>
      <c r="G633" t="b">
        <f t="shared" si="32"/>
        <v>0</v>
      </c>
      <c r="H633" t="b">
        <f t="shared" si="33"/>
        <v>0</v>
      </c>
      <c r="I633" s="29">
        <f t="shared" si="31"/>
        <v>39318</v>
      </c>
    </row>
    <row r="634" spans="1:9" ht="25.5" x14ac:dyDescent="0.2">
      <c r="A634" s="28">
        <v>39318</v>
      </c>
      <c r="B634" s="26" t="s">
        <v>3930</v>
      </c>
      <c r="C634" s="26" t="s">
        <v>3096</v>
      </c>
      <c r="D634" s="26">
        <v>25000000</v>
      </c>
      <c r="E634" s="26">
        <v>33302167</v>
      </c>
      <c r="F634" s="26">
        <v>229736344</v>
      </c>
      <c r="G634" t="b">
        <f t="shared" si="32"/>
        <v>0</v>
      </c>
      <c r="H634" t="b">
        <f t="shared" si="33"/>
        <v>0</v>
      </c>
      <c r="I634" s="29">
        <f t="shared" si="31"/>
        <v>39318</v>
      </c>
    </row>
    <row r="635" spans="1:9" ht="25.5" x14ac:dyDescent="0.2">
      <c r="A635" s="28">
        <v>39318</v>
      </c>
      <c r="B635" s="26" t="s">
        <v>3929</v>
      </c>
      <c r="C635" s="26" t="s">
        <v>1992</v>
      </c>
      <c r="D635" s="26" t="s">
        <v>20</v>
      </c>
      <c r="E635" s="26">
        <v>7052</v>
      </c>
      <c r="F635" s="26" t="s">
        <v>20</v>
      </c>
      <c r="G635" t="b">
        <f t="shared" si="32"/>
        <v>0</v>
      </c>
      <c r="H635" t="b">
        <f t="shared" si="33"/>
        <v>0</v>
      </c>
      <c r="I635" s="29">
        <f t="shared" si="31"/>
        <v>39318</v>
      </c>
    </row>
    <row r="636" spans="1:9" x14ac:dyDescent="0.2">
      <c r="A636" s="28">
        <v>39318</v>
      </c>
      <c r="B636" s="26" t="s">
        <v>3928</v>
      </c>
      <c r="C636" s="26" t="s">
        <v>3517</v>
      </c>
      <c r="D636" s="26" t="s">
        <v>20</v>
      </c>
      <c r="E636" s="26" t="s">
        <v>20</v>
      </c>
      <c r="F636" s="26" t="s">
        <v>20</v>
      </c>
      <c r="G636" t="b">
        <f t="shared" si="32"/>
        <v>0</v>
      </c>
      <c r="H636" t="b">
        <f t="shared" si="33"/>
        <v>0</v>
      </c>
      <c r="I636" s="29">
        <f t="shared" si="31"/>
        <v>39318</v>
      </c>
    </row>
    <row r="637" spans="1:9" ht="25.5" x14ac:dyDescent="0.2">
      <c r="A637" s="28">
        <v>39318</v>
      </c>
      <c r="B637" s="26" t="s">
        <v>3927</v>
      </c>
      <c r="C637" s="26" t="s">
        <v>1414</v>
      </c>
      <c r="D637" s="26" t="s">
        <v>20</v>
      </c>
      <c r="E637" s="26" t="s">
        <v>20</v>
      </c>
      <c r="F637" s="26" t="s">
        <v>20</v>
      </c>
      <c r="G637" t="b">
        <f t="shared" si="32"/>
        <v>0</v>
      </c>
      <c r="H637" t="b">
        <f t="shared" si="33"/>
        <v>0</v>
      </c>
      <c r="I637" s="29">
        <f t="shared" si="31"/>
        <v>39318</v>
      </c>
    </row>
    <row r="638" spans="1:9" ht="25.5" x14ac:dyDescent="0.2">
      <c r="A638" s="28">
        <v>39318</v>
      </c>
      <c r="B638" s="26" t="s">
        <v>3926</v>
      </c>
      <c r="C638" s="26" t="s">
        <v>9</v>
      </c>
      <c r="D638" s="26" t="s">
        <v>20</v>
      </c>
      <c r="E638" s="26">
        <v>224546</v>
      </c>
      <c r="F638" s="26" t="s">
        <v>20</v>
      </c>
      <c r="G638" t="b">
        <f t="shared" si="32"/>
        <v>0</v>
      </c>
      <c r="H638" t="b">
        <f t="shared" si="33"/>
        <v>0</v>
      </c>
      <c r="I638" s="29">
        <f t="shared" si="31"/>
        <v>39318</v>
      </c>
    </row>
    <row r="639" spans="1:9" ht="25.5" x14ac:dyDescent="0.2">
      <c r="A639" s="28">
        <v>39319</v>
      </c>
      <c r="B639" s="26" t="s">
        <v>3925</v>
      </c>
      <c r="C639" s="26" t="s">
        <v>9</v>
      </c>
      <c r="D639" s="26" t="s">
        <v>20</v>
      </c>
      <c r="E639" s="26" t="s">
        <v>20</v>
      </c>
      <c r="F639" s="26">
        <v>10625731</v>
      </c>
      <c r="G639" t="b">
        <f t="shared" si="32"/>
        <v>0</v>
      </c>
      <c r="H639" t="b">
        <f t="shared" si="33"/>
        <v>0</v>
      </c>
      <c r="I639" s="29">
        <f t="shared" si="31"/>
        <v>39319</v>
      </c>
    </row>
    <row r="640" spans="1:9" ht="38.25" x14ac:dyDescent="0.2">
      <c r="A640" s="28">
        <v>39322</v>
      </c>
      <c r="B640" s="26" t="s">
        <v>3924</v>
      </c>
      <c r="C640" s="26" t="s">
        <v>9</v>
      </c>
      <c r="D640" s="26" t="s">
        <v>20</v>
      </c>
      <c r="E640" s="26" t="s">
        <v>20</v>
      </c>
      <c r="F640" s="26" t="s">
        <v>20</v>
      </c>
      <c r="G640" t="b">
        <f t="shared" si="32"/>
        <v>0</v>
      </c>
      <c r="H640" t="b">
        <f t="shared" si="33"/>
        <v>0</v>
      </c>
      <c r="I640" s="29">
        <f t="shared" si="31"/>
        <v>39322</v>
      </c>
    </row>
    <row r="641" spans="1:9" ht="12.75" customHeight="1" x14ac:dyDescent="0.2">
      <c r="A641" s="28">
        <v>39323</v>
      </c>
      <c r="B641" s="26" t="s">
        <v>3923</v>
      </c>
      <c r="C641" s="26" t="s">
        <v>698</v>
      </c>
      <c r="D641" s="26" t="s">
        <v>20</v>
      </c>
      <c r="E641" s="26">
        <v>32886940</v>
      </c>
      <c r="F641" s="26">
        <v>40878622</v>
      </c>
      <c r="G641" t="b">
        <f t="shared" si="32"/>
        <v>0</v>
      </c>
      <c r="H641" t="b">
        <f t="shared" si="33"/>
        <v>0</v>
      </c>
      <c r="I641" s="29">
        <f t="shared" si="31"/>
        <v>39323</v>
      </c>
    </row>
    <row r="642" spans="1:9" ht="12.75" customHeight="1" x14ac:dyDescent="0.2">
      <c r="A642" s="28">
        <v>39323</v>
      </c>
      <c r="B642" s="26" t="s">
        <v>3922</v>
      </c>
      <c r="C642" s="26" t="s">
        <v>3518</v>
      </c>
      <c r="D642" s="26" t="s">
        <v>20</v>
      </c>
      <c r="E642" s="26">
        <v>15425</v>
      </c>
      <c r="F642" s="26" t="s">
        <v>20</v>
      </c>
      <c r="G642" t="b">
        <f t="shared" si="32"/>
        <v>0</v>
      </c>
      <c r="H642" t="b">
        <f t="shared" si="33"/>
        <v>0</v>
      </c>
      <c r="I642" s="29">
        <f t="shared" si="31"/>
        <v>39323</v>
      </c>
    </row>
    <row r="643" spans="1:9" ht="25.5" x14ac:dyDescent="0.2">
      <c r="A643" s="28">
        <v>39324</v>
      </c>
      <c r="B643" s="26" t="s">
        <v>3921</v>
      </c>
      <c r="C643" s="26" t="s">
        <v>9</v>
      </c>
      <c r="D643" s="26" t="s">
        <v>20</v>
      </c>
      <c r="E643" s="26" t="s">
        <v>20</v>
      </c>
      <c r="F643" s="26">
        <v>2927117</v>
      </c>
      <c r="G643" t="b">
        <f t="shared" si="32"/>
        <v>0</v>
      </c>
      <c r="H643" t="b">
        <f t="shared" si="33"/>
        <v>0</v>
      </c>
      <c r="I643" s="29">
        <f t="shared" ref="I643:I706" si="34">DATE(2007,MONTH(A643), DAY(A643))</f>
        <v>39324</v>
      </c>
    </row>
    <row r="644" spans="1:9" ht="12.75" customHeight="1" x14ac:dyDescent="0.2">
      <c r="A644" s="28">
        <v>39324</v>
      </c>
      <c r="B644" s="26" t="s">
        <v>3920</v>
      </c>
      <c r="C644" s="26" t="s">
        <v>9</v>
      </c>
      <c r="D644" s="26" t="s">
        <v>20</v>
      </c>
      <c r="E644" s="26" t="s">
        <v>20</v>
      </c>
      <c r="F644" s="26" t="s">
        <v>20</v>
      </c>
      <c r="G644" t="b">
        <f t="shared" si="32"/>
        <v>0</v>
      </c>
      <c r="H644" t="b">
        <f t="shared" si="33"/>
        <v>0</v>
      </c>
      <c r="I644" s="29">
        <f t="shared" si="34"/>
        <v>39324</v>
      </c>
    </row>
    <row r="645" spans="1:9" ht="25.5" x14ac:dyDescent="0.2">
      <c r="A645" s="28">
        <v>39324</v>
      </c>
      <c r="B645" s="26" t="s">
        <v>3919</v>
      </c>
      <c r="C645" s="26" t="s">
        <v>9</v>
      </c>
      <c r="D645" s="26" t="s">
        <v>20</v>
      </c>
      <c r="E645" s="26" t="s">
        <v>20</v>
      </c>
      <c r="F645" s="26">
        <v>1776916</v>
      </c>
      <c r="G645" t="b">
        <f t="shared" si="32"/>
        <v>0</v>
      </c>
      <c r="H645" t="b">
        <f t="shared" si="33"/>
        <v>0</v>
      </c>
      <c r="I645" s="29">
        <f t="shared" si="34"/>
        <v>39324</v>
      </c>
    </row>
    <row r="646" spans="1:9" ht="25.5" x14ac:dyDescent="0.2">
      <c r="A646" s="28">
        <v>39325</v>
      </c>
      <c r="B646" s="26" t="s">
        <v>3918</v>
      </c>
      <c r="C646" s="26" t="s">
        <v>3519</v>
      </c>
      <c r="D646" s="26" t="s">
        <v>20</v>
      </c>
      <c r="E646" s="26">
        <v>201603</v>
      </c>
      <c r="F646" s="26" t="s">
        <v>20</v>
      </c>
      <c r="G646" t="b">
        <f t="shared" si="32"/>
        <v>0</v>
      </c>
      <c r="H646" t="b">
        <f t="shared" si="33"/>
        <v>0</v>
      </c>
      <c r="I646" s="29">
        <f t="shared" si="34"/>
        <v>39325</v>
      </c>
    </row>
    <row r="647" spans="1:9" ht="25.5" x14ac:dyDescent="0.2">
      <c r="A647" s="28">
        <v>39325</v>
      </c>
      <c r="B647" s="26" t="s">
        <v>3917</v>
      </c>
      <c r="C647" s="26" t="s">
        <v>2775</v>
      </c>
      <c r="D647" s="26" t="s">
        <v>20</v>
      </c>
      <c r="E647" s="26">
        <v>10718</v>
      </c>
      <c r="F647" s="26" t="s">
        <v>20</v>
      </c>
      <c r="G647" t="b">
        <f t="shared" si="32"/>
        <v>0</v>
      </c>
      <c r="H647" t="b">
        <f t="shared" si="33"/>
        <v>0</v>
      </c>
      <c r="I647" s="29">
        <f t="shared" si="34"/>
        <v>39325</v>
      </c>
    </row>
    <row r="648" spans="1:9" ht="25.5" x14ac:dyDescent="0.2">
      <c r="A648" s="28">
        <v>39325</v>
      </c>
      <c r="B648" s="26" t="s">
        <v>3916</v>
      </c>
      <c r="C648" s="26" t="s">
        <v>3419</v>
      </c>
      <c r="D648" s="26" t="s">
        <v>20</v>
      </c>
      <c r="E648" s="26">
        <v>4011254</v>
      </c>
      <c r="F648" s="26">
        <v>5273266</v>
      </c>
      <c r="G648" t="b">
        <f t="shared" si="32"/>
        <v>0</v>
      </c>
      <c r="H648" t="b">
        <f t="shared" si="33"/>
        <v>0</v>
      </c>
      <c r="I648" s="29">
        <f t="shared" si="34"/>
        <v>39325</v>
      </c>
    </row>
    <row r="649" spans="1:9" ht="12.75" customHeight="1" x14ac:dyDescent="0.2">
      <c r="A649" s="28">
        <v>39325</v>
      </c>
      <c r="B649" s="26" t="s">
        <v>3915</v>
      </c>
      <c r="C649" s="26" t="s">
        <v>9</v>
      </c>
      <c r="D649" s="26" t="s">
        <v>20</v>
      </c>
      <c r="E649" s="26" t="s">
        <v>20</v>
      </c>
      <c r="F649" s="26">
        <v>1720493</v>
      </c>
      <c r="G649" t="b">
        <f t="shared" si="32"/>
        <v>0</v>
      </c>
      <c r="H649" t="b">
        <f t="shared" si="33"/>
        <v>0</v>
      </c>
      <c r="I649" s="29">
        <f t="shared" si="34"/>
        <v>39325</v>
      </c>
    </row>
    <row r="650" spans="1:9" ht="12.75" customHeight="1" x14ac:dyDescent="0.2">
      <c r="A650" s="28">
        <v>39325</v>
      </c>
      <c r="B650" s="26" t="s">
        <v>3914</v>
      </c>
      <c r="C650" s="26" t="s">
        <v>9</v>
      </c>
      <c r="D650" s="26" t="s">
        <v>20</v>
      </c>
      <c r="E650" s="26" t="s">
        <v>20</v>
      </c>
      <c r="F650" s="26">
        <v>1004722</v>
      </c>
      <c r="G650" t="b">
        <f t="shared" si="32"/>
        <v>0</v>
      </c>
      <c r="H650" t="b">
        <f t="shared" si="33"/>
        <v>0</v>
      </c>
      <c r="I650" s="29">
        <f t="shared" si="34"/>
        <v>39325</v>
      </c>
    </row>
    <row r="651" spans="1:9" x14ac:dyDescent="0.2">
      <c r="A651" s="28">
        <v>39325</v>
      </c>
      <c r="B651" s="26" t="s">
        <v>3913</v>
      </c>
      <c r="C651" s="26" t="s">
        <v>1095</v>
      </c>
      <c r="D651" s="26" t="s">
        <v>20</v>
      </c>
      <c r="E651" s="26">
        <v>161590</v>
      </c>
      <c r="F651" s="26" t="s">
        <v>20</v>
      </c>
      <c r="G651" t="b">
        <f t="shared" si="32"/>
        <v>0</v>
      </c>
      <c r="H651" t="b">
        <f t="shared" si="33"/>
        <v>0</v>
      </c>
      <c r="I651" s="29">
        <f t="shared" si="34"/>
        <v>39325</v>
      </c>
    </row>
    <row r="652" spans="1:9" ht="12.75" customHeight="1" x14ac:dyDescent="0.2">
      <c r="A652" s="28">
        <v>39325</v>
      </c>
      <c r="B652" s="26" t="s">
        <v>3912</v>
      </c>
      <c r="C652" s="26" t="s">
        <v>1053</v>
      </c>
      <c r="D652" s="26" t="s">
        <v>20</v>
      </c>
      <c r="E652" s="26">
        <v>63165</v>
      </c>
      <c r="F652" s="26" t="s">
        <v>20</v>
      </c>
      <c r="G652" t="b">
        <f t="shared" si="32"/>
        <v>0</v>
      </c>
      <c r="H652" t="b">
        <f t="shared" si="33"/>
        <v>0</v>
      </c>
      <c r="I652" s="29">
        <f t="shared" si="34"/>
        <v>39325</v>
      </c>
    </row>
    <row r="653" spans="1:9" ht="12.75" customHeight="1" x14ac:dyDescent="0.2">
      <c r="A653" s="28">
        <v>39325</v>
      </c>
      <c r="B653" s="26" t="s">
        <v>3911</v>
      </c>
      <c r="C653" s="26" t="s">
        <v>746</v>
      </c>
      <c r="D653" s="26">
        <v>4500000</v>
      </c>
      <c r="E653" s="26">
        <v>51957</v>
      </c>
      <c r="F653" s="26" t="s">
        <v>20</v>
      </c>
      <c r="G653" t="b">
        <f t="shared" si="32"/>
        <v>0</v>
      </c>
      <c r="H653" t="b">
        <f t="shared" si="33"/>
        <v>0</v>
      </c>
      <c r="I653" s="29">
        <f t="shared" si="34"/>
        <v>39325</v>
      </c>
    </row>
    <row r="654" spans="1:9" ht="12.75" customHeight="1" x14ac:dyDescent="0.2">
      <c r="A654" s="28">
        <v>39325</v>
      </c>
      <c r="B654" s="26" t="s">
        <v>3910</v>
      </c>
      <c r="C654" s="26" t="s">
        <v>9</v>
      </c>
      <c r="D654" s="26" t="s">
        <v>20</v>
      </c>
      <c r="E654" s="26">
        <v>100610</v>
      </c>
      <c r="F654" s="26" t="s">
        <v>20</v>
      </c>
      <c r="G654" t="b">
        <f t="shared" si="32"/>
        <v>0</v>
      </c>
      <c r="H654" t="b">
        <f t="shared" si="33"/>
        <v>0</v>
      </c>
      <c r="I654" s="29">
        <f t="shared" si="34"/>
        <v>39325</v>
      </c>
    </row>
    <row r="655" spans="1:9" ht="12.75" customHeight="1" x14ac:dyDescent="0.2">
      <c r="A655" s="28">
        <v>39325</v>
      </c>
      <c r="B655" s="26" t="s">
        <v>3909</v>
      </c>
      <c r="C655" s="26" t="s">
        <v>9</v>
      </c>
      <c r="D655" s="26" t="s">
        <v>20</v>
      </c>
      <c r="E655" s="26" t="s">
        <v>20</v>
      </c>
      <c r="F655" s="26">
        <v>926081</v>
      </c>
      <c r="G655" t="b">
        <f t="shared" si="32"/>
        <v>0</v>
      </c>
      <c r="H655" t="b">
        <f t="shared" si="33"/>
        <v>0</v>
      </c>
      <c r="I655" s="29">
        <f t="shared" si="34"/>
        <v>39325</v>
      </c>
    </row>
    <row r="656" spans="1:9" ht="12.75" customHeight="1" x14ac:dyDescent="0.2">
      <c r="A656" s="28">
        <v>39325</v>
      </c>
      <c r="B656" s="26" t="s">
        <v>3908</v>
      </c>
      <c r="C656" s="26" t="s">
        <v>3475</v>
      </c>
      <c r="D656" s="26" t="s">
        <v>20</v>
      </c>
      <c r="E656" s="26">
        <v>58269151</v>
      </c>
      <c r="F656" s="26">
        <v>77514401</v>
      </c>
      <c r="G656" t="b">
        <f t="shared" si="32"/>
        <v>0</v>
      </c>
      <c r="H656" t="b">
        <f t="shared" si="33"/>
        <v>0</v>
      </c>
      <c r="I656" s="29">
        <f t="shared" si="34"/>
        <v>39325</v>
      </c>
    </row>
    <row r="657" spans="1:9" ht="12.75" customHeight="1" x14ac:dyDescent="0.2">
      <c r="A657" s="28">
        <v>39325</v>
      </c>
      <c r="B657" s="26" t="s">
        <v>3907</v>
      </c>
      <c r="C657" s="26" t="s">
        <v>384</v>
      </c>
      <c r="D657" s="26" t="s">
        <v>20</v>
      </c>
      <c r="E657" s="26">
        <v>9534258</v>
      </c>
      <c r="F657" s="26">
        <v>16178301</v>
      </c>
      <c r="G657" t="b">
        <f t="shared" si="32"/>
        <v>0</v>
      </c>
      <c r="H657" t="b">
        <f t="shared" si="33"/>
        <v>0</v>
      </c>
      <c r="I657" s="29">
        <f t="shared" si="34"/>
        <v>39325</v>
      </c>
    </row>
    <row r="658" spans="1:9" ht="25.5" x14ac:dyDescent="0.2">
      <c r="A658" s="28">
        <v>39326</v>
      </c>
      <c r="B658" s="26" t="s">
        <v>3906</v>
      </c>
      <c r="C658" s="26" t="s">
        <v>9</v>
      </c>
      <c r="D658" s="26" t="s">
        <v>20</v>
      </c>
      <c r="E658" s="26">
        <v>22419</v>
      </c>
      <c r="F658" s="26">
        <v>9057185</v>
      </c>
      <c r="G658" t="b">
        <f t="shared" si="32"/>
        <v>0</v>
      </c>
      <c r="H658" t="b">
        <f t="shared" si="33"/>
        <v>0</v>
      </c>
      <c r="I658" s="29">
        <f t="shared" si="34"/>
        <v>39326</v>
      </c>
    </row>
    <row r="659" spans="1:9" ht="38.25" x14ac:dyDescent="0.2">
      <c r="A659" s="28">
        <v>39326</v>
      </c>
      <c r="B659" s="26" t="s">
        <v>3905</v>
      </c>
      <c r="C659" s="26" t="s">
        <v>2624</v>
      </c>
      <c r="D659" s="26" t="s">
        <v>20</v>
      </c>
      <c r="E659" s="26" t="s">
        <v>20</v>
      </c>
      <c r="F659" s="26" t="s">
        <v>20</v>
      </c>
      <c r="G659" t="b">
        <f t="shared" si="32"/>
        <v>0</v>
      </c>
      <c r="H659" t="b">
        <f t="shared" si="33"/>
        <v>0</v>
      </c>
      <c r="I659" s="29">
        <f t="shared" si="34"/>
        <v>39326</v>
      </c>
    </row>
    <row r="660" spans="1:9" ht="51" x14ac:dyDescent="0.2">
      <c r="A660" s="28">
        <v>39329</v>
      </c>
      <c r="B660" s="26" t="s">
        <v>3904</v>
      </c>
      <c r="C660" s="26" t="s">
        <v>9</v>
      </c>
      <c r="D660" s="26" t="s">
        <v>20</v>
      </c>
      <c r="E660" s="26" t="s">
        <v>20</v>
      </c>
      <c r="F660" s="26" t="s">
        <v>20</v>
      </c>
      <c r="G660" t="b">
        <f t="shared" si="32"/>
        <v>0</v>
      </c>
      <c r="H660" t="b">
        <f t="shared" si="33"/>
        <v>0</v>
      </c>
      <c r="I660" s="29">
        <f t="shared" si="34"/>
        <v>39329</v>
      </c>
    </row>
    <row r="661" spans="1:9" ht="25.5" x14ac:dyDescent="0.2">
      <c r="A661" s="28">
        <v>39329</v>
      </c>
      <c r="B661" s="26" t="s">
        <v>3903</v>
      </c>
      <c r="C661" s="26" t="s">
        <v>9</v>
      </c>
      <c r="D661" s="26" t="s">
        <v>20</v>
      </c>
      <c r="E661" s="26" t="s">
        <v>20</v>
      </c>
      <c r="F661" s="26" t="s">
        <v>20</v>
      </c>
      <c r="G661" t="b">
        <f t="shared" si="32"/>
        <v>0</v>
      </c>
      <c r="H661" t="b">
        <f t="shared" si="33"/>
        <v>0</v>
      </c>
      <c r="I661" s="29">
        <f t="shared" si="34"/>
        <v>39329</v>
      </c>
    </row>
    <row r="662" spans="1:9" ht="25.5" x14ac:dyDescent="0.2">
      <c r="A662" s="28">
        <v>39329</v>
      </c>
      <c r="B662" s="26" t="s">
        <v>3902</v>
      </c>
      <c r="C662" s="26" t="s">
        <v>9</v>
      </c>
      <c r="D662" s="26" t="s">
        <v>20</v>
      </c>
      <c r="E662" s="26" t="s">
        <v>20</v>
      </c>
      <c r="F662" s="26" t="s">
        <v>20</v>
      </c>
      <c r="G662" t="b">
        <f t="shared" si="32"/>
        <v>0</v>
      </c>
      <c r="H662" t="b">
        <f t="shared" si="33"/>
        <v>0</v>
      </c>
      <c r="I662" s="29">
        <f t="shared" si="34"/>
        <v>39329</v>
      </c>
    </row>
    <row r="663" spans="1:9" x14ac:dyDescent="0.2">
      <c r="A663" s="28">
        <v>39329</v>
      </c>
      <c r="B663" s="26" t="s">
        <v>3901</v>
      </c>
      <c r="C663" s="26" t="s">
        <v>9</v>
      </c>
      <c r="D663" s="26" t="s">
        <v>20</v>
      </c>
      <c r="E663" s="26" t="s">
        <v>20</v>
      </c>
      <c r="F663" s="26" t="s">
        <v>20</v>
      </c>
      <c r="G663" t="b">
        <f t="shared" si="32"/>
        <v>0</v>
      </c>
      <c r="H663" t="b">
        <f t="shared" si="33"/>
        <v>0</v>
      </c>
      <c r="I663" s="29">
        <f t="shared" si="34"/>
        <v>39329</v>
      </c>
    </row>
    <row r="664" spans="1:9" ht="38.25" x14ac:dyDescent="0.2">
      <c r="A664" s="28">
        <v>39330</v>
      </c>
      <c r="B664" s="26" t="s">
        <v>3900</v>
      </c>
      <c r="C664" s="26" t="s">
        <v>9</v>
      </c>
      <c r="D664" s="26" t="s">
        <v>20</v>
      </c>
      <c r="E664" s="26">
        <v>194568</v>
      </c>
      <c r="F664" s="26" t="s">
        <v>20</v>
      </c>
      <c r="G664" t="b">
        <f t="shared" si="32"/>
        <v>0</v>
      </c>
      <c r="H664" t="b">
        <f t="shared" si="33"/>
        <v>0</v>
      </c>
      <c r="I664" s="29">
        <f t="shared" si="34"/>
        <v>39330</v>
      </c>
    </row>
    <row r="665" spans="1:9" ht="12.75" customHeight="1" x14ac:dyDescent="0.2">
      <c r="A665" s="28">
        <v>39331</v>
      </c>
      <c r="B665" s="26" t="s">
        <v>3899</v>
      </c>
      <c r="C665" s="26" t="s">
        <v>9</v>
      </c>
      <c r="D665" s="26" t="s">
        <v>20</v>
      </c>
      <c r="E665" s="26" t="s">
        <v>20</v>
      </c>
      <c r="F665" s="26">
        <v>4545849</v>
      </c>
      <c r="G665" t="b">
        <f t="shared" si="32"/>
        <v>0</v>
      </c>
      <c r="H665" t="b">
        <f t="shared" si="33"/>
        <v>0</v>
      </c>
      <c r="I665" s="29">
        <f t="shared" si="34"/>
        <v>39331</v>
      </c>
    </row>
    <row r="666" spans="1:9" ht="12.75" customHeight="1" x14ac:dyDescent="0.2">
      <c r="A666" s="28">
        <v>39332</v>
      </c>
      <c r="B666" s="26" t="s">
        <v>3898</v>
      </c>
      <c r="C666" s="26" t="s">
        <v>9</v>
      </c>
      <c r="D666" s="26" t="s">
        <v>20</v>
      </c>
      <c r="E666" s="26" t="s">
        <v>20</v>
      </c>
      <c r="F666" s="26">
        <v>757693</v>
      </c>
      <c r="G666" t="b">
        <f t="shared" si="32"/>
        <v>0</v>
      </c>
      <c r="H666" t="b">
        <f t="shared" si="33"/>
        <v>0</v>
      </c>
      <c r="I666" s="29">
        <f t="shared" si="34"/>
        <v>39332</v>
      </c>
    </row>
    <row r="667" spans="1:9" ht="25.5" x14ac:dyDescent="0.2">
      <c r="A667" s="28">
        <v>39332</v>
      </c>
      <c r="B667" s="26" t="s">
        <v>3897</v>
      </c>
      <c r="C667" s="26" t="s">
        <v>2160</v>
      </c>
      <c r="D667" s="26">
        <v>10000000</v>
      </c>
      <c r="E667" s="26">
        <v>900926</v>
      </c>
      <c r="F667" s="26" t="s">
        <v>20</v>
      </c>
      <c r="G667" t="b">
        <f t="shared" si="32"/>
        <v>0</v>
      </c>
      <c r="H667" t="b">
        <f t="shared" si="33"/>
        <v>0</v>
      </c>
      <c r="I667" s="29">
        <f t="shared" si="34"/>
        <v>39332</v>
      </c>
    </row>
    <row r="668" spans="1:9" ht="12.75" customHeight="1" x14ac:dyDescent="0.2">
      <c r="A668" s="28">
        <v>39332</v>
      </c>
      <c r="B668" s="26" t="s">
        <v>3896</v>
      </c>
      <c r="C668" s="26" t="s">
        <v>2160</v>
      </c>
      <c r="D668" s="26">
        <v>48000000</v>
      </c>
      <c r="E668" s="26">
        <v>53606916</v>
      </c>
      <c r="F668" s="26">
        <v>69791889</v>
      </c>
      <c r="G668" t="b">
        <f t="shared" si="32"/>
        <v>0</v>
      </c>
      <c r="H668" t="b">
        <f t="shared" si="33"/>
        <v>0</v>
      </c>
      <c r="I668" s="29">
        <f t="shared" si="34"/>
        <v>39332</v>
      </c>
    </row>
    <row r="669" spans="1:9" ht="25.5" x14ac:dyDescent="0.2">
      <c r="A669" s="28">
        <v>39332</v>
      </c>
      <c r="B669" s="26" t="s">
        <v>3895</v>
      </c>
      <c r="C669" s="26" t="s">
        <v>9</v>
      </c>
      <c r="D669" s="26">
        <v>11000000</v>
      </c>
      <c r="E669" s="26">
        <v>551002</v>
      </c>
      <c r="F669" s="26">
        <v>3231251</v>
      </c>
      <c r="G669" t="b">
        <f t="shared" si="32"/>
        <v>0</v>
      </c>
      <c r="H669" t="b">
        <f t="shared" si="33"/>
        <v>0</v>
      </c>
      <c r="I669" s="29">
        <f t="shared" si="34"/>
        <v>39332</v>
      </c>
    </row>
    <row r="670" spans="1:9" ht="12.75" customHeight="1" x14ac:dyDescent="0.2">
      <c r="A670" s="28">
        <v>39332</v>
      </c>
      <c r="B670" s="26" t="s">
        <v>3894</v>
      </c>
      <c r="C670" s="26" t="s">
        <v>3520</v>
      </c>
      <c r="D670" s="26" t="s">
        <v>20</v>
      </c>
      <c r="E670" s="26">
        <v>166339</v>
      </c>
      <c r="F670" s="26">
        <v>5284202</v>
      </c>
      <c r="G670" t="b">
        <f t="shared" si="32"/>
        <v>0</v>
      </c>
      <c r="H670" t="b">
        <f t="shared" si="33"/>
        <v>0</v>
      </c>
      <c r="I670" s="29">
        <f t="shared" si="34"/>
        <v>39332</v>
      </c>
    </row>
    <row r="671" spans="1:9" ht="12.75" customHeight="1" x14ac:dyDescent="0.2">
      <c r="A671" s="28">
        <v>39332</v>
      </c>
      <c r="B671" s="26" t="s">
        <v>3893</v>
      </c>
      <c r="C671" s="26" t="s">
        <v>3419</v>
      </c>
      <c r="D671" s="26" t="s">
        <v>20</v>
      </c>
      <c r="E671" s="26">
        <v>85410</v>
      </c>
      <c r="F671" s="26" t="s">
        <v>20</v>
      </c>
      <c r="G671" t="b">
        <f t="shared" si="32"/>
        <v>0</v>
      </c>
      <c r="H671" t="b">
        <f t="shared" si="33"/>
        <v>0</v>
      </c>
      <c r="I671" s="29">
        <f t="shared" si="34"/>
        <v>39332</v>
      </c>
    </row>
    <row r="672" spans="1:9" ht="12.75" customHeight="1" x14ac:dyDescent="0.2">
      <c r="A672" s="28">
        <v>39332</v>
      </c>
      <c r="B672" s="26" t="s">
        <v>3892</v>
      </c>
      <c r="C672" s="26" t="s">
        <v>2460</v>
      </c>
      <c r="D672" s="26" t="s">
        <v>20</v>
      </c>
      <c r="E672" s="26">
        <v>12796824</v>
      </c>
      <c r="F672" s="26">
        <v>25296824</v>
      </c>
      <c r="G672" t="b">
        <f t="shared" si="32"/>
        <v>0</v>
      </c>
      <c r="H672" t="b">
        <f t="shared" si="33"/>
        <v>0</v>
      </c>
      <c r="I672" s="29">
        <f t="shared" si="34"/>
        <v>39332</v>
      </c>
    </row>
    <row r="673" spans="1:9" ht="25.5" x14ac:dyDescent="0.2">
      <c r="A673" s="28">
        <v>39332</v>
      </c>
      <c r="B673" s="26" t="s">
        <v>3891</v>
      </c>
      <c r="C673" s="26" t="s">
        <v>3494</v>
      </c>
      <c r="D673" s="26" t="s">
        <v>20</v>
      </c>
      <c r="E673" s="26">
        <v>9152</v>
      </c>
      <c r="F673" s="26" t="s">
        <v>20</v>
      </c>
      <c r="G673" t="b">
        <f t="shared" si="32"/>
        <v>0</v>
      </c>
      <c r="H673" t="b">
        <f t="shared" si="33"/>
        <v>0</v>
      </c>
      <c r="I673" s="29">
        <f t="shared" si="34"/>
        <v>39332</v>
      </c>
    </row>
    <row r="674" spans="1:9" ht="12.75" customHeight="1" x14ac:dyDescent="0.2">
      <c r="A674" s="28">
        <v>39332</v>
      </c>
      <c r="B674" s="26" t="s">
        <v>3890</v>
      </c>
      <c r="C674" s="26" t="s">
        <v>9</v>
      </c>
      <c r="D674" s="26" t="s">
        <v>20</v>
      </c>
      <c r="E674" s="26" t="s">
        <v>20</v>
      </c>
      <c r="F674" s="26">
        <v>736528</v>
      </c>
      <c r="G674" t="b">
        <f t="shared" si="32"/>
        <v>0</v>
      </c>
      <c r="H674" t="b">
        <f t="shared" si="33"/>
        <v>0</v>
      </c>
      <c r="I674" s="29">
        <f t="shared" si="34"/>
        <v>39332</v>
      </c>
    </row>
    <row r="675" spans="1:9" ht="25.5" x14ac:dyDescent="0.2">
      <c r="A675" s="28">
        <v>39332</v>
      </c>
      <c r="B675" s="26" t="s">
        <v>3889</v>
      </c>
      <c r="C675" s="26" t="s">
        <v>400</v>
      </c>
      <c r="D675" s="26" t="s">
        <v>20</v>
      </c>
      <c r="E675" s="26">
        <v>5114</v>
      </c>
      <c r="F675" s="26" t="s">
        <v>20</v>
      </c>
      <c r="G675" t="b">
        <f t="shared" si="32"/>
        <v>0</v>
      </c>
      <c r="H675" t="b">
        <f t="shared" si="33"/>
        <v>0</v>
      </c>
      <c r="I675" s="29">
        <f t="shared" si="34"/>
        <v>39332</v>
      </c>
    </row>
    <row r="676" spans="1:9" x14ac:dyDescent="0.2">
      <c r="A676" s="28">
        <v>39332</v>
      </c>
      <c r="B676" s="26" t="s">
        <v>3888</v>
      </c>
      <c r="C676" s="26" t="s">
        <v>49</v>
      </c>
      <c r="D676" s="26" t="s">
        <v>20</v>
      </c>
      <c r="E676" s="26">
        <v>876671</v>
      </c>
      <c r="F676" s="26" t="s">
        <v>20</v>
      </c>
      <c r="G676" t="b">
        <f t="shared" si="32"/>
        <v>0</v>
      </c>
      <c r="H676" t="b">
        <f t="shared" si="33"/>
        <v>0</v>
      </c>
      <c r="I676" s="29">
        <f t="shared" si="34"/>
        <v>39332</v>
      </c>
    </row>
    <row r="677" spans="1:9" ht="12.75" customHeight="1" x14ac:dyDescent="0.2">
      <c r="A677" s="28">
        <v>39332</v>
      </c>
      <c r="B677" s="26" t="s">
        <v>3887</v>
      </c>
      <c r="C677" s="26" t="s">
        <v>2285</v>
      </c>
      <c r="D677" s="26" t="s">
        <v>20</v>
      </c>
      <c r="E677" s="26">
        <v>157121</v>
      </c>
      <c r="F677" s="26" t="s">
        <v>20</v>
      </c>
      <c r="G677" t="b">
        <f t="shared" si="32"/>
        <v>0</v>
      </c>
      <c r="H677" t="b">
        <f t="shared" si="33"/>
        <v>0</v>
      </c>
      <c r="I677" s="29">
        <f t="shared" si="34"/>
        <v>39332</v>
      </c>
    </row>
    <row r="678" spans="1:9" ht="25.5" x14ac:dyDescent="0.2">
      <c r="A678" s="28">
        <v>39332</v>
      </c>
      <c r="B678" s="26" t="s">
        <v>3886</v>
      </c>
      <c r="C678" s="26" t="s">
        <v>2964</v>
      </c>
      <c r="D678" s="26" t="s">
        <v>20</v>
      </c>
      <c r="E678" s="26">
        <v>9602</v>
      </c>
      <c r="F678" s="26" t="s">
        <v>20</v>
      </c>
      <c r="G678" t="b">
        <f t="shared" si="32"/>
        <v>0</v>
      </c>
      <c r="H678" t="b">
        <f t="shared" si="33"/>
        <v>0</v>
      </c>
      <c r="I678" s="29">
        <f t="shared" si="34"/>
        <v>39332</v>
      </c>
    </row>
    <row r="679" spans="1:9" ht="25.5" x14ac:dyDescent="0.2">
      <c r="A679" s="28">
        <v>39332</v>
      </c>
      <c r="B679" s="26" t="s">
        <v>3885</v>
      </c>
      <c r="C679" s="26" t="s">
        <v>3521</v>
      </c>
      <c r="D679" s="26" t="s">
        <v>20</v>
      </c>
      <c r="E679" s="26">
        <v>204784</v>
      </c>
      <c r="F679" s="26" t="s">
        <v>20</v>
      </c>
      <c r="G679" t="b">
        <f t="shared" si="32"/>
        <v>0</v>
      </c>
      <c r="H679" t="b">
        <f t="shared" si="33"/>
        <v>0</v>
      </c>
      <c r="I679" s="29">
        <f t="shared" si="34"/>
        <v>39332</v>
      </c>
    </row>
    <row r="680" spans="1:9" ht="25.5" x14ac:dyDescent="0.2">
      <c r="A680" s="28">
        <v>39332</v>
      </c>
      <c r="B680" s="26" t="s">
        <v>3884</v>
      </c>
      <c r="C680" s="26" t="s">
        <v>3233</v>
      </c>
      <c r="D680" s="26">
        <v>2000000</v>
      </c>
      <c r="E680" s="26">
        <v>1134358</v>
      </c>
      <c r="F680" s="26" t="s">
        <v>20</v>
      </c>
      <c r="G680" t="b">
        <f t="shared" si="32"/>
        <v>0</v>
      </c>
      <c r="H680" t="b">
        <f t="shared" si="33"/>
        <v>0</v>
      </c>
      <c r="I680" s="29">
        <f t="shared" si="34"/>
        <v>39332</v>
      </c>
    </row>
    <row r="681" spans="1:9" ht="12.75" customHeight="1" x14ac:dyDescent="0.2">
      <c r="A681" s="28">
        <v>39332</v>
      </c>
      <c r="B681" s="26" t="s">
        <v>3883</v>
      </c>
      <c r="C681" s="26" t="s">
        <v>647</v>
      </c>
      <c r="D681" s="26" t="s">
        <v>20</v>
      </c>
      <c r="E681" s="26" t="s">
        <v>20</v>
      </c>
      <c r="F681" s="26" t="s">
        <v>20</v>
      </c>
      <c r="G681" t="b">
        <f t="shared" si="32"/>
        <v>0</v>
      </c>
      <c r="H681" t="b">
        <f t="shared" si="33"/>
        <v>0</v>
      </c>
      <c r="I681" s="29">
        <f t="shared" si="34"/>
        <v>39332</v>
      </c>
    </row>
    <row r="682" spans="1:9" ht="12.75" customHeight="1" x14ac:dyDescent="0.2">
      <c r="A682" s="28">
        <v>39333</v>
      </c>
      <c r="B682" s="26" t="s">
        <v>3882</v>
      </c>
      <c r="C682" s="26" t="s">
        <v>9</v>
      </c>
      <c r="D682" s="26" t="s">
        <v>20</v>
      </c>
      <c r="E682" s="26" t="s">
        <v>20</v>
      </c>
      <c r="F682" s="26">
        <v>69671205</v>
      </c>
      <c r="G682" t="b">
        <f t="shared" si="32"/>
        <v>0</v>
      </c>
      <c r="H682" t="b">
        <f t="shared" si="33"/>
        <v>0</v>
      </c>
      <c r="I682" s="29">
        <f t="shared" si="34"/>
        <v>39333</v>
      </c>
    </row>
    <row r="683" spans="1:9" ht="25.5" x14ac:dyDescent="0.2">
      <c r="A683" s="28">
        <v>39334</v>
      </c>
      <c r="B683" s="26" t="s">
        <v>3881</v>
      </c>
      <c r="C683" s="26" t="s">
        <v>1051</v>
      </c>
      <c r="D683" s="26" t="s">
        <v>20</v>
      </c>
      <c r="E683" s="26" t="s">
        <v>20</v>
      </c>
      <c r="F683" s="26" t="s">
        <v>20</v>
      </c>
      <c r="G683" t="b">
        <f t="shared" si="32"/>
        <v>0</v>
      </c>
      <c r="H683" t="b">
        <f t="shared" si="33"/>
        <v>0</v>
      </c>
      <c r="I683" s="29">
        <f t="shared" si="34"/>
        <v>39334</v>
      </c>
    </row>
    <row r="684" spans="1:9" ht="12.75" customHeight="1" x14ac:dyDescent="0.2">
      <c r="A684" s="28">
        <v>39336</v>
      </c>
      <c r="B684" s="26" t="s">
        <v>3880</v>
      </c>
      <c r="C684" s="26" t="s">
        <v>9</v>
      </c>
      <c r="D684" s="26" t="s">
        <v>20</v>
      </c>
      <c r="E684" s="26" t="s">
        <v>20</v>
      </c>
      <c r="F684" s="26" t="s">
        <v>20</v>
      </c>
      <c r="G684" t="b">
        <f t="shared" si="32"/>
        <v>0</v>
      </c>
      <c r="H684" t="b">
        <f t="shared" si="33"/>
        <v>0</v>
      </c>
      <c r="I684" s="29">
        <f t="shared" si="34"/>
        <v>39336</v>
      </c>
    </row>
    <row r="685" spans="1:9" ht="25.5" x14ac:dyDescent="0.2">
      <c r="A685" s="28">
        <v>39337</v>
      </c>
      <c r="B685" s="26" t="s">
        <v>3879</v>
      </c>
      <c r="C685" s="26" t="s">
        <v>9</v>
      </c>
      <c r="D685" s="26" t="s">
        <v>20</v>
      </c>
      <c r="E685" s="26" t="s">
        <v>20</v>
      </c>
      <c r="F685" s="26">
        <v>764791</v>
      </c>
      <c r="G685" t="b">
        <f t="shared" si="32"/>
        <v>0</v>
      </c>
      <c r="H685" t="b">
        <f t="shared" si="33"/>
        <v>0</v>
      </c>
      <c r="I685" s="29">
        <f t="shared" si="34"/>
        <v>39337</v>
      </c>
    </row>
    <row r="686" spans="1:9" ht="12.75" customHeight="1" x14ac:dyDescent="0.2">
      <c r="A686" s="28">
        <v>39337</v>
      </c>
      <c r="B686" s="26" t="s">
        <v>3878</v>
      </c>
      <c r="C686" s="26" t="s">
        <v>9</v>
      </c>
      <c r="D686" s="26" t="s">
        <v>20</v>
      </c>
      <c r="E686" s="26" t="s">
        <v>20</v>
      </c>
      <c r="F686" s="26">
        <v>6463745</v>
      </c>
      <c r="G686" t="b">
        <f t="shared" si="32"/>
        <v>0</v>
      </c>
      <c r="H686" t="b">
        <f t="shared" si="33"/>
        <v>0</v>
      </c>
      <c r="I686" s="29">
        <f t="shared" si="34"/>
        <v>39337</v>
      </c>
    </row>
    <row r="687" spans="1:9" ht="12.75" customHeight="1" x14ac:dyDescent="0.2">
      <c r="A687" s="28">
        <v>39337</v>
      </c>
      <c r="B687" s="26" t="s">
        <v>3877</v>
      </c>
      <c r="C687" s="26" t="s">
        <v>2479</v>
      </c>
      <c r="D687" s="26" t="s">
        <v>20</v>
      </c>
      <c r="E687" s="26">
        <v>23291</v>
      </c>
      <c r="F687" s="26" t="s">
        <v>20</v>
      </c>
      <c r="G687" t="b">
        <f t="shared" si="32"/>
        <v>0</v>
      </c>
      <c r="H687" t="b">
        <f t="shared" si="33"/>
        <v>0</v>
      </c>
      <c r="I687" s="29">
        <f t="shared" si="34"/>
        <v>39337</v>
      </c>
    </row>
    <row r="688" spans="1:9" ht="25.5" x14ac:dyDescent="0.2">
      <c r="A688" s="28">
        <v>39338</v>
      </c>
      <c r="B688" s="26" t="s">
        <v>3876</v>
      </c>
      <c r="C688" s="26" t="s">
        <v>9</v>
      </c>
      <c r="D688" s="26" t="s">
        <v>20</v>
      </c>
      <c r="E688" s="26" t="s">
        <v>20</v>
      </c>
      <c r="F688" s="26">
        <v>9386541</v>
      </c>
      <c r="G688" t="b">
        <f t="shared" si="32"/>
        <v>0</v>
      </c>
      <c r="H688" t="b">
        <f t="shared" si="33"/>
        <v>0</v>
      </c>
      <c r="I688" s="29">
        <f t="shared" si="34"/>
        <v>39338</v>
      </c>
    </row>
    <row r="689" spans="1:9" ht="25.5" x14ac:dyDescent="0.2">
      <c r="A689" s="28">
        <v>39338</v>
      </c>
      <c r="B689" s="26" t="s">
        <v>3875</v>
      </c>
      <c r="C689" s="26" t="s">
        <v>9</v>
      </c>
      <c r="D689" s="26" t="s">
        <v>20</v>
      </c>
      <c r="E689" s="26" t="s">
        <v>20</v>
      </c>
      <c r="F689" s="26">
        <v>4634831</v>
      </c>
      <c r="G689" t="b">
        <f t="shared" si="32"/>
        <v>0</v>
      </c>
      <c r="H689" t="b">
        <f t="shared" si="33"/>
        <v>0</v>
      </c>
      <c r="I689" s="29">
        <f t="shared" si="34"/>
        <v>39338</v>
      </c>
    </row>
    <row r="690" spans="1:9" ht="25.5" x14ac:dyDescent="0.2">
      <c r="A690" s="28">
        <v>39339</v>
      </c>
      <c r="B690" s="26" t="s">
        <v>3874</v>
      </c>
      <c r="C690" s="26" t="s">
        <v>3522</v>
      </c>
      <c r="D690" s="26" t="s">
        <v>20</v>
      </c>
      <c r="E690" s="26">
        <v>4294</v>
      </c>
      <c r="F690" s="26" t="s">
        <v>20</v>
      </c>
      <c r="G690" t="b">
        <f t="shared" si="32"/>
        <v>0</v>
      </c>
      <c r="H690" t="b">
        <f t="shared" si="33"/>
        <v>0</v>
      </c>
      <c r="I690" s="29">
        <f t="shared" si="34"/>
        <v>39339</v>
      </c>
    </row>
    <row r="691" spans="1:9" ht="25.5" x14ac:dyDescent="0.2">
      <c r="A691" s="28">
        <v>39339</v>
      </c>
      <c r="B691" s="26" t="s">
        <v>3873</v>
      </c>
      <c r="C691" s="26" t="s">
        <v>3209</v>
      </c>
      <c r="D691" s="26">
        <v>23000000</v>
      </c>
      <c r="E691" s="26">
        <v>6777741</v>
      </c>
      <c r="F691" s="26">
        <v>24489150</v>
      </c>
      <c r="G691" t="b">
        <f t="shared" si="32"/>
        <v>0</v>
      </c>
      <c r="H691" t="b">
        <f t="shared" si="33"/>
        <v>0</v>
      </c>
      <c r="I691" s="29">
        <f t="shared" si="34"/>
        <v>39339</v>
      </c>
    </row>
    <row r="692" spans="1:9" ht="12.75" customHeight="1" x14ac:dyDescent="0.2">
      <c r="A692" s="28">
        <v>39339</v>
      </c>
      <c r="B692" s="26" t="s">
        <v>3872</v>
      </c>
      <c r="C692" s="26" t="s">
        <v>3209</v>
      </c>
      <c r="D692" s="26" t="s">
        <v>20</v>
      </c>
      <c r="E692" s="26">
        <v>36793804</v>
      </c>
      <c r="F692" s="26">
        <v>69792704</v>
      </c>
      <c r="G692" t="b">
        <f t="shared" si="32"/>
        <v>0</v>
      </c>
      <c r="H692" t="b">
        <f t="shared" si="33"/>
        <v>0</v>
      </c>
      <c r="I692" s="29">
        <f t="shared" si="34"/>
        <v>39339</v>
      </c>
    </row>
    <row r="693" spans="1:9" ht="25.5" x14ac:dyDescent="0.2">
      <c r="A693" s="28">
        <v>39339</v>
      </c>
      <c r="B693" s="26" t="s">
        <v>3871</v>
      </c>
      <c r="C693" s="26" t="s">
        <v>746</v>
      </c>
      <c r="D693" s="26" t="s">
        <v>20</v>
      </c>
      <c r="E693" s="26">
        <v>22011</v>
      </c>
      <c r="F693" s="26" t="s">
        <v>20</v>
      </c>
      <c r="G693" t="b">
        <f t="shared" si="32"/>
        <v>0</v>
      </c>
      <c r="H693" t="b">
        <f t="shared" si="33"/>
        <v>0</v>
      </c>
      <c r="I693" s="29">
        <f t="shared" si="34"/>
        <v>39339</v>
      </c>
    </row>
    <row r="694" spans="1:9" ht="25.5" x14ac:dyDescent="0.2">
      <c r="A694" s="28">
        <v>39339</v>
      </c>
      <c r="B694" s="26" t="s">
        <v>3870</v>
      </c>
      <c r="C694" s="26" t="s">
        <v>3523</v>
      </c>
      <c r="D694" s="26" t="s">
        <v>20</v>
      </c>
      <c r="E694" s="26" t="s">
        <v>20</v>
      </c>
      <c r="F694" s="26" t="s">
        <v>20</v>
      </c>
      <c r="G694" t="b">
        <f t="shared" ref="G694:G755" si="35">ISBLANK(A694)</f>
        <v>0</v>
      </c>
      <c r="H694" t="b">
        <f t="shared" ref="H694:H755" si="36">ISTEXT(A694)</f>
        <v>0</v>
      </c>
      <c r="I694" s="29">
        <f t="shared" si="34"/>
        <v>39339</v>
      </c>
    </row>
    <row r="695" spans="1:9" ht="25.5" x14ac:dyDescent="0.2">
      <c r="A695" s="28">
        <v>39339</v>
      </c>
      <c r="B695" s="26" t="s">
        <v>3869</v>
      </c>
      <c r="C695" s="26" t="s">
        <v>1542</v>
      </c>
      <c r="D695" s="26" t="s">
        <v>20</v>
      </c>
      <c r="E695" s="26">
        <v>42538</v>
      </c>
      <c r="F695" s="26" t="s">
        <v>20</v>
      </c>
      <c r="G695" t="b">
        <f t="shared" si="35"/>
        <v>0</v>
      </c>
      <c r="H695" t="b">
        <f t="shared" si="36"/>
        <v>0</v>
      </c>
      <c r="I695" s="29">
        <f t="shared" si="34"/>
        <v>39339</v>
      </c>
    </row>
    <row r="696" spans="1:9" x14ac:dyDescent="0.2">
      <c r="A696" s="28">
        <v>39339</v>
      </c>
      <c r="B696" s="26" t="s">
        <v>3868</v>
      </c>
      <c r="C696" s="26" t="s">
        <v>1074</v>
      </c>
      <c r="D696" s="26" t="s">
        <v>20</v>
      </c>
      <c r="E696" s="26">
        <v>11606</v>
      </c>
      <c r="F696" s="26" t="s">
        <v>20</v>
      </c>
      <c r="G696" t="b">
        <f t="shared" si="35"/>
        <v>0</v>
      </c>
      <c r="H696" t="b">
        <f t="shared" si="36"/>
        <v>0</v>
      </c>
      <c r="I696" s="29">
        <f t="shared" si="34"/>
        <v>39339</v>
      </c>
    </row>
    <row r="697" spans="1:9" ht="12.75" customHeight="1" x14ac:dyDescent="0.2">
      <c r="A697" s="28">
        <v>39339</v>
      </c>
      <c r="B697" s="26" t="s">
        <v>3867</v>
      </c>
      <c r="C697" s="26" t="s">
        <v>9</v>
      </c>
      <c r="D697" s="26" t="s">
        <v>20</v>
      </c>
      <c r="E697" s="26">
        <v>46474</v>
      </c>
      <c r="F697" s="26" t="s">
        <v>20</v>
      </c>
      <c r="G697" t="b">
        <f t="shared" si="35"/>
        <v>0</v>
      </c>
      <c r="H697" t="b">
        <f t="shared" si="36"/>
        <v>0</v>
      </c>
      <c r="I697" s="29">
        <f t="shared" si="34"/>
        <v>39339</v>
      </c>
    </row>
    <row r="698" spans="1:9" ht="25.5" x14ac:dyDescent="0.2">
      <c r="A698" s="28">
        <v>39339</v>
      </c>
      <c r="B698" s="26" t="s">
        <v>3866</v>
      </c>
      <c r="C698" s="26" t="s">
        <v>2160</v>
      </c>
      <c r="D698" s="26">
        <v>45000000</v>
      </c>
      <c r="E698" s="26">
        <v>24343673</v>
      </c>
      <c r="F698" s="26">
        <v>29367143</v>
      </c>
      <c r="G698" t="b">
        <f t="shared" si="35"/>
        <v>0</v>
      </c>
      <c r="H698" t="b">
        <f t="shared" si="36"/>
        <v>0</v>
      </c>
      <c r="I698" s="29">
        <f t="shared" si="34"/>
        <v>39339</v>
      </c>
    </row>
    <row r="699" spans="1:9" ht="25.5" x14ac:dyDescent="0.2">
      <c r="A699" s="28">
        <v>39339</v>
      </c>
      <c r="B699" s="26" t="s">
        <v>3865</v>
      </c>
      <c r="C699" s="26" t="s">
        <v>3495</v>
      </c>
      <c r="D699" s="26" t="s">
        <v>20</v>
      </c>
      <c r="E699" s="26">
        <v>263674</v>
      </c>
      <c r="F699" s="26" t="s">
        <v>20</v>
      </c>
      <c r="G699" t="b">
        <f t="shared" si="35"/>
        <v>0</v>
      </c>
      <c r="H699" t="b">
        <f t="shared" si="36"/>
        <v>0</v>
      </c>
      <c r="I699" s="29">
        <f t="shared" si="34"/>
        <v>39339</v>
      </c>
    </row>
    <row r="700" spans="1:9" ht="25.5" x14ac:dyDescent="0.2">
      <c r="A700" s="28">
        <v>39339</v>
      </c>
      <c r="B700" s="26" t="s">
        <v>3864</v>
      </c>
      <c r="C700" s="26" t="s">
        <v>969</v>
      </c>
      <c r="D700" s="26" t="s">
        <v>20</v>
      </c>
      <c r="E700" s="26">
        <v>102171</v>
      </c>
      <c r="F700" s="26" t="s">
        <v>20</v>
      </c>
      <c r="G700" t="b">
        <f t="shared" si="35"/>
        <v>0</v>
      </c>
      <c r="H700" t="b">
        <f t="shared" si="36"/>
        <v>0</v>
      </c>
      <c r="I700" s="29">
        <f t="shared" si="34"/>
        <v>39339</v>
      </c>
    </row>
    <row r="701" spans="1:9" ht="12.75" customHeight="1" x14ac:dyDescent="0.2">
      <c r="A701" s="28">
        <v>39339</v>
      </c>
      <c r="B701" s="26" t="s">
        <v>3863</v>
      </c>
      <c r="C701" s="26" t="s">
        <v>849</v>
      </c>
      <c r="D701" s="26" t="s">
        <v>20</v>
      </c>
      <c r="E701" s="26">
        <v>1103075</v>
      </c>
      <c r="F701" s="26" t="s">
        <v>20</v>
      </c>
      <c r="G701" t="b">
        <f t="shared" si="35"/>
        <v>0</v>
      </c>
      <c r="H701" t="b">
        <f t="shared" si="36"/>
        <v>0</v>
      </c>
      <c r="I701" s="29">
        <f t="shared" si="34"/>
        <v>39339</v>
      </c>
    </row>
    <row r="702" spans="1:9" ht="12.75" customHeight="1" x14ac:dyDescent="0.2">
      <c r="A702" s="28">
        <v>39339</v>
      </c>
      <c r="B702" s="26" t="s">
        <v>3862</v>
      </c>
      <c r="C702" s="26" t="s">
        <v>698</v>
      </c>
      <c r="D702" s="26" t="s">
        <v>20</v>
      </c>
      <c r="E702" s="26">
        <v>17144882</v>
      </c>
      <c r="F702" s="26">
        <v>55330959</v>
      </c>
      <c r="G702" t="b">
        <f t="shared" si="35"/>
        <v>0</v>
      </c>
      <c r="H702" t="b">
        <f t="shared" si="36"/>
        <v>0</v>
      </c>
      <c r="I702" s="29">
        <f t="shared" si="34"/>
        <v>39339</v>
      </c>
    </row>
    <row r="703" spans="1:9" ht="12.75" customHeight="1" x14ac:dyDescent="0.2">
      <c r="A703" s="28">
        <v>39339</v>
      </c>
      <c r="B703" s="26" t="s">
        <v>3861</v>
      </c>
      <c r="C703" s="26" t="s">
        <v>2776</v>
      </c>
      <c r="D703" s="26">
        <v>32000000</v>
      </c>
      <c r="E703" s="26">
        <v>10977721</v>
      </c>
      <c r="F703" s="26">
        <v>79915361</v>
      </c>
      <c r="G703" t="b">
        <f t="shared" si="35"/>
        <v>0</v>
      </c>
      <c r="H703" t="b">
        <f t="shared" si="36"/>
        <v>0</v>
      </c>
      <c r="I703" s="29">
        <f t="shared" si="34"/>
        <v>39339</v>
      </c>
    </row>
    <row r="704" spans="1:9" ht="12.75" customHeight="1" x14ac:dyDescent="0.2">
      <c r="A704" s="28">
        <v>39339</v>
      </c>
      <c r="B704" s="26" t="s">
        <v>3860</v>
      </c>
      <c r="C704" s="26" t="s">
        <v>9</v>
      </c>
      <c r="D704" s="26" t="s">
        <v>20</v>
      </c>
      <c r="E704" s="26" t="s">
        <v>20</v>
      </c>
      <c r="F704" s="26" t="s">
        <v>20</v>
      </c>
      <c r="G704" t="b">
        <f t="shared" si="35"/>
        <v>0</v>
      </c>
      <c r="H704" t="b">
        <f t="shared" si="36"/>
        <v>0</v>
      </c>
      <c r="I704" s="29">
        <f t="shared" si="34"/>
        <v>39339</v>
      </c>
    </row>
    <row r="705" spans="1:9" ht="12.75" customHeight="1" x14ac:dyDescent="0.2">
      <c r="A705" s="28">
        <v>39339</v>
      </c>
      <c r="B705" s="26" t="s">
        <v>3859</v>
      </c>
      <c r="C705" s="26" t="s">
        <v>647</v>
      </c>
      <c r="D705" s="26" t="s">
        <v>20</v>
      </c>
      <c r="E705" s="26" t="s">
        <v>20</v>
      </c>
      <c r="F705" s="26" t="s">
        <v>20</v>
      </c>
      <c r="G705" t="b">
        <f t="shared" si="35"/>
        <v>0</v>
      </c>
      <c r="H705" t="b">
        <f t="shared" si="36"/>
        <v>0</v>
      </c>
      <c r="I705" s="29">
        <f t="shared" si="34"/>
        <v>39339</v>
      </c>
    </row>
    <row r="706" spans="1:9" ht="25.5" x14ac:dyDescent="0.2">
      <c r="A706" s="28">
        <v>39339</v>
      </c>
      <c r="B706" s="26" t="s">
        <v>3858</v>
      </c>
      <c r="C706" s="26" t="s">
        <v>49</v>
      </c>
      <c r="D706" s="26" t="s">
        <v>20</v>
      </c>
      <c r="E706" s="26">
        <v>178968</v>
      </c>
      <c r="F706" s="26" t="s">
        <v>20</v>
      </c>
      <c r="G706" t="b">
        <f t="shared" si="35"/>
        <v>0</v>
      </c>
      <c r="H706" t="b">
        <f t="shared" si="36"/>
        <v>0</v>
      </c>
      <c r="I706" s="29">
        <f t="shared" si="34"/>
        <v>39339</v>
      </c>
    </row>
    <row r="707" spans="1:9" ht="25.5" x14ac:dyDescent="0.2">
      <c r="A707" s="28">
        <v>39339</v>
      </c>
      <c r="B707" s="26" t="s">
        <v>3857</v>
      </c>
      <c r="C707" s="26" t="s">
        <v>3524</v>
      </c>
      <c r="D707" s="26" t="s">
        <v>20</v>
      </c>
      <c r="E707" s="26" t="s">
        <v>20</v>
      </c>
      <c r="F707" s="26" t="s">
        <v>20</v>
      </c>
      <c r="G707" t="b">
        <f t="shared" si="35"/>
        <v>0</v>
      </c>
      <c r="H707" t="b">
        <f t="shared" si="36"/>
        <v>0</v>
      </c>
      <c r="I707" s="29">
        <f t="shared" ref="I707:I770" si="37">DATE(2007,MONTH(A707), DAY(A707))</f>
        <v>39339</v>
      </c>
    </row>
    <row r="708" spans="1:9" ht="12.75" customHeight="1" x14ac:dyDescent="0.2">
      <c r="A708" s="28">
        <v>39339</v>
      </c>
      <c r="B708" s="26" t="s">
        <v>3856</v>
      </c>
      <c r="C708" s="26" t="s">
        <v>746</v>
      </c>
      <c r="D708" s="26">
        <v>3500000</v>
      </c>
      <c r="E708" s="26">
        <v>221096</v>
      </c>
      <c r="F708" s="26" t="s">
        <v>20</v>
      </c>
      <c r="G708" t="b">
        <f t="shared" si="35"/>
        <v>0</v>
      </c>
      <c r="H708" t="b">
        <f t="shared" si="36"/>
        <v>0</v>
      </c>
      <c r="I708" s="29">
        <f t="shared" si="37"/>
        <v>39339</v>
      </c>
    </row>
    <row r="709" spans="1:9" ht="12.75" customHeight="1" x14ac:dyDescent="0.2">
      <c r="A709" s="28">
        <v>39339</v>
      </c>
      <c r="B709" s="26" t="s">
        <v>3855</v>
      </c>
      <c r="C709" s="26" t="s">
        <v>2460</v>
      </c>
      <c r="D709" s="26" t="s">
        <v>20</v>
      </c>
      <c r="E709" s="26">
        <v>25799486</v>
      </c>
      <c r="F709" s="26">
        <v>33035245</v>
      </c>
      <c r="G709" t="b">
        <f t="shared" si="35"/>
        <v>0</v>
      </c>
      <c r="H709" t="b">
        <f t="shared" si="36"/>
        <v>0</v>
      </c>
      <c r="I709" s="29">
        <f t="shared" si="37"/>
        <v>39339</v>
      </c>
    </row>
    <row r="710" spans="1:9" ht="25.5" x14ac:dyDescent="0.2">
      <c r="A710" s="28">
        <v>39343</v>
      </c>
      <c r="B710" s="26" t="s">
        <v>3854</v>
      </c>
      <c r="C710" s="26" t="s">
        <v>1857</v>
      </c>
      <c r="D710" s="26" t="s">
        <v>20</v>
      </c>
      <c r="E710" s="26" t="s">
        <v>20</v>
      </c>
      <c r="F710" s="26" t="s">
        <v>20</v>
      </c>
      <c r="G710" t="b">
        <f t="shared" si="35"/>
        <v>0</v>
      </c>
      <c r="H710" t="b">
        <f t="shared" si="36"/>
        <v>0</v>
      </c>
      <c r="I710" s="29">
        <f t="shared" si="37"/>
        <v>39343</v>
      </c>
    </row>
    <row r="711" spans="1:9" ht="25.5" x14ac:dyDescent="0.2">
      <c r="A711" s="28">
        <v>39343</v>
      </c>
      <c r="B711" s="26" t="s">
        <v>3853</v>
      </c>
      <c r="C711" s="26" t="s">
        <v>9</v>
      </c>
      <c r="D711" s="26" t="s">
        <v>20</v>
      </c>
      <c r="E711" s="26" t="s">
        <v>20</v>
      </c>
      <c r="F711" s="26" t="s">
        <v>20</v>
      </c>
      <c r="G711" t="b">
        <f t="shared" si="35"/>
        <v>0</v>
      </c>
      <c r="H711" t="b">
        <f t="shared" si="36"/>
        <v>0</v>
      </c>
      <c r="I711" s="29">
        <f t="shared" si="37"/>
        <v>39343</v>
      </c>
    </row>
    <row r="712" spans="1:9" ht="25.5" x14ac:dyDescent="0.2">
      <c r="A712" s="28">
        <v>39343</v>
      </c>
      <c r="B712" s="26" t="s">
        <v>3852</v>
      </c>
      <c r="C712" s="26" t="s">
        <v>9</v>
      </c>
      <c r="D712" s="26" t="s">
        <v>20</v>
      </c>
      <c r="E712" s="26" t="s">
        <v>20</v>
      </c>
      <c r="F712" s="26" t="s">
        <v>20</v>
      </c>
      <c r="G712" t="b">
        <f t="shared" si="35"/>
        <v>0</v>
      </c>
      <c r="H712" t="b">
        <f t="shared" si="36"/>
        <v>0</v>
      </c>
      <c r="I712" s="29">
        <f t="shared" si="37"/>
        <v>39343</v>
      </c>
    </row>
    <row r="713" spans="1:9" ht="12.75" customHeight="1" x14ac:dyDescent="0.2">
      <c r="A713" s="28">
        <v>39344</v>
      </c>
      <c r="B713" s="26" t="s">
        <v>3851</v>
      </c>
      <c r="C713" s="26" t="s">
        <v>3466</v>
      </c>
      <c r="D713" s="26" t="s">
        <v>20</v>
      </c>
      <c r="E713" s="26">
        <v>32921</v>
      </c>
      <c r="F713" s="26" t="s">
        <v>20</v>
      </c>
      <c r="G713" t="b">
        <f t="shared" si="35"/>
        <v>0</v>
      </c>
      <c r="H713" t="b">
        <f t="shared" si="36"/>
        <v>0</v>
      </c>
      <c r="I713" s="29">
        <f t="shared" si="37"/>
        <v>39344</v>
      </c>
    </row>
    <row r="714" spans="1:9" ht="25.5" x14ac:dyDescent="0.2">
      <c r="A714" s="28">
        <v>39344</v>
      </c>
      <c r="B714" s="26" t="s">
        <v>3850</v>
      </c>
      <c r="C714" s="26" t="s">
        <v>9</v>
      </c>
      <c r="D714" s="26" t="s">
        <v>20</v>
      </c>
      <c r="E714" s="26" t="s">
        <v>20</v>
      </c>
      <c r="F714" s="26">
        <v>4970196</v>
      </c>
      <c r="G714" t="b">
        <f t="shared" si="35"/>
        <v>0</v>
      </c>
      <c r="H714" t="b">
        <f t="shared" si="36"/>
        <v>0</v>
      </c>
      <c r="I714" s="29">
        <f t="shared" si="37"/>
        <v>39344</v>
      </c>
    </row>
    <row r="715" spans="1:9" ht="12.75" customHeight="1" x14ac:dyDescent="0.2">
      <c r="A715" s="28">
        <v>39344</v>
      </c>
      <c r="B715" s="26" t="s">
        <v>3849</v>
      </c>
      <c r="C715" s="26" t="s">
        <v>9</v>
      </c>
      <c r="D715" s="26" t="s">
        <v>20</v>
      </c>
      <c r="E715" s="26" t="s">
        <v>20</v>
      </c>
      <c r="F715" s="26">
        <v>3700903</v>
      </c>
      <c r="G715" t="b">
        <f t="shared" si="35"/>
        <v>0</v>
      </c>
      <c r="H715" t="b">
        <f t="shared" si="36"/>
        <v>0</v>
      </c>
      <c r="I715" s="29">
        <f t="shared" si="37"/>
        <v>39344</v>
      </c>
    </row>
    <row r="716" spans="1:9" ht="12.75" customHeight="1" x14ac:dyDescent="0.2">
      <c r="A716" s="28">
        <v>39344</v>
      </c>
      <c r="B716" s="26" t="s">
        <v>3848</v>
      </c>
      <c r="C716" s="26" t="s">
        <v>9</v>
      </c>
      <c r="D716" s="26" t="s">
        <v>20</v>
      </c>
      <c r="E716" s="26" t="s">
        <v>20</v>
      </c>
      <c r="F716" s="26">
        <v>12592135</v>
      </c>
      <c r="G716" t="b">
        <f t="shared" si="35"/>
        <v>0</v>
      </c>
      <c r="H716" t="b">
        <f t="shared" si="36"/>
        <v>0</v>
      </c>
      <c r="I716" s="29">
        <f t="shared" si="37"/>
        <v>39344</v>
      </c>
    </row>
    <row r="717" spans="1:9" ht="12.75" customHeight="1" x14ac:dyDescent="0.2">
      <c r="A717" s="28">
        <v>39346</v>
      </c>
      <c r="B717" s="26" t="s">
        <v>3847</v>
      </c>
      <c r="C717" s="26" t="s">
        <v>3419</v>
      </c>
      <c r="D717" s="26">
        <v>25000000</v>
      </c>
      <c r="E717" s="26">
        <v>35017297</v>
      </c>
      <c r="F717" s="26">
        <v>59183821</v>
      </c>
      <c r="G717" t="b">
        <f t="shared" si="35"/>
        <v>0</v>
      </c>
      <c r="H717" t="b">
        <f t="shared" si="36"/>
        <v>0</v>
      </c>
      <c r="I717" s="29">
        <f t="shared" si="37"/>
        <v>39346</v>
      </c>
    </row>
    <row r="718" spans="1:9" ht="25.5" x14ac:dyDescent="0.2">
      <c r="A718" s="28">
        <v>39346</v>
      </c>
      <c r="B718" s="26" t="s">
        <v>3846</v>
      </c>
      <c r="C718" s="26" t="s">
        <v>2160</v>
      </c>
      <c r="D718" s="26">
        <v>45000000</v>
      </c>
      <c r="E718" s="26">
        <v>50648679</v>
      </c>
      <c r="F718" s="26">
        <v>146162920</v>
      </c>
      <c r="G718" t="b">
        <f t="shared" si="35"/>
        <v>0</v>
      </c>
      <c r="H718" t="b">
        <f t="shared" si="36"/>
        <v>0</v>
      </c>
      <c r="I718" s="29">
        <f t="shared" si="37"/>
        <v>39346</v>
      </c>
    </row>
    <row r="719" spans="1:9" ht="25.5" x14ac:dyDescent="0.2">
      <c r="A719" s="28">
        <v>39346</v>
      </c>
      <c r="B719" s="26" t="s">
        <v>3845</v>
      </c>
      <c r="C719" s="26" t="s">
        <v>2992</v>
      </c>
      <c r="D719" s="26">
        <v>20000000</v>
      </c>
      <c r="E719" s="26">
        <v>18354356</v>
      </c>
      <c r="F719" s="26">
        <v>53813837</v>
      </c>
      <c r="G719" t="b">
        <f t="shared" si="35"/>
        <v>0</v>
      </c>
      <c r="H719" t="b">
        <f t="shared" si="36"/>
        <v>0</v>
      </c>
      <c r="I719" s="29">
        <f t="shared" si="37"/>
        <v>39346</v>
      </c>
    </row>
    <row r="720" spans="1:9" ht="25.5" x14ac:dyDescent="0.2">
      <c r="A720" s="28">
        <v>39346</v>
      </c>
      <c r="B720" s="26" t="s">
        <v>3844</v>
      </c>
      <c r="C720" s="26" t="s">
        <v>612</v>
      </c>
      <c r="D720" s="26" t="s">
        <v>20</v>
      </c>
      <c r="E720" s="26">
        <v>3575227</v>
      </c>
      <c r="F720" s="26" t="s">
        <v>20</v>
      </c>
      <c r="G720" t="b">
        <f t="shared" si="35"/>
        <v>0</v>
      </c>
      <c r="H720" t="b">
        <f t="shared" si="36"/>
        <v>0</v>
      </c>
      <c r="I720" s="29">
        <f t="shared" si="37"/>
        <v>39346</v>
      </c>
    </row>
    <row r="721" spans="1:9" ht="25.5" x14ac:dyDescent="0.2">
      <c r="A721" s="28">
        <v>39346</v>
      </c>
      <c r="B721" s="26" t="s">
        <v>3843</v>
      </c>
      <c r="C721" s="26" t="s">
        <v>3466</v>
      </c>
      <c r="D721" s="26" t="s">
        <v>20</v>
      </c>
      <c r="E721" s="26">
        <v>45410</v>
      </c>
      <c r="F721" s="26" t="s">
        <v>20</v>
      </c>
      <c r="G721" t="b">
        <f t="shared" si="35"/>
        <v>0</v>
      </c>
      <c r="H721" t="b">
        <f t="shared" si="36"/>
        <v>0</v>
      </c>
      <c r="I721" s="29">
        <f t="shared" si="37"/>
        <v>39346</v>
      </c>
    </row>
    <row r="722" spans="1:9" ht="12.75" customHeight="1" x14ac:dyDescent="0.2">
      <c r="A722" s="28">
        <v>39346</v>
      </c>
      <c r="B722" s="26" t="s">
        <v>3842</v>
      </c>
      <c r="C722" s="26" t="s">
        <v>3525</v>
      </c>
      <c r="D722" s="26" t="s">
        <v>20</v>
      </c>
      <c r="E722" s="26">
        <v>6109</v>
      </c>
      <c r="F722" s="26" t="s">
        <v>20</v>
      </c>
      <c r="G722" t="b">
        <f t="shared" si="35"/>
        <v>0</v>
      </c>
      <c r="H722" t="b">
        <f t="shared" si="36"/>
        <v>0</v>
      </c>
      <c r="I722" s="29">
        <f t="shared" si="37"/>
        <v>39346</v>
      </c>
    </row>
    <row r="723" spans="1:9" ht="12.75" customHeight="1" x14ac:dyDescent="0.2">
      <c r="A723" s="28">
        <v>39346</v>
      </c>
      <c r="B723" s="26" t="s">
        <v>3841</v>
      </c>
      <c r="C723" s="26" t="s">
        <v>9</v>
      </c>
      <c r="D723" s="26" t="s">
        <v>20</v>
      </c>
      <c r="E723" s="26">
        <v>118095</v>
      </c>
      <c r="F723" s="26">
        <v>11882290</v>
      </c>
      <c r="G723" t="b">
        <f t="shared" si="35"/>
        <v>0</v>
      </c>
      <c r="H723" t="b">
        <f t="shared" si="36"/>
        <v>0</v>
      </c>
      <c r="I723" s="29">
        <f t="shared" si="37"/>
        <v>39346</v>
      </c>
    </row>
    <row r="724" spans="1:9" x14ac:dyDescent="0.2">
      <c r="A724" s="28">
        <v>39346</v>
      </c>
      <c r="B724" s="26" t="s">
        <v>3840</v>
      </c>
      <c r="C724" s="26" t="s">
        <v>2285</v>
      </c>
      <c r="D724" s="26" t="s">
        <v>20</v>
      </c>
      <c r="E724" s="26">
        <v>7704</v>
      </c>
      <c r="F724" s="26" t="s">
        <v>20</v>
      </c>
      <c r="G724" t="b">
        <f t="shared" si="35"/>
        <v>0</v>
      </c>
      <c r="H724" t="b">
        <f t="shared" si="36"/>
        <v>0</v>
      </c>
      <c r="I724" s="29">
        <f t="shared" si="37"/>
        <v>39346</v>
      </c>
    </row>
    <row r="725" spans="1:9" x14ac:dyDescent="0.2">
      <c r="A725" s="28">
        <v>39346</v>
      </c>
      <c r="B725" s="26" t="s">
        <v>3839</v>
      </c>
      <c r="C725" s="26" t="s">
        <v>1095</v>
      </c>
      <c r="D725" s="26" t="s">
        <v>20</v>
      </c>
      <c r="E725" s="26" t="s">
        <v>20</v>
      </c>
      <c r="F725" s="26" t="s">
        <v>20</v>
      </c>
      <c r="G725" t="b">
        <f t="shared" si="35"/>
        <v>0</v>
      </c>
      <c r="H725" t="b">
        <f t="shared" si="36"/>
        <v>0</v>
      </c>
      <c r="I725" s="29">
        <f t="shared" si="37"/>
        <v>39346</v>
      </c>
    </row>
    <row r="726" spans="1:9" ht="12.75" customHeight="1" x14ac:dyDescent="0.2">
      <c r="A726" s="28">
        <v>39346</v>
      </c>
      <c r="B726" s="26" t="s">
        <v>3838</v>
      </c>
      <c r="C726" s="26" t="s">
        <v>9</v>
      </c>
      <c r="D726" s="26" t="s">
        <v>20</v>
      </c>
      <c r="E726" s="26" t="s">
        <v>20</v>
      </c>
      <c r="F726" s="26">
        <v>4318679</v>
      </c>
      <c r="G726" t="b">
        <f t="shared" si="35"/>
        <v>0</v>
      </c>
      <c r="H726" t="b">
        <f t="shared" si="36"/>
        <v>0</v>
      </c>
      <c r="I726" s="29">
        <f t="shared" si="37"/>
        <v>39346</v>
      </c>
    </row>
    <row r="727" spans="1:9" ht="51" x14ac:dyDescent="0.2">
      <c r="A727" s="28">
        <v>39346</v>
      </c>
      <c r="B727" s="26" t="s">
        <v>3837</v>
      </c>
      <c r="C727" s="26" t="s">
        <v>3209</v>
      </c>
      <c r="D727" s="26">
        <v>30000000</v>
      </c>
      <c r="E727" s="26">
        <v>3909149</v>
      </c>
      <c r="F727" s="26">
        <v>15001776</v>
      </c>
      <c r="G727" t="b">
        <f t="shared" si="35"/>
        <v>0</v>
      </c>
      <c r="H727" t="b">
        <f t="shared" si="36"/>
        <v>0</v>
      </c>
      <c r="I727" s="29">
        <f t="shared" si="37"/>
        <v>39346</v>
      </c>
    </row>
    <row r="728" spans="1:9" ht="12.75" customHeight="1" x14ac:dyDescent="0.2">
      <c r="A728" s="28">
        <v>39346</v>
      </c>
      <c r="B728" s="26" t="s">
        <v>3836</v>
      </c>
      <c r="C728" s="26" t="s">
        <v>1220</v>
      </c>
      <c r="D728" s="26">
        <v>16500000</v>
      </c>
      <c r="E728" s="26">
        <v>11892415</v>
      </c>
      <c r="F728" s="26">
        <v>12778631</v>
      </c>
      <c r="G728" t="b">
        <f t="shared" si="35"/>
        <v>0</v>
      </c>
      <c r="H728" t="b">
        <f t="shared" si="36"/>
        <v>0</v>
      </c>
      <c r="I728" s="29">
        <f t="shared" si="37"/>
        <v>39346</v>
      </c>
    </row>
    <row r="729" spans="1:9" ht="25.5" x14ac:dyDescent="0.2">
      <c r="A729" s="28">
        <v>39346</v>
      </c>
      <c r="B729" s="26" t="s">
        <v>3835</v>
      </c>
      <c r="C729" s="26" t="s">
        <v>729</v>
      </c>
      <c r="D729" s="26" t="s">
        <v>20</v>
      </c>
      <c r="E729" s="26" t="s">
        <v>20</v>
      </c>
      <c r="F729" s="26" t="s">
        <v>20</v>
      </c>
      <c r="G729" t="b">
        <f t="shared" si="35"/>
        <v>0</v>
      </c>
      <c r="H729" t="b">
        <f t="shared" si="36"/>
        <v>0</v>
      </c>
      <c r="I729" s="29">
        <f t="shared" si="37"/>
        <v>39346</v>
      </c>
    </row>
    <row r="730" spans="1:9" ht="12.75" customHeight="1" x14ac:dyDescent="0.2">
      <c r="A730" s="28">
        <v>39346</v>
      </c>
      <c r="B730" s="26" t="s">
        <v>3834</v>
      </c>
      <c r="C730" s="26" t="s">
        <v>1121</v>
      </c>
      <c r="D730" s="26" t="s">
        <v>20</v>
      </c>
      <c r="E730" s="26">
        <v>3550</v>
      </c>
      <c r="F730" s="26" t="s">
        <v>20</v>
      </c>
      <c r="G730" t="b">
        <f t="shared" si="35"/>
        <v>0</v>
      </c>
      <c r="H730" t="b">
        <f t="shared" si="36"/>
        <v>0</v>
      </c>
      <c r="I730" s="29">
        <f t="shared" si="37"/>
        <v>39346</v>
      </c>
    </row>
    <row r="731" spans="1:9" ht="12.75" customHeight="1" x14ac:dyDescent="0.2">
      <c r="A731" s="28">
        <v>39351</v>
      </c>
      <c r="B731" s="26" t="s">
        <v>3833</v>
      </c>
      <c r="C731" s="26" t="s">
        <v>9</v>
      </c>
      <c r="D731" s="26" t="s">
        <v>20</v>
      </c>
      <c r="E731" s="26">
        <v>79477</v>
      </c>
      <c r="F731" s="26">
        <v>11479477</v>
      </c>
      <c r="G731" t="b">
        <f t="shared" si="35"/>
        <v>0</v>
      </c>
      <c r="H731" t="b">
        <f t="shared" si="36"/>
        <v>0</v>
      </c>
      <c r="I731" s="29">
        <f t="shared" si="37"/>
        <v>39351</v>
      </c>
    </row>
    <row r="732" spans="1:9" ht="12.75" customHeight="1" x14ac:dyDescent="0.2">
      <c r="A732" s="28">
        <v>39353</v>
      </c>
      <c r="B732" s="26" t="s">
        <v>3832</v>
      </c>
      <c r="C732" s="26" t="s">
        <v>2464</v>
      </c>
      <c r="D732" s="26" t="s">
        <v>20</v>
      </c>
      <c r="E732" s="26">
        <v>161593</v>
      </c>
      <c r="F732" s="26" t="s">
        <v>20</v>
      </c>
      <c r="G732" t="b">
        <f t="shared" si="35"/>
        <v>0</v>
      </c>
      <c r="H732" t="b">
        <f t="shared" si="36"/>
        <v>0</v>
      </c>
      <c r="I732" s="29">
        <f t="shared" si="37"/>
        <v>39353</v>
      </c>
    </row>
    <row r="733" spans="1:9" ht="12.75" customHeight="1" x14ac:dyDescent="0.2">
      <c r="A733" s="28">
        <v>39353</v>
      </c>
      <c r="B733" s="26" t="s">
        <v>3831</v>
      </c>
      <c r="C733" s="26" t="s">
        <v>3096</v>
      </c>
      <c r="D733" s="26">
        <v>72500000</v>
      </c>
      <c r="E733" s="26">
        <v>47467250</v>
      </c>
      <c r="F733" s="26">
        <v>86509602</v>
      </c>
      <c r="G733" t="b">
        <f t="shared" si="35"/>
        <v>0</v>
      </c>
      <c r="H733" t="b">
        <f t="shared" si="36"/>
        <v>0</v>
      </c>
      <c r="I733" s="29">
        <f t="shared" si="37"/>
        <v>39353</v>
      </c>
    </row>
    <row r="734" spans="1:9" ht="12.75" customHeight="1" x14ac:dyDescent="0.2">
      <c r="A734" s="28">
        <v>39353</v>
      </c>
      <c r="B734" s="26" t="s">
        <v>3830</v>
      </c>
      <c r="C734" s="26" t="s">
        <v>3390</v>
      </c>
      <c r="D734" s="26">
        <v>22000000</v>
      </c>
      <c r="E734" s="26">
        <v>90648202</v>
      </c>
      <c r="F734" s="26">
        <v>147914546</v>
      </c>
      <c r="G734" t="b">
        <f t="shared" si="35"/>
        <v>0</v>
      </c>
      <c r="H734" t="b">
        <f t="shared" si="36"/>
        <v>0</v>
      </c>
      <c r="I734" s="29">
        <f t="shared" si="37"/>
        <v>39353</v>
      </c>
    </row>
    <row r="735" spans="1:9" ht="12.75" customHeight="1" x14ac:dyDescent="0.2">
      <c r="A735" s="28">
        <v>39353</v>
      </c>
      <c r="B735" s="26" t="s">
        <v>3829</v>
      </c>
      <c r="C735" s="26" t="s">
        <v>698</v>
      </c>
      <c r="D735" s="26">
        <v>15000000</v>
      </c>
      <c r="E735" s="26">
        <v>4604982</v>
      </c>
      <c r="F735" s="26">
        <v>65696051</v>
      </c>
      <c r="G735" t="b">
        <f t="shared" si="35"/>
        <v>0</v>
      </c>
      <c r="H735" t="b">
        <f t="shared" si="36"/>
        <v>0</v>
      </c>
      <c r="I735" s="29">
        <f t="shared" si="37"/>
        <v>39353</v>
      </c>
    </row>
    <row r="736" spans="1:9" ht="25.5" x14ac:dyDescent="0.2">
      <c r="A736" s="28">
        <v>39353</v>
      </c>
      <c r="B736" s="26" t="s">
        <v>3828</v>
      </c>
      <c r="C736" s="26" t="s">
        <v>3526</v>
      </c>
      <c r="D736" s="26" t="s">
        <v>20</v>
      </c>
      <c r="E736" s="26">
        <v>18445</v>
      </c>
      <c r="F736" s="26" t="s">
        <v>20</v>
      </c>
      <c r="G736" t="b">
        <f t="shared" si="35"/>
        <v>0</v>
      </c>
      <c r="H736" t="b">
        <f t="shared" si="36"/>
        <v>0</v>
      </c>
      <c r="I736" s="29">
        <f t="shared" si="37"/>
        <v>39353</v>
      </c>
    </row>
    <row r="737" spans="1:9" ht="12.75" customHeight="1" x14ac:dyDescent="0.2">
      <c r="A737" s="28">
        <v>39353</v>
      </c>
      <c r="B737" s="26" t="s">
        <v>3827</v>
      </c>
      <c r="C737" s="26" t="s">
        <v>117</v>
      </c>
      <c r="D737" s="26" t="s">
        <v>20</v>
      </c>
      <c r="E737" s="26">
        <v>214202</v>
      </c>
      <c r="F737" s="26">
        <v>1194871</v>
      </c>
      <c r="G737" t="b">
        <f t="shared" si="35"/>
        <v>0</v>
      </c>
      <c r="H737" t="b">
        <f t="shared" si="36"/>
        <v>0</v>
      </c>
      <c r="I737" s="29">
        <f t="shared" si="37"/>
        <v>39353</v>
      </c>
    </row>
    <row r="738" spans="1:9" ht="12.75" customHeight="1" x14ac:dyDescent="0.2">
      <c r="A738" s="28">
        <v>39353</v>
      </c>
      <c r="B738" s="26" t="s">
        <v>3826</v>
      </c>
      <c r="C738" s="26" t="s">
        <v>3527</v>
      </c>
      <c r="D738" s="26" t="s">
        <v>20</v>
      </c>
      <c r="E738" s="26" t="s">
        <v>20</v>
      </c>
      <c r="F738" s="26" t="s">
        <v>20</v>
      </c>
      <c r="G738" t="b">
        <f t="shared" si="35"/>
        <v>0</v>
      </c>
      <c r="H738" t="b">
        <f t="shared" si="36"/>
        <v>0</v>
      </c>
      <c r="I738" s="29">
        <f t="shared" si="37"/>
        <v>39353</v>
      </c>
    </row>
    <row r="739" spans="1:9" x14ac:dyDescent="0.2">
      <c r="A739" s="28">
        <v>39353</v>
      </c>
      <c r="B739" s="26" t="s">
        <v>3825</v>
      </c>
      <c r="C739" s="26" t="s">
        <v>9</v>
      </c>
      <c r="D739" s="26" t="s">
        <v>20</v>
      </c>
      <c r="E739" s="26">
        <v>5000</v>
      </c>
      <c r="F739" s="26" t="s">
        <v>20</v>
      </c>
      <c r="G739" t="b">
        <f t="shared" si="35"/>
        <v>0</v>
      </c>
      <c r="H739" t="b">
        <f t="shared" si="36"/>
        <v>0</v>
      </c>
      <c r="I739" s="29">
        <f t="shared" si="37"/>
        <v>39353</v>
      </c>
    </row>
    <row r="740" spans="1:9" ht="12.75" customHeight="1" x14ac:dyDescent="0.2">
      <c r="A740" s="28">
        <v>39353</v>
      </c>
      <c r="B740" s="26" t="s">
        <v>3824</v>
      </c>
      <c r="C740" s="26" t="s">
        <v>2779</v>
      </c>
      <c r="D740" s="26" t="s">
        <v>20</v>
      </c>
      <c r="E740" s="26">
        <v>3508572</v>
      </c>
      <c r="F740" s="26">
        <v>5744218</v>
      </c>
      <c r="G740" t="b">
        <f t="shared" si="35"/>
        <v>0</v>
      </c>
      <c r="H740" t="b">
        <f t="shared" si="36"/>
        <v>0</v>
      </c>
      <c r="I740" s="29">
        <f t="shared" si="37"/>
        <v>39353</v>
      </c>
    </row>
    <row r="741" spans="1:9" ht="12.75" customHeight="1" x14ac:dyDescent="0.2">
      <c r="A741" s="28">
        <v>39354</v>
      </c>
      <c r="B741" s="26" t="s">
        <v>3823</v>
      </c>
      <c r="C741" s="26" t="s">
        <v>9</v>
      </c>
      <c r="D741" s="26" t="s">
        <v>20</v>
      </c>
      <c r="E741" s="26" t="s">
        <v>20</v>
      </c>
      <c r="F741" s="26">
        <v>3790791</v>
      </c>
      <c r="G741" t="b">
        <f t="shared" si="35"/>
        <v>0</v>
      </c>
      <c r="H741" t="b">
        <f t="shared" si="36"/>
        <v>0</v>
      </c>
      <c r="I741" s="29">
        <f t="shared" si="37"/>
        <v>39354</v>
      </c>
    </row>
    <row r="742" spans="1:9" ht="25.5" x14ac:dyDescent="0.2">
      <c r="A742" s="28">
        <v>39354</v>
      </c>
      <c r="B742" s="26" t="s">
        <v>3822</v>
      </c>
      <c r="C742" s="26" t="s">
        <v>155</v>
      </c>
      <c r="D742" s="26" t="s">
        <v>20</v>
      </c>
      <c r="E742" s="26">
        <v>11902715</v>
      </c>
      <c r="F742" s="26">
        <v>35078918</v>
      </c>
      <c r="G742" t="b">
        <f t="shared" si="35"/>
        <v>0</v>
      </c>
      <c r="H742" t="b">
        <f t="shared" si="36"/>
        <v>0</v>
      </c>
      <c r="I742" s="29">
        <f t="shared" si="37"/>
        <v>39354</v>
      </c>
    </row>
    <row r="743" spans="1:9" ht="12.75" customHeight="1" x14ac:dyDescent="0.2">
      <c r="A743" s="28">
        <v>39356</v>
      </c>
      <c r="B743" s="26" t="s">
        <v>3821</v>
      </c>
      <c r="C743" s="26" t="s">
        <v>9</v>
      </c>
      <c r="D743" s="26" t="s">
        <v>20</v>
      </c>
      <c r="E743" s="26" t="s">
        <v>20</v>
      </c>
      <c r="F743" s="26">
        <v>2129774</v>
      </c>
      <c r="G743" t="b">
        <f t="shared" si="35"/>
        <v>0</v>
      </c>
      <c r="H743" t="b">
        <f t="shared" si="36"/>
        <v>0</v>
      </c>
      <c r="I743" s="29">
        <f t="shared" si="37"/>
        <v>39356</v>
      </c>
    </row>
    <row r="744" spans="1:9" ht="25.5" x14ac:dyDescent="0.2">
      <c r="A744" s="28">
        <v>39358</v>
      </c>
      <c r="B744" s="26" t="s">
        <v>3820</v>
      </c>
      <c r="C744" s="26" t="s">
        <v>2911</v>
      </c>
      <c r="D744" s="26" t="s">
        <v>20</v>
      </c>
      <c r="E744" s="26">
        <v>82718</v>
      </c>
      <c r="F744" s="26" t="s">
        <v>20</v>
      </c>
      <c r="G744" t="b">
        <f t="shared" si="35"/>
        <v>0</v>
      </c>
      <c r="H744" t="b">
        <f t="shared" si="36"/>
        <v>0</v>
      </c>
      <c r="I744" s="29">
        <f t="shared" si="37"/>
        <v>39358</v>
      </c>
    </row>
    <row r="745" spans="1:9" ht="12.75" customHeight="1" x14ac:dyDescent="0.2">
      <c r="A745" s="28">
        <v>39358</v>
      </c>
      <c r="B745" s="26" t="s">
        <v>3819</v>
      </c>
      <c r="C745" s="26" t="s">
        <v>3233</v>
      </c>
      <c r="D745" s="26">
        <v>6000000</v>
      </c>
      <c r="E745" s="26">
        <v>25317</v>
      </c>
      <c r="F745" s="26" t="s">
        <v>20</v>
      </c>
      <c r="G745" t="b">
        <f t="shared" si="35"/>
        <v>0</v>
      </c>
      <c r="H745" t="b">
        <f t="shared" si="36"/>
        <v>0</v>
      </c>
      <c r="I745" s="29">
        <f t="shared" si="37"/>
        <v>39358</v>
      </c>
    </row>
    <row r="746" spans="1:9" x14ac:dyDescent="0.2">
      <c r="A746" s="28">
        <v>39358</v>
      </c>
      <c r="B746" s="26" t="s">
        <v>3818</v>
      </c>
      <c r="C746" s="26" t="s">
        <v>3528</v>
      </c>
      <c r="D746" s="26" t="s">
        <v>20</v>
      </c>
      <c r="E746" s="26" t="s">
        <v>20</v>
      </c>
      <c r="F746" s="26" t="s">
        <v>20</v>
      </c>
      <c r="G746" t="b">
        <f t="shared" si="35"/>
        <v>0</v>
      </c>
      <c r="H746" t="b">
        <f t="shared" si="36"/>
        <v>0</v>
      </c>
      <c r="I746" s="29">
        <f t="shared" si="37"/>
        <v>39358</v>
      </c>
    </row>
    <row r="747" spans="1:9" ht="12.75" customHeight="1" x14ac:dyDescent="0.2">
      <c r="A747" s="28">
        <v>39358</v>
      </c>
      <c r="B747" s="26" t="s">
        <v>3817</v>
      </c>
      <c r="C747" s="26" t="s">
        <v>9</v>
      </c>
      <c r="D747" s="26" t="s">
        <v>20</v>
      </c>
      <c r="E747" s="26" t="s">
        <v>20</v>
      </c>
      <c r="F747" s="26">
        <v>8567220</v>
      </c>
      <c r="G747" t="b">
        <f t="shared" si="35"/>
        <v>0</v>
      </c>
      <c r="H747" t="b">
        <f t="shared" si="36"/>
        <v>0</v>
      </c>
      <c r="I747" s="29">
        <f t="shared" si="37"/>
        <v>39358</v>
      </c>
    </row>
    <row r="748" spans="1:9" ht="25.5" x14ac:dyDescent="0.2">
      <c r="A748" s="28">
        <v>39359</v>
      </c>
      <c r="B748" s="26" t="s">
        <v>3816</v>
      </c>
      <c r="C748" s="26" t="s">
        <v>2009</v>
      </c>
      <c r="D748" s="26" t="s">
        <v>20</v>
      </c>
      <c r="E748" s="26" t="s">
        <v>20</v>
      </c>
      <c r="F748" s="26" t="s">
        <v>20</v>
      </c>
      <c r="G748" t="b">
        <f t="shared" si="35"/>
        <v>0</v>
      </c>
      <c r="H748" t="b">
        <f t="shared" si="36"/>
        <v>0</v>
      </c>
      <c r="I748" s="29">
        <f t="shared" si="37"/>
        <v>39359</v>
      </c>
    </row>
    <row r="749" spans="1:9" ht="25.5" x14ac:dyDescent="0.2">
      <c r="A749" s="28">
        <v>39360</v>
      </c>
      <c r="B749" s="26" t="s">
        <v>3815</v>
      </c>
      <c r="C749" s="26" t="s">
        <v>9</v>
      </c>
      <c r="D749" s="26" t="s">
        <v>20</v>
      </c>
      <c r="E749" s="26">
        <v>59535</v>
      </c>
      <c r="F749" s="26" t="s">
        <v>20</v>
      </c>
      <c r="G749" t="b">
        <f t="shared" si="35"/>
        <v>0</v>
      </c>
      <c r="H749" t="b">
        <f t="shared" si="36"/>
        <v>0</v>
      </c>
      <c r="I749" s="29">
        <f t="shared" si="37"/>
        <v>39360</v>
      </c>
    </row>
    <row r="750" spans="1:9" ht="12.75" customHeight="1" x14ac:dyDescent="0.2">
      <c r="A750" s="28">
        <v>39360</v>
      </c>
      <c r="B750" s="26" t="s">
        <v>3814</v>
      </c>
      <c r="C750" s="26" t="s">
        <v>9</v>
      </c>
      <c r="D750" s="26" t="s">
        <v>20</v>
      </c>
      <c r="E750" s="26" t="s">
        <v>20</v>
      </c>
      <c r="F750" s="26">
        <v>6811168</v>
      </c>
      <c r="G750" t="b">
        <f t="shared" si="35"/>
        <v>0</v>
      </c>
      <c r="H750" t="b">
        <f t="shared" si="36"/>
        <v>0</v>
      </c>
      <c r="I750" s="29">
        <f t="shared" si="37"/>
        <v>39360</v>
      </c>
    </row>
    <row r="751" spans="1:9" ht="38.25" x14ac:dyDescent="0.2">
      <c r="A751" s="28">
        <v>39360</v>
      </c>
      <c r="B751" s="26" t="s">
        <v>3813</v>
      </c>
      <c r="C751" s="26" t="s">
        <v>102</v>
      </c>
      <c r="D751" s="26" t="s">
        <v>20</v>
      </c>
      <c r="E751" s="26">
        <v>23245005</v>
      </c>
      <c r="F751" s="26">
        <v>43758212</v>
      </c>
      <c r="G751" t="b">
        <f t="shared" si="35"/>
        <v>0</v>
      </c>
      <c r="H751" t="b">
        <f t="shared" si="36"/>
        <v>0</v>
      </c>
      <c r="I751" s="29">
        <f t="shared" si="37"/>
        <v>39360</v>
      </c>
    </row>
    <row r="752" spans="1:9" ht="25.5" x14ac:dyDescent="0.2">
      <c r="A752" s="28">
        <v>39360</v>
      </c>
      <c r="B752" s="26" t="s">
        <v>3812</v>
      </c>
      <c r="C752" s="26" t="s">
        <v>2964</v>
      </c>
      <c r="D752" s="26" t="s">
        <v>20</v>
      </c>
      <c r="E752" s="26">
        <v>312751</v>
      </c>
      <c r="F752" s="26" t="s">
        <v>20</v>
      </c>
      <c r="G752" t="b">
        <f t="shared" si="35"/>
        <v>0</v>
      </c>
      <c r="H752" t="b">
        <f t="shared" si="36"/>
        <v>0</v>
      </c>
      <c r="I752" s="29">
        <f t="shared" si="37"/>
        <v>39360</v>
      </c>
    </row>
    <row r="753" spans="1:9" ht="12.75" customHeight="1" x14ac:dyDescent="0.2">
      <c r="A753" s="28">
        <v>39360</v>
      </c>
      <c r="B753" s="26" t="s">
        <v>3811</v>
      </c>
      <c r="C753" s="26" t="s">
        <v>1074</v>
      </c>
      <c r="D753" s="26" t="s">
        <v>20</v>
      </c>
      <c r="E753" s="26">
        <v>6976</v>
      </c>
      <c r="F753" s="26" t="s">
        <v>20</v>
      </c>
      <c r="G753" t="b">
        <f t="shared" si="35"/>
        <v>0</v>
      </c>
      <c r="H753" t="b">
        <f t="shared" si="36"/>
        <v>0</v>
      </c>
      <c r="I753" s="29">
        <f t="shared" si="37"/>
        <v>39360</v>
      </c>
    </row>
    <row r="754" spans="1:9" ht="12.75" customHeight="1" x14ac:dyDescent="0.2">
      <c r="A754" s="28">
        <v>39360</v>
      </c>
      <c r="B754" s="26" t="s">
        <v>3810</v>
      </c>
      <c r="C754" s="26" t="s">
        <v>9</v>
      </c>
      <c r="D754" s="26" t="s">
        <v>20</v>
      </c>
      <c r="E754" s="26" t="s">
        <v>20</v>
      </c>
      <c r="F754" s="26" t="s">
        <v>20</v>
      </c>
      <c r="G754" t="b">
        <f t="shared" si="35"/>
        <v>0</v>
      </c>
      <c r="H754" t="b">
        <f t="shared" si="36"/>
        <v>0</v>
      </c>
      <c r="I754" s="29">
        <f t="shared" si="37"/>
        <v>39360</v>
      </c>
    </row>
    <row r="755" spans="1:9" ht="25.5" x14ac:dyDescent="0.2">
      <c r="A755" s="28">
        <v>39360</v>
      </c>
      <c r="B755" s="26" t="s">
        <v>3809</v>
      </c>
      <c r="C755" s="26" t="s">
        <v>612</v>
      </c>
      <c r="D755" s="26" t="s">
        <v>20</v>
      </c>
      <c r="E755" s="26">
        <v>231274</v>
      </c>
      <c r="F755" s="26" t="s">
        <v>20</v>
      </c>
      <c r="G755" t="b">
        <f t="shared" si="35"/>
        <v>0</v>
      </c>
      <c r="H755" t="b">
        <f t="shared" si="36"/>
        <v>0</v>
      </c>
      <c r="I755" s="29">
        <f t="shared" si="37"/>
        <v>39360</v>
      </c>
    </row>
    <row r="756" spans="1:9" ht="12.75" customHeight="1" x14ac:dyDescent="0.2">
      <c r="A756" s="28">
        <v>39360</v>
      </c>
      <c r="B756" s="26" t="s">
        <v>3808</v>
      </c>
      <c r="C756" s="26" t="s">
        <v>9</v>
      </c>
      <c r="D756" s="26">
        <v>15000000</v>
      </c>
      <c r="E756" s="26">
        <v>22441</v>
      </c>
      <c r="F756" s="26" t="s">
        <v>20</v>
      </c>
      <c r="G756" t="b">
        <f t="shared" ref="G756:G819" si="38">ISBLANK(A756)</f>
        <v>0</v>
      </c>
      <c r="H756" t="b">
        <f t="shared" ref="H756:H819" si="39">ISTEXT(A756)</f>
        <v>0</v>
      </c>
      <c r="I756" s="29">
        <f t="shared" si="37"/>
        <v>39360</v>
      </c>
    </row>
    <row r="757" spans="1:9" ht="12.75" customHeight="1" x14ac:dyDescent="0.2">
      <c r="A757" s="28">
        <v>39360</v>
      </c>
      <c r="B757" s="26" t="s">
        <v>3807</v>
      </c>
      <c r="C757" s="26" t="s">
        <v>9</v>
      </c>
      <c r="D757" s="26" t="s">
        <v>20</v>
      </c>
      <c r="E757" s="26" t="s">
        <v>20</v>
      </c>
      <c r="F757" s="26">
        <v>1122695</v>
      </c>
      <c r="G757" t="b">
        <f t="shared" si="38"/>
        <v>0</v>
      </c>
      <c r="H757" t="b">
        <f t="shared" si="39"/>
        <v>0</v>
      </c>
      <c r="I757" s="29">
        <f t="shared" si="37"/>
        <v>39360</v>
      </c>
    </row>
    <row r="758" spans="1:9" ht="25.5" x14ac:dyDescent="0.2">
      <c r="A758" s="28">
        <v>39360</v>
      </c>
      <c r="B758" s="26" t="s">
        <v>3806</v>
      </c>
      <c r="C758" s="26" t="s">
        <v>3240</v>
      </c>
      <c r="D758" s="26" t="s">
        <v>20</v>
      </c>
      <c r="E758" s="26">
        <v>36787257</v>
      </c>
      <c r="F758" s="26">
        <v>127768790</v>
      </c>
      <c r="G758" t="b">
        <f t="shared" si="38"/>
        <v>0</v>
      </c>
      <c r="H758" t="b">
        <f t="shared" si="39"/>
        <v>0</v>
      </c>
      <c r="I758" s="29">
        <f t="shared" si="37"/>
        <v>39360</v>
      </c>
    </row>
    <row r="759" spans="1:9" ht="12.75" customHeight="1" x14ac:dyDescent="0.2">
      <c r="A759" s="28">
        <v>39360</v>
      </c>
      <c r="B759" s="26" t="s">
        <v>3805</v>
      </c>
      <c r="C759" s="26" t="s">
        <v>746</v>
      </c>
      <c r="D759" s="26" t="s">
        <v>20</v>
      </c>
      <c r="E759" s="26">
        <v>8161</v>
      </c>
      <c r="F759" s="26" t="s">
        <v>20</v>
      </c>
      <c r="G759" t="b">
        <f t="shared" si="38"/>
        <v>0</v>
      </c>
      <c r="H759" t="b">
        <f t="shared" si="39"/>
        <v>0</v>
      </c>
      <c r="I759" s="29">
        <f t="shared" si="37"/>
        <v>39360</v>
      </c>
    </row>
    <row r="760" spans="1:9" ht="12.75" customHeight="1" x14ac:dyDescent="0.2">
      <c r="A760" s="28">
        <v>39360</v>
      </c>
      <c r="B760" s="26" t="s">
        <v>3804</v>
      </c>
      <c r="C760" s="26" t="s">
        <v>9</v>
      </c>
      <c r="D760" s="26">
        <v>21500000</v>
      </c>
      <c r="E760" s="26">
        <v>49033882</v>
      </c>
      <c r="F760" s="26">
        <v>92987651</v>
      </c>
      <c r="G760" t="b">
        <f t="shared" si="38"/>
        <v>0</v>
      </c>
      <c r="H760" t="b">
        <f t="shared" si="39"/>
        <v>0</v>
      </c>
      <c r="I760" s="29">
        <f t="shared" si="37"/>
        <v>39360</v>
      </c>
    </row>
    <row r="761" spans="1:9" ht="12.75" customHeight="1" x14ac:dyDescent="0.2">
      <c r="A761" s="28">
        <v>39360</v>
      </c>
      <c r="B761" s="26" t="s">
        <v>3803</v>
      </c>
      <c r="C761" s="26" t="s">
        <v>2160</v>
      </c>
      <c r="D761" s="26" t="s">
        <v>20</v>
      </c>
      <c r="E761" s="26">
        <v>5867786</v>
      </c>
      <c r="F761" s="26" t="s">
        <v>20</v>
      </c>
      <c r="G761" t="b">
        <f t="shared" si="38"/>
        <v>0</v>
      </c>
      <c r="H761" t="b">
        <f t="shared" si="39"/>
        <v>0</v>
      </c>
      <c r="I761" s="29">
        <f t="shared" si="37"/>
        <v>39360</v>
      </c>
    </row>
    <row r="762" spans="1:9" ht="25.5" x14ac:dyDescent="0.2">
      <c r="A762" s="28">
        <v>39360</v>
      </c>
      <c r="B762" s="26" t="s">
        <v>3802</v>
      </c>
      <c r="C762" s="26" t="s">
        <v>3466</v>
      </c>
      <c r="D762" s="26">
        <v>500000</v>
      </c>
      <c r="E762" s="26">
        <v>52850</v>
      </c>
      <c r="F762" s="26" t="s">
        <v>20</v>
      </c>
      <c r="G762" t="b">
        <f t="shared" si="38"/>
        <v>0</v>
      </c>
      <c r="H762" t="b">
        <f t="shared" si="39"/>
        <v>0</v>
      </c>
      <c r="I762" s="29">
        <f t="shared" si="37"/>
        <v>39360</v>
      </c>
    </row>
    <row r="763" spans="1:9" ht="25.5" x14ac:dyDescent="0.2">
      <c r="A763" s="28">
        <v>39360</v>
      </c>
      <c r="B763" s="26" t="s">
        <v>3801</v>
      </c>
      <c r="C763" s="26" t="s">
        <v>384</v>
      </c>
      <c r="D763" s="26" t="s">
        <v>20</v>
      </c>
      <c r="E763" s="26">
        <v>8794452</v>
      </c>
      <c r="F763" s="26">
        <v>31400740</v>
      </c>
      <c r="G763" t="b">
        <f t="shared" si="38"/>
        <v>0</v>
      </c>
      <c r="H763" t="b">
        <f t="shared" si="39"/>
        <v>0</v>
      </c>
      <c r="I763" s="29">
        <f t="shared" si="37"/>
        <v>39360</v>
      </c>
    </row>
    <row r="764" spans="1:9" ht="25.5" x14ac:dyDescent="0.2">
      <c r="A764" s="28">
        <v>39364</v>
      </c>
      <c r="B764" s="26" t="s">
        <v>3800</v>
      </c>
      <c r="C764" s="26" t="s">
        <v>9</v>
      </c>
      <c r="D764" s="26" t="s">
        <v>20</v>
      </c>
      <c r="E764" s="26" t="s">
        <v>20</v>
      </c>
      <c r="F764" s="26" t="s">
        <v>20</v>
      </c>
      <c r="G764" t="b">
        <f t="shared" si="38"/>
        <v>0</v>
      </c>
      <c r="H764" t="b">
        <f t="shared" si="39"/>
        <v>0</v>
      </c>
      <c r="I764" s="29">
        <f t="shared" si="37"/>
        <v>39364</v>
      </c>
    </row>
    <row r="765" spans="1:9" ht="12.75" customHeight="1" x14ac:dyDescent="0.2">
      <c r="A765" s="28">
        <v>39365</v>
      </c>
      <c r="B765" s="26" t="s">
        <v>3799</v>
      </c>
      <c r="C765" s="26" t="s">
        <v>49</v>
      </c>
      <c r="D765" s="26">
        <v>6400000</v>
      </c>
      <c r="E765" s="26">
        <v>871577</v>
      </c>
      <c r="F765" s="26">
        <v>5645350</v>
      </c>
      <c r="G765" t="b">
        <f t="shared" si="38"/>
        <v>0</v>
      </c>
      <c r="H765" t="b">
        <f t="shared" si="39"/>
        <v>0</v>
      </c>
      <c r="I765" s="29">
        <f t="shared" si="37"/>
        <v>39365</v>
      </c>
    </row>
    <row r="766" spans="1:9" ht="12.75" customHeight="1" x14ac:dyDescent="0.2">
      <c r="A766" s="28">
        <v>39365</v>
      </c>
      <c r="B766" s="26" t="s">
        <v>3798</v>
      </c>
      <c r="C766" s="26" t="s">
        <v>3529</v>
      </c>
      <c r="D766" s="26" t="s">
        <v>20</v>
      </c>
      <c r="E766" s="26" t="s">
        <v>20</v>
      </c>
      <c r="F766" s="26" t="s">
        <v>20</v>
      </c>
      <c r="G766" t="b">
        <f t="shared" si="38"/>
        <v>0</v>
      </c>
      <c r="H766" t="b">
        <f t="shared" si="39"/>
        <v>0</v>
      </c>
      <c r="I766" s="29">
        <f t="shared" si="37"/>
        <v>39365</v>
      </c>
    </row>
    <row r="767" spans="1:9" ht="12.75" customHeight="1" x14ac:dyDescent="0.2">
      <c r="A767" s="28">
        <v>39365</v>
      </c>
      <c r="B767" s="26" t="s">
        <v>3797</v>
      </c>
      <c r="C767" s="26" t="s">
        <v>9</v>
      </c>
      <c r="D767" s="26" t="s">
        <v>20</v>
      </c>
      <c r="E767" s="26" t="s">
        <v>20</v>
      </c>
      <c r="F767" s="26">
        <v>7966048</v>
      </c>
      <c r="G767" t="b">
        <f t="shared" si="38"/>
        <v>0</v>
      </c>
      <c r="H767" t="b">
        <f t="shared" si="39"/>
        <v>0</v>
      </c>
      <c r="I767" s="29">
        <f t="shared" si="37"/>
        <v>39365</v>
      </c>
    </row>
    <row r="768" spans="1:9" ht="25.5" x14ac:dyDescent="0.2">
      <c r="A768" s="28">
        <v>39367</v>
      </c>
      <c r="B768" s="26" t="s">
        <v>3796</v>
      </c>
      <c r="C768" s="26" t="s">
        <v>2161</v>
      </c>
      <c r="D768" s="26" t="s">
        <v>20</v>
      </c>
      <c r="E768" s="26">
        <v>675102</v>
      </c>
      <c r="F768" s="26">
        <v>7025926</v>
      </c>
      <c r="G768" t="b">
        <f t="shared" si="38"/>
        <v>0</v>
      </c>
      <c r="H768" t="b">
        <f t="shared" si="39"/>
        <v>0</v>
      </c>
      <c r="I768" s="29">
        <f t="shared" si="37"/>
        <v>39367</v>
      </c>
    </row>
    <row r="769" spans="1:9" ht="25.5" x14ac:dyDescent="0.2">
      <c r="A769" s="28">
        <v>39367</v>
      </c>
      <c r="B769" s="26" t="s">
        <v>3795</v>
      </c>
      <c r="C769" s="26" t="s">
        <v>2256</v>
      </c>
      <c r="D769" s="26">
        <v>12500000</v>
      </c>
      <c r="E769" s="26">
        <v>5956480</v>
      </c>
      <c r="F769" s="26">
        <v>10553442</v>
      </c>
      <c r="G769" t="b">
        <f t="shared" si="38"/>
        <v>0</v>
      </c>
      <c r="H769" t="b">
        <f t="shared" si="39"/>
        <v>0</v>
      </c>
      <c r="I769" s="29">
        <f t="shared" si="37"/>
        <v>39367</v>
      </c>
    </row>
    <row r="770" spans="1:9" ht="12.75" customHeight="1" x14ac:dyDescent="0.2">
      <c r="A770" s="28">
        <v>39367</v>
      </c>
      <c r="B770" s="26" t="s">
        <v>3794</v>
      </c>
      <c r="C770" s="26" t="s">
        <v>3096</v>
      </c>
      <c r="D770" s="26">
        <v>28000000</v>
      </c>
      <c r="E770" s="26">
        <v>28563179</v>
      </c>
      <c r="F770" s="26">
        <v>54700285</v>
      </c>
      <c r="G770" t="b">
        <f t="shared" si="38"/>
        <v>0</v>
      </c>
      <c r="H770" t="b">
        <f t="shared" si="39"/>
        <v>0</v>
      </c>
      <c r="I770" s="29">
        <f t="shared" si="37"/>
        <v>39367</v>
      </c>
    </row>
    <row r="771" spans="1:9" ht="25.5" x14ac:dyDescent="0.2">
      <c r="A771" s="28">
        <v>39367</v>
      </c>
      <c r="B771" s="26" t="s">
        <v>3793</v>
      </c>
      <c r="C771" s="26" t="s">
        <v>9</v>
      </c>
      <c r="D771" s="26" t="s">
        <v>20</v>
      </c>
      <c r="E771" s="26" t="s">
        <v>20</v>
      </c>
      <c r="F771" s="26">
        <v>4498707</v>
      </c>
      <c r="G771" t="b">
        <f t="shared" si="38"/>
        <v>0</v>
      </c>
      <c r="H771" t="b">
        <f t="shared" si="39"/>
        <v>0</v>
      </c>
      <c r="I771" s="29">
        <f t="shared" ref="I771:I834" si="40">DATE(2007,MONTH(A771), DAY(A771))</f>
        <v>39367</v>
      </c>
    </row>
    <row r="772" spans="1:9" ht="25.5" x14ac:dyDescent="0.2">
      <c r="A772" s="28">
        <v>39367</v>
      </c>
      <c r="B772" s="26" t="s">
        <v>3792</v>
      </c>
      <c r="C772" s="26" t="s">
        <v>746</v>
      </c>
      <c r="D772" s="26" t="s">
        <v>20</v>
      </c>
      <c r="E772" s="26">
        <v>47724</v>
      </c>
      <c r="F772" s="26">
        <v>1247724</v>
      </c>
      <c r="G772" t="b">
        <f t="shared" si="38"/>
        <v>0</v>
      </c>
      <c r="H772" t="b">
        <f t="shared" si="39"/>
        <v>0</v>
      </c>
      <c r="I772" s="29">
        <f t="shared" si="40"/>
        <v>39367</v>
      </c>
    </row>
    <row r="773" spans="1:9" ht="25.5" x14ac:dyDescent="0.2">
      <c r="A773" s="28">
        <v>39367</v>
      </c>
      <c r="B773" s="26" t="s">
        <v>3791</v>
      </c>
      <c r="C773" s="26" t="s">
        <v>120</v>
      </c>
      <c r="D773" s="26" t="s">
        <v>20</v>
      </c>
      <c r="E773" s="26">
        <v>25526</v>
      </c>
      <c r="F773" s="26" t="s">
        <v>20</v>
      </c>
      <c r="G773" t="b">
        <f t="shared" si="38"/>
        <v>0</v>
      </c>
      <c r="H773" t="b">
        <f t="shared" si="39"/>
        <v>0</v>
      </c>
      <c r="I773" s="29">
        <f t="shared" si="40"/>
        <v>39367</v>
      </c>
    </row>
    <row r="774" spans="1:9" ht="12.75" customHeight="1" x14ac:dyDescent="0.2">
      <c r="A774" s="28">
        <v>39367</v>
      </c>
      <c r="B774" s="26" t="s">
        <v>3790</v>
      </c>
      <c r="C774" s="26" t="s">
        <v>3530</v>
      </c>
      <c r="D774" s="26" t="s">
        <v>20</v>
      </c>
      <c r="E774" s="26" t="s">
        <v>20</v>
      </c>
      <c r="F774" s="26" t="s">
        <v>20</v>
      </c>
      <c r="G774" t="b">
        <f t="shared" si="38"/>
        <v>0</v>
      </c>
      <c r="H774" t="b">
        <f t="shared" si="39"/>
        <v>0</v>
      </c>
      <c r="I774" s="29">
        <f t="shared" si="40"/>
        <v>39367</v>
      </c>
    </row>
    <row r="775" spans="1:9" ht="25.5" x14ac:dyDescent="0.2">
      <c r="A775" s="28">
        <v>39367</v>
      </c>
      <c r="B775" s="26" t="s">
        <v>3789</v>
      </c>
      <c r="C775" s="26" t="s">
        <v>3096</v>
      </c>
      <c r="D775" s="26" t="s">
        <v>20</v>
      </c>
      <c r="E775" s="26">
        <v>16285240</v>
      </c>
      <c r="F775" s="26">
        <v>74769388</v>
      </c>
      <c r="G775" t="b">
        <f t="shared" si="38"/>
        <v>0</v>
      </c>
      <c r="H775" t="b">
        <f t="shared" si="39"/>
        <v>0</v>
      </c>
      <c r="I775" s="29">
        <f t="shared" si="40"/>
        <v>39367</v>
      </c>
    </row>
    <row r="776" spans="1:9" ht="12.75" customHeight="1" x14ac:dyDescent="0.2">
      <c r="A776" s="28">
        <v>39367</v>
      </c>
      <c r="B776" s="26" t="s">
        <v>3788</v>
      </c>
      <c r="C776" s="26" t="s">
        <v>729</v>
      </c>
      <c r="D776" s="26" t="s">
        <v>20</v>
      </c>
      <c r="E776" s="26">
        <v>35630</v>
      </c>
      <c r="F776" s="26" t="s">
        <v>20</v>
      </c>
      <c r="G776" t="b">
        <f t="shared" si="38"/>
        <v>0</v>
      </c>
      <c r="H776" t="b">
        <f t="shared" si="39"/>
        <v>0</v>
      </c>
      <c r="I776" s="29">
        <f t="shared" si="40"/>
        <v>39367</v>
      </c>
    </row>
    <row r="777" spans="1:9" ht="25.5" x14ac:dyDescent="0.2">
      <c r="A777" s="28">
        <v>39367</v>
      </c>
      <c r="B777" s="26" t="s">
        <v>3787</v>
      </c>
      <c r="C777" s="26" t="s">
        <v>3419</v>
      </c>
      <c r="D777" s="26" t="s">
        <v>20</v>
      </c>
      <c r="E777" s="26">
        <v>55204525</v>
      </c>
      <c r="F777" s="26" t="s">
        <v>20</v>
      </c>
      <c r="G777" t="b">
        <f t="shared" si="38"/>
        <v>0</v>
      </c>
      <c r="H777" t="b">
        <f t="shared" si="39"/>
        <v>0</v>
      </c>
      <c r="I777" s="29">
        <f t="shared" si="40"/>
        <v>39367</v>
      </c>
    </row>
    <row r="778" spans="1:9" ht="12.75" customHeight="1" x14ac:dyDescent="0.2">
      <c r="A778" s="28">
        <v>39367</v>
      </c>
      <c r="B778" s="26" t="s">
        <v>3786</v>
      </c>
      <c r="C778" s="26" t="s">
        <v>647</v>
      </c>
      <c r="D778" s="26" t="s">
        <v>20</v>
      </c>
      <c r="E778" s="26">
        <v>1069952</v>
      </c>
      <c r="F778" s="26">
        <v>15062194</v>
      </c>
      <c r="G778" t="b">
        <f t="shared" si="38"/>
        <v>0</v>
      </c>
      <c r="H778" t="b">
        <f t="shared" si="39"/>
        <v>0</v>
      </c>
      <c r="I778" s="29">
        <f t="shared" si="40"/>
        <v>39367</v>
      </c>
    </row>
    <row r="779" spans="1:9" ht="12.75" customHeight="1" x14ac:dyDescent="0.2">
      <c r="A779" s="28">
        <v>39367</v>
      </c>
      <c r="B779" s="26" t="s">
        <v>3785</v>
      </c>
      <c r="C779" s="26" t="s">
        <v>3531</v>
      </c>
      <c r="D779" s="26" t="s">
        <v>20</v>
      </c>
      <c r="E779" s="26" t="s">
        <v>20</v>
      </c>
      <c r="F779" s="26" t="s">
        <v>20</v>
      </c>
      <c r="G779" t="b">
        <f t="shared" si="38"/>
        <v>0</v>
      </c>
      <c r="H779" t="b">
        <f t="shared" si="39"/>
        <v>0</v>
      </c>
      <c r="I779" s="29">
        <f t="shared" si="40"/>
        <v>39367</v>
      </c>
    </row>
    <row r="780" spans="1:9" ht="12.75" customHeight="1" x14ac:dyDescent="0.2">
      <c r="A780" s="28">
        <v>39367</v>
      </c>
      <c r="B780" s="26" t="s">
        <v>3784</v>
      </c>
      <c r="C780" s="26" t="s">
        <v>1609</v>
      </c>
      <c r="D780" s="26" t="s">
        <v>20</v>
      </c>
      <c r="E780" s="26">
        <v>99279</v>
      </c>
      <c r="F780" s="26" t="s">
        <v>20</v>
      </c>
      <c r="G780" t="b">
        <f t="shared" si="38"/>
        <v>0</v>
      </c>
      <c r="H780" t="b">
        <f t="shared" si="39"/>
        <v>0</v>
      </c>
      <c r="I780" s="29">
        <f t="shared" si="40"/>
        <v>39367</v>
      </c>
    </row>
    <row r="781" spans="1:9" ht="12.75" customHeight="1" x14ac:dyDescent="0.2">
      <c r="A781" s="28">
        <v>39367</v>
      </c>
      <c r="B781" s="26" t="s">
        <v>3783</v>
      </c>
      <c r="C781" s="26" t="s">
        <v>612</v>
      </c>
      <c r="D781" s="26" t="s">
        <v>20</v>
      </c>
      <c r="E781" s="26">
        <v>342895</v>
      </c>
      <c r="F781" s="26">
        <v>2212891</v>
      </c>
      <c r="G781" t="b">
        <f t="shared" si="38"/>
        <v>0</v>
      </c>
      <c r="H781" t="b">
        <f t="shared" si="39"/>
        <v>0</v>
      </c>
      <c r="I781" s="29">
        <f t="shared" si="40"/>
        <v>39367</v>
      </c>
    </row>
    <row r="782" spans="1:9" ht="12.75" customHeight="1" x14ac:dyDescent="0.2">
      <c r="A782" s="28">
        <v>39367</v>
      </c>
      <c r="B782" s="26" t="s">
        <v>3782</v>
      </c>
      <c r="C782" s="26" t="s">
        <v>1051</v>
      </c>
      <c r="D782" s="26" t="s">
        <v>20</v>
      </c>
      <c r="E782" s="26">
        <v>1159691</v>
      </c>
      <c r="F782" s="26" t="s">
        <v>20</v>
      </c>
      <c r="G782" t="b">
        <f t="shared" si="38"/>
        <v>0</v>
      </c>
      <c r="H782" t="b">
        <f t="shared" si="39"/>
        <v>0</v>
      </c>
      <c r="I782" s="29">
        <f t="shared" si="40"/>
        <v>39367</v>
      </c>
    </row>
    <row r="783" spans="1:9" ht="12.75" customHeight="1" x14ac:dyDescent="0.2">
      <c r="A783" s="28">
        <v>39367</v>
      </c>
      <c r="B783" s="26" t="s">
        <v>3781</v>
      </c>
      <c r="C783" s="26" t="s">
        <v>9</v>
      </c>
      <c r="D783" s="26" t="s">
        <v>20</v>
      </c>
      <c r="E783" s="26">
        <v>26803</v>
      </c>
      <c r="F783" s="26" t="s">
        <v>20</v>
      </c>
      <c r="G783" t="b">
        <f t="shared" si="38"/>
        <v>0</v>
      </c>
      <c r="H783" t="b">
        <f t="shared" si="39"/>
        <v>0</v>
      </c>
      <c r="I783" s="29">
        <f t="shared" si="40"/>
        <v>39367</v>
      </c>
    </row>
    <row r="784" spans="1:9" ht="25.5" x14ac:dyDescent="0.2">
      <c r="A784" s="28">
        <v>39367</v>
      </c>
      <c r="B784" s="26" t="s">
        <v>3780</v>
      </c>
      <c r="C784" s="26" t="s">
        <v>3532</v>
      </c>
      <c r="D784" s="26" t="s">
        <v>20</v>
      </c>
      <c r="E784" s="26">
        <v>290379</v>
      </c>
      <c r="F784" s="26" t="s">
        <v>20</v>
      </c>
      <c r="G784" t="b">
        <f t="shared" si="38"/>
        <v>0</v>
      </c>
      <c r="H784" t="b">
        <f t="shared" si="39"/>
        <v>0</v>
      </c>
      <c r="I784" s="29">
        <f t="shared" si="40"/>
        <v>39367</v>
      </c>
    </row>
    <row r="785" spans="1:9" ht="25.5" x14ac:dyDescent="0.2">
      <c r="A785" s="28">
        <v>39371</v>
      </c>
      <c r="B785" s="26" t="s">
        <v>3779</v>
      </c>
      <c r="C785" s="26" t="s">
        <v>9</v>
      </c>
      <c r="D785" s="26" t="s">
        <v>20</v>
      </c>
      <c r="E785" s="26" t="s">
        <v>20</v>
      </c>
      <c r="F785" s="26" t="s">
        <v>20</v>
      </c>
      <c r="G785" t="b">
        <f t="shared" si="38"/>
        <v>0</v>
      </c>
      <c r="H785" t="b">
        <f t="shared" si="39"/>
        <v>0</v>
      </c>
      <c r="I785" s="29">
        <f t="shared" si="40"/>
        <v>39371</v>
      </c>
    </row>
    <row r="786" spans="1:9" ht="12.75" customHeight="1" x14ac:dyDescent="0.2">
      <c r="A786" s="28">
        <v>39372</v>
      </c>
      <c r="B786" s="26" t="s">
        <v>3778</v>
      </c>
      <c r="C786" s="26" t="s">
        <v>1319</v>
      </c>
      <c r="D786" s="26" t="s">
        <v>20</v>
      </c>
      <c r="E786" s="26">
        <v>234480</v>
      </c>
      <c r="F786" s="26">
        <v>2195669</v>
      </c>
      <c r="G786" t="b">
        <f t="shared" si="38"/>
        <v>0</v>
      </c>
      <c r="H786" t="b">
        <f t="shared" si="39"/>
        <v>0</v>
      </c>
      <c r="I786" s="29">
        <f t="shared" si="40"/>
        <v>39372</v>
      </c>
    </row>
    <row r="787" spans="1:9" ht="12.75" customHeight="1" x14ac:dyDescent="0.2">
      <c r="A787" s="28">
        <v>39373</v>
      </c>
      <c r="B787" s="26" t="s">
        <v>3777</v>
      </c>
      <c r="C787" s="26" t="s">
        <v>9</v>
      </c>
      <c r="D787" s="26" t="s">
        <v>20</v>
      </c>
      <c r="E787" s="26" t="s">
        <v>20</v>
      </c>
      <c r="F787" s="26">
        <v>12426015</v>
      </c>
      <c r="G787" t="b">
        <f t="shared" si="38"/>
        <v>0</v>
      </c>
      <c r="H787" t="b">
        <f t="shared" si="39"/>
        <v>0</v>
      </c>
      <c r="I787" s="29">
        <f t="shared" si="40"/>
        <v>39373</v>
      </c>
    </row>
    <row r="788" spans="1:9" ht="12.75" customHeight="1" x14ac:dyDescent="0.2">
      <c r="A788" s="28">
        <v>39373</v>
      </c>
      <c r="B788" s="26" t="s">
        <v>3776</v>
      </c>
      <c r="C788" s="26" t="s">
        <v>9</v>
      </c>
      <c r="D788" s="26" t="s">
        <v>20</v>
      </c>
      <c r="E788" s="26" t="s">
        <v>20</v>
      </c>
      <c r="F788" s="26">
        <v>3489694</v>
      </c>
      <c r="G788" t="b">
        <f t="shared" si="38"/>
        <v>0</v>
      </c>
      <c r="H788" t="b">
        <f t="shared" si="39"/>
        <v>0</v>
      </c>
      <c r="I788" s="29">
        <f t="shared" si="40"/>
        <v>39373</v>
      </c>
    </row>
    <row r="789" spans="1:9" ht="25.5" x14ac:dyDescent="0.2">
      <c r="A789" s="28">
        <v>39373</v>
      </c>
      <c r="B789" s="26" t="s">
        <v>3775</v>
      </c>
      <c r="C789" s="26" t="s">
        <v>9</v>
      </c>
      <c r="D789" s="26" t="s">
        <v>20</v>
      </c>
      <c r="E789" s="26" t="s">
        <v>20</v>
      </c>
      <c r="F789" s="26">
        <v>999574</v>
      </c>
      <c r="G789" t="b">
        <f t="shared" si="38"/>
        <v>0</v>
      </c>
      <c r="H789" t="b">
        <f t="shared" si="39"/>
        <v>0</v>
      </c>
      <c r="I789" s="29">
        <f t="shared" si="40"/>
        <v>39373</v>
      </c>
    </row>
    <row r="790" spans="1:9" ht="12.75" customHeight="1" x14ac:dyDescent="0.2">
      <c r="A790" s="28">
        <v>39373</v>
      </c>
      <c r="B790" s="26" t="s">
        <v>3774</v>
      </c>
      <c r="C790" s="26" t="s">
        <v>9</v>
      </c>
      <c r="D790" s="26" t="s">
        <v>20</v>
      </c>
      <c r="E790" s="26" t="s">
        <v>20</v>
      </c>
      <c r="F790" s="26">
        <v>5336377</v>
      </c>
      <c r="G790" t="b">
        <f t="shared" si="38"/>
        <v>0</v>
      </c>
      <c r="H790" t="b">
        <f t="shared" si="39"/>
        <v>0</v>
      </c>
      <c r="I790" s="29">
        <f t="shared" si="40"/>
        <v>39373</v>
      </c>
    </row>
    <row r="791" spans="1:9" ht="25.5" x14ac:dyDescent="0.2">
      <c r="A791" s="28">
        <v>39373</v>
      </c>
      <c r="B791" s="26" t="s">
        <v>3773</v>
      </c>
      <c r="C791" s="26" t="s">
        <v>9</v>
      </c>
      <c r="D791" s="26" t="s">
        <v>20</v>
      </c>
      <c r="E791" s="26" t="s">
        <v>20</v>
      </c>
      <c r="F791" s="26">
        <v>7284511</v>
      </c>
      <c r="G791" t="b">
        <f t="shared" si="38"/>
        <v>0</v>
      </c>
      <c r="H791" t="b">
        <f t="shared" si="39"/>
        <v>0</v>
      </c>
      <c r="I791" s="29">
        <f t="shared" si="40"/>
        <v>39373</v>
      </c>
    </row>
    <row r="792" spans="1:9" x14ac:dyDescent="0.2">
      <c r="A792" s="28">
        <v>39373</v>
      </c>
      <c r="B792" s="26" t="s">
        <v>3772</v>
      </c>
      <c r="C792" s="26" t="s">
        <v>9</v>
      </c>
      <c r="D792" s="26" t="s">
        <v>20</v>
      </c>
      <c r="E792" s="26" t="s">
        <v>20</v>
      </c>
      <c r="F792" s="26">
        <v>14800000</v>
      </c>
      <c r="G792" t="b">
        <f t="shared" si="38"/>
        <v>0</v>
      </c>
      <c r="H792" t="b">
        <f t="shared" si="39"/>
        <v>0</v>
      </c>
      <c r="I792" s="29">
        <f t="shared" si="40"/>
        <v>39373</v>
      </c>
    </row>
    <row r="793" spans="1:9" ht="12.75" customHeight="1" x14ac:dyDescent="0.2">
      <c r="A793" s="28">
        <v>39373</v>
      </c>
      <c r="B793" s="26" t="s">
        <v>3771</v>
      </c>
      <c r="C793" s="26" t="s">
        <v>9</v>
      </c>
      <c r="D793" s="26" t="s">
        <v>20</v>
      </c>
      <c r="E793" s="26" t="s">
        <v>20</v>
      </c>
      <c r="F793" s="26">
        <v>2213095</v>
      </c>
      <c r="G793" t="b">
        <f t="shared" si="38"/>
        <v>0</v>
      </c>
      <c r="H793" t="b">
        <f t="shared" si="39"/>
        <v>0</v>
      </c>
      <c r="I793" s="29">
        <f t="shared" si="40"/>
        <v>39373</v>
      </c>
    </row>
    <row r="794" spans="1:9" ht="12.75" customHeight="1" x14ac:dyDescent="0.2">
      <c r="A794" s="28">
        <v>39374</v>
      </c>
      <c r="B794" s="26" t="s">
        <v>3770</v>
      </c>
      <c r="C794" s="26" t="s">
        <v>384</v>
      </c>
      <c r="D794" s="26" t="s">
        <v>20</v>
      </c>
      <c r="E794" s="26">
        <v>13349927</v>
      </c>
      <c r="F794" s="26">
        <v>13539154</v>
      </c>
      <c r="G794" t="b">
        <f t="shared" si="38"/>
        <v>0</v>
      </c>
      <c r="H794" t="b">
        <f t="shared" si="39"/>
        <v>0</v>
      </c>
      <c r="I794" s="29">
        <f t="shared" si="40"/>
        <v>39374</v>
      </c>
    </row>
    <row r="795" spans="1:9" ht="12.75" customHeight="1" x14ac:dyDescent="0.2">
      <c r="A795" s="28">
        <v>39374</v>
      </c>
      <c r="B795" s="26" t="s">
        <v>3769</v>
      </c>
      <c r="C795" s="26" t="s">
        <v>2460</v>
      </c>
      <c r="D795" s="26">
        <v>27500000</v>
      </c>
      <c r="E795" s="26">
        <v>9736045</v>
      </c>
      <c r="F795" s="26">
        <v>20437142</v>
      </c>
      <c r="G795" t="b">
        <f t="shared" si="38"/>
        <v>0</v>
      </c>
      <c r="H795" t="b">
        <f t="shared" si="39"/>
        <v>0</v>
      </c>
      <c r="I795" s="29">
        <f t="shared" si="40"/>
        <v>39374</v>
      </c>
    </row>
    <row r="796" spans="1:9" ht="12.75" customHeight="1" x14ac:dyDescent="0.2">
      <c r="A796" s="28">
        <v>39374</v>
      </c>
      <c r="B796" s="26" t="s">
        <v>3768</v>
      </c>
      <c r="C796" s="26" t="s">
        <v>9</v>
      </c>
      <c r="D796" s="26" t="s">
        <v>20</v>
      </c>
      <c r="E796" s="26">
        <v>49939</v>
      </c>
      <c r="F796" s="26" t="s">
        <v>20</v>
      </c>
      <c r="G796" t="b">
        <f t="shared" si="38"/>
        <v>0</v>
      </c>
      <c r="H796" t="b">
        <f t="shared" si="39"/>
        <v>0</v>
      </c>
      <c r="I796" s="29">
        <f t="shared" si="40"/>
        <v>39374</v>
      </c>
    </row>
    <row r="797" spans="1:9" ht="12.75" customHeight="1" x14ac:dyDescent="0.2">
      <c r="A797" s="28">
        <v>39374</v>
      </c>
      <c r="B797" s="26" t="s">
        <v>3767</v>
      </c>
      <c r="C797" s="26" t="s">
        <v>698</v>
      </c>
      <c r="D797" s="26" t="s">
        <v>20</v>
      </c>
      <c r="E797" s="26">
        <v>101440</v>
      </c>
      <c r="F797" s="26" t="s">
        <v>20</v>
      </c>
      <c r="G797" t="b">
        <f t="shared" si="38"/>
        <v>0</v>
      </c>
      <c r="H797" t="b">
        <f t="shared" si="39"/>
        <v>0</v>
      </c>
      <c r="I797" s="29">
        <f t="shared" si="40"/>
        <v>39374</v>
      </c>
    </row>
    <row r="798" spans="1:9" ht="38.25" x14ac:dyDescent="0.2">
      <c r="A798" s="28">
        <v>39374</v>
      </c>
      <c r="B798" s="26" t="s">
        <v>3766</v>
      </c>
      <c r="C798" s="26" t="s">
        <v>150</v>
      </c>
      <c r="D798" s="26" t="s">
        <v>20</v>
      </c>
      <c r="E798" s="26">
        <v>817935</v>
      </c>
      <c r="F798" s="26" t="s">
        <v>20</v>
      </c>
      <c r="G798" t="b">
        <f t="shared" si="38"/>
        <v>0</v>
      </c>
      <c r="H798" t="b">
        <f t="shared" si="39"/>
        <v>0</v>
      </c>
      <c r="I798" s="29">
        <f t="shared" si="40"/>
        <v>39374</v>
      </c>
    </row>
    <row r="799" spans="1:9" ht="12.75" customHeight="1" x14ac:dyDescent="0.2">
      <c r="A799" s="28">
        <v>39374</v>
      </c>
      <c r="B799" s="26" t="s">
        <v>3765</v>
      </c>
      <c r="C799" s="26" t="s">
        <v>3466</v>
      </c>
      <c r="D799" s="26" t="s">
        <v>20</v>
      </c>
      <c r="E799" s="26">
        <v>728</v>
      </c>
      <c r="F799" s="26" t="s">
        <v>20</v>
      </c>
      <c r="G799" t="b">
        <f t="shared" si="38"/>
        <v>0</v>
      </c>
      <c r="H799" t="b">
        <f t="shared" si="39"/>
        <v>0</v>
      </c>
      <c r="I799" s="29">
        <f t="shared" si="40"/>
        <v>39374</v>
      </c>
    </row>
    <row r="800" spans="1:9" ht="25.5" x14ac:dyDescent="0.2">
      <c r="A800" s="28">
        <v>39374</v>
      </c>
      <c r="B800" s="26" t="s">
        <v>3764</v>
      </c>
      <c r="C800" s="26" t="s">
        <v>9</v>
      </c>
      <c r="D800" s="26" t="s">
        <v>20</v>
      </c>
      <c r="E800" s="26">
        <v>952820</v>
      </c>
      <c r="F800" s="26" t="s">
        <v>20</v>
      </c>
      <c r="G800" t="b">
        <f t="shared" si="38"/>
        <v>0</v>
      </c>
      <c r="H800" t="b">
        <f t="shared" si="39"/>
        <v>0</v>
      </c>
      <c r="I800" s="29">
        <f t="shared" si="40"/>
        <v>39374</v>
      </c>
    </row>
    <row r="801" spans="1:9" ht="25.5" x14ac:dyDescent="0.2">
      <c r="A801" s="28">
        <v>39374</v>
      </c>
      <c r="B801" s="26" t="s">
        <v>3763</v>
      </c>
      <c r="C801" s="26" t="s">
        <v>2168</v>
      </c>
      <c r="D801" s="26">
        <v>19000000</v>
      </c>
      <c r="E801" s="26">
        <v>20300218</v>
      </c>
      <c r="F801" s="26">
        <v>34619699</v>
      </c>
      <c r="G801" t="b">
        <f t="shared" si="38"/>
        <v>0</v>
      </c>
      <c r="H801" t="b">
        <f t="shared" si="39"/>
        <v>0</v>
      </c>
      <c r="I801" s="29">
        <f t="shared" si="40"/>
        <v>39374</v>
      </c>
    </row>
    <row r="802" spans="1:9" ht="38.25" x14ac:dyDescent="0.2">
      <c r="A802" s="28">
        <v>39374</v>
      </c>
      <c r="B802" s="26" t="s">
        <v>3762</v>
      </c>
      <c r="C802" s="26" t="s">
        <v>9</v>
      </c>
      <c r="D802" s="26" t="s">
        <v>20</v>
      </c>
      <c r="E802" s="26">
        <v>6594</v>
      </c>
      <c r="F802" s="26" t="s">
        <v>20</v>
      </c>
      <c r="G802" t="b">
        <f t="shared" si="38"/>
        <v>0</v>
      </c>
      <c r="H802" t="b">
        <f t="shared" si="39"/>
        <v>0</v>
      </c>
      <c r="I802" s="29">
        <f t="shared" si="40"/>
        <v>39374</v>
      </c>
    </row>
    <row r="803" spans="1:9" ht="25.5" x14ac:dyDescent="0.2">
      <c r="A803" s="28">
        <v>39374</v>
      </c>
      <c r="B803" s="26" t="s">
        <v>3761</v>
      </c>
      <c r="C803" s="26" t="s">
        <v>3240</v>
      </c>
      <c r="D803" s="26" t="s">
        <v>20</v>
      </c>
      <c r="E803" s="26">
        <v>3287315</v>
      </c>
      <c r="F803" s="26">
        <v>8120148</v>
      </c>
      <c r="G803" t="b">
        <f t="shared" si="38"/>
        <v>0</v>
      </c>
      <c r="H803" t="b">
        <f t="shared" si="39"/>
        <v>0</v>
      </c>
      <c r="I803" s="29">
        <f t="shared" si="40"/>
        <v>39374</v>
      </c>
    </row>
    <row r="804" spans="1:9" ht="25.5" x14ac:dyDescent="0.2">
      <c r="A804" s="28">
        <v>39374</v>
      </c>
      <c r="B804" s="26" t="s">
        <v>3760</v>
      </c>
      <c r="C804" s="26" t="s">
        <v>9</v>
      </c>
      <c r="D804" s="26" t="s">
        <v>20</v>
      </c>
      <c r="E804" s="26">
        <v>8939</v>
      </c>
      <c r="F804" s="26" t="s">
        <v>20</v>
      </c>
      <c r="G804" t="b">
        <f t="shared" si="38"/>
        <v>0</v>
      </c>
      <c r="H804" t="b">
        <f t="shared" si="39"/>
        <v>0</v>
      </c>
      <c r="I804" s="29">
        <f t="shared" si="40"/>
        <v>39374</v>
      </c>
    </row>
    <row r="805" spans="1:9" ht="12.75" customHeight="1" x14ac:dyDescent="0.2">
      <c r="A805" s="28">
        <v>39374</v>
      </c>
      <c r="B805" s="26" t="s">
        <v>3759</v>
      </c>
      <c r="C805" s="26" t="s">
        <v>9</v>
      </c>
      <c r="D805" s="26" t="s">
        <v>20</v>
      </c>
      <c r="E805" s="26" t="s">
        <v>20</v>
      </c>
      <c r="F805" s="26" t="s">
        <v>20</v>
      </c>
      <c r="G805" t="b">
        <f t="shared" si="38"/>
        <v>0</v>
      </c>
      <c r="H805" t="b">
        <f t="shared" si="39"/>
        <v>0</v>
      </c>
      <c r="I805" s="29">
        <f t="shared" si="40"/>
        <v>39374</v>
      </c>
    </row>
    <row r="806" spans="1:9" ht="25.5" x14ac:dyDescent="0.2">
      <c r="A806" s="28">
        <v>39374</v>
      </c>
      <c r="B806" s="26" t="s">
        <v>3758</v>
      </c>
      <c r="C806" s="26" t="s">
        <v>2990</v>
      </c>
      <c r="D806" s="26" t="s">
        <v>20</v>
      </c>
      <c r="E806" s="26" t="s">
        <v>20</v>
      </c>
      <c r="F806" s="26" t="s">
        <v>20</v>
      </c>
      <c r="G806" t="b">
        <f t="shared" si="38"/>
        <v>0</v>
      </c>
      <c r="H806" t="b">
        <f t="shared" si="39"/>
        <v>0</v>
      </c>
      <c r="I806" s="29">
        <f t="shared" si="40"/>
        <v>39374</v>
      </c>
    </row>
    <row r="807" spans="1:9" ht="12.75" customHeight="1" x14ac:dyDescent="0.2">
      <c r="A807" s="28">
        <v>39374</v>
      </c>
      <c r="B807" s="26" t="s">
        <v>3757</v>
      </c>
      <c r="C807" s="26" t="s">
        <v>9</v>
      </c>
      <c r="D807" s="26" t="s">
        <v>20</v>
      </c>
      <c r="E807" s="26" t="s">
        <v>20</v>
      </c>
      <c r="F807" s="26">
        <v>954639</v>
      </c>
      <c r="G807" t="b">
        <f t="shared" si="38"/>
        <v>0</v>
      </c>
      <c r="H807" t="b">
        <f t="shared" si="39"/>
        <v>0</v>
      </c>
      <c r="I807" s="29">
        <f t="shared" si="40"/>
        <v>39374</v>
      </c>
    </row>
    <row r="808" spans="1:9" ht="12.75" customHeight="1" x14ac:dyDescent="0.2">
      <c r="A808" s="28">
        <v>39374</v>
      </c>
      <c r="B808" s="26" t="s">
        <v>3756</v>
      </c>
      <c r="C808" s="26" t="s">
        <v>2160</v>
      </c>
      <c r="D808" s="26">
        <v>30000000</v>
      </c>
      <c r="E808" s="26">
        <v>39568996</v>
      </c>
      <c r="F808" s="26">
        <v>75066323</v>
      </c>
      <c r="G808" t="b">
        <f t="shared" si="38"/>
        <v>0</v>
      </c>
      <c r="H808" t="b">
        <f t="shared" si="39"/>
        <v>0</v>
      </c>
      <c r="I808" s="29">
        <f t="shared" si="40"/>
        <v>39374</v>
      </c>
    </row>
    <row r="809" spans="1:9" ht="25.5" x14ac:dyDescent="0.2">
      <c r="A809" s="28">
        <v>39374</v>
      </c>
      <c r="B809" s="26" t="s">
        <v>3755</v>
      </c>
      <c r="C809" s="26" t="s">
        <v>3517</v>
      </c>
      <c r="D809" s="26" t="s">
        <v>20</v>
      </c>
      <c r="E809" s="26">
        <v>37665</v>
      </c>
      <c r="F809" s="26" t="s">
        <v>20</v>
      </c>
      <c r="G809" t="b">
        <f t="shared" si="38"/>
        <v>0</v>
      </c>
      <c r="H809" t="b">
        <f t="shared" si="39"/>
        <v>0</v>
      </c>
      <c r="I809" s="29">
        <f t="shared" si="40"/>
        <v>39374</v>
      </c>
    </row>
    <row r="810" spans="1:9" ht="25.5" x14ac:dyDescent="0.2">
      <c r="A810" s="28">
        <v>39374</v>
      </c>
      <c r="B810" s="26" t="s">
        <v>3754</v>
      </c>
      <c r="C810" s="26" t="s">
        <v>9</v>
      </c>
      <c r="D810" s="26" t="s">
        <v>20</v>
      </c>
      <c r="E810" s="26">
        <v>20469</v>
      </c>
      <c r="F810" s="26" t="s">
        <v>20</v>
      </c>
      <c r="G810" t="b">
        <f t="shared" si="38"/>
        <v>0</v>
      </c>
      <c r="H810" t="b">
        <f t="shared" si="39"/>
        <v>0</v>
      </c>
      <c r="I810" s="29">
        <f t="shared" si="40"/>
        <v>39374</v>
      </c>
    </row>
    <row r="811" spans="1:9" x14ac:dyDescent="0.2">
      <c r="A811" s="28">
        <v>39374</v>
      </c>
      <c r="B811" s="26" t="s">
        <v>3753</v>
      </c>
      <c r="C811" s="26" t="s">
        <v>3533</v>
      </c>
      <c r="D811" s="26">
        <v>600000</v>
      </c>
      <c r="E811" s="26">
        <v>23616</v>
      </c>
      <c r="F811" s="26" t="s">
        <v>20</v>
      </c>
      <c r="G811" t="b">
        <f t="shared" si="38"/>
        <v>0</v>
      </c>
      <c r="H811" t="b">
        <f t="shared" si="39"/>
        <v>0</v>
      </c>
      <c r="I811" s="29">
        <f t="shared" si="40"/>
        <v>39374</v>
      </c>
    </row>
    <row r="812" spans="1:9" ht="12.75" customHeight="1" x14ac:dyDescent="0.2">
      <c r="A812" s="28">
        <v>39374</v>
      </c>
      <c r="B812" s="26" t="s">
        <v>3752</v>
      </c>
      <c r="C812" s="26" t="s">
        <v>9</v>
      </c>
      <c r="D812" s="26" t="s">
        <v>20</v>
      </c>
      <c r="E812" s="26">
        <v>40289</v>
      </c>
      <c r="F812" s="26" t="s">
        <v>20</v>
      </c>
      <c r="G812" t="b">
        <f t="shared" si="38"/>
        <v>0</v>
      </c>
      <c r="H812" t="b">
        <f t="shared" si="39"/>
        <v>0</v>
      </c>
      <c r="I812" s="29">
        <f t="shared" si="40"/>
        <v>39374</v>
      </c>
    </row>
    <row r="813" spans="1:9" ht="12.75" customHeight="1" x14ac:dyDescent="0.2">
      <c r="A813" s="28">
        <v>39374</v>
      </c>
      <c r="B813" s="26" t="s">
        <v>3751</v>
      </c>
      <c r="C813" s="26" t="s">
        <v>9</v>
      </c>
      <c r="D813" s="26" t="s">
        <v>20</v>
      </c>
      <c r="E813" s="26" t="s">
        <v>20</v>
      </c>
      <c r="F813" s="26">
        <v>3300702</v>
      </c>
      <c r="G813" t="b">
        <f t="shared" si="38"/>
        <v>0</v>
      </c>
      <c r="H813" t="b">
        <f t="shared" si="39"/>
        <v>0</v>
      </c>
      <c r="I813" s="29">
        <f t="shared" si="40"/>
        <v>39374</v>
      </c>
    </row>
    <row r="814" spans="1:9" ht="25.5" x14ac:dyDescent="0.2">
      <c r="A814" s="28">
        <v>39374</v>
      </c>
      <c r="B814" s="26" t="s">
        <v>3750</v>
      </c>
      <c r="C814" s="26" t="s">
        <v>9</v>
      </c>
      <c r="D814" s="26" t="s">
        <v>20</v>
      </c>
      <c r="E814" s="26">
        <v>446165</v>
      </c>
      <c r="F814" s="26" t="s">
        <v>20</v>
      </c>
      <c r="G814" t="b">
        <f t="shared" si="38"/>
        <v>0</v>
      </c>
      <c r="H814" t="b">
        <f t="shared" si="39"/>
        <v>0</v>
      </c>
      <c r="I814" s="29">
        <f t="shared" si="40"/>
        <v>39374</v>
      </c>
    </row>
    <row r="815" spans="1:9" ht="25.5" x14ac:dyDescent="0.2">
      <c r="A815" s="28">
        <v>39375</v>
      </c>
      <c r="B815" s="26" t="s">
        <v>3749</v>
      </c>
      <c r="C815" s="26" t="s">
        <v>9</v>
      </c>
      <c r="D815" s="26" t="s">
        <v>20</v>
      </c>
      <c r="E815" s="26" t="s">
        <v>20</v>
      </c>
      <c r="F815" s="26" t="s">
        <v>20</v>
      </c>
      <c r="G815" t="b">
        <f t="shared" si="38"/>
        <v>0</v>
      </c>
      <c r="H815" t="b">
        <f t="shared" si="39"/>
        <v>0</v>
      </c>
      <c r="I815" s="29">
        <f t="shared" si="40"/>
        <v>39375</v>
      </c>
    </row>
    <row r="816" spans="1:9" ht="25.5" x14ac:dyDescent="0.2">
      <c r="A816" s="28">
        <v>39379</v>
      </c>
      <c r="B816" s="26" t="s">
        <v>3748</v>
      </c>
      <c r="C816" s="26" t="s">
        <v>9</v>
      </c>
      <c r="D816" s="26" t="s">
        <v>20</v>
      </c>
      <c r="E816" s="26" t="s">
        <v>20</v>
      </c>
      <c r="F816" s="26">
        <v>12130156</v>
      </c>
      <c r="G816" t="b">
        <f t="shared" si="38"/>
        <v>0</v>
      </c>
      <c r="H816" t="b">
        <f t="shared" si="39"/>
        <v>0</v>
      </c>
      <c r="I816" s="29">
        <f t="shared" si="40"/>
        <v>39379</v>
      </c>
    </row>
    <row r="817" spans="1:9" ht="25.5" x14ac:dyDescent="0.2">
      <c r="A817" s="28">
        <v>39379</v>
      </c>
      <c r="B817" s="26" t="s">
        <v>3747</v>
      </c>
      <c r="C817" s="26" t="s">
        <v>9</v>
      </c>
      <c r="D817" s="26" t="s">
        <v>20</v>
      </c>
      <c r="E817" s="26">
        <v>67500</v>
      </c>
      <c r="F817" s="26" t="s">
        <v>20</v>
      </c>
      <c r="G817" t="b">
        <f t="shared" si="38"/>
        <v>0</v>
      </c>
      <c r="H817" t="b">
        <f t="shared" si="39"/>
        <v>0</v>
      </c>
      <c r="I817" s="29">
        <f t="shared" si="40"/>
        <v>39379</v>
      </c>
    </row>
    <row r="818" spans="1:9" ht="25.5" x14ac:dyDescent="0.2">
      <c r="A818" s="28">
        <v>39379</v>
      </c>
      <c r="B818" s="26" t="s">
        <v>3746</v>
      </c>
      <c r="C818" s="26" t="s">
        <v>9</v>
      </c>
      <c r="D818" s="26" t="s">
        <v>20</v>
      </c>
      <c r="E818" s="26" t="s">
        <v>20</v>
      </c>
      <c r="F818" s="26">
        <v>1735359</v>
      </c>
      <c r="G818" t="b">
        <f t="shared" si="38"/>
        <v>0</v>
      </c>
      <c r="H818" t="b">
        <f t="shared" si="39"/>
        <v>0</v>
      </c>
      <c r="I818" s="29">
        <f t="shared" si="40"/>
        <v>39379</v>
      </c>
    </row>
    <row r="819" spans="1:9" ht="12.75" customHeight="1" x14ac:dyDescent="0.2">
      <c r="A819" s="28">
        <v>39380</v>
      </c>
      <c r="B819" s="26" t="s">
        <v>3745</v>
      </c>
      <c r="C819" s="26" t="s">
        <v>9</v>
      </c>
      <c r="D819" s="26" t="s">
        <v>20</v>
      </c>
      <c r="E819" s="26" t="s">
        <v>20</v>
      </c>
      <c r="F819" s="26">
        <v>1972914</v>
      </c>
      <c r="G819" t="b">
        <f t="shared" si="38"/>
        <v>0</v>
      </c>
      <c r="H819" t="b">
        <f t="shared" si="39"/>
        <v>0</v>
      </c>
      <c r="I819" s="29">
        <f t="shared" si="40"/>
        <v>39380</v>
      </c>
    </row>
    <row r="820" spans="1:9" ht="25.5" x14ac:dyDescent="0.2">
      <c r="A820" s="28">
        <v>39380</v>
      </c>
      <c r="B820" s="26" t="s">
        <v>3744</v>
      </c>
      <c r="C820" s="26" t="s">
        <v>9</v>
      </c>
      <c r="D820" s="26" t="s">
        <v>20</v>
      </c>
      <c r="E820" s="26" t="s">
        <v>20</v>
      </c>
      <c r="F820" s="26">
        <v>23828403</v>
      </c>
      <c r="G820" t="b">
        <f t="shared" ref="G820:G881" si="41">ISBLANK(A820)</f>
        <v>0</v>
      </c>
      <c r="H820" t="b">
        <f t="shared" ref="H820:H881" si="42">ISTEXT(A820)</f>
        <v>0</v>
      </c>
      <c r="I820" s="29">
        <f t="shared" si="40"/>
        <v>39380</v>
      </c>
    </row>
    <row r="821" spans="1:9" ht="25.5" x14ac:dyDescent="0.2">
      <c r="A821" s="28">
        <v>39381</v>
      </c>
      <c r="B821" s="26" t="s">
        <v>3743</v>
      </c>
      <c r="C821" s="26" t="s">
        <v>9</v>
      </c>
      <c r="D821" s="26" t="s">
        <v>20</v>
      </c>
      <c r="E821" s="26">
        <v>840987</v>
      </c>
      <c r="F821" s="26" t="s">
        <v>20</v>
      </c>
      <c r="G821" t="b">
        <f t="shared" si="41"/>
        <v>0</v>
      </c>
      <c r="H821" t="b">
        <f t="shared" si="42"/>
        <v>0</v>
      </c>
      <c r="I821" s="29">
        <f t="shared" si="40"/>
        <v>39381</v>
      </c>
    </row>
    <row r="822" spans="1:9" ht="38.25" x14ac:dyDescent="0.2">
      <c r="A822" s="28">
        <v>39381</v>
      </c>
      <c r="B822" s="26" t="s">
        <v>3742</v>
      </c>
      <c r="C822" s="26" t="s">
        <v>2837</v>
      </c>
      <c r="D822" s="26" t="s">
        <v>20</v>
      </c>
      <c r="E822" s="26">
        <v>22136</v>
      </c>
      <c r="F822" s="26" t="s">
        <v>20</v>
      </c>
      <c r="G822" t="b">
        <f t="shared" si="41"/>
        <v>0</v>
      </c>
      <c r="H822" t="b">
        <f t="shared" si="42"/>
        <v>0</v>
      </c>
      <c r="I822" s="29">
        <f t="shared" si="40"/>
        <v>39381</v>
      </c>
    </row>
    <row r="823" spans="1:9" ht="12.75" customHeight="1" x14ac:dyDescent="0.2">
      <c r="A823" s="28">
        <v>39381</v>
      </c>
      <c r="B823" s="26" t="s">
        <v>3741</v>
      </c>
      <c r="C823" s="26" t="s">
        <v>2285</v>
      </c>
      <c r="D823" s="26" t="s">
        <v>20</v>
      </c>
      <c r="E823" s="26">
        <v>6273</v>
      </c>
      <c r="F823" s="26" t="s">
        <v>20</v>
      </c>
      <c r="G823" t="b">
        <f t="shared" si="41"/>
        <v>0</v>
      </c>
      <c r="H823" t="b">
        <f t="shared" si="42"/>
        <v>0</v>
      </c>
      <c r="I823" s="29">
        <f t="shared" si="40"/>
        <v>39381</v>
      </c>
    </row>
    <row r="824" spans="1:9" ht="12.75" customHeight="1" x14ac:dyDescent="0.2">
      <c r="A824" s="28">
        <v>39381</v>
      </c>
      <c r="B824" s="26" t="s">
        <v>3740</v>
      </c>
      <c r="C824" s="26" t="s">
        <v>9</v>
      </c>
      <c r="D824" s="26">
        <v>3300000</v>
      </c>
      <c r="E824" s="26">
        <v>8093373</v>
      </c>
      <c r="F824" s="26">
        <v>9220041</v>
      </c>
      <c r="G824" t="b">
        <f t="shared" si="41"/>
        <v>0</v>
      </c>
      <c r="H824" t="b">
        <f t="shared" si="42"/>
        <v>0</v>
      </c>
      <c r="I824" s="29">
        <f t="shared" si="40"/>
        <v>39381</v>
      </c>
    </row>
    <row r="825" spans="1:9" ht="12.75" customHeight="1" x14ac:dyDescent="0.2">
      <c r="A825" s="28">
        <v>39381</v>
      </c>
      <c r="B825" s="26" t="s">
        <v>3739</v>
      </c>
      <c r="C825" s="26" t="s">
        <v>3419</v>
      </c>
      <c r="D825" s="26">
        <v>10000000</v>
      </c>
      <c r="E825" s="26">
        <v>63300095</v>
      </c>
      <c r="F825" s="26">
        <v>134528909</v>
      </c>
      <c r="G825" t="b">
        <f t="shared" si="41"/>
        <v>0</v>
      </c>
      <c r="H825" t="b">
        <f t="shared" si="42"/>
        <v>0</v>
      </c>
      <c r="I825" s="29">
        <f t="shared" si="40"/>
        <v>39381</v>
      </c>
    </row>
    <row r="826" spans="1:9" ht="25.5" x14ac:dyDescent="0.2">
      <c r="A826" s="28">
        <v>39381</v>
      </c>
      <c r="B826" s="26" t="s">
        <v>3738</v>
      </c>
      <c r="C826" s="26" t="s">
        <v>612</v>
      </c>
      <c r="D826" s="26" t="s">
        <v>20</v>
      </c>
      <c r="E826" s="26">
        <v>108807</v>
      </c>
      <c r="F826" s="26" t="s">
        <v>20</v>
      </c>
      <c r="G826" t="b">
        <f t="shared" si="41"/>
        <v>0</v>
      </c>
      <c r="H826" t="b">
        <f t="shared" si="42"/>
        <v>0</v>
      </c>
      <c r="I826" s="29">
        <f t="shared" si="40"/>
        <v>39381</v>
      </c>
    </row>
    <row r="827" spans="1:9" ht="12.75" customHeight="1" x14ac:dyDescent="0.2">
      <c r="A827" s="28">
        <v>39381</v>
      </c>
      <c r="B827" s="26" t="s">
        <v>3737</v>
      </c>
      <c r="C827" s="26" t="s">
        <v>746</v>
      </c>
      <c r="D827" s="26" t="s">
        <v>20</v>
      </c>
      <c r="E827" s="26">
        <v>103590</v>
      </c>
      <c r="F827" s="26" t="s">
        <v>20</v>
      </c>
      <c r="G827" t="b">
        <f t="shared" si="41"/>
        <v>0</v>
      </c>
      <c r="H827" t="b">
        <f t="shared" si="42"/>
        <v>0</v>
      </c>
      <c r="I827" s="29">
        <f t="shared" si="40"/>
        <v>39381</v>
      </c>
    </row>
    <row r="828" spans="1:9" ht="12.75" customHeight="1" x14ac:dyDescent="0.2">
      <c r="A828" s="28">
        <v>39381</v>
      </c>
      <c r="B828" s="26" t="s">
        <v>3736</v>
      </c>
      <c r="C828" s="26" t="s">
        <v>3534</v>
      </c>
      <c r="D828" s="26" t="s">
        <v>20</v>
      </c>
      <c r="E828" s="26" t="s">
        <v>20</v>
      </c>
      <c r="F828" s="26" t="s">
        <v>20</v>
      </c>
      <c r="G828" t="b">
        <f t="shared" si="41"/>
        <v>0</v>
      </c>
      <c r="H828" t="b">
        <f t="shared" si="42"/>
        <v>0</v>
      </c>
      <c r="I828" s="29">
        <f t="shared" si="40"/>
        <v>39381</v>
      </c>
    </row>
    <row r="829" spans="1:9" ht="12.75" customHeight="1" x14ac:dyDescent="0.2">
      <c r="A829" s="28">
        <v>39381</v>
      </c>
      <c r="B829" s="26" t="s">
        <v>3735</v>
      </c>
      <c r="C829" s="26" t="s">
        <v>2779</v>
      </c>
      <c r="D829" s="26" t="s">
        <v>20</v>
      </c>
      <c r="E829" s="26">
        <v>153205</v>
      </c>
      <c r="F829" s="26" t="s">
        <v>20</v>
      </c>
      <c r="G829" t="b">
        <f t="shared" si="41"/>
        <v>0</v>
      </c>
      <c r="H829" t="b">
        <f t="shared" si="42"/>
        <v>0</v>
      </c>
      <c r="I829" s="29">
        <f t="shared" si="40"/>
        <v>39381</v>
      </c>
    </row>
    <row r="830" spans="1:9" ht="12.75" customHeight="1" x14ac:dyDescent="0.2">
      <c r="A830" s="28">
        <v>39381</v>
      </c>
      <c r="B830" s="26" t="s">
        <v>3734</v>
      </c>
      <c r="C830" s="26" t="s">
        <v>2582</v>
      </c>
      <c r="D830" s="26" t="s">
        <v>20</v>
      </c>
      <c r="E830" s="26" t="s">
        <v>20</v>
      </c>
      <c r="F830" s="26">
        <v>6295513</v>
      </c>
      <c r="G830" t="b">
        <f t="shared" si="41"/>
        <v>0</v>
      </c>
      <c r="H830" t="b">
        <f t="shared" si="42"/>
        <v>0</v>
      </c>
      <c r="I830" s="29">
        <f t="shared" si="40"/>
        <v>39381</v>
      </c>
    </row>
    <row r="831" spans="1:9" ht="12.75" customHeight="1" x14ac:dyDescent="0.2">
      <c r="A831" s="28">
        <v>39381</v>
      </c>
      <c r="B831" s="26" t="s">
        <v>3733</v>
      </c>
      <c r="C831" s="26" t="s">
        <v>9</v>
      </c>
      <c r="D831" s="26" t="s">
        <v>20</v>
      </c>
      <c r="E831" s="26" t="s">
        <v>20</v>
      </c>
      <c r="F831" s="26" t="s">
        <v>20</v>
      </c>
      <c r="G831" t="b">
        <f t="shared" si="41"/>
        <v>0</v>
      </c>
      <c r="H831" t="b">
        <f t="shared" si="42"/>
        <v>0</v>
      </c>
      <c r="I831" s="29">
        <f t="shared" si="40"/>
        <v>39381</v>
      </c>
    </row>
    <row r="832" spans="1:9" ht="12.75" customHeight="1" x14ac:dyDescent="0.2">
      <c r="A832" s="28">
        <v>39381</v>
      </c>
      <c r="B832" s="26" t="s">
        <v>3732</v>
      </c>
      <c r="C832" s="26" t="s">
        <v>3390</v>
      </c>
      <c r="D832" s="26" t="s">
        <v>20</v>
      </c>
      <c r="E832" s="26">
        <v>47642963</v>
      </c>
      <c r="F832" s="26">
        <v>65669001</v>
      </c>
      <c r="G832" t="b">
        <f t="shared" si="41"/>
        <v>0</v>
      </c>
      <c r="H832" t="b">
        <f t="shared" si="42"/>
        <v>0</v>
      </c>
      <c r="I832" s="29">
        <f t="shared" si="40"/>
        <v>39381</v>
      </c>
    </row>
    <row r="833" spans="1:9" ht="38.25" x14ac:dyDescent="0.2">
      <c r="A833" s="28">
        <v>39381</v>
      </c>
      <c r="B833" s="26" t="s">
        <v>3731</v>
      </c>
      <c r="C833" s="26" t="s">
        <v>3233</v>
      </c>
      <c r="D833" s="26" t="s">
        <v>20</v>
      </c>
      <c r="E833" s="26">
        <v>7085511</v>
      </c>
      <c r="F833" s="26">
        <v>24909088</v>
      </c>
      <c r="G833" t="b">
        <f t="shared" si="41"/>
        <v>0</v>
      </c>
      <c r="H833" t="b">
        <f t="shared" si="42"/>
        <v>0</v>
      </c>
      <c r="I833" s="29">
        <f t="shared" si="40"/>
        <v>39381</v>
      </c>
    </row>
    <row r="834" spans="1:9" ht="12.75" customHeight="1" x14ac:dyDescent="0.2">
      <c r="A834" s="28">
        <v>39381</v>
      </c>
      <c r="B834" s="26" t="s">
        <v>3730</v>
      </c>
      <c r="C834" s="26" t="s">
        <v>9</v>
      </c>
      <c r="D834" s="26" t="s">
        <v>20</v>
      </c>
      <c r="E834" s="26" t="s">
        <v>20</v>
      </c>
      <c r="F834" s="26">
        <v>1410002</v>
      </c>
      <c r="G834" t="b">
        <f t="shared" si="41"/>
        <v>0</v>
      </c>
      <c r="H834" t="b">
        <f t="shared" si="42"/>
        <v>0</v>
      </c>
      <c r="I834" s="29">
        <f t="shared" si="40"/>
        <v>39381</v>
      </c>
    </row>
    <row r="835" spans="1:9" ht="25.5" x14ac:dyDescent="0.2">
      <c r="A835" s="28">
        <v>39381</v>
      </c>
      <c r="B835" s="26" t="s">
        <v>3729</v>
      </c>
      <c r="C835" s="26" t="s">
        <v>3466</v>
      </c>
      <c r="D835" s="26">
        <v>900000</v>
      </c>
      <c r="E835" s="26">
        <v>1196321</v>
      </c>
      <c r="F835" s="26">
        <v>4723542</v>
      </c>
      <c r="G835" t="b">
        <f t="shared" si="41"/>
        <v>0</v>
      </c>
      <c r="H835" t="b">
        <f t="shared" si="42"/>
        <v>0</v>
      </c>
      <c r="I835" s="29">
        <f t="shared" ref="I835:I898" si="43">DATE(2007,MONTH(A835), DAY(A835))</f>
        <v>39381</v>
      </c>
    </row>
    <row r="836" spans="1:9" ht="12.75" customHeight="1" x14ac:dyDescent="0.2">
      <c r="A836" s="28">
        <v>39381</v>
      </c>
      <c r="B836" s="26" t="s">
        <v>3728</v>
      </c>
      <c r="C836" s="26" t="s">
        <v>1121</v>
      </c>
      <c r="D836" s="26" t="s">
        <v>20</v>
      </c>
      <c r="E836" s="26">
        <v>6900</v>
      </c>
      <c r="F836" s="26" t="s">
        <v>20</v>
      </c>
      <c r="G836" t="b">
        <f t="shared" si="41"/>
        <v>0</v>
      </c>
      <c r="H836" t="b">
        <f t="shared" si="42"/>
        <v>0</v>
      </c>
      <c r="I836" s="29">
        <f t="shared" si="43"/>
        <v>39381</v>
      </c>
    </row>
    <row r="837" spans="1:9" ht="12.75" customHeight="1" x14ac:dyDescent="0.2">
      <c r="A837" s="28">
        <v>39382</v>
      </c>
      <c r="B837" s="26" t="s">
        <v>3727</v>
      </c>
      <c r="C837" s="26" t="s">
        <v>9</v>
      </c>
      <c r="D837" s="26" t="s">
        <v>20</v>
      </c>
      <c r="E837" s="26" t="s">
        <v>20</v>
      </c>
      <c r="F837" s="26">
        <v>16699857</v>
      </c>
      <c r="G837" t="b">
        <f t="shared" si="41"/>
        <v>0</v>
      </c>
      <c r="H837" t="b">
        <f t="shared" si="42"/>
        <v>0</v>
      </c>
      <c r="I837" s="29">
        <f t="shared" si="43"/>
        <v>39382</v>
      </c>
    </row>
    <row r="838" spans="1:9" ht="12.75" customHeight="1" x14ac:dyDescent="0.2">
      <c r="A838" s="28">
        <v>39386</v>
      </c>
      <c r="B838" s="26" t="s">
        <v>3726</v>
      </c>
      <c r="C838" s="26" t="s">
        <v>9</v>
      </c>
      <c r="D838" s="26" t="s">
        <v>20</v>
      </c>
      <c r="E838" s="26" t="s">
        <v>20</v>
      </c>
      <c r="F838" s="26">
        <v>1512047</v>
      </c>
      <c r="G838" t="b">
        <f t="shared" si="41"/>
        <v>0</v>
      </c>
      <c r="H838" t="b">
        <f t="shared" si="42"/>
        <v>0</v>
      </c>
      <c r="I838" s="29">
        <f t="shared" si="43"/>
        <v>39386</v>
      </c>
    </row>
    <row r="839" spans="1:9" ht="12.75" customHeight="1" x14ac:dyDescent="0.2">
      <c r="A839" s="28">
        <v>39387</v>
      </c>
      <c r="B839" s="26" t="s">
        <v>3725</v>
      </c>
      <c r="C839" s="26" t="s">
        <v>9</v>
      </c>
      <c r="D839" s="26" t="s">
        <v>20</v>
      </c>
      <c r="E839" s="26" t="s">
        <v>20</v>
      </c>
      <c r="F839" s="26">
        <v>19969689</v>
      </c>
      <c r="G839" t="b">
        <f t="shared" si="41"/>
        <v>0</v>
      </c>
      <c r="H839" t="b">
        <f t="shared" si="42"/>
        <v>0</v>
      </c>
      <c r="I839" s="29">
        <f t="shared" si="43"/>
        <v>39387</v>
      </c>
    </row>
    <row r="840" spans="1:9" ht="25.5" x14ac:dyDescent="0.2">
      <c r="A840" s="28">
        <v>39388</v>
      </c>
      <c r="B840" s="26" t="s">
        <v>3724</v>
      </c>
      <c r="C840" s="26" t="s">
        <v>9</v>
      </c>
      <c r="D840" s="26" t="s">
        <v>20</v>
      </c>
      <c r="E840" s="26" t="s">
        <v>20</v>
      </c>
      <c r="F840" s="26">
        <v>1479685</v>
      </c>
      <c r="G840" t="b">
        <f t="shared" si="41"/>
        <v>0</v>
      </c>
      <c r="H840" t="b">
        <f t="shared" si="42"/>
        <v>0</v>
      </c>
      <c r="I840" s="29">
        <f t="shared" si="43"/>
        <v>39388</v>
      </c>
    </row>
    <row r="841" spans="1:9" ht="25.5" x14ac:dyDescent="0.2">
      <c r="A841" s="28">
        <v>39388</v>
      </c>
      <c r="B841" s="26" t="s">
        <v>3723</v>
      </c>
      <c r="C841" s="26" t="s">
        <v>9</v>
      </c>
      <c r="D841" s="26" t="s">
        <v>20</v>
      </c>
      <c r="E841" s="26" t="s">
        <v>20</v>
      </c>
      <c r="F841" s="26">
        <v>33755260</v>
      </c>
      <c r="G841" t="b">
        <f t="shared" si="41"/>
        <v>0</v>
      </c>
      <c r="H841" t="b">
        <f t="shared" si="42"/>
        <v>0</v>
      </c>
      <c r="I841" s="29">
        <f t="shared" si="43"/>
        <v>39388</v>
      </c>
    </row>
    <row r="842" spans="1:9" ht="12.75" customHeight="1" x14ac:dyDescent="0.2">
      <c r="A842" s="28">
        <v>39388</v>
      </c>
      <c r="B842" s="26">
        <v>1612</v>
      </c>
      <c r="C842" s="26" t="s">
        <v>9</v>
      </c>
      <c r="D842" s="26" t="s">
        <v>20</v>
      </c>
      <c r="E842" s="26" t="s">
        <v>20</v>
      </c>
      <c r="F842" s="26">
        <v>5400624</v>
      </c>
      <c r="G842" t="b">
        <f t="shared" si="41"/>
        <v>0</v>
      </c>
      <c r="H842" t="b">
        <f t="shared" si="42"/>
        <v>0</v>
      </c>
      <c r="I842" s="29">
        <f t="shared" si="43"/>
        <v>39388</v>
      </c>
    </row>
    <row r="843" spans="1:9" ht="25.5" x14ac:dyDescent="0.2">
      <c r="A843" s="28">
        <v>39388</v>
      </c>
      <c r="B843" s="26" t="s">
        <v>3722</v>
      </c>
      <c r="C843" s="26" t="s">
        <v>9</v>
      </c>
      <c r="D843" s="26" t="s">
        <v>20</v>
      </c>
      <c r="E843" s="26" t="s">
        <v>20</v>
      </c>
      <c r="F843" s="26" t="s">
        <v>20</v>
      </c>
      <c r="G843" t="b">
        <f t="shared" si="41"/>
        <v>0</v>
      </c>
      <c r="H843" t="b">
        <f t="shared" si="42"/>
        <v>0</v>
      </c>
      <c r="I843" s="29">
        <f t="shared" si="43"/>
        <v>39388</v>
      </c>
    </row>
    <row r="844" spans="1:9" ht="25.5" x14ac:dyDescent="0.2">
      <c r="A844" s="28">
        <v>39388</v>
      </c>
      <c r="B844" s="26" t="s">
        <v>3721</v>
      </c>
      <c r="C844" s="26" t="s">
        <v>9</v>
      </c>
      <c r="D844" s="26" t="s">
        <v>20</v>
      </c>
      <c r="E844" s="26">
        <v>222555</v>
      </c>
      <c r="F844" s="26" t="s">
        <v>20</v>
      </c>
      <c r="G844" t="b">
        <f t="shared" si="41"/>
        <v>0</v>
      </c>
      <c r="H844" t="b">
        <f t="shared" si="42"/>
        <v>0</v>
      </c>
      <c r="I844" s="29">
        <f t="shared" si="43"/>
        <v>39388</v>
      </c>
    </row>
    <row r="845" spans="1:9" ht="12.75" customHeight="1" x14ac:dyDescent="0.2">
      <c r="A845" s="28">
        <v>39388</v>
      </c>
      <c r="B845" s="26" t="s">
        <v>3720</v>
      </c>
      <c r="C845" s="26" t="s">
        <v>2460</v>
      </c>
      <c r="D845" s="26">
        <v>27000000</v>
      </c>
      <c r="E845" s="26">
        <v>7500310</v>
      </c>
      <c r="F845" s="26">
        <v>9076823</v>
      </c>
      <c r="G845" t="b">
        <f t="shared" si="41"/>
        <v>0</v>
      </c>
      <c r="H845" t="b">
        <f t="shared" si="42"/>
        <v>0</v>
      </c>
      <c r="I845" s="29">
        <f t="shared" si="43"/>
        <v>39388</v>
      </c>
    </row>
    <row r="846" spans="1:9" ht="12.75" customHeight="1" x14ac:dyDescent="0.2">
      <c r="A846" s="28">
        <v>39388</v>
      </c>
      <c r="B846" s="26" t="s">
        <v>3719</v>
      </c>
      <c r="C846" s="26" t="s">
        <v>3240</v>
      </c>
      <c r="D846" s="26">
        <v>150000000</v>
      </c>
      <c r="E846" s="26">
        <v>126631277</v>
      </c>
      <c r="F846" s="26">
        <v>287594577</v>
      </c>
      <c r="G846" t="b">
        <f t="shared" si="41"/>
        <v>0</v>
      </c>
      <c r="H846" t="b">
        <f t="shared" si="42"/>
        <v>0</v>
      </c>
      <c r="I846" s="29">
        <f t="shared" si="43"/>
        <v>39388</v>
      </c>
    </row>
    <row r="847" spans="1:9" ht="12.75" customHeight="1" x14ac:dyDescent="0.2">
      <c r="A847" s="28">
        <v>39388</v>
      </c>
      <c r="B847" s="26" t="s">
        <v>3718</v>
      </c>
      <c r="C847" s="26" t="s">
        <v>9</v>
      </c>
      <c r="D847" s="26" t="s">
        <v>20</v>
      </c>
      <c r="E847" s="26" t="s">
        <v>20</v>
      </c>
      <c r="F847" s="26" t="s">
        <v>20</v>
      </c>
      <c r="G847" t="b">
        <f t="shared" si="41"/>
        <v>0</v>
      </c>
      <c r="H847" t="b">
        <f t="shared" si="42"/>
        <v>0</v>
      </c>
      <c r="I847" s="29">
        <f t="shared" si="43"/>
        <v>39388</v>
      </c>
    </row>
    <row r="848" spans="1:9" ht="38.25" x14ac:dyDescent="0.2">
      <c r="A848" s="28">
        <v>39388</v>
      </c>
      <c r="B848" s="26" t="s">
        <v>3717</v>
      </c>
      <c r="C848" s="26" t="s">
        <v>2160</v>
      </c>
      <c r="D848" s="26" t="s">
        <v>20</v>
      </c>
      <c r="E848" s="26">
        <v>248182</v>
      </c>
      <c r="F848" s="26">
        <v>1108560</v>
      </c>
      <c r="G848" t="b">
        <f t="shared" si="41"/>
        <v>0</v>
      </c>
      <c r="H848" t="b">
        <f t="shared" si="42"/>
        <v>0</v>
      </c>
      <c r="I848" s="29">
        <f t="shared" si="43"/>
        <v>39388</v>
      </c>
    </row>
    <row r="849" spans="1:9" ht="25.5" x14ac:dyDescent="0.2">
      <c r="A849" s="28">
        <v>39388</v>
      </c>
      <c r="B849" s="26" t="s">
        <v>3716</v>
      </c>
      <c r="C849" s="26" t="s">
        <v>3096</v>
      </c>
      <c r="D849" s="26">
        <v>100000000</v>
      </c>
      <c r="E849" s="26">
        <v>130164645</v>
      </c>
      <c r="F849" s="26">
        <v>265697825</v>
      </c>
      <c r="G849" t="b">
        <f t="shared" si="41"/>
        <v>0</v>
      </c>
      <c r="H849" t="b">
        <f t="shared" si="42"/>
        <v>0</v>
      </c>
      <c r="I849" s="29">
        <f t="shared" si="43"/>
        <v>39388</v>
      </c>
    </row>
    <row r="850" spans="1:9" ht="12.75" customHeight="1" x14ac:dyDescent="0.2">
      <c r="A850" s="28">
        <v>39388</v>
      </c>
      <c r="B850" s="26" t="s">
        <v>3715</v>
      </c>
      <c r="C850" s="26" t="s">
        <v>2051</v>
      </c>
      <c r="D850" s="26" t="s">
        <v>20</v>
      </c>
      <c r="E850" s="26">
        <v>11204</v>
      </c>
      <c r="F850" s="26" t="s">
        <v>20</v>
      </c>
      <c r="G850" t="b">
        <f t="shared" si="41"/>
        <v>0</v>
      </c>
      <c r="H850" t="b">
        <f t="shared" si="42"/>
        <v>0</v>
      </c>
      <c r="I850" s="29">
        <f t="shared" si="43"/>
        <v>39388</v>
      </c>
    </row>
    <row r="851" spans="1:9" ht="25.5" x14ac:dyDescent="0.2">
      <c r="A851" s="28">
        <v>39388</v>
      </c>
      <c r="B851" s="26" t="s">
        <v>3714</v>
      </c>
      <c r="C851" s="26" t="s">
        <v>9</v>
      </c>
      <c r="D851" s="26" t="s">
        <v>20</v>
      </c>
      <c r="E851" s="26">
        <v>33183</v>
      </c>
      <c r="F851" s="26" t="s">
        <v>20</v>
      </c>
      <c r="G851" t="b">
        <f t="shared" si="41"/>
        <v>0</v>
      </c>
      <c r="H851" t="b">
        <f t="shared" si="42"/>
        <v>0</v>
      </c>
      <c r="I851" s="29">
        <f t="shared" si="43"/>
        <v>39388</v>
      </c>
    </row>
    <row r="852" spans="1:9" x14ac:dyDescent="0.2">
      <c r="A852" s="28">
        <v>39388</v>
      </c>
      <c r="B852" s="26" t="s">
        <v>3713</v>
      </c>
      <c r="C852" s="26" t="s">
        <v>3517</v>
      </c>
      <c r="D852" s="26" t="s">
        <v>20</v>
      </c>
      <c r="E852" s="26">
        <v>60154</v>
      </c>
      <c r="F852" s="26" t="s">
        <v>20</v>
      </c>
      <c r="G852" t="b">
        <f t="shared" si="41"/>
        <v>0</v>
      </c>
      <c r="H852" t="b">
        <f t="shared" si="42"/>
        <v>0</v>
      </c>
      <c r="I852" s="29">
        <f t="shared" si="43"/>
        <v>39388</v>
      </c>
    </row>
    <row r="853" spans="1:9" ht="12.75" customHeight="1" x14ac:dyDescent="0.2">
      <c r="A853" s="28">
        <v>39388</v>
      </c>
      <c r="B853" s="26" t="s">
        <v>3712</v>
      </c>
      <c r="C853" s="26" t="s">
        <v>9</v>
      </c>
      <c r="D853" s="26" t="s">
        <v>20</v>
      </c>
      <c r="E853" s="26">
        <v>7075</v>
      </c>
      <c r="F853" s="26" t="s">
        <v>20</v>
      </c>
      <c r="G853" t="b">
        <f t="shared" si="41"/>
        <v>0</v>
      </c>
      <c r="H853" t="b">
        <f t="shared" si="42"/>
        <v>0</v>
      </c>
      <c r="I853" s="29">
        <f t="shared" si="43"/>
        <v>39388</v>
      </c>
    </row>
    <row r="854" spans="1:9" ht="38.25" x14ac:dyDescent="0.2">
      <c r="A854" s="28">
        <v>39388</v>
      </c>
      <c r="B854" s="26" t="s">
        <v>3711</v>
      </c>
      <c r="C854" s="26" t="s">
        <v>2837</v>
      </c>
      <c r="D854" s="26" t="s">
        <v>20</v>
      </c>
      <c r="E854" s="26">
        <v>109107</v>
      </c>
      <c r="F854" s="26" t="s">
        <v>20</v>
      </c>
      <c r="G854" t="b">
        <f t="shared" si="41"/>
        <v>0</v>
      </c>
      <c r="H854" t="b">
        <f t="shared" si="42"/>
        <v>0</v>
      </c>
      <c r="I854" s="29">
        <f t="shared" si="43"/>
        <v>39388</v>
      </c>
    </row>
    <row r="855" spans="1:9" ht="12.75" customHeight="1" x14ac:dyDescent="0.2">
      <c r="A855" s="28">
        <v>39388</v>
      </c>
      <c r="B855" s="26" t="s">
        <v>3710</v>
      </c>
      <c r="C855" s="26" t="s">
        <v>9</v>
      </c>
      <c r="D855" s="26" t="s">
        <v>20</v>
      </c>
      <c r="E855" s="26" t="s">
        <v>20</v>
      </c>
      <c r="F855" s="26">
        <v>31311079</v>
      </c>
      <c r="G855" t="b">
        <f t="shared" si="41"/>
        <v>0</v>
      </c>
      <c r="H855" t="b">
        <f t="shared" si="42"/>
        <v>0</v>
      </c>
      <c r="I855" s="29">
        <f t="shared" si="43"/>
        <v>39388</v>
      </c>
    </row>
    <row r="856" spans="1:9" ht="38.25" x14ac:dyDescent="0.2">
      <c r="A856" s="28">
        <v>39392</v>
      </c>
      <c r="B856" s="26" t="s">
        <v>3709</v>
      </c>
      <c r="C856" s="26" t="s">
        <v>9</v>
      </c>
      <c r="D856" s="26" t="s">
        <v>20</v>
      </c>
      <c r="E856" s="26" t="s">
        <v>20</v>
      </c>
      <c r="F856" s="26" t="s">
        <v>20</v>
      </c>
      <c r="G856" t="b">
        <f t="shared" si="41"/>
        <v>0</v>
      </c>
      <c r="H856" t="b">
        <f t="shared" si="42"/>
        <v>0</v>
      </c>
      <c r="I856" s="29">
        <f t="shared" si="43"/>
        <v>39392</v>
      </c>
    </row>
    <row r="857" spans="1:9" ht="25.5" x14ac:dyDescent="0.2">
      <c r="A857" s="28">
        <v>39392</v>
      </c>
      <c r="B857" s="26" t="s">
        <v>3708</v>
      </c>
      <c r="C857" s="26" t="s">
        <v>9</v>
      </c>
      <c r="D857" s="26" t="s">
        <v>20</v>
      </c>
      <c r="E857" s="26">
        <v>35000</v>
      </c>
      <c r="F857" s="26" t="s">
        <v>20</v>
      </c>
      <c r="G857" t="b">
        <f t="shared" si="41"/>
        <v>0</v>
      </c>
      <c r="H857" t="b">
        <f t="shared" si="42"/>
        <v>0</v>
      </c>
      <c r="I857" s="29">
        <f t="shared" si="43"/>
        <v>39392</v>
      </c>
    </row>
    <row r="858" spans="1:9" ht="51" x14ac:dyDescent="0.2">
      <c r="A858" s="28">
        <v>39394</v>
      </c>
      <c r="B858" s="26" t="s">
        <v>3707</v>
      </c>
      <c r="C858" s="26" t="s">
        <v>9</v>
      </c>
      <c r="D858" s="26" t="s">
        <v>20</v>
      </c>
      <c r="E858" s="26" t="s">
        <v>20</v>
      </c>
      <c r="F858" s="26">
        <v>8618118</v>
      </c>
      <c r="G858" t="b">
        <f t="shared" si="41"/>
        <v>0</v>
      </c>
      <c r="H858" t="b">
        <f t="shared" si="42"/>
        <v>0</v>
      </c>
      <c r="I858" s="29">
        <f t="shared" si="43"/>
        <v>39394</v>
      </c>
    </row>
    <row r="859" spans="1:9" ht="12.75" customHeight="1" x14ac:dyDescent="0.2">
      <c r="A859" s="28">
        <v>39395</v>
      </c>
      <c r="B859" s="26" t="s">
        <v>3706</v>
      </c>
      <c r="C859" s="26" t="s">
        <v>9</v>
      </c>
      <c r="D859" s="26" t="s">
        <v>20</v>
      </c>
      <c r="E859" s="26" t="s">
        <v>20</v>
      </c>
      <c r="F859" s="26" t="s">
        <v>20</v>
      </c>
      <c r="G859" t="b">
        <f t="shared" si="41"/>
        <v>0</v>
      </c>
      <c r="H859" t="b">
        <f t="shared" si="42"/>
        <v>0</v>
      </c>
      <c r="I859" s="29">
        <f t="shared" si="43"/>
        <v>39395</v>
      </c>
    </row>
    <row r="860" spans="1:9" ht="12.75" customHeight="1" x14ac:dyDescent="0.2">
      <c r="A860" s="28">
        <v>39395</v>
      </c>
      <c r="B860" s="26" t="s">
        <v>3705</v>
      </c>
      <c r="C860" s="26" t="s">
        <v>9</v>
      </c>
      <c r="D860" s="26" t="s">
        <v>20</v>
      </c>
      <c r="E860" s="26">
        <v>5474</v>
      </c>
      <c r="F860" s="26" t="s">
        <v>20</v>
      </c>
      <c r="G860" t="b">
        <f t="shared" si="41"/>
        <v>0</v>
      </c>
      <c r="H860" t="b">
        <f t="shared" si="42"/>
        <v>0</v>
      </c>
      <c r="I860" s="29">
        <f t="shared" si="43"/>
        <v>39395</v>
      </c>
    </row>
    <row r="861" spans="1:9" ht="12.75" customHeight="1" x14ac:dyDescent="0.2">
      <c r="A861" s="28">
        <v>39395</v>
      </c>
      <c r="B861" s="26" t="s">
        <v>3704</v>
      </c>
      <c r="C861" s="26" t="s">
        <v>9</v>
      </c>
      <c r="D861" s="26" t="s">
        <v>20</v>
      </c>
      <c r="E861" s="26">
        <v>3597372</v>
      </c>
      <c r="F861" s="26">
        <v>37743074</v>
      </c>
      <c r="G861" t="b">
        <f t="shared" si="41"/>
        <v>0</v>
      </c>
      <c r="H861" t="b">
        <f t="shared" si="42"/>
        <v>0</v>
      </c>
      <c r="I861" s="29">
        <f t="shared" si="43"/>
        <v>39395</v>
      </c>
    </row>
    <row r="862" spans="1:9" ht="12.75" customHeight="1" x14ac:dyDescent="0.2">
      <c r="A862" s="28">
        <v>39395</v>
      </c>
      <c r="B862" s="26" t="s">
        <v>3703</v>
      </c>
      <c r="C862" s="26" t="s">
        <v>9</v>
      </c>
      <c r="D862" s="26" t="s">
        <v>20</v>
      </c>
      <c r="E862" s="26">
        <v>6348315</v>
      </c>
      <c r="F862" s="26" t="s">
        <v>20</v>
      </c>
      <c r="G862" t="b">
        <f t="shared" si="41"/>
        <v>0</v>
      </c>
      <c r="H862" t="b">
        <f t="shared" si="42"/>
        <v>0</v>
      </c>
      <c r="I862" s="29">
        <f t="shared" si="43"/>
        <v>39395</v>
      </c>
    </row>
    <row r="863" spans="1:9" ht="25.5" x14ac:dyDescent="0.2">
      <c r="A863" s="28">
        <v>39395</v>
      </c>
      <c r="B863" s="26" t="s">
        <v>3702</v>
      </c>
      <c r="C863" s="26" t="s">
        <v>1051</v>
      </c>
      <c r="D863" s="26" t="s">
        <v>20</v>
      </c>
      <c r="E863" s="26">
        <v>78566</v>
      </c>
      <c r="F863" s="26" t="s">
        <v>20</v>
      </c>
      <c r="G863" t="b">
        <f t="shared" si="41"/>
        <v>0</v>
      </c>
      <c r="H863" t="b">
        <f t="shared" si="42"/>
        <v>0</v>
      </c>
      <c r="I863" s="29">
        <f t="shared" si="43"/>
        <v>39395</v>
      </c>
    </row>
    <row r="864" spans="1:9" ht="12.75" customHeight="1" x14ac:dyDescent="0.2">
      <c r="A864" s="28">
        <v>39395</v>
      </c>
      <c r="B864" s="26" t="s">
        <v>3701</v>
      </c>
      <c r="C864" s="26" t="s">
        <v>9</v>
      </c>
      <c r="D864" s="26" t="s">
        <v>20</v>
      </c>
      <c r="E864" s="26">
        <v>5713</v>
      </c>
      <c r="F864" s="26" t="s">
        <v>20</v>
      </c>
      <c r="G864" t="b">
        <f t="shared" si="41"/>
        <v>0</v>
      </c>
      <c r="H864" t="b">
        <f t="shared" si="42"/>
        <v>0</v>
      </c>
      <c r="I864" s="29">
        <f t="shared" si="43"/>
        <v>39395</v>
      </c>
    </row>
    <row r="865" spans="1:9" ht="25.5" x14ac:dyDescent="0.2">
      <c r="A865" s="28">
        <v>39395</v>
      </c>
      <c r="B865" s="26" t="s">
        <v>3700</v>
      </c>
      <c r="C865" s="26" t="s">
        <v>3218</v>
      </c>
      <c r="D865" s="26">
        <v>25000000</v>
      </c>
      <c r="E865" s="26">
        <v>74273505</v>
      </c>
      <c r="F865" s="26">
        <v>162103209</v>
      </c>
      <c r="G865" t="b">
        <f t="shared" si="41"/>
        <v>0</v>
      </c>
      <c r="H865" t="b">
        <f t="shared" si="42"/>
        <v>0</v>
      </c>
      <c r="I865" s="29">
        <f t="shared" si="43"/>
        <v>39395</v>
      </c>
    </row>
    <row r="866" spans="1:9" ht="25.5" x14ac:dyDescent="0.2">
      <c r="A866" s="28">
        <v>39395</v>
      </c>
      <c r="B866" s="26" t="s">
        <v>3699</v>
      </c>
      <c r="C866" s="26" t="s">
        <v>9</v>
      </c>
      <c r="D866" s="26" t="s">
        <v>20</v>
      </c>
      <c r="E866" s="26">
        <v>23457</v>
      </c>
      <c r="F866" s="26" t="s">
        <v>20</v>
      </c>
      <c r="G866" t="b">
        <f t="shared" si="41"/>
        <v>0</v>
      </c>
      <c r="H866" t="b">
        <f t="shared" si="42"/>
        <v>0</v>
      </c>
      <c r="I866" s="29">
        <f t="shared" si="43"/>
        <v>39395</v>
      </c>
    </row>
    <row r="867" spans="1:9" ht="12.75" customHeight="1" x14ac:dyDescent="0.2">
      <c r="A867" s="28">
        <v>39395</v>
      </c>
      <c r="B867" s="26" t="s">
        <v>3698</v>
      </c>
      <c r="C867" s="26" t="s">
        <v>9</v>
      </c>
      <c r="D867" s="26" t="s">
        <v>20</v>
      </c>
      <c r="E867" s="26">
        <v>12010</v>
      </c>
      <c r="F867" s="26" t="s">
        <v>20</v>
      </c>
      <c r="G867" t="b">
        <f t="shared" si="41"/>
        <v>0</v>
      </c>
      <c r="H867" t="b">
        <f t="shared" si="42"/>
        <v>0</v>
      </c>
      <c r="I867" s="29">
        <f t="shared" si="43"/>
        <v>39395</v>
      </c>
    </row>
    <row r="868" spans="1:9" ht="12.75" customHeight="1" x14ac:dyDescent="0.2">
      <c r="A868" s="28">
        <v>39395</v>
      </c>
      <c r="B868" s="26" t="s">
        <v>3697</v>
      </c>
      <c r="C868" s="26" t="s">
        <v>9</v>
      </c>
      <c r="D868" s="26" t="s">
        <v>20</v>
      </c>
      <c r="E868" s="26" t="s">
        <v>20</v>
      </c>
      <c r="F868" s="26">
        <v>9612073</v>
      </c>
      <c r="G868" t="b">
        <f t="shared" si="41"/>
        <v>0</v>
      </c>
      <c r="H868" t="b">
        <f t="shared" si="42"/>
        <v>0</v>
      </c>
      <c r="I868" s="29">
        <f t="shared" si="43"/>
        <v>39395</v>
      </c>
    </row>
    <row r="869" spans="1:9" ht="12.75" customHeight="1" x14ac:dyDescent="0.2">
      <c r="A869" s="28">
        <v>39395</v>
      </c>
      <c r="B869" s="26" t="s">
        <v>3696</v>
      </c>
      <c r="C869" s="26" t="s">
        <v>9</v>
      </c>
      <c r="D869" s="26" t="s">
        <v>20</v>
      </c>
      <c r="E869" s="26">
        <v>115210</v>
      </c>
      <c r="F869" s="26" t="s">
        <v>20</v>
      </c>
      <c r="G869" t="b">
        <f t="shared" si="41"/>
        <v>0</v>
      </c>
      <c r="H869" t="b">
        <f t="shared" si="42"/>
        <v>0</v>
      </c>
      <c r="I869" s="29">
        <f t="shared" si="43"/>
        <v>39395</v>
      </c>
    </row>
    <row r="870" spans="1:9" ht="12.75" customHeight="1" x14ac:dyDescent="0.2">
      <c r="A870" s="28">
        <v>39395</v>
      </c>
      <c r="B870" s="26" t="s">
        <v>3695</v>
      </c>
      <c r="C870" s="26" t="s">
        <v>1220</v>
      </c>
      <c r="D870" s="26">
        <v>35000000</v>
      </c>
      <c r="E870" s="26">
        <v>14998070</v>
      </c>
      <c r="F870" s="26">
        <v>63211088</v>
      </c>
      <c r="G870" t="b">
        <f t="shared" si="41"/>
        <v>0</v>
      </c>
      <c r="H870" t="b">
        <f t="shared" si="42"/>
        <v>0</v>
      </c>
      <c r="I870" s="29">
        <f t="shared" si="43"/>
        <v>39395</v>
      </c>
    </row>
    <row r="871" spans="1:9" ht="25.5" x14ac:dyDescent="0.2">
      <c r="A871" s="28">
        <v>39395</v>
      </c>
      <c r="B871" s="26" t="s">
        <v>3694</v>
      </c>
      <c r="C871" s="26" t="s">
        <v>3535</v>
      </c>
      <c r="D871" s="26" t="s">
        <v>20</v>
      </c>
      <c r="E871" s="26">
        <v>38960</v>
      </c>
      <c r="F871" s="26" t="s">
        <v>20</v>
      </c>
      <c r="G871" t="b">
        <f t="shared" si="41"/>
        <v>0</v>
      </c>
      <c r="H871" t="b">
        <f t="shared" si="42"/>
        <v>0</v>
      </c>
      <c r="I871" s="29">
        <f t="shared" si="43"/>
        <v>39395</v>
      </c>
    </row>
    <row r="872" spans="1:9" ht="12.75" customHeight="1" x14ac:dyDescent="0.2">
      <c r="A872" s="28">
        <v>39395</v>
      </c>
      <c r="B872" s="26" t="s">
        <v>3693</v>
      </c>
      <c r="C872" s="26" t="s">
        <v>9</v>
      </c>
      <c r="D872" s="26" t="s">
        <v>20</v>
      </c>
      <c r="E872" s="26">
        <v>163069</v>
      </c>
      <c r="F872" s="26" t="s">
        <v>20</v>
      </c>
      <c r="G872" t="b">
        <f t="shared" si="41"/>
        <v>0</v>
      </c>
      <c r="H872" t="b">
        <f t="shared" si="42"/>
        <v>0</v>
      </c>
      <c r="I872" s="29">
        <f t="shared" si="43"/>
        <v>39395</v>
      </c>
    </row>
    <row r="873" spans="1:9" ht="25.5" x14ac:dyDescent="0.2">
      <c r="A873" s="28">
        <v>39395</v>
      </c>
      <c r="B873" s="26" t="s">
        <v>3692</v>
      </c>
      <c r="C873" s="26" t="s">
        <v>9</v>
      </c>
      <c r="D873" s="26" t="s">
        <v>20</v>
      </c>
      <c r="E873" s="26">
        <v>18918</v>
      </c>
      <c r="F873" s="26" t="s">
        <v>20</v>
      </c>
      <c r="G873" t="b">
        <f t="shared" si="41"/>
        <v>0</v>
      </c>
      <c r="H873" t="b">
        <f t="shared" si="42"/>
        <v>0</v>
      </c>
      <c r="I873" s="29">
        <f t="shared" si="43"/>
        <v>39395</v>
      </c>
    </row>
    <row r="874" spans="1:9" ht="12.75" customHeight="1" x14ac:dyDescent="0.2">
      <c r="A874" s="28">
        <v>39395</v>
      </c>
      <c r="B874" s="26" t="s">
        <v>3691</v>
      </c>
      <c r="C874" s="26" t="s">
        <v>9</v>
      </c>
      <c r="D874" s="26" t="s">
        <v>20</v>
      </c>
      <c r="E874" s="26">
        <v>885574</v>
      </c>
      <c r="F874" s="26">
        <v>20052456</v>
      </c>
      <c r="G874" t="b">
        <f t="shared" si="41"/>
        <v>0</v>
      </c>
      <c r="H874" t="b">
        <f t="shared" si="42"/>
        <v>0</v>
      </c>
      <c r="I874" s="29">
        <f t="shared" si="43"/>
        <v>39395</v>
      </c>
    </row>
    <row r="875" spans="1:9" ht="25.5" x14ac:dyDescent="0.2">
      <c r="A875" s="28">
        <v>39395</v>
      </c>
      <c r="B875" s="26" t="s">
        <v>3690</v>
      </c>
      <c r="C875" s="26" t="s">
        <v>9</v>
      </c>
      <c r="D875" s="26" t="s">
        <v>20</v>
      </c>
      <c r="E875" s="26">
        <v>874635</v>
      </c>
      <c r="F875" s="26" t="s">
        <v>20</v>
      </c>
      <c r="G875" t="b">
        <f t="shared" si="41"/>
        <v>0</v>
      </c>
      <c r="H875" t="b">
        <f t="shared" si="42"/>
        <v>0</v>
      </c>
      <c r="I875" s="29">
        <f t="shared" si="43"/>
        <v>39395</v>
      </c>
    </row>
    <row r="876" spans="1:9" ht="12.75" customHeight="1" x14ac:dyDescent="0.2">
      <c r="A876" s="28">
        <v>39395</v>
      </c>
      <c r="B876" s="26" t="s">
        <v>3689</v>
      </c>
      <c r="C876" s="26" t="s">
        <v>3209</v>
      </c>
      <c r="D876" s="26" t="s">
        <v>20</v>
      </c>
      <c r="E876" s="26">
        <v>72006777</v>
      </c>
      <c r="F876" s="26">
        <v>97837638</v>
      </c>
      <c r="G876" t="b">
        <f t="shared" si="41"/>
        <v>0</v>
      </c>
      <c r="H876" t="b">
        <f t="shared" si="42"/>
        <v>0</v>
      </c>
      <c r="I876" s="29">
        <f t="shared" si="43"/>
        <v>39395</v>
      </c>
    </row>
    <row r="877" spans="1:9" ht="51" x14ac:dyDescent="0.2">
      <c r="A877" s="28">
        <v>39396</v>
      </c>
      <c r="B877" s="26" t="s">
        <v>3688</v>
      </c>
      <c r="C877" s="26" t="s">
        <v>3536</v>
      </c>
      <c r="D877" s="26" t="s">
        <v>20</v>
      </c>
      <c r="E877" s="26" t="s">
        <v>20</v>
      </c>
      <c r="F877" s="26">
        <v>3319368</v>
      </c>
      <c r="G877" t="b">
        <f t="shared" si="41"/>
        <v>0</v>
      </c>
      <c r="H877" t="b">
        <f t="shared" si="42"/>
        <v>0</v>
      </c>
      <c r="I877" s="29">
        <f t="shared" si="43"/>
        <v>39396</v>
      </c>
    </row>
    <row r="878" spans="1:9" ht="12.75" customHeight="1" x14ac:dyDescent="0.2">
      <c r="A878" s="28">
        <v>39399</v>
      </c>
      <c r="B878" s="26" t="s">
        <v>3687</v>
      </c>
      <c r="C878" s="26" t="s">
        <v>9</v>
      </c>
      <c r="D878" s="26" t="s">
        <v>20</v>
      </c>
      <c r="E878" s="26" t="s">
        <v>20</v>
      </c>
      <c r="F878" s="26" t="s">
        <v>20</v>
      </c>
      <c r="G878" t="b">
        <f t="shared" si="41"/>
        <v>0</v>
      </c>
      <c r="H878" t="b">
        <f t="shared" si="42"/>
        <v>0</v>
      </c>
      <c r="I878" s="29">
        <f t="shared" si="43"/>
        <v>39399</v>
      </c>
    </row>
    <row r="879" spans="1:9" ht="12.75" customHeight="1" x14ac:dyDescent="0.2">
      <c r="A879" s="28">
        <v>39400</v>
      </c>
      <c r="B879" s="26" t="s">
        <v>3686</v>
      </c>
      <c r="C879" s="26" t="s">
        <v>9</v>
      </c>
      <c r="D879" s="26" t="s">
        <v>20</v>
      </c>
      <c r="E879" s="26" t="s">
        <v>20</v>
      </c>
      <c r="F879" s="26">
        <v>13857860</v>
      </c>
      <c r="G879" t="b">
        <f t="shared" si="41"/>
        <v>0</v>
      </c>
      <c r="H879" t="b">
        <f t="shared" si="42"/>
        <v>0</v>
      </c>
      <c r="I879" s="29">
        <f t="shared" si="43"/>
        <v>39400</v>
      </c>
    </row>
    <row r="880" spans="1:9" x14ac:dyDescent="0.2">
      <c r="A880" s="28">
        <v>39400</v>
      </c>
      <c r="B880" s="26" t="s">
        <v>3685</v>
      </c>
      <c r="C880" s="26" t="s">
        <v>9</v>
      </c>
      <c r="D880" s="26" t="s">
        <v>20</v>
      </c>
      <c r="E880" s="26" t="s">
        <v>20</v>
      </c>
      <c r="F880" s="26">
        <v>1497862</v>
      </c>
      <c r="G880" t="b">
        <f t="shared" si="41"/>
        <v>0</v>
      </c>
      <c r="H880" t="b">
        <f t="shared" si="42"/>
        <v>0</v>
      </c>
      <c r="I880" s="29">
        <f t="shared" si="43"/>
        <v>39400</v>
      </c>
    </row>
    <row r="881" spans="1:9" ht="25.5" x14ac:dyDescent="0.2">
      <c r="A881" s="28">
        <v>39400</v>
      </c>
      <c r="B881" s="26" t="s">
        <v>3684</v>
      </c>
      <c r="C881" s="26" t="s">
        <v>9</v>
      </c>
      <c r="D881" s="26" t="s">
        <v>20</v>
      </c>
      <c r="E881" s="26" t="s">
        <v>20</v>
      </c>
      <c r="F881" s="26" t="s">
        <v>20</v>
      </c>
      <c r="G881" t="b">
        <f t="shared" si="41"/>
        <v>0</v>
      </c>
      <c r="H881" t="b">
        <f t="shared" si="42"/>
        <v>0</v>
      </c>
      <c r="I881" s="29">
        <f t="shared" si="43"/>
        <v>39400</v>
      </c>
    </row>
    <row r="882" spans="1:9" ht="12.75" customHeight="1" x14ac:dyDescent="0.2">
      <c r="A882" s="28">
        <v>39400</v>
      </c>
      <c r="B882" s="26" t="s">
        <v>3683</v>
      </c>
      <c r="C882" s="26" t="s">
        <v>1319</v>
      </c>
      <c r="D882" s="26">
        <v>17000000</v>
      </c>
      <c r="E882" s="26">
        <v>275380</v>
      </c>
      <c r="F882" s="26">
        <v>364607</v>
      </c>
      <c r="G882" t="b">
        <f t="shared" ref="G882:G943" si="44">ISBLANK(A882)</f>
        <v>0</v>
      </c>
      <c r="H882" t="b">
        <f t="shared" ref="H882:H943" si="45">ISTEXT(A882)</f>
        <v>0</v>
      </c>
      <c r="I882" s="29">
        <f t="shared" si="43"/>
        <v>39400</v>
      </c>
    </row>
    <row r="883" spans="1:9" ht="25.5" x14ac:dyDescent="0.2">
      <c r="A883" s="28">
        <v>39402</v>
      </c>
      <c r="B883" s="26" t="s">
        <v>3682</v>
      </c>
      <c r="C883" s="26" t="s">
        <v>2992</v>
      </c>
      <c r="D883" s="26" t="s">
        <v>20</v>
      </c>
      <c r="E883" s="26">
        <v>1958977</v>
      </c>
      <c r="F883" s="26">
        <v>2367775</v>
      </c>
      <c r="G883" t="b">
        <f t="shared" si="44"/>
        <v>0</v>
      </c>
      <c r="H883" t="b">
        <f t="shared" si="45"/>
        <v>0</v>
      </c>
      <c r="I883" s="29">
        <f t="shared" si="43"/>
        <v>39402</v>
      </c>
    </row>
    <row r="884" spans="1:9" ht="12.75" customHeight="1" x14ac:dyDescent="0.2">
      <c r="A884" s="28">
        <v>39402</v>
      </c>
      <c r="B884" s="26" t="s">
        <v>3681</v>
      </c>
      <c r="C884" s="26" t="s">
        <v>746</v>
      </c>
      <c r="D884" s="26">
        <v>5000000</v>
      </c>
      <c r="E884" s="26">
        <v>65388</v>
      </c>
      <c r="F884" s="26" t="s">
        <v>20</v>
      </c>
      <c r="G884" t="b">
        <f t="shared" si="44"/>
        <v>0</v>
      </c>
      <c r="H884" t="b">
        <f t="shared" si="45"/>
        <v>0</v>
      </c>
      <c r="I884" s="29">
        <f t="shared" si="43"/>
        <v>39402</v>
      </c>
    </row>
    <row r="885" spans="1:9" ht="25.5" x14ac:dyDescent="0.2">
      <c r="A885" s="28">
        <v>39402</v>
      </c>
      <c r="B885" s="26" t="s">
        <v>3680</v>
      </c>
      <c r="C885" s="26" t="s">
        <v>2460</v>
      </c>
      <c r="D885" s="26">
        <v>45000000</v>
      </c>
      <c r="E885" s="26">
        <v>4617608</v>
      </c>
      <c r="F885" s="26">
        <v>31077418</v>
      </c>
      <c r="G885" t="b">
        <f t="shared" si="44"/>
        <v>0</v>
      </c>
      <c r="H885" t="b">
        <f t="shared" si="45"/>
        <v>0</v>
      </c>
      <c r="I885" s="29">
        <f t="shared" si="43"/>
        <v>39402</v>
      </c>
    </row>
    <row r="886" spans="1:9" ht="12.75" customHeight="1" x14ac:dyDescent="0.2">
      <c r="A886" s="28">
        <v>39402</v>
      </c>
      <c r="B886" s="26" t="s">
        <v>3679</v>
      </c>
      <c r="C886" s="26" t="s">
        <v>2051</v>
      </c>
      <c r="D886" s="26" t="s">
        <v>20</v>
      </c>
      <c r="E886" s="26">
        <v>1302</v>
      </c>
      <c r="F886" s="26" t="s">
        <v>20</v>
      </c>
      <c r="G886" t="b">
        <f t="shared" si="44"/>
        <v>0</v>
      </c>
      <c r="H886" t="b">
        <f t="shared" si="45"/>
        <v>0</v>
      </c>
      <c r="I886" s="29">
        <f t="shared" si="43"/>
        <v>39402</v>
      </c>
    </row>
    <row r="887" spans="1:9" ht="25.5" x14ac:dyDescent="0.2">
      <c r="A887" s="28">
        <v>39402</v>
      </c>
      <c r="B887" s="26" t="s">
        <v>3678</v>
      </c>
      <c r="C887" s="26" t="s">
        <v>9</v>
      </c>
      <c r="D887" s="26" t="s">
        <v>20</v>
      </c>
      <c r="E887" s="26">
        <v>200010</v>
      </c>
      <c r="F887" s="26" t="s">
        <v>20</v>
      </c>
      <c r="G887" t="b">
        <f t="shared" si="44"/>
        <v>0</v>
      </c>
      <c r="H887" t="b">
        <f t="shared" si="45"/>
        <v>0</v>
      </c>
      <c r="I887" s="29">
        <f t="shared" si="43"/>
        <v>39402</v>
      </c>
    </row>
    <row r="888" spans="1:9" ht="25.5" x14ac:dyDescent="0.2">
      <c r="A888" s="28">
        <v>39402</v>
      </c>
      <c r="B888" s="26" t="s">
        <v>3677</v>
      </c>
      <c r="C888" s="26" t="s">
        <v>9</v>
      </c>
      <c r="D888" s="26" t="s">
        <v>20</v>
      </c>
      <c r="E888" s="26" t="s">
        <v>20</v>
      </c>
      <c r="F888" s="26">
        <v>14964621</v>
      </c>
      <c r="G888" t="b">
        <f t="shared" si="44"/>
        <v>0</v>
      </c>
      <c r="H888" t="b">
        <f t="shared" si="45"/>
        <v>0</v>
      </c>
      <c r="I888" s="29">
        <f t="shared" si="43"/>
        <v>39402</v>
      </c>
    </row>
    <row r="889" spans="1:9" ht="12.75" customHeight="1" x14ac:dyDescent="0.2">
      <c r="A889" s="28">
        <v>39402</v>
      </c>
      <c r="B889" s="26" t="s">
        <v>3676</v>
      </c>
      <c r="C889" s="26" t="s">
        <v>9</v>
      </c>
      <c r="D889" s="26" t="s">
        <v>20</v>
      </c>
      <c r="E889" s="26" t="s">
        <v>20</v>
      </c>
      <c r="F889" s="26">
        <v>11323769</v>
      </c>
      <c r="G889" t="b">
        <f t="shared" si="44"/>
        <v>0</v>
      </c>
      <c r="H889" t="b">
        <f t="shared" si="45"/>
        <v>0</v>
      </c>
      <c r="I889" s="29">
        <f t="shared" si="43"/>
        <v>39402</v>
      </c>
    </row>
    <row r="890" spans="1:9" ht="12.75" customHeight="1" x14ac:dyDescent="0.2">
      <c r="A890" s="28">
        <v>39402</v>
      </c>
      <c r="B890" s="26" t="s">
        <v>3675</v>
      </c>
      <c r="C890" s="26" t="s">
        <v>2160</v>
      </c>
      <c r="D890" s="26">
        <v>150000000</v>
      </c>
      <c r="E890" s="26">
        <v>82195215</v>
      </c>
      <c r="F890" s="26">
        <v>194995215</v>
      </c>
      <c r="G890" t="b">
        <f t="shared" si="44"/>
        <v>0</v>
      </c>
      <c r="H890" t="b">
        <f t="shared" si="45"/>
        <v>0</v>
      </c>
      <c r="I890" s="29">
        <f t="shared" si="43"/>
        <v>39402</v>
      </c>
    </row>
    <row r="891" spans="1:9" ht="25.5" x14ac:dyDescent="0.2">
      <c r="A891" s="28">
        <v>39402</v>
      </c>
      <c r="B891" s="26" t="s">
        <v>3674</v>
      </c>
      <c r="C891" s="26" t="s">
        <v>384</v>
      </c>
      <c r="D891" s="26" t="s">
        <v>20</v>
      </c>
      <c r="E891" s="26">
        <v>32061555</v>
      </c>
      <c r="F891" s="26">
        <v>68191643</v>
      </c>
      <c r="G891" t="b">
        <f t="shared" si="44"/>
        <v>0</v>
      </c>
      <c r="H891" t="b">
        <f t="shared" si="45"/>
        <v>0</v>
      </c>
      <c r="I891" s="29">
        <f t="shared" si="43"/>
        <v>39402</v>
      </c>
    </row>
    <row r="892" spans="1:9" ht="25.5" x14ac:dyDescent="0.2">
      <c r="A892" s="28">
        <v>39402</v>
      </c>
      <c r="B892" s="26" t="s">
        <v>3673</v>
      </c>
      <c r="C892" s="26" t="s">
        <v>9</v>
      </c>
      <c r="D892" s="26" t="s">
        <v>20</v>
      </c>
      <c r="E892" s="26">
        <v>93604</v>
      </c>
      <c r="F892" s="26">
        <v>9897351</v>
      </c>
      <c r="G892" t="b">
        <f t="shared" si="44"/>
        <v>0</v>
      </c>
      <c r="H892" t="b">
        <f t="shared" si="45"/>
        <v>0</v>
      </c>
      <c r="I892" s="29">
        <f t="shared" si="43"/>
        <v>39402</v>
      </c>
    </row>
    <row r="893" spans="1:9" ht="12.75" customHeight="1" x14ac:dyDescent="0.2">
      <c r="A893" s="28">
        <v>39402</v>
      </c>
      <c r="B893" s="26" t="s">
        <v>3672</v>
      </c>
      <c r="C893" s="26" t="s">
        <v>2865</v>
      </c>
      <c r="D893" s="26" t="s">
        <v>20</v>
      </c>
      <c r="E893" s="26">
        <v>9397</v>
      </c>
      <c r="F893" s="26" t="s">
        <v>20</v>
      </c>
      <c r="G893" t="b">
        <f t="shared" si="44"/>
        <v>0</v>
      </c>
      <c r="H893" t="b">
        <f t="shared" si="45"/>
        <v>0</v>
      </c>
      <c r="I893" s="29">
        <f t="shared" si="43"/>
        <v>39402</v>
      </c>
    </row>
    <row r="894" spans="1:9" ht="25.5" x14ac:dyDescent="0.2">
      <c r="A894" s="28">
        <v>39405</v>
      </c>
      <c r="B894" s="26" t="s">
        <v>3671</v>
      </c>
      <c r="C894" s="26" t="s">
        <v>9</v>
      </c>
      <c r="D894" s="26" t="s">
        <v>20</v>
      </c>
      <c r="E894" s="26" t="s">
        <v>20</v>
      </c>
      <c r="F894" s="26" t="s">
        <v>20</v>
      </c>
      <c r="G894" t="b">
        <f t="shared" si="44"/>
        <v>0</v>
      </c>
      <c r="H894" t="b">
        <f t="shared" si="45"/>
        <v>0</v>
      </c>
      <c r="I894" s="29">
        <f t="shared" si="43"/>
        <v>39405</v>
      </c>
    </row>
    <row r="895" spans="1:9" ht="51" x14ac:dyDescent="0.2">
      <c r="A895" s="28">
        <v>39406</v>
      </c>
      <c r="B895" s="26" t="s">
        <v>3670</v>
      </c>
      <c r="C895" s="26" t="s">
        <v>9</v>
      </c>
      <c r="D895" s="26" t="s">
        <v>20</v>
      </c>
      <c r="E895" s="26" t="s">
        <v>20</v>
      </c>
      <c r="F895" s="26" t="s">
        <v>20</v>
      </c>
      <c r="G895" t="b">
        <f t="shared" si="44"/>
        <v>0</v>
      </c>
      <c r="H895" t="b">
        <f t="shared" si="45"/>
        <v>0</v>
      </c>
      <c r="I895" s="29">
        <f t="shared" si="43"/>
        <v>39406</v>
      </c>
    </row>
    <row r="896" spans="1:9" ht="12.75" customHeight="1" x14ac:dyDescent="0.2">
      <c r="A896" s="28">
        <v>39407</v>
      </c>
      <c r="B896" s="26" t="s">
        <v>3669</v>
      </c>
      <c r="C896" s="26" t="s">
        <v>9</v>
      </c>
      <c r="D896" s="26" t="s">
        <v>20</v>
      </c>
      <c r="E896" s="26" t="s">
        <v>20</v>
      </c>
      <c r="F896" s="26" t="s">
        <v>20</v>
      </c>
      <c r="G896" t="b">
        <f t="shared" si="44"/>
        <v>0</v>
      </c>
      <c r="H896" t="b">
        <f t="shared" si="45"/>
        <v>0</v>
      </c>
      <c r="I896" s="29">
        <f t="shared" si="43"/>
        <v>39407</v>
      </c>
    </row>
    <row r="897" spans="1:9" ht="12.75" customHeight="1" x14ac:dyDescent="0.2">
      <c r="A897" s="28">
        <v>39407</v>
      </c>
      <c r="B897" s="26" t="s">
        <v>3668</v>
      </c>
      <c r="C897" s="26" t="s">
        <v>3390</v>
      </c>
      <c r="D897" s="26">
        <v>85000000</v>
      </c>
      <c r="E897" s="26">
        <v>127706877</v>
      </c>
      <c r="F897" s="26">
        <v>340384141</v>
      </c>
      <c r="G897" t="b">
        <f t="shared" si="44"/>
        <v>0</v>
      </c>
      <c r="H897" t="b">
        <f t="shared" si="45"/>
        <v>0</v>
      </c>
      <c r="I897" s="29">
        <f t="shared" si="43"/>
        <v>39407</v>
      </c>
    </row>
    <row r="898" spans="1:9" ht="12.75" customHeight="1" x14ac:dyDescent="0.2">
      <c r="A898" s="28">
        <v>39407</v>
      </c>
      <c r="B898" s="26" t="s">
        <v>3667</v>
      </c>
      <c r="C898" s="26" t="s">
        <v>3475</v>
      </c>
      <c r="D898" s="26">
        <v>13000000</v>
      </c>
      <c r="E898" s="26">
        <v>25593755</v>
      </c>
      <c r="F898" s="26">
        <v>54777490</v>
      </c>
      <c r="G898" t="b">
        <f t="shared" si="44"/>
        <v>0</v>
      </c>
      <c r="H898" t="b">
        <f t="shared" si="45"/>
        <v>0</v>
      </c>
      <c r="I898" s="29">
        <f t="shared" si="43"/>
        <v>39407</v>
      </c>
    </row>
    <row r="899" spans="1:9" ht="12.75" customHeight="1" x14ac:dyDescent="0.2">
      <c r="A899" s="28">
        <v>39407</v>
      </c>
      <c r="B899" s="26" t="s">
        <v>3666</v>
      </c>
      <c r="C899" s="26" t="s">
        <v>49</v>
      </c>
      <c r="D899" s="26">
        <v>20000000</v>
      </c>
      <c r="E899" s="26">
        <v>4017609</v>
      </c>
      <c r="F899" s="26">
        <v>11498547</v>
      </c>
      <c r="G899" t="b">
        <f t="shared" si="44"/>
        <v>0</v>
      </c>
      <c r="H899" t="b">
        <f t="shared" si="45"/>
        <v>0</v>
      </c>
      <c r="I899" s="29">
        <f t="shared" ref="I899:I962" si="46">DATE(2007,MONTH(A899), DAY(A899))</f>
        <v>39407</v>
      </c>
    </row>
    <row r="900" spans="1:9" ht="25.5" x14ac:dyDescent="0.2">
      <c r="A900" s="28">
        <v>39407</v>
      </c>
      <c r="B900" s="26" t="s">
        <v>3665</v>
      </c>
      <c r="C900" s="26" t="s">
        <v>9</v>
      </c>
      <c r="D900" s="26" t="s">
        <v>20</v>
      </c>
      <c r="E900" s="26" t="s">
        <v>20</v>
      </c>
      <c r="F900" s="26">
        <v>3033368</v>
      </c>
      <c r="G900" t="b">
        <f t="shared" si="44"/>
        <v>0</v>
      </c>
      <c r="H900" t="b">
        <f t="shared" si="45"/>
        <v>0</v>
      </c>
      <c r="I900" s="29">
        <f t="shared" si="46"/>
        <v>39407</v>
      </c>
    </row>
    <row r="901" spans="1:9" ht="12.75" customHeight="1" x14ac:dyDescent="0.2">
      <c r="A901" s="28">
        <v>39407</v>
      </c>
      <c r="B901" s="26" t="s">
        <v>3664</v>
      </c>
      <c r="C901" s="26" t="s">
        <v>3209</v>
      </c>
      <c r="D901" s="26">
        <v>25000000</v>
      </c>
      <c r="E901" s="26">
        <v>31664162</v>
      </c>
      <c r="F901" s="26">
        <v>65627510</v>
      </c>
      <c r="G901" t="b">
        <f t="shared" si="44"/>
        <v>0</v>
      </c>
      <c r="H901" t="b">
        <f t="shared" si="45"/>
        <v>0</v>
      </c>
      <c r="I901" s="29">
        <f t="shared" si="46"/>
        <v>39407</v>
      </c>
    </row>
    <row r="902" spans="1:9" ht="12.75" customHeight="1" x14ac:dyDescent="0.2">
      <c r="A902" s="28">
        <v>39407</v>
      </c>
      <c r="B902" s="26" t="s">
        <v>3663</v>
      </c>
      <c r="C902" s="26" t="s">
        <v>9</v>
      </c>
      <c r="D902" s="26" t="s">
        <v>20</v>
      </c>
      <c r="E902" s="26" t="s">
        <v>20</v>
      </c>
      <c r="F902" s="26">
        <v>3325436</v>
      </c>
      <c r="G902" t="b">
        <f t="shared" si="44"/>
        <v>0</v>
      </c>
      <c r="H902" t="b">
        <f t="shared" si="45"/>
        <v>0</v>
      </c>
      <c r="I902" s="29">
        <f t="shared" si="46"/>
        <v>39407</v>
      </c>
    </row>
    <row r="903" spans="1:9" ht="25.5" x14ac:dyDescent="0.2">
      <c r="A903" s="28">
        <v>39407</v>
      </c>
      <c r="B903" s="26" t="s">
        <v>3662</v>
      </c>
      <c r="C903" s="26" t="s">
        <v>9</v>
      </c>
      <c r="D903" s="26" t="s">
        <v>20</v>
      </c>
      <c r="E903" s="26">
        <v>125547</v>
      </c>
      <c r="F903" s="26">
        <v>5957759</v>
      </c>
      <c r="G903" t="b">
        <f t="shared" si="44"/>
        <v>0</v>
      </c>
      <c r="H903" t="b">
        <f t="shared" si="45"/>
        <v>0</v>
      </c>
      <c r="I903" s="29">
        <f t="shared" si="46"/>
        <v>39407</v>
      </c>
    </row>
    <row r="904" spans="1:9" ht="12.75" customHeight="1" x14ac:dyDescent="0.2">
      <c r="A904" s="28">
        <v>39407</v>
      </c>
      <c r="B904" s="26" t="s">
        <v>3661</v>
      </c>
      <c r="C904" s="26" t="s">
        <v>2160</v>
      </c>
      <c r="D904" s="26">
        <v>13000000</v>
      </c>
      <c r="E904" s="26">
        <v>49121934</v>
      </c>
      <c r="F904" s="26">
        <v>49778552</v>
      </c>
      <c r="G904" t="b">
        <f t="shared" si="44"/>
        <v>0</v>
      </c>
      <c r="H904" t="b">
        <f t="shared" si="45"/>
        <v>0</v>
      </c>
      <c r="I904" s="29">
        <f t="shared" si="46"/>
        <v>39407</v>
      </c>
    </row>
    <row r="905" spans="1:9" ht="25.5" x14ac:dyDescent="0.2">
      <c r="A905" s="28">
        <v>39407</v>
      </c>
      <c r="B905" s="26" t="s">
        <v>3660</v>
      </c>
      <c r="C905" s="26" t="s">
        <v>2051</v>
      </c>
      <c r="D905" s="26" t="s">
        <v>20</v>
      </c>
      <c r="E905" s="26">
        <v>9936</v>
      </c>
      <c r="F905" s="26" t="s">
        <v>20</v>
      </c>
      <c r="G905" t="b">
        <f t="shared" si="44"/>
        <v>0</v>
      </c>
      <c r="H905" t="b">
        <f t="shared" si="45"/>
        <v>0</v>
      </c>
      <c r="I905" s="29">
        <f t="shared" si="46"/>
        <v>39407</v>
      </c>
    </row>
    <row r="906" spans="1:9" ht="12.75" customHeight="1" x14ac:dyDescent="0.2">
      <c r="A906" s="28">
        <v>39407</v>
      </c>
      <c r="B906" s="26" t="s">
        <v>3659</v>
      </c>
      <c r="C906" s="26" t="s">
        <v>384</v>
      </c>
      <c r="D906" s="26">
        <v>17500000</v>
      </c>
      <c r="E906" s="26">
        <v>39687694</v>
      </c>
      <c r="F906" s="26">
        <v>99965792</v>
      </c>
      <c r="G906" t="b">
        <f t="shared" si="44"/>
        <v>0</v>
      </c>
      <c r="H906" t="b">
        <f t="shared" si="45"/>
        <v>0</v>
      </c>
      <c r="I906" s="29">
        <f t="shared" si="46"/>
        <v>39407</v>
      </c>
    </row>
    <row r="907" spans="1:9" ht="25.5" x14ac:dyDescent="0.2">
      <c r="A907" s="28">
        <v>39407</v>
      </c>
      <c r="B907" s="26" t="s">
        <v>3658</v>
      </c>
      <c r="C907" s="26" t="s">
        <v>9</v>
      </c>
      <c r="D907" s="26" t="s">
        <v>20</v>
      </c>
      <c r="E907" s="26">
        <v>39081</v>
      </c>
      <c r="F907" s="26" t="s">
        <v>20</v>
      </c>
      <c r="G907" t="b">
        <f t="shared" si="44"/>
        <v>0</v>
      </c>
      <c r="H907" t="b">
        <f t="shared" si="45"/>
        <v>0</v>
      </c>
      <c r="I907" s="29">
        <f t="shared" si="46"/>
        <v>39407</v>
      </c>
    </row>
    <row r="908" spans="1:9" ht="25.5" x14ac:dyDescent="0.2">
      <c r="A908" s="28">
        <v>39407</v>
      </c>
      <c r="B908" s="26" t="s">
        <v>3657</v>
      </c>
      <c r="C908" s="26" t="s">
        <v>9</v>
      </c>
      <c r="D908" s="26" t="s">
        <v>20</v>
      </c>
      <c r="E908" s="26" t="s">
        <v>20</v>
      </c>
      <c r="F908" s="26">
        <v>1871691</v>
      </c>
      <c r="G908" t="b">
        <f t="shared" si="44"/>
        <v>0</v>
      </c>
      <c r="H908" t="b">
        <f t="shared" si="45"/>
        <v>0</v>
      </c>
      <c r="I908" s="29">
        <f t="shared" si="46"/>
        <v>39407</v>
      </c>
    </row>
    <row r="909" spans="1:9" ht="51" x14ac:dyDescent="0.2">
      <c r="A909" s="28">
        <v>39409</v>
      </c>
      <c r="B909" s="26" t="s">
        <v>3656</v>
      </c>
      <c r="C909" s="26" t="s">
        <v>221</v>
      </c>
      <c r="D909" s="26" t="s">
        <v>20</v>
      </c>
      <c r="E909" s="26">
        <v>4890</v>
      </c>
      <c r="F909" s="26" t="s">
        <v>20</v>
      </c>
      <c r="G909" t="b">
        <f t="shared" si="44"/>
        <v>0</v>
      </c>
      <c r="H909" t="b">
        <f t="shared" si="45"/>
        <v>0</v>
      </c>
      <c r="I909" s="29">
        <f t="shared" si="46"/>
        <v>39409</v>
      </c>
    </row>
    <row r="910" spans="1:9" ht="25.5" x14ac:dyDescent="0.2">
      <c r="A910" s="28">
        <v>39409</v>
      </c>
      <c r="B910" s="26" t="s">
        <v>3655</v>
      </c>
      <c r="C910" s="26" t="s">
        <v>9</v>
      </c>
      <c r="D910" s="26" t="s">
        <v>20</v>
      </c>
      <c r="E910" s="26" t="s">
        <v>20</v>
      </c>
      <c r="F910" s="26">
        <v>5871643</v>
      </c>
      <c r="G910" t="b">
        <f t="shared" si="44"/>
        <v>0</v>
      </c>
      <c r="H910" t="b">
        <f t="shared" si="45"/>
        <v>0</v>
      </c>
      <c r="I910" s="29">
        <f t="shared" si="46"/>
        <v>39409</v>
      </c>
    </row>
    <row r="911" spans="1:9" ht="25.5" x14ac:dyDescent="0.2">
      <c r="A911" s="28">
        <v>39409</v>
      </c>
      <c r="B911" s="26" t="s">
        <v>3654</v>
      </c>
      <c r="C911" s="26" t="s">
        <v>9</v>
      </c>
      <c r="D911" s="26" t="s">
        <v>20</v>
      </c>
      <c r="E911" s="26" t="s">
        <v>20</v>
      </c>
      <c r="F911" s="26">
        <v>3397829</v>
      </c>
      <c r="G911" t="b">
        <f t="shared" si="44"/>
        <v>0</v>
      </c>
      <c r="H911" t="b">
        <f t="shared" si="45"/>
        <v>0</v>
      </c>
      <c r="I911" s="29">
        <f t="shared" si="46"/>
        <v>39409</v>
      </c>
    </row>
    <row r="912" spans="1:9" ht="12.75" customHeight="1" x14ac:dyDescent="0.2">
      <c r="A912" s="28">
        <v>39409</v>
      </c>
      <c r="B912" s="26" t="s">
        <v>3653</v>
      </c>
      <c r="C912" s="26" t="s">
        <v>2285</v>
      </c>
      <c r="D912" s="26" t="s">
        <v>20</v>
      </c>
      <c r="E912" s="26">
        <v>7116</v>
      </c>
      <c r="F912" s="26">
        <v>2607116</v>
      </c>
      <c r="G912" t="b">
        <f t="shared" si="44"/>
        <v>0</v>
      </c>
      <c r="H912" t="b">
        <f t="shared" si="45"/>
        <v>0</v>
      </c>
      <c r="I912" s="29">
        <f t="shared" si="46"/>
        <v>39409</v>
      </c>
    </row>
    <row r="913" spans="1:9" ht="12.75" customHeight="1" x14ac:dyDescent="0.2">
      <c r="A913" s="28">
        <v>39409</v>
      </c>
      <c r="B913" s="26" t="s">
        <v>3652</v>
      </c>
      <c r="C913" s="26" t="s">
        <v>9</v>
      </c>
      <c r="D913" s="26" t="s">
        <v>20</v>
      </c>
      <c r="E913" s="26" t="s">
        <v>20</v>
      </c>
      <c r="F913" s="26">
        <v>27117954</v>
      </c>
      <c r="G913" t="b">
        <f t="shared" si="44"/>
        <v>0</v>
      </c>
      <c r="H913" t="b">
        <f t="shared" si="45"/>
        <v>0</v>
      </c>
      <c r="I913" s="29">
        <f t="shared" si="46"/>
        <v>39409</v>
      </c>
    </row>
    <row r="914" spans="1:9" ht="25.5" x14ac:dyDescent="0.2">
      <c r="A914" s="28">
        <v>39409</v>
      </c>
      <c r="B914" s="26" t="s">
        <v>3651</v>
      </c>
      <c r="C914" s="26" t="s">
        <v>117</v>
      </c>
      <c r="D914" s="26" t="s">
        <v>20</v>
      </c>
      <c r="E914" s="26">
        <v>902115</v>
      </c>
      <c r="F914" s="26" t="s">
        <v>20</v>
      </c>
      <c r="G914" t="b">
        <f t="shared" si="44"/>
        <v>0</v>
      </c>
      <c r="H914" t="b">
        <f t="shared" si="45"/>
        <v>0</v>
      </c>
      <c r="I914" s="29">
        <f t="shared" si="46"/>
        <v>39409</v>
      </c>
    </row>
    <row r="915" spans="1:9" ht="25.5" x14ac:dyDescent="0.2">
      <c r="A915" s="28">
        <v>39411</v>
      </c>
      <c r="B915" s="26" t="s">
        <v>3650</v>
      </c>
      <c r="C915" s="26" t="s">
        <v>9</v>
      </c>
      <c r="D915" s="26" t="s">
        <v>20</v>
      </c>
      <c r="E915" s="26">
        <v>3400</v>
      </c>
      <c r="F915" s="26" t="s">
        <v>20</v>
      </c>
      <c r="G915" t="b">
        <f t="shared" si="44"/>
        <v>0</v>
      </c>
      <c r="H915" t="b">
        <f t="shared" si="45"/>
        <v>0</v>
      </c>
      <c r="I915" s="29">
        <f t="shared" si="46"/>
        <v>39411</v>
      </c>
    </row>
    <row r="916" spans="1:9" ht="25.5" x14ac:dyDescent="0.2">
      <c r="A916" s="28">
        <v>39413</v>
      </c>
      <c r="B916" s="26" t="s">
        <v>3649</v>
      </c>
      <c r="C916" s="26" t="s">
        <v>2153</v>
      </c>
      <c r="D916" s="26" t="s">
        <v>20</v>
      </c>
      <c r="E916" s="26" t="s">
        <v>20</v>
      </c>
      <c r="F916" s="26" t="s">
        <v>20</v>
      </c>
      <c r="G916" t="b">
        <f t="shared" si="44"/>
        <v>0</v>
      </c>
      <c r="H916" t="b">
        <f t="shared" si="45"/>
        <v>0</v>
      </c>
      <c r="I916" s="29">
        <f t="shared" si="46"/>
        <v>39413</v>
      </c>
    </row>
    <row r="917" spans="1:9" ht="12.75" customHeight="1" x14ac:dyDescent="0.2">
      <c r="A917" s="28">
        <v>39414</v>
      </c>
      <c r="B917" s="26" t="s">
        <v>3648</v>
      </c>
      <c r="C917" s="26" t="s">
        <v>155</v>
      </c>
      <c r="D917" s="26" t="s">
        <v>20</v>
      </c>
      <c r="E917" s="26">
        <v>6623082</v>
      </c>
      <c r="F917" s="26">
        <v>10573702</v>
      </c>
      <c r="G917" t="b">
        <f t="shared" si="44"/>
        <v>0</v>
      </c>
      <c r="H917" t="b">
        <f t="shared" si="45"/>
        <v>0</v>
      </c>
      <c r="I917" s="29">
        <f t="shared" si="46"/>
        <v>39414</v>
      </c>
    </row>
    <row r="918" spans="1:9" ht="12.75" customHeight="1" x14ac:dyDescent="0.2">
      <c r="A918" s="28">
        <v>39415</v>
      </c>
      <c r="B918" s="26" t="s">
        <v>3647</v>
      </c>
      <c r="C918" s="26" t="s">
        <v>9</v>
      </c>
      <c r="D918" s="26" t="s">
        <v>20</v>
      </c>
      <c r="E918" s="26" t="s">
        <v>20</v>
      </c>
      <c r="F918" s="26">
        <v>1383716</v>
      </c>
      <c r="G918" t="b">
        <f t="shared" si="44"/>
        <v>0</v>
      </c>
      <c r="H918" t="b">
        <f t="shared" si="45"/>
        <v>0</v>
      </c>
      <c r="I918" s="29">
        <f t="shared" si="46"/>
        <v>39415</v>
      </c>
    </row>
    <row r="919" spans="1:9" ht="12.75" customHeight="1" x14ac:dyDescent="0.2">
      <c r="A919" s="28">
        <v>39415</v>
      </c>
      <c r="B919" s="26" t="s">
        <v>3646</v>
      </c>
      <c r="C919" s="26" t="s">
        <v>9</v>
      </c>
      <c r="D919" s="26" t="s">
        <v>20</v>
      </c>
      <c r="E919" s="26" t="s">
        <v>20</v>
      </c>
      <c r="F919" s="26">
        <v>4927651</v>
      </c>
      <c r="G919" t="b">
        <f t="shared" si="44"/>
        <v>0</v>
      </c>
      <c r="H919" t="b">
        <f t="shared" si="45"/>
        <v>0</v>
      </c>
      <c r="I919" s="29">
        <f t="shared" si="46"/>
        <v>39415</v>
      </c>
    </row>
    <row r="920" spans="1:9" ht="51" x14ac:dyDescent="0.2">
      <c r="A920" s="28">
        <v>39415</v>
      </c>
      <c r="B920" s="26" t="s">
        <v>3645</v>
      </c>
      <c r="C920" s="26" t="s">
        <v>9</v>
      </c>
      <c r="D920" s="26" t="s">
        <v>20</v>
      </c>
      <c r="E920" s="26" t="s">
        <v>20</v>
      </c>
      <c r="F920" s="26">
        <v>11996501</v>
      </c>
      <c r="G920" t="b">
        <f t="shared" si="44"/>
        <v>0</v>
      </c>
      <c r="H920" t="b">
        <f t="shared" si="45"/>
        <v>0</v>
      </c>
      <c r="I920" s="29">
        <f t="shared" si="46"/>
        <v>39415</v>
      </c>
    </row>
    <row r="921" spans="1:9" ht="25.5" x14ac:dyDescent="0.2">
      <c r="A921" s="28">
        <v>39416</v>
      </c>
      <c r="B921" s="26" t="s">
        <v>3644</v>
      </c>
      <c r="C921" s="26" t="s">
        <v>9</v>
      </c>
      <c r="D921" s="26" t="s">
        <v>20</v>
      </c>
      <c r="E921" s="26" t="s">
        <v>20</v>
      </c>
      <c r="F921" s="26" t="s">
        <v>20</v>
      </c>
      <c r="G921" t="b">
        <f t="shared" si="44"/>
        <v>0</v>
      </c>
      <c r="H921" t="b">
        <f t="shared" si="45"/>
        <v>0</v>
      </c>
      <c r="I921" s="29">
        <f t="shared" si="46"/>
        <v>39416</v>
      </c>
    </row>
    <row r="922" spans="1:9" ht="25.5" x14ac:dyDescent="0.2">
      <c r="A922" s="28">
        <v>39416</v>
      </c>
      <c r="B922" s="26" t="s">
        <v>3643</v>
      </c>
      <c r="C922" s="26" t="s">
        <v>9</v>
      </c>
      <c r="D922" s="26">
        <v>14000000</v>
      </c>
      <c r="E922" s="26">
        <v>5990075</v>
      </c>
      <c r="F922" s="26">
        <v>19689095</v>
      </c>
      <c r="G922" t="b">
        <f t="shared" si="44"/>
        <v>0</v>
      </c>
      <c r="H922" t="b">
        <f t="shared" si="45"/>
        <v>0</v>
      </c>
      <c r="I922" s="29">
        <f t="shared" si="46"/>
        <v>39416</v>
      </c>
    </row>
    <row r="923" spans="1:9" ht="12.75" customHeight="1" x14ac:dyDescent="0.2">
      <c r="A923" s="28">
        <v>39416</v>
      </c>
      <c r="B923" s="26" t="s">
        <v>3642</v>
      </c>
      <c r="C923" s="26" t="s">
        <v>9</v>
      </c>
      <c r="D923" s="26" t="s">
        <v>20</v>
      </c>
      <c r="E923" s="26">
        <v>484108</v>
      </c>
      <c r="F923" s="26">
        <v>4905590</v>
      </c>
      <c r="G923" t="b">
        <f t="shared" si="44"/>
        <v>0</v>
      </c>
      <c r="H923" t="b">
        <f t="shared" si="45"/>
        <v>0</v>
      </c>
      <c r="I923" s="29">
        <f t="shared" si="46"/>
        <v>39416</v>
      </c>
    </row>
    <row r="924" spans="1:9" ht="25.5" x14ac:dyDescent="0.2">
      <c r="A924" s="28">
        <v>39416</v>
      </c>
      <c r="B924" s="26" t="s">
        <v>3641</v>
      </c>
      <c r="C924" s="26" t="s">
        <v>9</v>
      </c>
      <c r="D924" s="26" t="s">
        <v>20</v>
      </c>
      <c r="E924" s="26">
        <v>2431</v>
      </c>
      <c r="F924" s="26" t="s">
        <v>20</v>
      </c>
      <c r="G924" t="b">
        <f t="shared" si="44"/>
        <v>0</v>
      </c>
      <c r="H924" t="b">
        <f t="shared" si="45"/>
        <v>0</v>
      </c>
      <c r="I924" s="29">
        <f t="shared" si="46"/>
        <v>39416</v>
      </c>
    </row>
    <row r="925" spans="1:9" ht="12.75" customHeight="1" x14ac:dyDescent="0.2">
      <c r="A925" s="28">
        <v>39416</v>
      </c>
      <c r="B925" s="26" t="s">
        <v>3640</v>
      </c>
      <c r="C925" s="26" t="s">
        <v>9</v>
      </c>
      <c r="D925" s="26" t="s">
        <v>20</v>
      </c>
      <c r="E925" s="26">
        <v>13850</v>
      </c>
      <c r="F925" s="26" t="s">
        <v>20</v>
      </c>
      <c r="G925" t="b">
        <f t="shared" si="44"/>
        <v>0</v>
      </c>
      <c r="H925" t="b">
        <f t="shared" si="45"/>
        <v>0</v>
      </c>
      <c r="I925" s="29">
        <f t="shared" si="46"/>
        <v>39416</v>
      </c>
    </row>
    <row r="926" spans="1:9" x14ac:dyDescent="0.2">
      <c r="A926" s="28">
        <v>39416</v>
      </c>
      <c r="B926" s="26" t="s">
        <v>3639</v>
      </c>
      <c r="C926" s="26" t="s">
        <v>9</v>
      </c>
      <c r="D926" s="26" t="s">
        <v>20</v>
      </c>
      <c r="E926" s="26" t="s">
        <v>20</v>
      </c>
      <c r="F926" s="26" t="s">
        <v>20</v>
      </c>
      <c r="G926" t="b">
        <f t="shared" si="44"/>
        <v>0</v>
      </c>
      <c r="H926" t="b">
        <f t="shared" si="45"/>
        <v>0</v>
      </c>
      <c r="I926" s="29">
        <f t="shared" si="46"/>
        <v>39416</v>
      </c>
    </row>
    <row r="927" spans="1:9" ht="12.75" customHeight="1" x14ac:dyDescent="0.2">
      <c r="A927" s="28">
        <v>39416</v>
      </c>
      <c r="B927" s="26" t="s">
        <v>3638</v>
      </c>
      <c r="C927" s="26" t="s">
        <v>9</v>
      </c>
      <c r="D927" s="26" t="s">
        <v>20</v>
      </c>
      <c r="E927" s="26">
        <v>1924</v>
      </c>
      <c r="F927" s="26" t="s">
        <v>20</v>
      </c>
      <c r="G927" t="b">
        <f t="shared" si="44"/>
        <v>0</v>
      </c>
      <c r="H927" t="b">
        <f t="shared" si="45"/>
        <v>0</v>
      </c>
      <c r="I927" s="29">
        <f t="shared" si="46"/>
        <v>39416</v>
      </c>
    </row>
    <row r="928" spans="1:9" ht="12.75" customHeight="1" x14ac:dyDescent="0.2">
      <c r="A928" s="28">
        <v>39416</v>
      </c>
      <c r="B928" s="26" t="s">
        <v>3637</v>
      </c>
      <c r="C928" s="26" t="s">
        <v>9</v>
      </c>
      <c r="D928" s="26" t="s">
        <v>20</v>
      </c>
      <c r="E928" s="26" t="s">
        <v>20</v>
      </c>
      <c r="F928" s="26" t="s">
        <v>20</v>
      </c>
      <c r="G928" t="b">
        <f t="shared" si="44"/>
        <v>0</v>
      </c>
      <c r="H928" t="b">
        <f t="shared" si="45"/>
        <v>0</v>
      </c>
      <c r="I928" s="29">
        <f t="shared" si="46"/>
        <v>39416</v>
      </c>
    </row>
    <row r="929" spans="1:9" ht="12.75" customHeight="1" x14ac:dyDescent="0.2">
      <c r="A929" s="28">
        <v>39416</v>
      </c>
      <c r="B929" s="26" t="s">
        <v>3636</v>
      </c>
      <c r="C929" s="26" t="s">
        <v>3537</v>
      </c>
      <c r="D929" s="26">
        <v>8600000</v>
      </c>
      <c r="E929" s="26">
        <v>14373825</v>
      </c>
      <c r="F929" s="26">
        <v>30757745</v>
      </c>
      <c r="G929" t="b">
        <f t="shared" si="44"/>
        <v>0</v>
      </c>
      <c r="H929" t="b">
        <f t="shared" si="45"/>
        <v>0</v>
      </c>
      <c r="I929" s="29">
        <f t="shared" si="46"/>
        <v>39416</v>
      </c>
    </row>
    <row r="930" spans="1:9" ht="25.5" x14ac:dyDescent="0.2">
      <c r="A930" s="28">
        <v>39416</v>
      </c>
      <c r="B930" s="26" t="s">
        <v>3635</v>
      </c>
      <c r="C930" s="26" t="s">
        <v>3538</v>
      </c>
      <c r="D930" s="26" t="s">
        <v>20</v>
      </c>
      <c r="E930" s="26">
        <v>1485</v>
      </c>
      <c r="F930" s="26" t="s">
        <v>20</v>
      </c>
      <c r="G930" t="b">
        <f t="shared" si="44"/>
        <v>0</v>
      </c>
      <c r="H930" t="b">
        <f t="shared" si="45"/>
        <v>0</v>
      </c>
      <c r="I930" s="29">
        <f t="shared" si="46"/>
        <v>39416</v>
      </c>
    </row>
    <row r="931" spans="1:9" ht="12.75" customHeight="1" x14ac:dyDescent="0.2">
      <c r="A931" s="28">
        <v>39416</v>
      </c>
      <c r="B931" s="26" t="s">
        <v>3634</v>
      </c>
      <c r="C931" s="26" t="s">
        <v>1619</v>
      </c>
      <c r="D931" s="26" t="s">
        <v>20</v>
      </c>
      <c r="E931" s="26">
        <v>488</v>
      </c>
      <c r="F931" s="26" t="s">
        <v>20</v>
      </c>
      <c r="G931" t="b">
        <f t="shared" si="44"/>
        <v>0</v>
      </c>
      <c r="H931" t="b">
        <f t="shared" si="45"/>
        <v>0</v>
      </c>
      <c r="I931" s="29">
        <f t="shared" si="46"/>
        <v>39416</v>
      </c>
    </row>
    <row r="932" spans="1:9" ht="25.5" x14ac:dyDescent="0.2">
      <c r="A932" s="28">
        <v>39416</v>
      </c>
      <c r="B932" s="26" t="s">
        <v>3633</v>
      </c>
      <c r="C932" s="26" t="s">
        <v>3466</v>
      </c>
      <c r="D932" s="26" t="s">
        <v>20</v>
      </c>
      <c r="E932" s="26">
        <v>2370</v>
      </c>
      <c r="F932" s="26" t="s">
        <v>20</v>
      </c>
      <c r="G932" t="b">
        <f t="shared" si="44"/>
        <v>0</v>
      </c>
      <c r="H932" t="b">
        <f t="shared" si="45"/>
        <v>0</v>
      </c>
      <c r="I932" s="29">
        <f t="shared" si="46"/>
        <v>39416</v>
      </c>
    </row>
    <row r="933" spans="1:9" ht="12.75" customHeight="1" x14ac:dyDescent="0.2">
      <c r="A933" s="28">
        <v>39416</v>
      </c>
      <c r="B933" s="26" t="s">
        <v>3632</v>
      </c>
      <c r="C933" s="26" t="s">
        <v>1619</v>
      </c>
      <c r="D933" s="26" t="s">
        <v>20</v>
      </c>
      <c r="E933" s="26">
        <v>279</v>
      </c>
      <c r="F933" s="26" t="s">
        <v>20</v>
      </c>
      <c r="G933" t="b">
        <f t="shared" si="44"/>
        <v>0</v>
      </c>
      <c r="H933" t="b">
        <f t="shared" si="45"/>
        <v>0</v>
      </c>
      <c r="I933" s="29">
        <f t="shared" si="46"/>
        <v>39416</v>
      </c>
    </row>
    <row r="934" spans="1:9" ht="25.5" x14ac:dyDescent="0.2">
      <c r="A934" s="28">
        <v>39416</v>
      </c>
      <c r="B934" s="26" t="s">
        <v>3631</v>
      </c>
      <c r="C934" s="26" t="s">
        <v>1992</v>
      </c>
      <c r="D934" s="26" t="s">
        <v>20</v>
      </c>
      <c r="E934" s="26">
        <v>9458</v>
      </c>
      <c r="F934" s="26" t="s">
        <v>20</v>
      </c>
      <c r="G934" t="b">
        <f t="shared" si="44"/>
        <v>0</v>
      </c>
      <c r="H934" t="b">
        <f t="shared" si="45"/>
        <v>0</v>
      </c>
      <c r="I934" s="29">
        <f t="shared" si="46"/>
        <v>39416</v>
      </c>
    </row>
    <row r="935" spans="1:9" ht="12.75" customHeight="1" x14ac:dyDescent="0.2">
      <c r="A935" s="28">
        <v>39416</v>
      </c>
      <c r="B935" s="26" t="s">
        <v>3630</v>
      </c>
      <c r="C935" s="26" t="s">
        <v>9</v>
      </c>
      <c r="D935" s="26" t="s">
        <v>20</v>
      </c>
      <c r="E935" s="26">
        <v>1796</v>
      </c>
      <c r="F935" s="26" t="s">
        <v>20</v>
      </c>
      <c r="G935" t="b">
        <f t="shared" si="44"/>
        <v>0</v>
      </c>
      <c r="H935" t="b">
        <f t="shared" si="45"/>
        <v>0</v>
      </c>
      <c r="I935" s="29">
        <f t="shared" si="46"/>
        <v>39416</v>
      </c>
    </row>
    <row r="936" spans="1:9" ht="38.25" x14ac:dyDescent="0.2">
      <c r="A936" s="28">
        <v>39416</v>
      </c>
      <c r="B936" s="26" t="s">
        <v>3629</v>
      </c>
      <c r="C936" s="26" t="s">
        <v>9</v>
      </c>
      <c r="D936" s="26" t="s">
        <v>20</v>
      </c>
      <c r="E936" s="26" t="s">
        <v>20</v>
      </c>
      <c r="F936" s="26">
        <v>10597501</v>
      </c>
      <c r="G936" t="b">
        <f t="shared" si="44"/>
        <v>0</v>
      </c>
      <c r="H936" t="b">
        <f t="shared" si="45"/>
        <v>0</v>
      </c>
      <c r="I936" s="29">
        <f t="shared" si="46"/>
        <v>39416</v>
      </c>
    </row>
    <row r="937" spans="1:9" ht="12.75" customHeight="1" x14ac:dyDescent="0.2">
      <c r="A937" s="28">
        <v>39417</v>
      </c>
      <c r="B937" s="26" t="s">
        <v>3628</v>
      </c>
      <c r="C937" s="26" t="s">
        <v>9</v>
      </c>
      <c r="D937" s="26" t="s">
        <v>20</v>
      </c>
      <c r="E937" s="26" t="s">
        <v>20</v>
      </c>
      <c r="F937" s="26">
        <v>3675205</v>
      </c>
      <c r="G937" t="b">
        <f t="shared" si="44"/>
        <v>0</v>
      </c>
      <c r="H937" t="b">
        <f t="shared" si="45"/>
        <v>0</v>
      </c>
      <c r="I937" s="29">
        <f t="shared" si="46"/>
        <v>39417</v>
      </c>
    </row>
    <row r="938" spans="1:9" ht="38.25" x14ac:dyDescent="0.2">
      <c r="A938" s="28">
        <v>39421</v>
      </c>
      <c r="B938" s="26" t="s">
        <v>3627</v>
      </c>
      <c r="C938" s="26" t="s">
        <v>9</v>
      </c>
      <c r="D938" s="26" t="s">
        <v>20</v>
      </c>
      <c r="E938" s="26" t="s">
        <v>20</v>
      </c>
      <c r="F938" s="26">
        <v>1213399</v>
      </c>
      <c r="G938" t="b">
        <f t="shared" si="44"/>
        <v>0</v>
      </c>
      <c r="H938" t="b">
        <f t="shared" si="45"/>
        <v>0</v>
      </c>
      <c r="I938" s="29">
        <f t="shared" si="46"/>
        <v>39421</v>
      </c>
    </row>
    <row r="939" spans="1:9" ht="12.75" customHeight="1" x14ac:dyDescent="0.2">
      <c r="A939" s="28">
        <v>39421</v>
      </c>
      <c r="B939" s="26" t="s">
        <v>3626</v>
      </c>
      <c r="C939" s="26" t="s">
        <v>9</v>
      </c>
      <c r="D939" s="26">
        <v>7000000</v>
      </c>
      <c r="E939" s="26">
        <v>143495265</v>
      </c>
      <c r="F939" s="26">
        <v>230327671</v>
      </c>
      <c r="G939" t="b">
        <f t="shared" si="44"/>
        <v>0</v>
      </c>
      <c r="H939" t="b">
        <f t="shared" si="45"/>
        <v>0</v>
      </c>
      <c r="I939" s="29">
        <f t="shared" si="46"/>
        <v>39421</v>
      </c>
    </row>
    <row r="940" spans="1:9" ht="12.75" customHeight="1" x14ac:dyDescent="0.2">
      <c r="A940" s="28">
        <v>39421</v>
      </c>
      <c r="B940" s="26" t="s">
        <v>3625</v>
      </c>
      <c r="C940" s="26" t="s">
        <v>9</v>
      </c>
      <c r="D940" s="26" t="s">
        <v>20</v>
      </c>
      <c r="E940" s="26">
        <v>50304</v>
      </c>
      <c r="F940" s="26">
        <v>8084371</v>
      </c>
      <c r="G940" t="b">
        <f t="shared" si="44"/>
        <v>0</v>
      </c>
      <c r="H940" t="b">
        <f t="shared" si="45"/>
        <v>0</v>
      </c>
      <c r="I940" s="29">
        <f t="shared" si="46"/>
        <v>39421</v>
      </c>
    </row>
    <row r="941" spans="1:9" ht="12.75" customHeight="1" x14ac:dyDescent="0.2">
      <c r="A941" s="28">
        <v>39421</v>
      </c>
      <c r="B941" s="26" t="s">
        <v>3624</v>
      </c>
      <c r="C941" s="26" t="s">
        <v>9</v>
      </c>
      <c r="D941" s="26" t="s">
        <v>20</v>
      </c>
      <c r="E941" s="26">
        <v>65298</v>
      </c>
      <c r="F941" s="26" t="s">
        <v>20</v>
      </c>
      <c r="G941" t="b">
        <f t="shared" si="44"/>
        <v>0</v>
      </c>
      <c r="H941" t="b">
        <f t="shared" si="45"/>
        <v>0</v>
      </c>
      <c r="I941" s="29">
        <f t="shared" si="46"/>
        <v>39421</v>
      </c>
    </row>
    <row r="942" spans="1:9" ht="12.75" customHeight="1" x14ac:dyDescent="0.2">
      <c r="A942" s="28">
        <v>39421</v>
      </c>
      <c r="B942" s="26" t="s">
        <v>3623</v>
      </c>
      <c r="C942" s="26" t="s">
        <v>9</v>
      </c>
      <c r="D942" s="26" t="s">
        <v>20</v>
      </c>
      <c r="E942" s="26">
        <v>43129</v>
      </c>
      <c r="F942" s="26" t="s">
        <v>20</v>
      </c>
      <c r="G942" t="b">
        <f t="shared" si="44"/>
        <v>0</v>
      </c>
      <c r="H942" t="b">
        <f t="shared" si="45"/>
        <v>0</v>
      </c>
      <c r="I942" s="29">
        <f t="shared" si="46"/>
        <v>39421</v>
      </c>
    </row>
    <row r="943" spans="1:9" ht="25.5" x14ac:dyDescent="0.2">
      <c r="A943" s="28">
        <v>39421</v>
      </c>
      <c r="B943" s="26" t="s">
        <v>3622</v>
      </c>
      <c r="C943" s="26" t="s">
        <v>9</v>
      </c>
      <c r="D943" s="26" t="s">
        <v>20</v>
      </c>
      <c r="E943" s="26" t="s">
        <v>20</v>
      </c>
      <c r="F943" s="26" t="s">
        <v>20</v>
      </c>
      <c r="G943" t="b">
        <f t="shared" si="44"/>
        <v>0</v>
      </c>
      <c r="H943" t="b">
        <f t="shared" si="45"/>
        <v>0</v>
      </c>
      <c r="I943" s="29">
        <f t="shared" si="46"/>
        <v>39421</v>
      </c>
    </row>
    <row r="944" spans="1:9" ht="12.75" customHeight="1" x14ac:dyDescent="0.2">
      <c r="A944" s="28">
        <v>39423</v>
      </c>
      <c r="B944" s="26" t="s">
        <v>3621</v>
      </c>
      <c r="C944" s="26" t="s">
        <v>9</v>
      </c>
      <c r="D944" s="26">
        <v>2600000</v>
      </c>
      <c r="E944" s="26" t="s">
        <v>20</v>
      </c>
      <c r="F944" s="26" t="s">
        <v>20</v>
      </c>
      <c r="G944" t="b">
        <f t="shared" ref="G944:G1007" si="47">ISBLANK(A944)</f>
        <v>0</v>
      </c>
      <c r="H944" t="b">
        <f t="shared" ref="H944:H1007" si="48">ISTEXT(A944)</f>
        <v>0</v>
      </c>
      <c r="I944" s="29">
        <f t="shared" si="46"/>
        <v>39423</v>
      </c>
    </row>
    <row r="945" spans="1:9" ht="25.5" x14ac:dyDescent="0.2">
      <c r="A945" s="28">
        <v>39423</v>
      </c>
      <c r="B945" s="26" t="s">
        <v>3620</v>
      </c>
      <c r="C945" s="26" t="s">
        <v>9</v>
      </c>
      <c r="D945" s="26" t="s">
        <v>20</v>
      </c>
      <c r="E945" s="26">
        <v>51933</v>
      </c>
      <c r="F945" s="26" t="s">
        <v>20</v>
      </c>
      <c r="G945" t="b">
        <f t="shared" si="47"/>
        <v>0</v>
      </c>
      <c r="H945" t="b">
        <f t="shared" si="48"/>
        <v>0</v>
      </c>
      <c r="I945" s="29">
        <f t="shared" si="46"/>
        <v>39423</v>
      </c>
    </row>
    <row r="946" spans="1:9" ht="38.25" x14ac:dyDescent="0.2">
      <c r="A946" s="28">
        <v>39423</v>
      </c>
      <c r="B946" s="26" t="s">
        <v>3619</v>
      </c>
      <c r="C946" s="26" t="s">
        <v>2460</v>
      </c>
      <c r="D946" s="26">
        <v>205000000</v>
      </c>
      <c r="E946" s="26">
        <v>70107728</v>
      </c>
      <c r="F946" s="26">
        <v>372234864</v>
      </c>
      <c r="G946" t="b">
        <f t="shared" si="47"/>
        <v>0</v>
      </c>
      <c r="H946" t="b">
        <f t="shared" si="48"/>
        <v>0</v>
      </c>
      <c r="I946" s="29">
        <f t="shared" si="46"/>
        <v>39423</v>
      </c>
    </row>
    <row r="947" spans="1:9" ht="12.75" customHeight="1" x14ac:dyDescent="0.2">
      <c r="A947" s="28">
        <v>39423</v>
      </c>
      <c r="B947" s="26" t="s">
        <v>3618</v>
      </c>
      <c r="C947" s="26" t="s">
        <v>9</v>
      </c>
      <c r="D947" s="26" t="s">
        <v>20</v>
      </c>
      <c r="E947" s="26">
        <v>219071</v>
      </c>
      <c r="F947" s="26">
        <v>1571158</v>
      </c>
      <c r="G947" t="b">
        <f t="shared" si="47"/>
        <v>0</v>
      </c>
      <c r="H947" t="b">
        <f t="shared" si="48"/>
        <v>0</v>
      </c>
      <c r="I947" s="29">
        <f t="shared" si="46"/>
        <v>39423</v>
      </c>
    </row>
    <row r="948" spans="1:9" ht="38.25" x14ac:dyDescent="0.2">
      <c r="A948" s="28">
        <v>39423</v>
      </c>
      <c r="B948" s="26" t="s">
        <v>3617</v>
      </c>
      <c r="C948" s="26" t="s">
        <v>9</v>
      </c>
      <c r="D948" s="26" t="s">
        <v>20</v>
      </c>
      <c r="E948" s="26">
        <v>1476</v>
      </c>
      <c r="F948" s="26" t="s">
        <v>20</v>
      </c>
      <c r="G948" t="b">
        <f t="shared" si="47"/>
        <v>0</v>
      </c>
      <c r="H948" t="b">
        <f t="shared" si="48"/>
        <v>0</v>
      </c>
      <c r="I948" s="29">
        <f t="shared" si="46"/>
        <v>39423</v>
      </c>
    </row>
    <row r="949" spans="1:9" ht="25.5" x14ac:dyDescent="0.2">
      <c r="A949" s="28">
        <v>39423</v>
      </c>
      <c r="B949" s="26" t="s">
        <v>3616</v>
      </c>
      <c r="C949" s="26" t="s">
        <v>9</v>
      </c>
      <c r="D949" s="26" t="s">
        <v>20</v>
      </c>
      <c r="E949" s="26">
        <v>425077</v>
      </c>
      <c r="F949" s="26" t="s">
        <v>20</v>
      </c>
      <c r="G949" t="b">
        <f t="shared" si="47"/>
        <v>0</v>
      </c>
      <c r="H949" t="b">
        <f t="shared" si="48"/>
        <v>0</v>
      </c>
      <c r="I949" s="29">
        <f t="shared" si="46"/>
        <v>39423</v>
      </c>
    </row>
    <row r="950" spans="1:9" ht="12.75" customHeight="1" x14ac:dyDescent="0.2">
      <c r="A950" s="28">
        <v>39423</v>
      </c>
      <c r="B950" s="26" t="s">
        <v>3615</v>
      </c>
      <c r="C950" s="26" t="s">
        <v>1319</v>
      </c>
      <c r="D950" s="26" t="s">
        <v>20</v>
      </c>
      <c r="E950" s="26">
        <v>84738</v>
      </c>
      <c r="F950" s="26">
        <v>7084738</v>
      </c>
      <c r="G950" t="b">
        <f t="shared" si="47"/>
        <v>0</v>
      </c>
      <c r="H950" t="b">
        <f t="shared" si="48"/>
        <v>0</v>
      </c>
      <c r="I950" s="29">
        <f t="shared" si="46"/>
        <v>39423</v>
      </c>
    </row>
    <row r="951" spans="1:9" ht="12.75" customHeight="1" x14ac:dyDescent="0.2">
      <c r="A951" s="28">
        <v>39423</v>
      </c>
      <c r="B951" s="26" t="s">
        <v>3614</v>
      </c>
      <c r="C951" s="26" t="s">
        <v>9</v>
      </c>
      <c r="D951" s="26" t="s">
        <v>20</v>
      </c>
      <c r="E951" s="26">
        <v>16334</v>
      </c>
      <c r="F951" s="26" t="s">
        <v>20</v>
      </c>
      <c r="G951" t="b">
        <f t="shared" si="47"/>
        <v>0</v>
      </c>
      <c r="H951" t="b">
        <f t="shared" si="48"/>
        <v>0</v>
      </c>
      <c r="I951" s="29">
        <f t="shared" si="46"/>
        <v>39423</v>
      </c>
    </row>
    <row r="952" spans="1:9" ht="25.5" x14ac:dyDescent="0.2">
      <c r="A952" s="28">
        <v>39423</v>
      </c>
      <c r="B952" s="26" t="s">
        <v>3613</v>
      </c>
      <c r="C952" s="26" t="s">
        <v>9</v>
      </c>
      <c r="D952" s="26" t="s">
        <v>20</v>
      </c>
      <c r="E952" s="26">
        <v>1491525</v>
      </c>
      <c r="F952" s="26">
        <v>2379375</v>
      </c>
      <c r="G952" t="b">
        <f t="shared" si="47"/>
        <v>0</v>
      </c>
      <c r="H952" t="b">
        <f t="shared" si="48"/>
        <v>0</v>
      </c>
      <c r="I952" s="29">
        <f t="shared" si="46"/>
        <v>39423</v>
      </c>
    </row>
    <row r="953" spans="1:9" ht="12.75" customHeight="1" x14ac:dyDescent="0.2">
      <c r="A953" s="28">
        <v>39423</v>
      </c>
      <c r="B953" s="26" t="s">
        <v>3612</v>
      </c>
      <c r="C953" s="26" t="s">
        <v>2624</v>
      </c>
      <c r="D953" s="26" t="s">
        <v>20</v>
      </c>
      <c r="E953" s="26">
        <v>20138</v>
      </c>
      <c r="F953" s="26" t="s">
        <v>20</v>
      </c>
      <c r="G953" t="b">
        <f t="shared" si="47"/>
        <v>0</v>
      </c>
      <c r="H953" t="b">
        <f t="shared" si="48"/>
        <v>0</v>
      </c>
      <c r="I953" s="29">
        <f t="shared" si="46"/>
        <v>39423</v>
      </c>
    </row>
    <row r="954" spans="1:9" ht="12.75" customHeight="1" x14ac:dyDescent="0.2">
      <c r="A954" s="28">
        <v>39423</v>
      </c>
      <c r="B954" s="26" t="s">
        <v>3611</v>
      </c>
      <c r="C954" s="26" t="s">
        <v>3233</v>
      </c>
      <c r="D954" s="26" t="s">
        <v>20</v>
      </c>
      <c r="E954" s="26">
        <v>79698</v>
      </c>
      <c r="F954" s="26">
        <v>508203</v>
      </c>
      <c r="G954" t="b">
        <f t="shared" si="47"/>
        <v>0</v>
      </c>
      <c r="H954" t="b">
        <f t="shared" si="48"/>
        <v>0</v>
      </c>
      <c r="I954" s="29">
        <f t="shared" si="46"/>
        <v>39423</v>
      </c>
    </row>
    <row r="955" spans="1:9" ht="12.75" customHeight="1" x14ac:dyDescent="0.2">
      <c r="A955" s="28">
        <v>39423</v>
      </c>
      <c r="B955" s="26" t="s">
        <v>3610</v>
      </c>
      <c r="C955" s="26" t="s">
        <v>698</v>
      </c>
      <c r="D955" s="26">
        <v>30000000</v>
      </c>
      <c r="E955" s="26">
        <v>50980159</v>
      </c>
      <c r="F955" s="26">
        <v>129425746</v>
      </c>
      <c r="G955" t="b">
        <f t="shared" si="47"/>
        <v>0</v>
      </c>
      <c r="H955" t="b">
        <f t="shared" si="48"/>
        <v>0</v>
      </c>
      <c r="I955" s="29">
        <f t="shared" si="46"/>
        <v>39423</v>
      </c>
    </row>
    <row r="956" spans="1:9" ht="12.75" customHeight="1" x14ac:dyDescent="0.2">
      <c r="A956" s="28">
        <v>39423</v>
      </c>
      <c r="B956" s="26" t="s">
        <v>3609</v>
      </c>
      <c r="C956" s="26" t="s">
        <v>9</v>
      </c>
      <c r="D956" s="26" t="s">
        <v>20</v>
      </c>
      <c r="E956" s="26">
        <v>257868</v>
      </c>
      <c r="F956" s="26" t="s">
        <v>20</v>
      </c>
      <c r="G956" t="b">
        <f t="shared" si="47"/>
        <v>0</v>
      </c>
      <c r="H956" t="b">
        <f t="shared" si="48"/>
        <v>0</v>
      </c>
      <c r="I956" s="29">
        <f t="shared" si="46"/>
        <v>39423</v>
      </c>
    </row>
    <row r="957" spans="1:9" ht="25.5" x14ac:dyDescent="0.2">
      <c r="A957" s="28">
        <v>39423</v>
      </c>
      <c r="B957" s="26" t="s">
        <v>3608</v>
      </c>
      <c r="C957" s="26" t="s">
        <v>9</v>
      </c>
      <c r="D957" s="26" t="s">
        <v>20</v>
      </c>
      <c r="E957" s="26">
        <v>848</v>
      </c>
      <c r="F957" s="26" t="s">
        <v>20</v>
      </c>
      <c r="G957" t="b">
        <f t="shared" si="47"/>
        <v>0</v>
      </c>
      <c r="H957" t="b">
        <f t="shared" si="48"/>
        <v>0</v>
      </c>
      <c r="I957" s="29">
        <f t="shared" si="46"/>
        <v>39423</v>
      </c>
    </row>
    <row r="958" spans="1:9" ht="12.75" customHeight="1" x14ac:dyDescent="0.2">
      <c r="A958" s="28">
        <v>39423</v>
      </c>
      <c r="B958" s="26" t="s">
        <v>3607</v>
      </c>
      <c r="C958" s="26" t="s">
        <v>49</v>
      </c>
      <c r="D958" s="26" t="s">
        <v>20</v>
      </c>
      <c r="E958" s="26">
        <v>50080</v>
      </c>
      <c r="F958" s="26" t="s">
        <v>20</v>
      </c>
      <c r="G958" t="b">
        <f t="shared" si="47"/>
        <v>0</v>
      </c>
      <c r="H958" t="b">
        <f t="shared" si="48"/>
        <v>0</v>
      </c>
      <c r="I958" s="29">
        <f t="shared" si="46"/>
        <v>39423</v>
      </c>
    </row>
    <row r="959" spans="1:9" x14ac:dyDescent="0.2">
      <c r="A959" s="28">
        <v>39423</v>
      </c>
      <c r="B959" s="26" t="s">
        <v>3606</v>
      </c>
      <c r="C959" s="26" t="s">
        <v>1095</v>
      </c>
      <c r="D959" s="26" t="s">
        <v>20</v>
      </c>
      <c r="E959" s="26">
        <v>222927</v>
      </c>
      <c r="F959" s="26" t="s">
        <v>20</v>
      </c>
      <c r="G959" t="b">
        <f t="shared" si="47"/>
        <v>0</v>
      </c>
      <c r="H959" t="b">
        <f t="shared" si="48"/>
        <v>0</v>
      </c>
      <c r="I959" s="29">
        <f t="shared" si="46"/>
        <v>39423</v>
      </c>
    </row>
    <row r="960" spans="1:9" ht="12.75" customHeight="1" x14ac:dyDescent="0.2">
      <c r="A960" s="28">
        <v>39423</v>
      </c>
      <c r="B960" s="26" t="s">
        <v>3605</v>
      </c>
      <c r="C960" s="26" t="s">
        <v>2051</v>
      </c>
      <c r="D960" s="26" t="s">
        <v>20</v>
      </c>
      <c r="E960" s="26">
        <v>973</v>
      </c>
      <c r="F960" s="26" t="s">
        <v>20</v>
      </c>
      <c r="G960" t="b">
        <f t="shared" si="47"/>
        <v>0</v>
      </c>
      <c r="H960" t="b">
        <f t="shared" si="48"/>
        <v>0</v>
      </c>
      <c r="I960" s="29">
        <f t="shared" si="46"/>
        <v>39423</v>
      </c>
    </row>
    <row r="961" spans="1:9" ht="12.75" customHeight="1" x14ac:dyDescent="0.2">
      <c r="A961" s="28">
        <v>39423</v>
      </c>
      <c r="B961" s="26" t="s">
        <v>3604</v>
      </c>
      <c r="C961" s="26" t="s">
        <v>9</v>
      </c>
      <c r="D961" s="26" t="s">
        <v>20</v>
      </c>
      <c r="E961" s="26" t="s">
        <v>20</v>
      </c>
      <c r="F961" s="26" t="s">
        <v>20</v>
      </c>
      <c r="G961" t="b">
        <f t="shared" si="47"/>
        <v>0</v>
      </c>
      <c r="H961" t="b">
        <f t="shared" si="48"/>
        <v>0</v>
      </c>
      <c r="I961" s="29">
        <f t="shared" si="46"/>
        <v>39423</v>
      </c>
    </row>
    <row r="962" spans="1:9" ht="25.5" x14ac:dyDescent="0.2">
      <c r="A962" s="28">
        <v>39424</v>
      </c>
      <c r="B962" s="26" t="s">
        <v>3603</v>
      </c>
      <c r="C962" s="26" t="s">
        <v>9</v>
      </c>
      <c r="D962" s="26" t="s">
        <v>20</v>
      </c>
      <c r="E962" s="26" t="s">
        <v>20</v>
      </c>
      <c r="F962" s="26">
        <v>25513520</v>
      </c>
      <c r="G962" t="b">
        <f t="shared" si="47"/>
        <v>0</v>
      </c>
      <c r="H962" t="b">
        <f t="shared" si="48"/>
        <v>0</v>
      </c>
      <c r="I962" s="29">
        <f t="shared" si="46"/>
        <v>39424</v>
      </c>
    </row>
    <row r="963" spans="1:9" ht="25.5" x14ac:dyDescent="0.2">
      <c r="A963" s="28">
        <v>39428</v>
      </c>
      <c r="B963" s="26" t="s">
        <v>3602</v>
      </c>
      <c r="C963" s="26" t="s">
        <v>82</v>
      </c>
      <c r="D963" s="26" t="s">
        <v>20</v>
      </c>
      <c r="E963" s="26">
        <v>5812781</v>
      </c>
      <c r="F963" s="26" t="s">
        <v>20</v>
      </c>
      <c r="G963" t="b">
        <f t="shared" si="47"/>
        <v>0</v>
      </c>
      <c r="H963" t="b">
        <f t="shared" si="48"/>
        <v>0</v>
      </c>
      <c r="I963" s="29">
        <f t="shared" ref="I963:I1020" si="49">DATE(2007,MONTH(A963), DAY(A963))</f>
        <v>39428</v>
      </c>
    </row>
    <row r="964" spans="1:9" ht="12.75" customHeight="1" x14ac:dyDescent="0.2">
      <c r="A964" s="28">
        <v>39428</v>
      </c>
      <c r="B964" s="26" t="s">
        <v>3601</v>
      </c>
      <c r="C964" s="26" t="s">
        <v>9</v>
      </c>
      <c r="D964" s="26" t="s">
        <v>20</v>
      </c>
      <c r="E964" s="26" t="s">
        <v>20</v>
      </c>
      <c r="F964" s="26">
        <v>718625</v>
      </c>
      <c r="G964" t="b">
        <f t="shared" si="47"/>
        <v>0</v>
      </c>
      <c r="H964" t="b">
        <f t="shared" si="48"/>
        <v>0</v>
      </c>
      <c r="I964" s="29">
        <f t="shared" si="49"/>
        <v>39428</v>
      </c>
    </row>
    <row r="965" spans="1:9" ht="12.75" customHeight="1" x14ac:dyDescent="0.2">
      <c r="A965" s="28">
        <v>39428</v>
      </c>
      <c r="B965" s="26" t="s">
        <v>3600</v>
      </c>
      <c r="C965" s="26" t="s">
        <v>3539</v>
      </c>
      <c r="D965" s="26" t="s">
        <v>20</v>
      </c>
      <c r="E965" s="26" t="s">
        <v>20</v>
      </c>
      <c r="F965" s="26">
        <v>10599297</v>
      </c>
      <c r="G965" t="b">
        <f t="shared" si="47"/>
        <v>0</v>
      </c>
      <c r="H965" t="b">
        <f t="shared" si="48"/>
        <v>0</v>
      </c>
      <c r="I965" s="29">
        <f t="shared" si="49"/>
        <v>39428</v>
      </c>
    </row>
    <row r="966" spans="1:9" ht="12.75" customHeight="1" x14ac:dyDescent="0.2">
      <c r="A966" s="28">
        <v>39428</v>
      </c>
      <c r="B966" s="26" t="s">
        <v>3599</v>
      </c>
      <c r="C966" s="26" t="s">
        <v>3540</v>
      </c>
      <c r="D966" s="26" t="s">
        <v>20</v>
      </c>
      <c r="E966" s="26" t="s">
        <v>20</v>
      </c>
      <c r="F966" s="26">
        <v>766469</v>
      </c>
      <c r="G966" t="b">
        <f t="shared" si="47"/>
        <v>0</v>
      </c>
      <c r="H966" t="b">
        <f t="shared" si="48"/>
        <v>0</v>
      </c>
      <c r="I966" s="29">
        <f t="shared" si="49"/>
        <v>39428</v>
      </c>
    </row>
    <row r="967" spans="1:9" ht="12.75" customHeight="1" x14ac:dyDescent="0.2">
      <c r="A967" s="28">
        <v>39428</v>
      </c>
      <c r="B967" s="26" t="s">
        <v>3598</v>
      </c>
      <c r="C967" s="26" t="s">
        <v>9</v>
      </c>
      <c r="D967" s="26" t="s">
        <v>20</v>
      </c>
      <c r="E967" s="26">
        <v>161182</v>
      </c>
      <c r="F967" s="26">
        <v>565934</v>
      </c>
      <c r="G967" t="b">
        <f t="shared" si="47"/>
        <v>0</v>
      </c>
      <c r="H967" t="b">
        <f t="shared" si="48"/>
        <v>0</v>
      </c>
      <c r="I967" s="29">
        <f t="shared" si="49"/>
        <v>39428</v>
      </c>
    </row>
    <row r="968" spans="1:9" ht="12.75" customHeight="1" x14ac:dyDescent="0.2">
      <c r="A968" s="28">
        <v>39428</v>
      </c>
      <c r="B968" s="26" t="s">
        <v>3597</v>
      </c>
      <c r="C968" s="26" t="s">
        <v>2256</v>
      </c>
      <c r="D968" s="26" t="s">
        <v>20</v>
      </c>
      <c r="E968" s="26" t="s">
        <v>20</v>
      </c>
      <c r="F968" s="26" t="s">
        <v>20</v>
      </c>
      <c r="G968" t="b">
        <f t="shared" si="47"/>
        <v>0</v>
      </c>
      <c r="H968" t="b">
        <f t="shared" si="48"/>
        <v>0</v>
      </c>
      <c r="I968" s="29">
        <f t="shared" si="49"/>
        <v>39428</v>
      </c>
    </row>
    <row r="969" spans="1:9" ht="12.75" customHeight="1" x14ac:dyDescent="0.2">
      <c r="A969" s="28">
        <v>39428</v>
      </c>
      <c r="B969" s="26" t="s">
        <v>3596</v>
      </c>
      <c r="C969" s="26" t="s">
        <v>9</v>
      </c>
      <c r="D969" s="26" t="s">
        <v>20</v>
      </c>
      <c r="E969" s="26" t="s">
        <v>20</v>
      </c>
      <c r="F969" s="26" t="s">
        <v>20</v>
      </c>
      <c r="G969" t="b">
        <f t="shared" si="47"/>
        <v>0</v>
      </c>
      <c r="H969" t="b">
        <f t="shared" si="48"/>
        <v>0</v>
      </c>
      <c r="I969" s="29">
        <f t="shared" si="49"/>
        <v>39428</v>
      </c>
    </row>
    <row r="970" spans="1:9" ht="12.75" customHeight="1" x14ac:dyDescent="0.2">
      <c r="A970" s="28">
        <v>39429</v>
      </c>
      <c r="B970" s="26" t="s">
        <v>3595</v>
      </c>
      <c r="C970" s="26" t="s">
        <v>3541</v>
      </c>
      <c r="D970" s="26" t="s">
        <v>20</v>
      </c>
      <c r="E970" s="26" t="s">
        <v>20</v>
      </c>
      <c r="F970" s="26">
        <v>11780198</v>
      </c>
      <c r="G970" t="b">
        <f t="shared" si="47"/>
        <v>0</v>
      </c>
      <c r="H970" t="b">
        <f t="shared" si="48"/>
        <v>0</v>
      </c>
      <c r="I970" s="29">
        <f t="shared" si="49"/>
        <v>39429</v>
      </c>
    </row>
    <row r="971" spans="1:9" ht="12.75" customHeight="1" x14ac:dyDescent="0.2">
      <c r="A971" s="28">
        <v>39429</v>
      </c>
      <c r="B971" s="26" t="s">
        <v>3594</v>
      </c>
      <c r="C971" s="26" t="s">
        <v>9</v>
      </c>
      <c r="D971" s="26" t="s">
        <v>20</v>
      </c>
      <c r="E971" s="26" t="s">
        <v>20</v>
      </c>
      <c r="F971" s="26">
        <v>1785737</v>
      </c>
      <c r="G971" t="b">
        <f t="shared" si="47"/>
        <v>0</v>
      </c>
      <c r="H971" t="b">
        <f t="shared" si="48"/>
        <v>0</v>
      </c>
      <c r="I971" s="29">
        <f t="shared" si="49"/>
        <v>39429</v>
      </c>
    </row>
    <row r="972" spans="1:9" ht="12.75" customHeight="1" x14ac:dyDescent="0.2">
      <c r="A972" s="28">
        <v>39430</v>
      </c>
      <c r="B972" s="26" t="s">
        <v>3593</v>
      </c>
      <c r="C972" s="26" t="s">
        <v>9</v>
      </c>
      <c r="D972" s="26" t="s">
        <v>20</v>
      </c>
      <c r="E972" s="26">
        <v>16136</v>
      </c>
      <c r="F972" s="26" t="s">
        <v>20</v>
      </c>
      <c r="G972" t="b">
        <f t="shared" si="47"/>
        <v>0</v>
      </c>
      <c r="H972" t="b">
        <f t="shared" si="48"/>
        <v>0</v>
      </c>
      <c r="I972" s="29">
        <f t="shared" si="49"/>
        <v>39430</v>
      </c>
    </row>
    <row r="973" spans="1:9" ht="25.5" x14ac:dyDescent="0.2">
      <c r="A973" s="28">
        <v>39430</v>
      </c>
      <c r="B973" s="26" t="s">
        <v>3592</v>
      </c>
      <c r="C973" s="26" t="s">
        <v>612</v>
      </c>
      <c r="D973" s="26" t="s">
        <v>20</v>
      </c>
      <c r="E973" s="26">
        <v>239495</v>
      </c>
      <c r="F973" s="26">
        <v>2061804</v>
      </c>
      <c r="G973" t="b">
        <f t="shared" si="47"/>
        <v>0</v>
      </c>
      <c r="H973" t="b">
        <f t="shared" si="48"/>
        <v>0</v>
      </c>
      <c r="I973" s="29">
        <f t="shared" si="49"/>
        <v>39430</v>
      </c>
    </row>
    <row r="974" spans="1:9" ht="12.75" customHeight="1" x14ac:dyDescent="0.2">
      <c r="A974" s="28">
        <v>39430</v>
      </c>
      <c r="B974" s="26" t="s">
        <v>3591</v>
      </c>
      <c r="C974" s="26" t="s">
        <v>9</v>
      </c>
      <c r="D974" s="26" t="s">
        <v>20</v>
      </c>
      <c r="E974" s="26">
        <v>2528</v>
      </c>
      <c r="F974" s="26" t="s">
        <v>20</v>
      </c>
      <c r="G974" t="b">
        <f t="shared" si="47"/>
        <v>0</v>
      </c>
      <c r="H974" t="b">
        <f t="shared" si="48"/>
        <v>0</v>
      </c>
      <c r="I974" s="29">
        <f t="shared" si="49"/>
        <v>39430</v>
      </c>
    </row>
    <row r="975" spans="1:9" ht="12.75" customHeight="1" x14ac:dyDescent="0.2">
      <c r="A975" s="28">
        <v>39430</v>
      </c>
      <c r="B975" s="26" t="s">
        <v>3590</v>
      </c>
      <c r="C975" s="26" t="s">
        <v>3240</v>
      </c>
      <c r="D975" s="26">
        <v>20000000</v>
      </c>
      <c r="E975" s="26">
        <v>15800078</v>
      </c>
      <c r="F975" s="26">
        <v>73222245</v>
      </c>
      <c r="G975" t="b">
        <f t="shared" si="47"/>
        <v>0</v>
      </c>
      <c r="H975" t="b">
        <f t="shared" si="48"/>
        <v>0</v>
      </c>
      <c r="I975" s="29">
        <f t="shared" si="49"/>
        <v>39430</v>
      </c>
    </row>
    <row r="976" spans="1:9" x14ac:dyDescent="0.2">
      <c r="A976" s="28">
        <v>39430</v>
      </c>
      <c r="B976" s="26" t="s">
        <v>3589</v>
      </c>
      <c r="C976" s="26" t="s">
        <v>3542</v>
      </c>
      <c r="D976" s="26" t="s">
        <v>20</v>
      </c>
      <c r="E976" s="26" t="s">
        <v>20</v>
      </c>
      <c r="F976" s="26">
        <v>36773534</v>
      </c>
      <c r="G976" t="b">
        <f t="shared" si="47"/>
        <v>0</v>
      </c>
      <c r="H976" t="b">
        <f t="shared" si="48"/>
        <v>0</v>
      </c>
      <c r="I976" s="29">
        <f t="shared" si="49"/>
        <v>39430</v>
      </c>
    </row>
    <row r="977" spans="1:9" ht="25.5" x14ac:dyDescent="0.2">
      <c r="A977" s="28">
        <v>39430</v>
      </c>
      <c r="B977" s="26" t="s">
        <v>3588</v>
      </c>
      <c r="C977" s="26" t="s">
        <v>9</v>
      </c>
      <c r="D977" s="26" t="s">
        <v>20</v>
      </c>
      <c r="E977" s="26" t="s">
        <v>20</v>
      </c>
      <c r="F977" s="26">
        <v>1107976</v>
      </c>
      <c r="G977" t="b">
        <f t="shared" si="47"/>
        <v>0</v>
      </c>
      <c r="H977" t="b">
        <f t="shared" si="48"/>
        <v>0</v>
      </c>
      <c r="I977" s="29">
        <f t="shared" si="49"/>
        <v>39430</v>
      </c>
    </row>
    <row r="978" spans="1:9" ht="12.75" customHeight="1" x14ac:dyDescent="0.2">
      <c r="A978" s="28">
        <v>39430</v>
      </c>
      <c r="B978" s="26" t="s">
        <v>3587</v>
      </c>
      <c r="C978" s="26" t="s">
        <v>3209</v>
      </c>
      <c r="D978" s="26">
        <v>150000000</v>
      </c>
      <c r="E978" s="26">
        <v>256393010</v>
      </c>
      <c r="F978" s="26">
        <v>585055701</v>
      </c>
      <c r="G978" t="b">
        <f t="shared" si="47"/>
        <v>0</v>
      </c>
      <c r="H978" t="b">
        <f t="shared" si="48"/>
        <v>0</v>
      </c>
      <c r="I978" s="29">
        <f t="shared" si="49"/>
        <v>39430</v>
      </c>
    </row>
    <row r="979" spans="1:9" ht="12.75" customHeight="1" x14ac:dyDescent="0.2">
      <c r="A979" s="28">
        <v>39430</v>
      </c>
      <c r="B979" s="26" t="s">
        <v>3586</v>
      </c>
      <c r="C979" s="26" t="s">
        <v>9</v>
      </c>
      <c r="D979" s="26" t="s">
        <v>20</v>
      </c>
      <c r="E979" s="26">
        <v>45661</v>
      </c>
      <c r="F979" s="26" t="s">
        <v>20</v>
      </c>
      <c r="G979" t="b">
        <f t="shared" si="47"/>
        <v>0</v>
      </c>
      <c r="H979" t="b">
        <f t="shared" si="48"/>
        <v>0</v>
      </c>
      <c r="I979" s="29">
        <f t="shared" si="49"/>
        <v>39430</v>
      </c>
    </row>
    <row r="980" spans="1:9" ht="25.5" x14ac:dyDescent="0.2">
      <c r="A980" s="28">
        <v>39430</v>
      </c>
      <c r="B980" s="26" t="s">
        <v>3585</v>
      </c>
      <c r="C980" s="26" t="s">
        <v>9</v>
      </c>
      <c r="D980" s="26" t="s">
        <v>20</v>
      </c>
      <c r="E980" s="26" t="s">
        <v>20</v>
      </c>
      <c r="F980" s="26">
        <v>29589994</v>
      </c>
      <c r="G980" t="b">
        <f t="shared" si="47"/>
        <v>0</v>
      </c>
      <c r="H980" t="b">
        <f t="shared" si="48"/>
        <v>0</v>
      </c>
      <c r="I980" s="29">
        <f t="shared" si="49"/>
        <v>39430</v>
      </c>
    </row>
    <row r="981" spans="1:9" ht="12.75" customHeight="1" x14ac:dyDescent="0.2">
      <c r="A981" s="28">
        <v>39430</v>
      </c>
      <c r="B981" s="26" t="s">
        <v>3584</v>
      </c>
      <c r="C981" s="26" t="s">
        <v>1414</v>
      </c>
      <c r="D981" s="26" t="s">
        <v>20</v>
      </c>
      <c r="E981" s="26">
        <v>20636</v>
      </c>
      <c r="F981" s="26" t="s">
        <v>20</v>
      </c>
      <c r="G981" t="b">
        <f t="shared" si="47"/>
        <v>0</v>
      </c>
      <c r="H981" t="b">
        <f t="shared" si="48"/>
        <v>0</v>
      </c>
      <c r="I981" s="29">
        <f t="shared" si="49"/>
        <v>39430</v>
      </c>
    </row>
    <row r="982" spans="1:9" ht="25.5" x14ac:dyDescent="0.2">
      <c r="A982" s="28">
        <v>39430</v>
      </c>
      <c r="B982" s="26" t="s">
        <v>3583</v>
      </c>
      <c r="C982" s="26" t="s">
        <v>384</v>
      </c>
      <c r="D982" s="26">
        <v>55000000</v>
      </c>
      <c r="E982" s="26">
        <v>217326974</v>
      </c>
      <c r="F982" s="26">
        <v>360578644</v>
      </c>
      <c r="G982" t="b">
        <f t="shared" si="47"/>
        <v>0</v>
      </c>
      <c r="H982" t="b">
        <f t="shared" si="48"/>
        <v>0</v>
      </c>
      <c r="I982" s="29">
        <f t="shared" si="49"/>
        <v>39430</v>
      </c>
    </row>
    <row r="983" spans="1:9" ht="25.5" x14ac:dyDescent="0.2">
      <c r="A983" s="28">
        <v>39434</v>
      </c>
      <c r="B983" s="26" t="s">
        <v>3582</v>
      </c>
      <c r="C983" s="26" t="s">
        <v>9</v>
      </c>
      <c r="D983" s="26" t="s">
        <v>20</v>
      </c>
      <c r="E983" s="26" t="s">
        <v>20</v>
      </c>
      <c r="F983" s="26" t="s">
        <v>20</v>
      </c>
      <c r="G983" t="b">
        <f t="shared" si="47"/>
        <v>0</v>
      </c>
      <c r="H983" t="b">
        <f t="shared" si="48"/>
        <v>0</v>
      </c>
      <c r="I983" s="29">
        <f t="shared" si="49"/>
        <v>39434</v>
      </c>
    </row>
    <row r="984" spans="1:9" ht="12.75" customHeight="1" x14ac:dyDescent="0.2">
      <c r="A984" s="28">
        <v>39435</v>
      </c>
      <c r="B984" s="26" t="s">
        <v>3581</v>
      </c>
      <c r="C984" s="26" t="s">
        <v>3466</v>
      </c>
      <c r="D984" s="26" t="s">
        <v>20</v>
      </c>
      <c r="E984" s="26">
        <v>778</v>
      </c>
      <c r="F984" s="26" t="s">
        <v>20</v>
      </c>
      <c r="G984" t="b">
        <f t="shared" si="47"/>
        <v>0</v>
      </c>
      <c r="H984" t="b">
        <f t="shared" si="48"/>
        <v>0</v>
      </c>
      <c r="I984" s="29">
        <f t="shared" si="49"/>
        <v>39435</v>
      </c>
    </row>
    <row r="985" spans="1:9" ht="12.75" customHeight="1" x14ac:dyDescent="0.2">
      <c r="A985" s="28">
        <v>39436</v>
      </c>
      <c r="B985" s="26" t="s">
        <v>3580</v>
      </c>
      <c r="C985" s="26" t="s">
        <v>9</v>
      </c>
      <c r="D985" s="26" t="s">
        <v>20</v>
      </c>
      <c r="E985" s="26" t="s">
        <v>20</v>
      </c>
      <c r="F985" s="26">
        <v>62000000</v>
      </c>
      <c r="G985" t="b">
        <f t="shared" si="47"/>
        <v>0</v>
      </c>
      <c r="H985" t="b">
        <f t="shared" si="48"/>
        <v>0</v>
      </c>
      <c r="I985" s="29">
        <f t="shared" si="49"/>
        <v>39436</v>
      </c>
    </row>
    <row r="986" spans="1:9" ht="12.75" customHeight="1" x14ac:dyDescent="0.2">
      <c r="A986" s="28">
        <v>39436</v>
      </c>
      <c r="B986" s="26" t="s">
        <v>3579</v>
      </c>
      <c r="C986" s="26" t="s">
        <v>9</v>
      </c>
      <c r="D986" s="26" t="s">
        <v>20</v>
      </c>
      <c r="E986" s="26" t="s">
        <v>20</v>
      </c>
      <c r="F986" s="26">
        <v>2264968</v>
      </c>
      <c r="G986" t="b">
        <f t="shared" si="47"/>
        <v>0</v>
      </c>
      <c r="H986" t="b">
        <f t="shared" si="48"/>
        <v>0</v>
      </c>
      <c r="I986" s="29">
        <f t="shared" si="49"/>
        <v>39436</v>
      </c>
    </row>
    <row r="987" spans="1:9" ht="12.75" customHeight="1" x14ac:dyDescent="0.2">
      <c r="A987" s="28">
        <v>39436</v>
      </c>
      <c r="B987" s="26" t="s">
        <v>3578</v>
      </c>
      <c r="C987" s="26" t="s">
        <v>9</v>
      </c>
      <c r="D987" s="26" t="s">
        <v>20</v>
      </c>
      <c r="E987" s="26" t="s">
        <v>20</v>
      </c>
      <c r="F987" s="26">
        <v>27455208</v>
      </c>
      <c r="G987" t="b">
        <f t="shared" si="47"/>
        <v>0</v>
      </c>
      <c r="H987" t="b">
        <f t="shared" si="48"/>
        <v>0</v>
      </c>
      <c r="I987" s="29">
        <f t="shared" si="49"/>
        <v>39436</v>
      </c>
    </row>
    <row r="988" spans="1:9" ht="12.75" customHeight="1" x14ac:dyDescent="0.2">
      <c r="A988" s="28">
        <v>39436</v>
      </c>
      <c r="B988" s="26" t="s">
        <v>3577</v>
      </c>
      <c r="C988" s="26" t="s">
        <v>9</v>
      </c>
      <c r="D988" s="26" t="s">
        <v>20</v>
      </c>
      <c r="E988" s="26" t="s">
        <v>20</v>
      </c>
      <c r="F988" s="26">
        <v>1816571</v>
      </c>
      <c r="G988" t="b">
        <f t="shared" si="47"/>
        <v>0</v>
      </c>
      <c r="H988" t="b">
        <f t="shared" si="48"/>
        <v>0</v>
      </c>
      <c r="I988" s="29">
        <f t="shared" si="49"/>
        <v>39436</v>
      </c>
    </row>
    <row r="989" spans="1:9" ht="25.5" x14ac:dyDescent="0.2">
      <c r="A989" s="28">
        <v>39437</v>
      </c>
      <c r="B989" s="26" t="s">
        <v>3576</v>
      </c>
      <c r="C989" s="26" t="s">
        <v>9</v>
      </c>
      <c r="D989" s="26" t="s">
        <v>20</v>
      </c>
      <c r="E989" s="26" t="s">
        <v>20</v>
      </c>
      <c r="F989" s="26">
        <v>54700664</v>
      </c>
      <c r="G989" t="b">
        <f t="shared" si="47"/>
        <v>0</v>
      </c>
      <c r="H989" t="b">
        <f t="shared" si="48"/>
        <v>0</v>
      </c>
      <c r="I989" s="29">
        <f t="shared" si="49"/>
        <v>39437</v>
      </c>
    </row>
    <row r="990" spans="1:9" ht="38.25" x14ac:dyDescent="0.2">
      <c r="A990" s="28">
        <v>39437</v>
      </c>
      <c r="B990" s="26" t="s">
        <v>3575</v>
      </c>
      <c r="C990" s="26" t="s">
        <v>3240</v>
      </c>
      <c r="D990" s="26" t="s">
        <v>20</v>
      </c>
      <c r="E990" s="26">
        <v>52898073</v>
      </c>
      <c r="F990" s="26">
        <v>153329844</v>
      </c>
      <c r="G990" t="b">
        <f t="shared" si="47"/>
        <v>0</v>
      </c>
      <c r="H990" t="b">
        <f t="shared" si="48"/>
        <v>0</v>
      </c>
      <c r="I990" s="29">
        <f t="shared" si="49"/>
        <v>39437</v>
      </c>
    </row>
    <row r="991" spans="1:9" ht="12.75" customHeight="1" x14ac:dyDescent="0.2">
      <c r="A991" s="28">
        <v>39437</v>
      </c>
      <c r="B991" s="26" t="s">
        <v>3574</v>
      </c>
      <c r="C991" s="26" t="s">
        <v>9</v>
      </c>
      <c r="D991" s="26" t="s">
        <v>20</v>
      </c>
      <c r="E991" s="26" t="s">
        <v>20</v>
      </c>
      <c r="F991" s="26">
        <v>1048708</v>
      </c>
      <c r="G991" t="b">
        <f t="shared" si="47"/>
        <v>0</v>
      </c>
      <c r="H991" t="b">
        <f t="shared" si="48"/>
        <v>0</v>
      </c>
      <c r="I991" s="29">
        <f t="shared" si="49"/>
        <v>39437</v>
      </c>
    </row>
    <row r="992" spans="1:9" x14ac:dyDescent="0.2">
      <c r="A992" s="28">
        <v>39437</v>
      </c>
      <c r="B992" s="26" t="s">
        <v>3573</v>
      </c>
      <c r="C992" s="26" t="s">
        <v>9</v>
      </c>
      <c r="D992" s="26" t="s">
        <v>20</v>
      </c>
      <c r="E992" s="26">
        <v>1223869</v>
      </c>
      <c r="F992" s="26">
        <v>11613178</v>
      </c>
      <c r="G992" t="b">
        <f t="shared" si="47"/>
        <v>0</v>
      </c>
      <c r="H992" t="b">
        <f t="shared" si="48"/>
        <v>0</v>
      </c>
      <c r="I992" s="29">
        <f t="shared" si="49"/>
        <v>39437</v>
      </c>
    </row>
    <row r="993" spans="1:9" ht="12.75" customHeight="1" x14ac:dyDescent="0.2">
      <c r="A993" s="28">
        <v>39437</v>
      </c>
      <c r="B993" s="26" t="s">
        <v>3572</v>
      </c>
      <c r="C993" s="26" t="s">
        <v>9</v>
      </c>
      <c r="D993" s="26" t="s">
        <v>20</v>
      </c>
      <c r="E993" s="26">
        <v>6422</v>
      </c>
      <c r="F993" s="26" t="s">
        <v>20</v>
      </c>
      <c r="G993" t="b">
        <f t="shared" si="47"/>
        <v>0</v>
      </c>
      <c r="H993" t="b">
        <f t="shared" si="48"/>
        <v>0</v>
      </c>
      <c r="I993" s="29">
        <f t="shared" si="49"/>
        <v>39437</v>
      </c>
    </row>
    <row r="994" spans="1:9" ht="12.75" customHeight="1" x14ac:dyDescent="0.2">
      <c r="A994" s="28">
        <v>39437</v>
      </c>
      <c r="B994" s="26" t="s">
        <v>3571</v>
      </c>
      <c r="C994" s="26" t="s">
        <v>3209</v>
      </c>
      <c r="D994" s="26" t="s">
        <v>20</v>
      </c>
      <c r="E994" s="26">
        <v>53695808</v>
      </c>
      <c r="F994" s="26">
        <v>146485050</v>
      </c>
      <c r="G994" t="b">
        <f t="shared" si="47"/>
        <v>0</v>
      </c>
      <c r="H994" t="b">
        <f t="shared" si="48"/>
        <v>0</v>
      </c>
      <c r="I994" s="29">
        <f t="shared" si="49"/>
        <v>39437</v>
      </c>
    </row>
    <row r="995" spans="1:9" ht="12.75" customHeight="1" x14ac:dyDescent="0.2">
      <c r="A995" s="28">
        <v>39437</v>
      </c>
      <c r="B995" s="26" t="s">
        <v>3570</v>
      </c>
      <c r="C995" s="26" t="s">
        <v>9</v>
      </c>
      <c r="D995" s="26" t="s">
        <v>20</v>
      </c>
      <c r="E995" s="26" t="s">
        <v>20</v>
      </c>
      <c r="F995" s="26">
        <v>19550333</v>
      </c>
      <c r="G995" t="b">
        <f t="shared" si="47"/>
        <v>0</v>
      </c>
      <c r="H995" t="b">
        <f t="shared" si="48"/>
        <v>0</v>
      </c>
      <c r="I995" s="29">
        <f t="shared" si="49"/>
        <v>39437</v>
      </c>
    </row>
    <row r="996" spans="1:9" ht="25.5" x14ac:dyDescent="0.2">
      <c r="A996" s="28">
        <v>39437</v>
      </c>
      <c r="B996" s="26" t="s">
        <v>3569</v>
      </c>
      <c r="C996" s="26" t="s">
        <v>3096</v>
      </c>
      <c r="D996" s="26">
        <v>75000000</v>
      </c>
      <c r="E996" s="26">
        <v>66661095</v>
      </c>
      <c r="F996" s="26">
        <v>118661095</v>
      </c>
      <c r="G996" t="b">
        <f t="shared" si="47"/>
        <v>0</v>
      </c>
      <c r="H996" t="b">
        <f t="shared" si="48"/>
        <v>0</v>
      </c>
      <c r="I996" s="29">
        <f t="shared" si="49"/>
        <v>39437</v>
      </c>
    </row>
    <row r="997" spans="1:9" ht="12.75" customHeight="1" x14ac:dyDescent="0.2">
      <c r="A997" s="28">
        <v>39437</v>
      </c>
      <c r="B997" s="26" t="s">
        <v>3568</v>
      </c>
      <c r="C997" s="26" t="s">
        <v>612</v>
      </c>
      <c r="D997" s="26" t="s">
        <v>20</v>
      </c>
      <c r="E997" s="26">
        <v>259840</v>
      </c>
      <c r="F997" s="26" t="s">
        <v>20</v>
      </c>
      <c r="G997" t="b">
        <f t="shared" si="47"/>
        <v>0</v>
      </c>
      <c r="H997" t="b">
        <f t="shared" si="48"/>
        <v>0</v>
      </c>
      <c r="I997" s="29">
        <f t="shared" si="49"/>
        <v>39437</v>
      </c>
    </row>
    <row r="998" spans="1:9" ht="38.25" x14ac:dyDescent="0.2">
      <c r="A998" s="28">
        <v>39437</v>
      </c>
      <c r="B998" s="26" t="s">
        <v>3567</v>
      </c>
      <c r="C998" s="26" t="s">
        <v>3390</v>
      </c>
      <c r="D998" s="26" t="s">
        <v>20</v>
      </c>
      <c r="E998" s="26">
        <v>219961501</v>
      </c>
      <c r="F998" s="26">
        <v>457325804</v>
      </c>
      <c r="G998" t="b">
        <f t="shared" si="47"/>
        <v>0</v>
      </c>
      <c r="H998" t="b">
        <f t="shared" si="48"/>
        <v>0</v>
      </c>
      <c r="I998" s="29">
        <f t="shared" si="49"/>
        <v>39437</v>
      </c>
    </row>
    <row r="999" spans="1:9" ht="25.5" x14ac:dyDescent="0.2">
      <c r="A999" s="28">
        <v>39437</v>
      </c>
      <c r="B999" s="26" t="s">
        <v>3566</v>
      </c>
      <c r="C999" s="26" t="s">
        <v>2160</v>
      </c>
      <c r="D999" s="26">
        <v>35000000</v>
      </c>
      <c r="E999" s="26">
        <v>18317151</v>
      </c>
      <c r="F999" s="26">
        <v>20575121</v>
      </c>
      <c r="G999" t="b">
        <f t="shared" si="47"/>
        <v>0</v>
      </c>
      <c r="H999" t="b">
        <f t="shared" si="48"/>
        <v>0</v>
      </c>
      <c r="I999" s="29">
        <f t="shared" si="49"/>
        <v>39437</v>
      </c>
    </row>
    <row r="1000" spans="1:9" ht="38.25" x14ac:dyDescent="0.2">
      <c r="A1000" s="28">
        <v>39438</v>
      </c>
      <c r="B1000" s="26" t="s">
        <v>3565</v>
      </c>
      <c r="C1000" s="26" t="s">
        <v>1380</v>
      </c>
      <c r="D1000" s="26" t="s">
        <v>20</v>
      </c>
      <c r="E1000" s="26" t="s">
        <v>20</v>
      </c>
      <c r="F1000" s="26">
        <v>1423665</v>
      </c>
      <c r="G1000" t="b">
        <f t="shared" si="47"/>
        <v>0</v>
      </c>
      <c r="H1000" t="b">
        <f t="shared" si="48"/>
        <v>0</v>
      </c>
      <c r="I1000" s="29">
        <f t="shared" si="49"/>
        <v>39438</v>
      </c>
    </row>
    <row r="1001" spans="1:9" ht="38.25" x14ac:dyDescent="0.2">
      <c r="A1001" s="28">
        <v>39439</v>
      </c>
      <c r="B1001" s="26" t="s">
        <v>3564</v>
      </c>
      <c r="C1001" s="26" t="s">
        <v>9</v>
      </c>
      <c r="D1001" s="26" t="s">
        <v>20</v>
      </c>
      <c r="E1001" s="26" t="s">
        <v>20</v>
      </c>
      <c r="F1001" s="26" t="s">
        <v>20</v>
      </c>
      <c r="G1001" t="b">
        <f t="shared" si="47"/>
        <v>0</v>
      </c>
      <c r="H1001" t="b">
        <f t="shared" si="48"/>
        <v>0</v>
      </c>
      <c r="I1001" s="29">
        <f t="shared" si="49"/>
        <v>39439</v>
      </c>
    </row>
    <row r="1002" spans="1:9" ht="51" x14ac:dyDescent="0.2">
      <c r="A1002" s="28">
        <v>39441</v>
      </c>
      <c r="B1002" s="26" t="s">
        <v>3563</v>
      </c>
      <c r="C1002" s="26" t="s">
        <v>9</v>
      </c>
      <c r="D1002" s="26" t="s">
        <v>20</v>
      </c>
      <c r="E1002" s="26">
        <v>21507</v>
      </c>
      <c r="F1002" s="26" t="s">
        <v>20</v>
      </c>
      <c r="G1002" t="b">
        <f t="shared" si="47"/>
        <v>0</v>
      </c>
      <c r="H1002" t="b">
        <f t="shared" si="48"/>
        <v>0</v>
      </c>
      <c r="I1002" s="29">
        <f t="shared" si="49"/>
        <v>39441</v>
      </c>
    </row>
    <row r="1003" spans="1:9" ht="12.75" customHeight="1" x14ac:dyDescent="0.2">
      <c r="A1003" s="28">
        <v>39441</v>
      </c>
      <c r="B1003" s="26" t="s">
        <v>3562</v>
      </c>
      <c r="C1003" s="26" t="s">
        <v>3209</v>
      </c>
      <c r="D1003" s="26" t="s">
        <v>20</v>
      </c>
      <c r="E1003" s="26">
        <v>93466502</v>
      </c>
      <c r="F1003" s="26">
        <v>174310293</v>
      </c>
      <c r="G1003" t="b">
        <f t="shared" si="47"/>
        <v>0</v>
      </c>
      <c r="H1003" t="b">
        <f t="shared" si="48"/>
        <v>0</v>
      </c>
      <c r="I1003" s="29">
        <f t="shared" si="49"/>
        <v>39441</v>
      </c>
    </row>
    <row r="1004" spans="1:9" ht="25.5" x14ac:dyDescent="0.2">
      <c r="A1004" s="28">
        <v>39441</v>
      </c>
      <c r="B1004" s="26" t="s">
        <v>3561</v>
      </c>
      <c r="C1004" s="26" t="s">
        <v>9</v>
      </c>
      <c r="D1004" s="26" t="s">
        <v>20</v>
      </c>
      <c r="E1004" s="26">
        <v>40412817</v>
      </c>
      <c r="F1004" s="26">
        <v>102537899</v>
      </c>
      <c r="G1004" t="b">
        <f t="shared" si="47"/>
        <v>0</v>
      </c>
      <c r="H1004" t="b">
        <f t="shared" si="48"/>
        <v>0</v>
      </c>
      <c r="I1004" s="29">
        <f t="shared" si="49"/>
        <v>39441</v>
      </c>
    </row>
    <row r="1005" spans="1:9" ht="25.5" x14ac:dyDescent="0.2">
      <c r="A1005" s="28">
        <v>39441</v>
      </c>
      <c r="B1005" s="26" t="s">
        <v>3560</v>
      </c>
      <c r="C1005" s="26" t="s">
        <v>384</v>
      </c>
      <c r="D1005" s="26" t="s">
        <v>20</v>
      </c>
      <c r="E1005" s="26">
        <v>41797066</v>
      </c>
      <c r="F1005" s="26">
        <v>128884494</v>
      </c>
      <c r="G1005" t="b">
        <f t="shared" si="47"/>
        <v>0</v>
      </c>
      <c r="H1005" t="b">
        <f t="shared" si="48"/>
        <v>0</v>
      </c>
      <c r="I1005" s="29">
        <f t="shared" si="49"/>
        <v>39441</v>
      </c>
    </row>
    <row r="1006" spans="1:9" ht="25.5" x14ac:dyDescent="0.2">
      <c r="A1006" s="28">
        <v>39441</v>
      </c>
      <c r="B1006" s="26" t="s">
        <v>3559</v>
      </c>
      <c r="C1006" s="26" t="s">
        <v>49</v>
      </c>
      <c r="D1006" s="26">
        <v>15000000</v>
      </c>
      <c r="E1006" s="26">
        <v>30226144</v>
      </c>
      <c r="F1006" s="26" t="s">
        <v>20</v>
      </c>
      <c r="G1006" t="b">
        <f t="shared" si="47"/>
        <v>0</v>
      </c>
      <c r="H1006" t="b">
        <f t="shared" si="48"/>
        <v>0</v>
      </c>
      <c r="I1006" s="29">
        <f t="shared" si="49"/>
        <v>39441</v>
      </c>
    </row>
    <row r="1007" spans="1:9" ht="25.5" x14ac:dyDescent="0.2">
      <c r="A1007" s="28">
        <v>39441</v>
      </c>
      <c r="B1007" s="26" t="s">
        <v>3558</v>
      </c>
      <c r="C1007" s="26" t="s">
        <v>9</v>
      </c>
      <c r="D1007" s="26">
        <v>16500000</v>
      </c>
      <c r="E1007" s="26" t="s">
        <v>20</v>
      </c>
      <c r="F1007" s="26">
        <v>14900000</v>
      </c>
      <c r="G1007" t="b">
        <f t="shared" si="47"/>
        <v>0</v>
      </c>
      <c r="H1007" t="b">
        <f t="shared" si="48"/>
        <v>0</v>
      </c>
      <c r="I1007" s="29">
        <f t="shared" si="49"/>
        <v>39441</v>
      </c>
    </row>
    <row r="1008" spans="1:9" ht="12.75" customHeight="1" x14ac:dyDescent="0.2">
      <c r="A1008" s="28">
        <v>39441</v>
      </c>
      <c r="B1008" s="26" t="s">
        <v>3557</v>
      </c>
      <c r="C1008" s="26" t="s">
        <v>612</v>
      </c>
      <c r="D1008" s="26" t="s">
        <v>20</v>
      </c>
      <c r="E1008" s="26">
        <v>4443403</v>
      </c>
      <c r="F1008" s="26">
        <v>22742498</v>
      </c>
      <c r="G1008" t="b">
        <f t="shared" ref="G1008:G1020" si="50">ISBLANK(A1008)</f>
        <v>0</v>
      </c>
      <c r="H1008" t="b">
        <f t="shared" ref="H1008:H1020" si="51">ISTEXT(A1008)</f>
        <v>0</v>
      </c>
      <c r="I1008" s="29">
        <f t="shared" si="49"/>
        <v>39441</v>
      </c>
    </row>
    <row r="1009" spans="1:9" ht="12.75" customHeight="1" x14ac:dyDescent="0.2">
      <c r="A1009" s="28">
        <v>39442</v>
      </c>
      <c r="B1009" s="26" t="s">
        <v>3556</v>
      </c>
      <c r="C1009" s="26" t="s">
        <v>9</v>
      </c>
      <c r="D1009" s="26" t="s">
        <v>20</v>
      </c>
      <c r="E1009" s="26" t="s">
        <v>20</v>
      </c>
      <c r="F1009" s="26" t="s">
        <v>20</v>
      </c>
      <c r="G1009" t="b">
        <f t="shared" si="50"/>
        <v>0</v>
      </c>
      <c r="H1009" t="b">
        <f t="shared" si="51"/>
        <v>0</v>
      </c>
      <c r="I1009" s="29">
        <f t="shared" si="49"/>
        <v>39442</v>
      </c>
    </row>
    <row r="1010" spans="1:9" ht="25.5" x14ac:dyDescent="0.2">
      <c r="A1010" s="28">
        <v>39442</v>
      </c>
      <c r="B1010" s="26" t="s">
        <v>3555</v>
      </c>
      <c r="C1010" s="26" t="s">
        <v>2168</v>
      </c>
      <c r="D1010" s="26" t="s">
        <v>20</v>
      </c>
      <c r="E1010" s="26">
        <v>40222514</v>
      </c>
      <c r="F1010" s="26">
        <v>76540995</v>
      </c>
      <c r="G1010" t="b">
        <f t="shared" si="50"/>
        <v>0</v>
      </c>
      <c r="H1010" t="b">
        <f t="shared" si="51"/>
        <v>0</v>
      </c>
      <c r="I1010" s="29">
        <f t="shared" si="49"/>
        <v>39442</v>
      </c>
    </row>
    <row r="1011" spans="1:9" x14ac:dyDescent="0.2">
      <c r="A1011" s="28">
        <v>39443</v>
      </c>
      <c r="B1011" s="26" t="s">
        <v>3554</v>
      </c>
      <c r="C1011" s="26" t="s">
        <v>9</v>
      </c>
      <c r="D1011" s="26" t="s">
        <v>20</v>
      </c>
      <c r="E1011" s="26" t="s">
        <v>20</v>
      </c>
      <c r="F1011" s="26">
        <v>1372000</v>
      </c>
      <c r="G1011" t="b">
        <f t="shared" si="50"/>
        <v>0</v>
      </c>
      <c r="H1011" t="b">
        <f t="shared" si="51"/>
        <v>0</v>
      </c>
      <c r="I1011" s="29">
        <f t="shared" si="49"/>
        <v>39443</v>
      </c>
    </row>
    <row r="1012" spans="1:9" ht="12.75" customHeight="1" x14ac:dyDescent="0.2">
      <c r="A1012" s="28">
        <v>39444</v>
      </c>
      <c r="B1012" s="26" t="s">
        <v>3553</v>
      </c>
      <c r="C1012" s="26" t="s">
        <v>3543</v>
      </c>
      <c r="D1012" s="26" t="s">
        <v>20</v>
      </c>
      <c r="E1012" s="26" t="s">
        <v>20</v>
      </c>
      <c r="F1012" s="26">
        <v>1637310</v>
      </c>
      <c r="G1012" t="b">
        <f t="shared" si="50"/>
        <v>0</v>
      </c>
      <c r="H1012" t="b">
        <f t="shared" si="51"/>
        <v>0</v>
      </c>
      <c r="I1012" s="29">
        <f t="shared" si="49"/>
        <v>39444</v>
      </c>
    </row>
    <row r="1013" spans="1:9" ht="12.75" customHeight="1" x14ac:dyDescent="0.2">
      <c r="A1013" s="28">
        <v>39444</v>
      </c>
      <c r="B1013" s="26" t="s">
        <v>3552</v>
      </c>
      <c r="C1013" s="26" t="s">
        <v>9</v>
      </c>
      <c r="D1013" s="26" t="s">
        <v>20</v>
      </c>
      <c r="E1013" s="26" t="s">
        <v>20</v>
      </c>
      <c r="F1013" s="26">
        <v>1094000</v>
      </c>
      <c r="G1013" t="b">
        <f t="shared" si="50"/>
        <v>0</v>
      </c>
      <c r="H1013" t="b">
        <f t="shared" si="51"/>
        <v>0</v>
      </c>
      <c r="I1013" s="29">
        <f t="shared" si="49"/>
        <v>39444</v>
      </c>
    </row>
    <row r="1014" spans="1:9" x14ac:dyDescent="0.2">
      <c r="A1014" s="28">
        <v>39444</v>
      </c>
      <c r="B1014" s="26" t="s">
        <v>3551</v>
      </c>
      <c r="C1014" s="26" t="s">
        <v>1095</v>
      </c>
      <c r="D1014" s="26" t="s">
        <v>20</v>
      </c>
      <c r="E1014" s="26">
        <v>267880</v>
      </c>
      <c r="F1014" s="26" t="s">
        <v>20</v>
      </c>
      <c r="G1014" t="b">
        <f t="shared" si="50"/>
        <v>0</v>
      </c>
      <c r="H1014" t="b">
        <f t="shared" si="51"/>
        <v>0</v>
      </c>
      <c r="I1014" s="29">
        <f t="shared" si="49"/>
        <v>39444</v>
      </c>
    </row>
    <row r="1015" spans="1:9" ht="12.75" customHeight="1" x14ac:dyDescent="0.2">
      <c r="A1015" s="28">
        <v>39444</v>
      </c>
      <c r="B1015" s="26" t="s">
        <v>3550</v>
      </c>
      <c r="C1015" s="26" t="s">
        <v>849</v>
      </c>
      <c r="D1015" s="26" t="s">
        <v>20</v>
      </c>
      <c r="E1015" s="26">
        <v>7159147</v>
      </c>
      <c r="F1015" s="26">
        <v>76738011</v>
      </c>
      <c r="G1015" t="b">
        <f t="shared" si="50"/>
        <v>0</v>
      </c>
      <c r="H1015" t="b">
        <f t="shared" si="51"/>
        <v>0</v>
      </c>
      <c r="I1015" s="29">
        <f t="shared" si="49"/>
        <v>39444</v>
      </c>
    </row>
    <row r="1016" spans="1:9" ht="12.75" customHeight="1" x14ac:dyDescent="0.2">
      <c r="A1016" s="28">
        <v>39447</v>
      </c>
      <c r="B1016" s="26" t="s">
        <v>3549</v>
      </c>
      <c r="C1016" s="26" t="s">
        <v>9</v>
      </c>
      <c r="D1016" s="26">
        <v>20000000</v>
      </c>
      <c r="E1016" s="26" t="s">
        <v>20</v>
      </c>
      <c r="F1016" s="26" t="s">
        <v>20</v>
      </c>
      <c r="G1016" t="b">
        <f t="shared" si="50"/>
        <v>0</v>
      </c>
      <c r="H1016" t="b">
        <f t="shared" si="51"/>
        <v>0</v>
      </c>
      <c r="I1016" s="29">
        <f t="shared" si="49"/>
        <v>39447</v>
      </c>
    </row>
    <row r="1017" spans="1:9" ht="12.75" customHeight="1" x14ac:dyDescent="0.2">
      <c r="A1017" s="28">
        <v>39447</v>
      </c>
      <c r="B1017" s="26" t="s">
        <v>3548</v>
      </c>
      <c r="C1017" s="26" t="s">
        <v>9</v>
      </c>
      <c r="D1017" s="26" t="s">
        <v>20</v>
      </c>
      <c r="E1017" s="26" t="s">
        <v>20</v>
      </c>
      <c r="F1017" s="26">
        <v>21094782</v>
      </c>
      <c r="G1017" t="b">
        <f t="shared" si="50"/>
        <v>0</v>
      </c>
      <c r="H1017" t="b">
        <f t="shared" si="51"/>
        <v>0</v>
      </c>
      <c r="I1017" s="29">
        <f t="shared" si="49"/>
        <v>39447</v>
      </c>
    </row>
    <row r="1018" spans="1:9" ht="12.75" customHeight="1" x14ac:dyDescent="0.2">
      <c r="A1018" s="28">
        <v>39447</v>
      </c>
      <c r="B1018" s="26" t="s">
        <v>3547</v>
      </c>
      <c r="C1018" s="26" t="s">
        <v>9</v>
      </c>
      <c r="D1018" s="26">
        <v>28000000</v>
      </c>
      <c r="E1018" s="26" t="s">
        <v>20</v>
      </c>
      <c r="F1018" s="26">
        <v>22860477</v>
      </c>
      <c r="G1018" t="b">
        <f t="shared" si="50"/>
        <v>0</v>
      </c>
      <c r="H1018" t="b">
        <f t="shared" si="51"/>
        <v>0</v>
      </c>
      <c r="I1018" s="29">
        <f t="shared" si="49"/>
        <v>39447</v>
      </c>
    </row>
    <row r="1019" spans="1:9" ht="25.5" x14ac:dyDescent="0.2">
      <c r="A1019" s="28">
        <v>39447</v>
      </c>
      <c r="B1019" s="26" t="s">
        <v>3546</v>
      </c>
      <c r="C1019" s="26" t="s">
        <v>849</v>
      </c>
      <c r="D1019" s="26" t="s">
        <v>20</v>
      </c>
      <c r="E1019" s="26" t="s">
        <v>20</v>
      </c>
      <c r="F1019" s="26" t="s">
        <v>20</v>
      </c>
      <c r="G1019" t="b">
        <f t="shared" si="50"/>
        <v>0</v>
      </c>
      <c r="H1019" t="b">
        <f t="shared" si="51"/>
        <v>0</v>
      </c>
      <c r="I1019" s="29">
        <f t="shared" si="49"/>
        <v>39447</v>
      </c>
    </row>
    <row r="1020" spans="1:9" ht="12.75" customHeight="1" x14ac:dyDescent="0.2">
      <c r="A1020" s="28">
        <v>39447</v>
      </c>
      <c r="B1020" s="26" t="s">
        <v>3545</v>
      </c>
      <c r="C1020" s="26" t="s">
        <v>3544</v>
      </c>
      <c r="D1020" s="26" t="s">
        <v>20</v>
      </c>
      <c r="E1020" s="26" t="s">
        <v>20</v>
      </c>
      <c r="G1020" t="b">
        <f t="shared" si="50"/>
        <v>0</v>
      </c>
      <c r="H1020" t="b">
        <f t="shared" si="51"/>
        <v>0</v>
      </c>
      <c r="I1020" s="29">
        <f t="shared" si="49"/>
        <v>39447</v>
      </c>
    </row>
    <row r="1021" spans="1:9" ht="12.75" customHeight="1" x14ac:dyDescent="0.2">
      <c r="A1021" s="37"/>
      <c r="B1021" s="37"/>
      <c r="C1021" s="37"/>
      <c r="D1021" s="37"/>
      <c r="E1021" s="37"/>
      <c r="F1021" s="37"/>
      <c r="G1021" s="37"/>
      <c r="H1021" s="37"/>
      <c r="I1021" s="37"/>
    </row>
  </sheetData>
  <autoFilter ref="A1:I1020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workbookViewId="0">
      <pane xSplit="1" ySplit="1" topLeftCell="B2" activePane="bottomRight" state="frozenSplit"/>
      <selection pane="topRight" activeCell="I1" sqref="I1"/>
      <selection pane="bottomLeft" activeCell="A17" sqref="A17"/>
      <selection pane="bottomRight" activeCell="B2" sqref="B2"/>
    </sheetView>
  </sheetViews>
  <sheetFormatPr defaultColWidth="17.140625" defaultRowHeight="12.75" customHeight="1" x14ac:dyDescent="0.2"/>
  <cols>
    <col min="1" max="19" width="17.140625" customWidth="1"/>
  </cols>
  <sheetData>
    <row r="1" spans="1:9" ht="12.75" customHeight="1" x14ac:dyDescent="0.25">
      <c r="A1" s="30" t="s">
        <v>3490</v>
      </c>
      <c r="B1" s="30" t="s">
        <v>2968</v>
      </c>
      <c r="C1" s="30" t="s">
        <v>2266</v>
      </c>
      <c r="D1" s="34" t="s">
        <v>1858</v>
      </c>
      <c r="E1" s="34" t="s">
        <v>606</v>
      </c>
      <c r="F1" s="34" t="s">
        <v>1728</v>
      </c>
      <c r="G1" s="31" t="s">
        <v>3488</v>
      </c>
      <c r="H1" s="31" t="s">
        <v>3489</v>
      </c>
      <c r="I1" s="31" t="s">
        <v>3490</v>
      </c>
    </row>
    <row r="2" spans="1:9" ht="12.75" customHeight="1" x14ac:dyDescent="0.2">
      <c r="A2" s="28">
        <v>38723</v>
      </c>
      <c r="B2" s="26" t="s">
        <v>5374</v>
      </c>
      <c r="C2" s="26" t="s">
        <v>3419</v>
      </c>
      <c r="D2" s="26">
        <v>4800000</v>
      </c>
      <c r="E2" s="26">
        <v>47326473</v>
      </c>
      <c r="F2" s="26">
        <v>80578934</v>
      </c>
      <c r="G2" t="b">
        <f t="shared" ref="G2:G62" si="0">ISBLANK(A2)</f>
        <v>0</v>
      </c>
      <c r="H2" t="b">
        <f t="shared" ref="H2:H62" si="1">ISTEXT(A2)</f>
        <v>0</v>
      </c>
      <c r="I2" s="29">
        <f t="shared" ref="I2:I62" si="2">DATE(2006,MONTH(A2), DAY(A2))</f>
        <v>38723</v>
      </c>
    </row>
    <row r="3" spans="1:9" ht="12.75" customHeight="1" x14ac:dyDescent="0.2">
      <c r="A3" s="28">
        <v>38723</v>
      </c>
      <c r="B3" s="26" t="s">
        <v>5373</v>
      </c>
      <c r="C3" s="26" t="s">
        <v>9</v>
      </c>
      <c r="D3" s="26">
        <v>25000000</v>
      </c>
      <c r="E3" s="26">
        <v>2405420</v>
      </c>
      <c r="F3" s="26" t="s">
        <v>20</v>
      </c>
      <c r="G3" t="b">
        <f t="shared" si="0"/>
        <v>0</v>
      </c>
      <c r="H3" t="b">
        <f t="shared" si="1"/>
        <v>0</v>
      </c>
      <c r="I3" s="29">
        <f t="shared" si="2"/>
        <v>38723</v>
      </c>
    </row>
    <row r="4" spans="1:9" ht="12.75" customHeight="1" x14ac:dyDescent="0.2">
      <c r="A4" s="28">
        <v>38723</v>
      </c>
      <c r="B4" s="26" t="s">
        <v>5372</v>
      </c>
      <c r="C4" s="26" t="s">
        <v>384</v>
      </c>
      <c r="D4" s="26" t="s">
        <v>20</v>
      </c>
      <c r="E4" s="26">
        <v>6090172</v>
      </c>
      <c r="F4" s="26">
        <v>6233403</v>
      </c>
      <c r="G4" t="b">
        <f t="shared" si="0"/>
        <v>0</v>
      </c>
      <c r="H4" t="b">
        <f t="shared" si="1"/>
        <v>0</v>
      </c>
      <c r="I4" s="29">
        <f t="shared" si="2"/>
        <v>38723</v>
      </c>
    </row>
    <row r="5" spans="1:9" ht="12.75" customHeight="1" x14ac:dyDescent="0.2">
      <c r="A5" s="28">
        <v>38723</v>
      </c>
      <c r="B5" s="26" t="s">
        <v>5371</v>
      </c>
      <c r="C5" s="26" t="s">
        <v>9</v>
      </c>
      <c r="D5" s="26">
        <v>12000000</v>
      </c>
      <c r="E5" s="26">
        <v>196857</v>
      </c>
      <c r="F5" s="26" t="s">
        <v>20</v>
      </c>
      <c r="G5" t="b">
        <f t="shared" si="0"/>
        <v>0</v>
      </c>
      <c r="H5" t="b">
        <f t="shared" si="1"/>
        <v>0</v>
      </c>
      <c r="I5" s="29">
        <f t="shared" si="2"/>
        <v>38723</v>
      </c>
    </row>
    <row r="6" spans="1:9" ht="12.75" customHeight="1" x14ac:dyDescent="0.2">
      <c r="A6" s="28">
        <v>38723</v>
      </c>
      <c r="B6" s="26" t="s">
        <v>5370</v>
      </c>
      <c r="C6" s="26" t="s">
        <v>9</v>
      </c>
      <c r="D6" s="26" t="s">
        <v>20</v>
      </c>
      <c r="E6" s="26" t="s">
        <v>20</v>
      </c>
      <c r="F6" s="26" t="s">
        <v>20</v>
      </c>
      <c r="G6" t="b">
        <f t="shared" si="0"/>
        <v>0</v>
      </c>
      <c r="H6" t="b">
        <f t="shared" si="1"/>
        <v>0</v>
      </c>
      <c r="I6" s="29">
        <f t="shared" si="2"/>
        <v>38723</v>
      </c>
    </row>
    <row r="7" spans="1:9" ht="12.75" customHeight="1" x14ac:dyDescent="0.2">
      <c r="A7" s="28">
        <v>38730</v>
      </c>
      <c r="B7" s="26" t="s">
        <v>5369</v>
      </c>
      <c r="C7" s="26" t="s">
        <v>3390</v>
      </c>
      <c r="D7" s="26" t="s">
        <v>20</v>
      </c>
      <c r="E7" s="26">
        <v>42647449</v>
      </c>
      <c r="F7" s="26">
        <v>43047449</v>
      </c>
      <c r="G7" t="b">
        <f t="shared" si="0"/>
        <v>0</v>
      </c>
      <c r="H7" t="b">
        <f t="shared" si="1"/>
        <v>0</v>
      </c>
      <c r="I7" s="29">
        <f t="shared" si="2"/>
        <v>38730</v>
      </c>
    </row>
    <row r="8" spans="1:9" ht="25.5" x14ac:dyDescent="0.2">
      <c r="A8" s="28">
        <v>38730</v>
      </c>
      <c r="B8" s="26" t="s">
        <v>5368</v>
      </c>
      <c r="C8" s="26" t="s">
        <v>9</v>
      </c>
      <c r="D8" s="26" t="s">
        <v>20</v>
      </c>
      <c r="E8" s="26">
        <v>55398</v>
      </c>
      <c r="F8" s="26" t="s">
        <v>20</v>
      </c>
      <c r="G8" t="b">
        <f t="shared" si="0"/>
        <v>0</v>
      </c>
      <c r="H8" t="b">
        <f t="shared" si="1"/>
        <v>0</v>
      </c>
      <c r="I8" s="29">
        <f t="shared" si="2"/>
        <v>38730</v>
      </c>
    </row>
    <row r="9" spans="1:9" ht="12.75" customHeight="1" x14ac:dyDescent="0.2">
      <c r="A9" s="28">
        <v>38730</v>
      </c>
      <c r="B9" s="26" t="s">
        <v>5367</v>
      </c>
      <c r="C9" s="26" t="s">
        <v>9</v>
      </c>
      <c r="D9" s="26" t="s">
        <v>20</v>
      </c>
      <c r="E9" s="26">
        <v>332491</v>
      </c>
      <c r="F9" s="26" t="s">
        <v>20</v>
      </c>
      <c r="G9" t="b">
        <f t="shared" si="0"/>
        <v>0</v>
      </c>
      <c r="H9" t="b">
        <f t="shared" si="1"/>
        <v>0</v>
      </c>
      <c r="I9" s="29">
        <f t="shared" si="2"/>
        <v>38730</v>
      </c>
    </row>
    <row r="10" spans="1:9" ht="25.5" x14ac:dyDescent="0.2">
      <c r="A10" s="28">
        <v>38730</v>
      </c>
      <c r="B10" s="26" t="s">
        <v>5366</v>
      </c>
      <c r="C10" s="26" t="s">
        <v>2168</v>
      </c>
      <c r="D10" s="26">
        <v>45000000</v>
      </c>
      <c r="E10" s="26">
        <v>38399961</v>
      </c>
      <c r="F10" s="26">
        <v>43343247</v>
      </c>
      <c r="G10" t="b">
        <f t="shared" si="0"/>
        <v>0</v>
      </c>
      <c r="H10" t="b">
        <f t="shared" si="1"/>
        <v>0</v>
      </c>
      <c r="I10" s="29">
        <f t="shared" si="2"/>
        <v>38730</v>
      </c>
    </row>
    <row r="11" spans="1:9" ht="25.5" x14ac:dyDescent="0.2">
      <c r="A11" s="28">
        <v>38730</v>
      </c>
      <c r="B11" s="26" t="s">
        <v>5365</v>
      </c>
      <c r="C11" s="26" t="s">
        <v>9</v>
      </c>
      <c r="D11" s="26" t="s">
        <v>20</v>
      </c>
      <c r="E11" s="26">
        <v>24038</v>
      </c>
      <c r="F11" s="26" t="s">
        <v>20</v>
      </c>
      <c r="G11" t="b">
        <f t="shared" si="0"/>
        <v>0</v>
      </c>
      <c r="H11" t="b">
        <f t="shared" si="1"/>
        <v>0</v>
      </c>
      <c r="I11" s="29">
        <f t="shared" si="2"/>
        <v>38730</v>
      </c>
    </row>
    <row r="12" spans="1:9" ht="51" x14ac:dyDescent="0.2">
      <c r="A12" s="28">
        <v>38730</v>
      </c>
      <c r="B12" s="26" t="s">
        <v>5364</v>
      </c>
      <c r="C12" s="26" t="s">
        <v>9</v>
      </c>
      <c r="D12" s="26" t="s">
        <v>20</v>
      </c>
      <c r="E12" s="26">
        <v>25347</v>
      </c>
      <c r="F12" s="26" t="s">
        <v>20</v>
      </c>
      <c r="G12" t="b">
        <f t="shared" si="0"/>
        <v>0</v>
      </c>
      <c r="H12" t="b">
        <f t="shared" si="1"/>
        <v>0</v>
      </c>
      <c r="I12" s="29">
        <f t="shared" si="2"/>
        <v>38730</v>
      </c>
    </row>
    <row r="13" spans="1:9" ht="12.75" customHeight="1" x14ac:dyDescent="0.2">
      <c r="A13" s="28">
        <v>38730</v>
      </c>
      <c r="B13" s="26" t="s">
        <v>5363</v>
      </c>
      <c r="C13" s="26" t="s">
        <v>9</v>
      </c>
      <c r="D13" s="26" t="s">
        <v>20</v>
      </c>
      <c r="E13" s="26">
        <v>17341</v>
      </c>
      <c r="F13" s="26" t="s">
        <v>20</v>
      </c>
      <c r="G13" t="b">
        <f t="shared" si="0"/>
        <v>0</v>
      </c>
      <c r="H13" t="b">
        <f t="shared" si="1"/>
        <v>0</v>
      </c>
      <c r="I13" s="29">
        <f t="shared" si="2"/>
        <v>38730</v>
      </c>
    </row>
    <row r="14" spans="1:9" ht="12.75" customHeight="1" x14ac:dyDescent="0.2">
      <c r="A14" s="28">
        <v>38730</v>
      </c>
      <c r="B14" s="26" t="s">
        <v>5362</v>
      </c>
      <c r="C14" s="26" t="s">
        <v>9</v>
      </c>
      <c r="D14" s="26" t="s">
        <v>20</v>
      </c>
      <c r="E14" s="26" t="s">
        <v>20</v>
      </c>
      <c r="F14" s="26" t="s">
        <v>20</v>
      </c>
      <c r="G14" t="b">
        <f t="shared" si="0"/>
        <v>0</v>
      </c>
      <c r="H14" t="b">
        <f t="shared" si="1"/>
        <v>0</v>
      </c>
      <c r="I14" s="29">
        <f t="shared" si="2"/>
        <v>38730</v>
      </c>
    </row>
    <row r="15" spans="1:9" ht="12.75" customHeight="1" x14ac:dyDescent="0.2">
      <c r="A15" s="28">
        <v>38730</v>
      </c>
      <c r="B15" s="26" t="s">
        <v>5361</v>
      </c>
      <c r="C15" s="26" t="s">
        <v>9</v>
      </c>
      <c r="D15" s="26" t="s">
        <v>20</v>
      </c>
      <c r="E15" s="26">
        <v>16255</v>
      </c>
      <c r="F15" s="26" t="s">
        <v>20</v>
      </c>
      <c r="G15" t="b">
        <f t="shared" si="0"/>
        <v>0</v>
      </c>
      <c r="H15" t="b">
        <f t="shared" si="1"/>
        <v>0</v>
      </c>
      <c r="I15" s="29">
        <f t="shared" si="2"/>
        <v>38730</v>
      </c>
    </row>
    <row r="16" spans="1:9" ht="12.75" customHeight="1" x14ac:dyDescent="0.2">
      <c r="A16" s="28">
        <v>38730</v>
      </c>
      <c r="B16" s="26" t="s">
        <v>5360</v>
      </c>
      <c r="C16" s="26" t="s">
        <v>384</v>
      </c>
      <c r="D16" s="26" t="s">
        <v>20</v>
      </c>
      <c r="E16" s="26">
        <v>14734633</v>
      </c>
      <c r="F16" s="26">
        <v>17455613</v>
      </c>
      <c r="G16" t="b">
        <f t="shared" si="0"/>
        <v>0</v>
      </c>
      <c r="H16" t="b">
        <f t="shared" si="1"/>
        <v>0</v>
      </c>
      <c r="I16" s="29">
        <f t="shared" si="2"/>
        <v>38730</v>
      </c>
    </row>
    <row r="17" spans="1:9" ht="25.5" x14ac:dyDescent="0.2">
      <c r="A17" s="28">
        <v>38737</v>
      </c>
      <c r="B17" s="26" t="s">
        <v>5359</v>
      </c>
      <c r="C17" s="26" t="s">
        <v>2160</v>
      </c>
      <c r="D17" s="26">
        <v>45000000</v>
      </c>
      <c r="E17" s="26">
        <v>62318875</v>
      </c>
      <c r="F17" s="26">
        <v>111318875</v>
      </c>
      <c r="G17" t="b">
        <f t="shared" si="0"/>
        <v>0</v>
      </c>
      <c r="H17" t="b">
        <f t="shared" si="1"/>
        <v>0</v>
      </c>
      <c r="I17" s="29">
        <f t="shared" si="2"/>
        <v>38737</v>
      </c>
    </row>
    <row r="18" spans="1:9" ht="12.75" customHeight="1" x14ac:dyDescent="0.2">
      <c r="A18" s="28">
        <v>38737</v>
      </c>
      <c r="B18" s="26" t="s">
        <v>5358</v>
      </c>
      <c r="C18" s="26" t="s">
        <v>9</v>
      </c>
      <c r="D18" s="26" t="s">
        <v>20</v>
      </c>
      <c r="E18" s="26">
        <v>4059</v>
      </c>
      <c r="F18" s="26" t="s">
        <v>20</v>
      </c>
      <c r="G18" t="b">
        <f t="shared" si="0"/>
        <v>0</v>
      </c>
      <c r="H18" t="b">
        <f t="shared" si="1"/>
        <v>0</v>
      </c>
      <c r="I18" s="29">
        <f t="shared" si="2"/>
        <v>38737</v>
      </c>
    </row>
    <row r="19" spans="1:9" ht="12.75" customHeight="1" x14ac:dyDescent="0.2">
      <c r="A19" s="28">
        <v>38737</v>
      </c>
      <c r="B19" s="26" t="s">
        <v>5357</v>
      </c>
      <c r="C19" s="26" t="s">
        <v>9</v>
      </c>
      <c r="D19" s="26">
        <v>10000000</v>
      </c>
      <c r="E19" s="26">
        <v>11748661</v>
      </c>
      <c r="F19" s="26" t="s">
        <v>20</v>
      </c>
      <c r="G19" t="b">
        <f t="shared" si="0"/>
        <v>0</v>
      </c>
      <c r="H19" t="b">
        <f t="shared" si="1"/>
        <v>0</v>
      </c>
      <c r="I19" s="29">
        <f t="shared" si="2"/>
        <v>38737</v>
      </c>
    </row>
    <row r="20" spans="1:9" ht="38.25" x14ac:dyDescent="0.2">
      <c r="A20" s="28">
        <v>38737</v>
      </c>
      <c r="B20" s="26" t="s">
        <v>5356</v>
      </c>
      <c r="C20" s="26" t="s">
        <v>9</v>
      </c>
      <c r="D20" s="26" t="s">
        <v>20</v>
      </c>
      <c r="E20" s="26">
        <v>887416</v>
      </c>
      <c r="F20" s="26" t="s">
        <v>20</v>
      </c>
      <c r="G20" t="b">
        <f t="shared" si="0"/>
        <v>0</v>
      </c>
      <c r="H20" t="b">
        <f t="shared" si="1"/>
        <v>0</v>
      </c>
      <c r="I20" s="29">
        <f t="shared" si="2"/>
        <v>38737</v>
      </c>
    </row>
    <row r="21" spans="1:9" ht="12.75" customHeight="1" x14ac:dyDescent="0.2">
      <c r="A21" s="28">
        <v>38737</v>
      </c>
      <c r="B21" s="26" t="s">
        <v>5355</v>
      </c>
      <c r="C21" s="26" t="s">
        <v>9</v>
      </c>
      <c r="D21" s="26" t="s">
        <v>20</v>
      </c>
      <c r="E21" s="26">
        <v>1880863</v>
      </c>
      <c r="F21" s="26" t="s">
        <v>20</v>
      </c>
      <c r="G21" t="b">
        <f t="shared" si="0"/>
        <v>0</v>
      </c>
      <c r="H21" t="b">
        <f t="shared" si="1"/>
        <v>0</v>
      </c>
      <c r="I21" s="29">
        <f t="shared" si="2"/>
        <v>38737</v>
      </c>
    </row>
    <row r="22" spans="1:9" ht="12.75" customHeight="1" x14ac:dyDescent="0.2">
      <c r="A22" s="28">
        <v>38737</v>
      </c>
      <c r="B22" s="26" t="s">
        <v>5354</v>
      </c>
      <c r="C22" s="26" t="s">
        <v>9</v>
      </c>
      <c r="D22" s="26" t="s">
        <v>20</v>
      </c>
      <c r="E22" s="26">
        <v>271078</v>
      </c>
      <c r="F22" s="26" t="s">
        <v>20</v>
      </c>
      <c r="G22" t="b">
        <f t="shared" si="0"/>
        <v>0</v>
      </c>
      <c r="H22" t="b">
        <f t="shared" si="1"/>
        <v>0</v>
      </c>
      <c r="I22" s="29">
        <f t="shared" si="2"/>
        <v>38737</v>
      </c>
    </row>
    <row r="23" spans="1:9" ht="25.5" x14ac:dyDescent="0.2">
      <c r="A23" s="28">
        <v>38737</v>
      </c>
      <c r="B23" s="26" t="s">
        <v>5353</v>
      </c>
      <c r="C23" s="26" t="s">
        <v>9</v>
      </c>
      <c r="D23" s="26" t="s">
        <v>20</v>
      </c>
      <c r="E23" s="26" t="s">
        <v>20</v>
      </c>
      <c r="F23" s="26" t="s">
        <v>20</v>
      </c>
      <c r="G23" t="b">
        <f t="shared" si="0"/>
        <v>0</v>
      </c>
      <c r="H23" t="b">
        <f t="shared" si="1"/>
        <v>0</v>
      </c>
      <c r="I23" s="29">
        <f t="shared" si="2"/>
        <v>38737</v>
      </c>
    </row>
    <row r="24" spans="1:9" ht="25.5" x14ac:dyDescent="0.2">
      <c r="A24" s="28">
        <v>38737</v>
      </c>
      <c r="B24" s="26" t="s">
        <v>5352</v>
      </c>
      <c r="C24" s="26" t="s">
        <v>9</v>
      </c>
      <c r="D24" s="26" t="s">
        <v>20</v>
      </c>
      <c r="E24" s="26">
        <v>34298</v>
      </c>
      <c r="F24" s="26" t="s">
        <v>20</v>
      </c>
      <c r="G24" t="b">
        <f t="shared" si="0"/>
        <v>0</v>
      </c>
      <c r="H24" t="b">
        <f t="shared" si="1"/>
        <v>0</v>
      </c>
      <c r="I24" s="29">
        <f t="shared" si="2"/>
        <v>38737</v>
      </c>
    </row>
    <row r="25" spans="1:9" ht="25.5" x14ac:dyDescent="0.2">
      <c r="A25" s="28">
        <v>38744</v>
      </c>
      <c r="B25" s="26" t="s">
        <v>5351</v>
      </c>
      <c r="C25" s="26" t="s">
        <v>384</v>
      </c>
      <c r="D25" s="26">
        <v>40000000</v>
      </c>
      <c r="E25" s="26">
        <v>70165972</v>
      </c>
      <c r="F25" s="26">
        <v>137047376</v>
      </c>
      <c r="G25" t="b">
        <f t="shared" si="0"/>
        <v>0</v>
      </c>
      <c r="H25" t="b">
        <f t="shared" si="1"/>
        <v>0</v>
      </c>
      <c r="I25" s="29">
        <f t="shared" si="2"/>
        <v>38744</v>
      </c>
    </row>
    <row r="26" spans="1:9" ht="12.75" customHeight="1" x14ac:dyDescent="0.2">
      <c r="A26" s="28">
        <v>38744</v>
      </c>
      <c r="B26" s="26" t="s">
        <v>5350</v>
      </c>
      <c r="C26" s="26" t="s">
        <v>3096</v>
      </c>
      <c r="D26" s="26">
        <v>25000000</v>
      </c>
      <c r="E26" s="26">
        <v>47279279</v>
      </c>
      <c r="F26" s="26">
        <v>122540909</v>
      </c>
      <c r="G26" t="b">
        <f t="shared" si="0"/>
        <v>0</v>
      </c>
      <c r="H26" t="b">
        <f t="shared" si="1"/>
        <v>0</v>
      </c>
      <c r="I26" s="29">
        <f t="shared" si="2"/>
        <v>38744</v>
      </c>
    </row>
    <row r="27" spans="1:9" ht="12.75" customHeight="1" x14ac:dyDescent="0.2">
      <c r="A27" s="28">
        <v>38744</v>
      </c>
      <c r="B27" s="26" t="s">
        <v>5349</v>
      </c>
      <c r="C27" s="26" t="s">
        <v>9</v>
      </c>
      <c r="D27" s="26">
        <v>5300000</v>
      </c>
      <c r="E27" s="26">
        <v>2197694</v>
      </c>
      <c r="F27" s="26">
        <v>29197694</v>
      </c>
      <c r="G27" t="b">
        <f t="shared" si="0"/>
        <v>0</v>
      </c>
      <c r="H27" t="b">
        <f t="shared" si="1"/>
        <v>0</v>
      </c>
      <c r="I27" s="29">
        <f t="shared" si="2"/>
        <v>38744</v>
      </c>
    </row>
    <row r="28" spans="1:9" x14ac:dyDescent="0.2">
      <c r="A28" s="28">
        <v>38744</v>
      </c>
      <c r="B28" s="26" t="s">
        <v>5348</v>
      </c>
      <c r="C28" s="26" t="s">
        <v>155</v>
      </c>
      <c r="D28" s="26">
        <v>7900000</v>
      </c>
      <c r="E28" s="26">
        <v>672243</v>
      </c>
      <c r="F28" s="26">
        <v>972243</v>
      </c>
      <c r="G28" t="b">
        <f t="shared" si="0"/>
        <v>0</v>
      </c>
      <c r="H28" t="b">
        <f t="shared" si="1"/>
        <v>0</v>
      </c>
      <c r="I28" s="29">
        <f t="shared" si="2"/>
        <v>38744</v>
      </c>
    </row>
    <row r="29" spans="1:9" ht="12.75" customHeight="1" x14ac:dyDescent="0.2">
      <c r="A29" s="28">
        <v>38744</v>
      </c>
      <c r="B29" s="26" t="s">
        <v>5347</v>
      </c>
      <c r="C29" s="26" t="s">
        <v>746</v>
      </c>
      <c r="D29" s="26">
        <v>1600000</v>
      </c>
      <c r="E29" s="26">
        <v>145382</v>
      </c>
      <c r="F29" s="26" t="s">
        <v>20</v>
      </c>
      <c r="G29" t="b">
        <f t="shared" si="0"/>
        <v>0</v>
      </c>
      <c r="H29" t="b">
        <f t="shared" si="1"/>
        <v>0</v>
      </c>
      <c r="I29" s="29">
        <f t="shared" si="2"/>
        <v>38744</v>
      </c>
    </row>
    <row r="30" spans="1:9" ht="38.25" x14ac:dyDescent="0.2">
      <c r="A30" s="28">
        <v>38744</v>
      </c>
      <c r="B30" s="26" t="s">
        <v>5346</v>
      </c>
      <c r="C30" s="26" t="s">
        <v>2460</v>
      </c>
      <c r="D30" s="26">
        <v>4750000</v>
      </c>
      <c r="E30" s="26">
        <v>1253413</v>
      </c>
      <c r="F30" s="26">
        <v>3061763</v>
      </c>
      <c r="G30" t="b">
        <f t="shared" si="0"/>
        <v>0</v>
      </c>
      <c r="H30" t="b">
        <f t="shared" si="1"/>
        <v>0</v>
      </c>
      <c r="I30" s="29">
        <f t="shared" si="2"/>
        <v>38744</v>
      </c>
    </row>
    <row r="31" spans="1:9" ht="25.5" x14ac:dyDescent="0.2">
      <c r="A31" s="28">
        <v>38744</v>
      </c>
      <c r="B31" s="26" t="s">
        <v>5345</v>
      </c>
      <c r="C31" s="26" t="s">
        <v>9</v>
      </c>
      <c r="D31" s="26" t="s">
        <v>20</v>
      </c>
      <c r="E31" s="26">
        <v>11290</v>
      </c>
      <c r="F31" s="26" t="s">
        <v>20</v>
      </c>
      <c r="G31" t="b">
        <f t="shared" si="0"/>
        <v>0</v>
      </c>
      <c r="H31" t="b">
        <f t="shared" si="1"/>
        <v>0</v>
      </c>
      <c r="I31" s="29">
        <f t="shared" si="2"/>
        <v>38744</v>
      </c>
    </row>
    <row r="32" spans="1:9" ht="12.75" customHeight="1" x14ac:dyDescent="0.2">
      <c r="A32" s="28">
        <v>38744</v>
      </c>
      <c r="B32" s="26" t="s">
        <v>5344</v>
      </c>
      <c r="C32" s="26" t="s">
        <v>3390</v>
      </c>
      <c r="D32" s="26" t="s">
        <v>20</v>
      </c>
      <c r="E32" s="26">
        <v>10407978</v>
      </c>
      <c r="F32" s="26">
        <v>11248978</v>
      </c>
      <c r="G32" t="b">
        <f t="shared" si="0"/>
        <v>0</v>
      </c>
      <c r="H32" t="b">
        <f t="shared" si="1"/>
        <v>0</v>
      </c>
      <c r="I32" s="29">
        <f t="shared" si="2"/>
        <v>38744</v>
      </c>
    </row>
    <row r="33" spans="1:9" ht="25.5" x14ac:dyDescent="0.2">
      <c r="A33" s="28">
        <v>38744</v>
      </c>
      <c r="B33" s="26" t="s">
        <v>5343</v>
      </c>
      <c r="C33" s="26" t="s">
        <v>9</v>
      </c>
      <c r="D33" s="26" t="s">
        <v>20</v>
      </c>
      <c r="E33" s="26">
        <v>53580</v>
      </c>
      <c r="F33" s="26" t="s">
        <v>20</v>
      </c>
      <c r="G33" t="b">
        <f t="shared" si="0"/>
        <v>0</v>
      </c>
      <c r="H33" t="b">
        <f t="shared" si="1"/>
        <v>0</v>
      </c>
      <c r="I33" s="29">
        <f t="shared" si="2"/>
        <v>38744</v>
      </c>
    </row>
    <row r="34" spans="1:9" ht="12.75" customHeight="1" x14ac:dyDescent="0.2">
      <c r="A34" s="28">
        <v>38744</v>
      </c>
      <c r="B34" s="26" t="s">
        <v>5342</v>
      </c>
      <c r="C34" s="26" t="s">
        <v>3390</v>
      </c>
      <c r="D34" s="26" t="s">
        <v>20</v>
      </c>
      <c r="E34" s="26">
        <v>17127992</v>
      </c>
      <c r="F34" s="26">
        <v>17224992</v>
      </c>
      <c r="G34" t="b">
        <f t="shared" si="0"/>
        <v>0</v>
      </c>
      <c r="H34" t="b">
        <f t="shared" si="1"/>
        <v>0</v>
      </c>
      <c r="I34" s="29">
        <f t="shared" si="2"/>
        <v>38744</v>
      </c>
    </row>
    <row r="35" spans="1:9" ht="12.75" customHeight="1" x14ac:dyDescent="0.2">
      <c r="A35" s="28">
        <v>38744</v>
      </c>
      <c r="B35" s="26" t="s">
        <v>5341</v>
      </c>
      <c r="C35" s="26" t="s">
        <v>3466</v>
      </c>
      <c r="D35" s="26">
        <v>14200000</v>
      </c>
      <c r="E35" s="26">
        <v>74205</v>
      </c>
      <c r="F35" s="26">
        <v>543306</v>
      </c>
      <c r="G35" t="b">
        <f t="shared" si="0"/>
        <v>0</v>
      </c>
      <c r="H35" t="b">
        <f t="shared" si="1"/>
        <v>0</v>
      </c>
      <c r="I35" s="29">
        <f t="shared" si="2"/>
        <v>38744</v>
      </c>
    </row>
    <row r="36" spans="1:9" ht="12.75" customHeight="1" x14ac:dyDescent="0.2">
      <c r="A36" s="28">
        <v>38744</v>
      </c>
      <c r="B36" s="26" t="s">
        <v>5340</v>
      </c>
      <c r="C36" s="26" t="s">
        <v>9</v>
      </c>
      <c r="D36" s="26" t="s">
        <v>20</v>
      </c>
      <c r="E36" s="26" t="s">
        <v>20</v>
      </c>
      <c r="F36" s="26" t="s">
        <v>20</v>
      </c>
      <c r="G36" t="b">
        <f t="shared" si="0"/>
        <v>0</v>
      </c>
      <c r="H36" t="b">
        <f t="shared" si="1"/>
        <v>0</v>
      </c>
      <c r="I36" s="29">
        <f t="shared" si="2"/>
        <v>38744</v>
      </c>
    </row>
    <row r="37" spans="1:9" ht="25.5" x14ac:dyDescent="0.2">
      <c r="A37" s="28">
        <v>38749</v>
      </c>
      <c r="B37" s="26" t="s">
        <v>5339</v>
      </c>
      <c r="C37" s="26" t="s">
        <v>9</v>
      </c>
      <c r="D37" s="26">
        <v>42000000</v>
      </c>
      <c r="E37" s="26" t="s">
        <v>20</v>
      </c>
      <c r="F37" s="26">
        <v>83833602</v>
      </c>
      <c r="G37" t="b">
        <f t="shared" si="0"/>
        <v>0</v>
      </c>
      <c r="H37" t="b">
        <f t="shared" si="1"/>
        <v>0</v>
      </c>
      <c r="I37" s="29">
        <f t="shared" si="2"/>
        <v>38749</v>
      </c>
    </row>
    <row r="38" spans="1:9" ht="12.75" customHeight="1" x14ac:dyDescent="0.2">
      <c r="A38" s="28">
        <v>38751</v>
      </c>
      <c r="B38" s="26" t="s">
        <v>5338</v>
      </c>
      <c r="C38" s="26" t="s">
        <v>698</v>
      </c>
      <c r="D38" s="26" t="s">
        <v>20</v>
      </c>
      <c r="E38" s="26">
        <v>11468568</v>
      </c>
      <c r="F38" s="26">
        <v>11483669</v>
      </c>
      <c r="G38" t="b">
        <f t="shared" si="0"/>
        <v>0</v>
      </c>
      <c r="H38" t="b">
        <f t="shared" si="1"/>
        <v>0</v>
      </c>
      <c r="I38" s="29">
        <f t="shared" si="2"/>
        <v>38751</v>
      </c>
    </row>
    <row r="39" spans="1:9" ht="25.5" x14ac:dyDescent="0.2">
      <c r="A39" s="28">
        <v>38751</v>
      </c>
      <c r="B39" s="26" t="s">
        <v>5337</v>
      </c>
      <c r="C39" s="26" t="s">
        <v>2160</v>
      </c>
      <c r="D39" s="26">
        <v>15000000</v>
      </c>
      <c r="E39" s="26">
        <v>47860214</v>
      </c>
      <c r="F39" s="26">
        <v>66966987</v>
      </c>
      <c r="G39" t="b">
        <f t="shared" si="0"/>
        <v>0</v>
      </c>
      <c r="H39" t="b">
        <f t="shared" si="1"/>
        <v>0</v>
      </c>
      <c r="I39" s="29">
        <f t="shared" si="2"/>
        <v>38751</v>
      </c>
    </row>
    <row r="40" spans="1:9" ht="12.75" customHeight="1" x14ac:dyDescent="0.2">
      <c r="A40" s="28">
        <v>38751</v>
      </c>
      <c r="B40" s="26" t="s">
        <v>5336</v>
      </c>
      <c r="C40" s="26" t="s">
        <v>9</v>
      </c>
      <c r="D40" s="26" t="s">
        <v>20</v>
      </c>
      <c r="E40" s="26">
        <v>223144</v>
      </c>
      <c r="F40" s="26">
        <v>6075750</v>
      </c>
      <c r="G40" t="b">
        <f t="shared" si="0"/>
        <v>0</v>
      </c>
      <c r="H40" t="b">
        <f t="shared" si="1"/>
        <v>0</v>
      </c>
      <c r="I40" s="29">
        <f t="shared" si="2"/>
        <v>38751</v>
      </c>
    </row>
    <row r="41" spans="1:9" ht="12.75" customHeight="1" x14ac:dyDescent="0.2">
      <c r="A41" s="28">
        <v>38751</v>
      </c>
      <c r="B41" s="26" t="s">
        <v>5335</v>
      </c>
      <c r="C41" s="26" t="s">
        <v>9</v>
      </c>
      <c r="D41" s="26" t="s">
        <v>20</v>
      </c>
      <c r="E41" s="26">
        <v>4526</v>
      </c>
      <c r="F41" s="26" t="s">
        <v>20</v>
      </c>
      <c r="G41" t="b">
        <f t="shared" si="0"/>
        <v>0</v>
      </c>
      <c r="H41" t="b">
        <f t="shared" si="1"/>
        <v>0</v>
      </c>
      <c r="I41" s="29">
        <f t="shared" si="2"/>
        <v>38751</v>
      </c>
    </row>
    <row r="42" spans="1:9" ht="12.75" customHeight="1" x14ac:dyDescent="0.2">
      <c r="A42" s="28">
        <v>38751</v>
      </c>
      <c r="B42" s="26" t="s">
        <v>5334</v>
      </c>
      <c r="C42" s="26" t="s">
        <v>9</v>
      </c>
      <c r="D42" s="26" t="s">
        <v>20</v>
      </c>
      <c r="E42" s="26">
        <v>2390</v>
      </c>
      <c r="F42" s="26" t="s">
        <v>20</v>
      </c>
      <c r="G42" t="b">
        <f t="shared" si="0"/>
        <v>0</v>
      </c>
      <c r="H42" t="b">
        <f t="shared" si="1"/>
        <v>0</v>
      </c>
      <c r="I42" s="29">
        <f t="shared" si="2"/>
        <v>38751</v>
      </c>
    </row>
    <row r="43" spans="1:9" ht="12.75" customHeight="1" x14ac:dyDescent="0.2">
      <c r="A43" s="28">
        <v>38751</v>
      </c>
      <c r="B43" s="26" t="s">
        <v>5333</v>
      </c>
      <c r="C43" s="26" t="s">
        <v>9</v>
      </c>
      <c r="D43" s="26" t="s">
        <v>20</v>
      </c>
      <c r="E43" s="26">
        <v>1407</v>
      </c>
      <c r="F43" s="26" t="s">
        <v>20</v>
      </c>
      <c r="G43" t="b">
        <f t="shared" si="0"/>
        <v>0</v>
      </c>
      <c r="H43" t="b">
        <f t="shared" si="1"/>
        <v>0</v>
      </c>
      <c r="I43" s="29">
        <f t="shared" si="2"/>
        <v>38751</v>
      </c>
    </row>
    <row r="44" spans="1:9" ht="38.25" x14ac:dyDescent="0.2">
      <c r="A44" s="28">
        <v>38751</v>
      </c>
      <c r="B44" s="26" t="s">
        <v>5332</v>
      </c>
      <c r="C44" s="26" t="s">
        <v>9</v>
      </c>
      <c r="D44" s="26" t="s">
        <v>20</v>
      </c>
      <c r="E44" s="26">
        <v>135706</v>
      </c>
      <c r="F44" s="26" t="s">
        <v>20</v>
      </c>
      <c r="G44" t="b">
        <f t="shared" si="0"/>
        <v>0</v>
      </c>
      <c r="H44" t="b">
        <f t="shared" si="1"/>
        <v>0</v>
      </c>
      <c r="I44" s="29">
        <f t="shared" si="2"/>
        <v>38751</v>
      </c>
    </row>
    <row r="45" spans="1:9" ht="12.75" customHeight="1" x14ac:dyDescent="0.2">
      <c r="A45" s="28">
        <v>38751</v>
      </c>
      <c r="B45" s="26" t="s">
        <v>5331</v>
      </c>
      <c r="C45" s="26" t="s">
        <v>9</v>
      </c>
      <c r="D45" s="26" t="s">
        <v>20</v>
      </c>
      <c r="E45" s="26">
        <v>2010</v>
      </c>
      <c r="F45" s="26" t="s">
        <v>20</v>
      </c>
      <c r="G45" t="b">
        <f t="shared" si="0"/>
        <v>0</v>
      </c>
      <c r="H45" t="b">
        <f t="shared" si="1"/>
        <v>0</v>
      </c>
      <c r="I45" s="29">
        <f t="shared" si="2"/>
        <v>38751</v>
      </c>
    </row>
    <row r="46" spans="1:9" ht="12.75" customHeight="1" x14ac:dyDescent="0.2">
      <c r="A46" s="28">
        <v>38751</v>
      </c>
      <c r="B46" s="26" t="s">
        <v>5330</v>
      </c>
      <c r="C46" s="26" t="s">
        <v>9</v>
      </c>
      <c r="D46" s="26" t="s">
        <v>20</v>
      </c>
      <c r="E46" s="26">
        <v>206871</v>
      </c>
      <c r="F46" s="26" t="s">
        <v>20</v>
      </c>
      <c r="G46" t="b">
        <f t="shared" si="0"/>
        <v>0</v>
      </c>
      <c r="H46" t="b">
        <f t="shared" si="1"/>
        <v>0</v>
      </c>
      <c r="I46" s="29">
        <f t="shared" si="2"/>
        <v>38751</v>
      </c>
    </row>
    <row r="47" spans="1:9" ht="25.5" x14ac:dyDescent="0.2">
      <c r="A47" s="28">
        <v>38751</v>
      </c>
      <c r="B47" s="26" t="s">
        <v>5329</v>
      </c>
      <c r="C47" s="26" t="s">
        <v>9</v>
      </c>
      <c r="D47" s="26" t="s">
        <v>20</v>
      </c>
      <c r="E47" s="26">
        <v>79470</v>
      </c>
      <c r="F47" s="26" t="s">
        <v>20</v>
      </c>
      <c r="G47" t="b">
        <f t="shared" si="0"/>
        <v>0</v>
      </c>
      <c r="H47" t="b">
        <f t="shared" si="1"/>
        <v>0</v>
      </c>
      <c r="I47" s="29">
        <f t="shared" si="2"/>
        <v>38751</v>
      </c>
    </row>
    <row r="48" spans="1:9" ht="25.5" x14ac:dyDescent="0.2">
      <c r="A48" s="28">
        <v>38751</v>
      </c>
      <c r="B48" s="26" t="s">
        <v>5328</v>
      </c>
      <c r="C48" s="26" t="s">
        <v>9</v>
      </c>
      <c r="D48" s="26" t="s">
        <v>20</v>
      </c>
      <c r="E48" s="26">
        <v>27344</v>
      </c>
      <c r="F48" s="26" t="s">
        <v>20</v>
      </c>
      <c r="G48" t="b">
        <f t="shared" si="0"/>
        <v>0</v>
      </c>
      <c r="H48" t="b">
        <f t="shared" si="1"/>
        <v>0</v>
      </c>
      <c r="I48" s="29">
        <f t="shared" si="2"/>
        <v>38751</v>
      </c>
    </row>
    <row r="49" spans="1:9" ht="12.75" customHeight="1" x14ac:dyDescent="0.2">
      <c r="A49" s="28">
        <v>38751</v>
      </c>
      <c r="B49" s="26" t="s">
        <v>5327</v>
      </c>
      <c r="C49" s="26" t="s">
        <v>9</v>
      </c>
      <c r="D49" s="26" t="s">
        <v>20</v>
      </c>
      <c r="E49" s="26">
        <v>26756</v>
      </c>
      <c r="F49" s="26" t="s">
        <v>20</v>
      </c>
      <c r="G49" t="b">
        <f t="shared" si="0"/>
        <v>0</v>
      </c>
      <c r="H49" t="b">
        <f t="shared" si="1"/>
        <v>0</v>
      </c>
      <c r="I49" s="29">
        <f t="shared" si="2"/>
        <v>38751</v>
      </c>
    </row>
    <row r="50" spans="1:9" ht="12.75" customHeight="1" x14ac:dyDescent="0.2">
      <c r="A50" s="28">
        <v>38755</v>
      </c>
      <c r="B50" s="26" t="s">
        <v>5326</v>
      </c>
      <c r="C50" s="26" t="s">
        <v>9</v>
      </c>
      <c r="D50" s="26" t="s">
        <v>20</v>
      </c>
      <c r="E50" s="26" t="s">
        <v>20</v>
      </c>
      <c r="F50" s="26">
        <v>34000000</v>
      </c>
      <c r="G50" t="b">
        <f t="shared" si="0"/>
        <v>0</v>
      </c>
      <c r="H50" t="b">
        <f t="shared" si="1"/>
        <v>0</v>
      </c>
      <c r="I50" s="29">
        <f t="shared" si="2"/>
        <v>38755</v>
      </c>
    </row>
    <row r="51" spans="1:9" ht="12.75" customHeight="1" x14ac:dyDescent="0.2">
      <c r="A51" s="28">
        <v>38758</v>
      </c>
      <c r="B51" s="26" t="s">
        <v>5325</v>
      </c>
      <c r="C51" s="26" t="s">
        <v>9</v>
      </c>
      <c r="D51" s="26" t="s">
        <v>20</v>
      </c>
      <c r="E51" s="26" t="s">
        <v>20</v>
      </c>
      <c r="F51" s="26" t="s">
        <v>20</v>
      </c>
      <c r="G51" t="b">
        <f t="shared" si="0"/>
        <v>0</v>
      </c>
      <c r="H51" t="b">
        <f t="shared" si="1"/>
        <v>0</v>
      </c>
      <c r="I51" s="29">
        <f t="shared" si="2"/>
        <v>38758</v>
      </c>
    </row>
    <row r="52" spans="1:9" ht="12.75" customHeight="1" x14ac:dyDescent="0.2">
      <c r="A52" s="28">
        <v>38758</v>
      </c>
      <c r="B52" s="26" t="s">
        <v>5324</v>
      </c>
      <c r="C52" s="26" t="s">
        <v>9</v>
      </c>
      <c r="D52" s="26" t="s">
        <v>20</v>
      </c>
      <c r="E52" s="26">
        <v>4438</v>
      </c>
      <c r="F52" s="26" t="s">
        <v>20</v>
      </c>
      <c r="G52" t="b">
        <f t="shared" si="0"/>
        <v>0</v>
      </c>
      <c r="H52" t="b">
        <f t="shared" si="1"/>
        <v>0</v>
      </c>
      <c r="I52" s="29">
        <f t="shared" si="2"/>
        <v>38758</v>
      </c>
    </row>
    <row r="53" spans="1:9" ht="12.75" customHeight="1" x14ac:dyDescent="0.2">
      <c r="A53" s="28">
        <v>38758</v>
      </c>
      <c r="B53" s="26" t="s">
        <v>5323</v>
      </c>
      <c r="C53" s="26" t="s">
        <v>9</v>
      </c>
      <c r="D53" s="26" t="s">
        <v>20</v>
      </c>
      <c r="E53" s="26">
        <v>24381</v>
      </c>
      <c r="F53" s="26" t="s">
        <v>20</v>
      </c>
      <c r="G53" t="b">
        <f t="shared" si="0"/>
        <v>0</v>
      </c>
      <c r="H53" t="b">
        <f t="shared" si="1"/>
        <v>0</v>
      </c>
      <c r="I53" s="29">
        <f t="shared" si="2"/>
        <v>38758</v>
      </c>
    </row>
    <row r="54" spans="1:9" ht="12.75" customHeight="1" x14ac:dyDescent="0.2">
      <c r="A54" s="28">
        <v>38758</v>
      </c>
      <c r="B54" s="26" t="s">
        <v>5322</v>
      </c>
      <c r="C54" s="26" t="s">
        <v>9</v>
      </c>
      <c r="D54" s="26" t="s">
        <v>20</v>
      </c>
      <c r="E54" s="26">
        <v>1124</v>
      </c>
      <c r="F54" s="26" t="s">
        <v>20</v>
      </c>
      <c r="G54" t="b">
        <f t="shared" si="0"/>
        <v>0</v>
      </c>
      <c r="H54" t="b">
        <f t="shared" si="1"/>
        <v>0</v>
      </c>
      <c r="I54" s="29">
        <f t="shared" si="2"/>
        <v>38758</v>
      </c>
    </row>
    <row r="55" spans="1:9" ht="12.75" customHeight="1" x14ac:dyDescent="0.2">
      <c r="A55" s="28">
        <v>38758</v>
      </c>
      <c r="B55" s="26" t="s">
        <v>5321</v>
      </c>
      <c r="C55" s="26" t="s">
        <v>9</v>
      </c>
      <c r="D55" s="26">
        <v>2000000</v>
      </c>
      <c r="E55" s="26">
        <v>12667</v>
      </c>
      <c r="F55" s="26" t="s">
        <v>20</v>
      </c>
      <c r="G55" t="b">
        <f t="shared" si="0"/>
        <v>0</v>
      </c>
      <c r="H55" t="b">
        <f t="shared" si="1"/>
        <v>0</v>
      </c>
      <c r="I55" s="29">
        <f t="shared" si="2"/>
        <v>38758</v>
      </c>
    </row>
    <row r="56" spans="1:9" ht="25.5" x14ac:dyDescent="0.2">
      <c r="A56" s="28">
        <v>38758</v>
      </c>
      <c r="B56" s="26" t="s">
        <v>5320</v>
      </c>
      <c r="C56" s="26" t="s">
        <v>9</v>
      </c>
      <c r="D56" s="26" t="s">
        <v>20</v>
      </c>
      <c r="E56" s="26">
        <v>1828069</v>
      </c>
      <c r="F56" s="26">
        <v>2125396</v>
      </c>
      <c r="G56" t="b">
        <f t="shared" si="0"/>
        <v>0</v>
      </c>
      <c r="H56" t="b">
        <f t="shared" si="1"/>
        <v>0</v>
      </c>
      <c r="I56" s="29">
        <f t="shared" si="2"/>
        <v>38758</v>
      </c>
    </row>
    <row r="57" spans="1:9" ht="12.75" customHeight="1" x14ac:dyDescent="0.2">
      <c r="A57" s="28">
        <v>38758</v>
      </c>
      <c r="B57" s="26" t="s">
        <v>5319</v>
      </c>
      <c r="C57" s="26" t="s">
        <v>2460</v>
      </c>
      <c r="D57" s="26">
        <v>25000000</v>
      </c>
      <c r="E57" s="26">
        <v>54098051</v>
      </c>
      <c r="F57" s="26">
        <v>112798051</v>
      </c>
      <c r="G57" t="b">
        <f t="shared" si="0"/>
        <v>0</v>
      </c>
      <c r="H57" t="b">
        <f t="shared" si="1"/>
        <v>0</v>
      </c>
      <c r="I57" s="29">
        <f t="shared" si="2"/>
        <v>38758</v>
      </c>
    </row>
    <row r="58" spans="1:9" ht="12.75" customHeight="1" x14ac:dyDescent="0.2">
      <c r="A58" s="28">
        <v>38758</v>
      </c>
      <c r="B58" s="26" t="s">
        <v>5318</v>
      </c>
      <c r="C58" s="26" t="s">
        <v>3209</v>
      </c>
      <c r="D58" s="26" t="s">
        <v>20</v>
      </c>
      <c r="E58" s="26">
        <v>48751189</v>
      </c>
      <c r="F58" s="26">
        <v>82751189</v>
      </c>
      <c r="G58" t="b">
        <f t="shared" si="0"/>
        <v>0</v>
      </c>
      <c r="H58" t="b">
        <f t="shared" si="1"/>
        <v>0</v>
      </c>
      <c r="I58" s="29">
        <f t="shared" si="2"/>
        <v>38758</v>
      </c>
    </row>
    <row r="59" spans="1:9" ht="12.75" customHeight="1" x14ac:dyDescent="0.2">
      <c r="A59" s="28">
        <v>38758</v>
      </c>
      <c r="B59" s="26" t="s">
        <v>5317</v>
      </c>
      <c r="C59" s="26" t="s">
        <v>2256</v>
      </c>
      <c r="D59" s="26">
        <v>80000000</v>
      </c>
      <c r="E59" s="26">
        <v>82226474</v>
      </c>
      <c r="F59" s="26">
        <v>158926474</v>
      </c>
      <c r="G59" t="b">
        <f t="shared" si="0"/>
        <v>0</v>
      </c>
      <c r="H59" t="b">
        <f t="shared" si="1"/>
        <v>0</v>
      </c>
      <c r="I59" s="29">
        <f t="shared" si="2"/>
        <v>38758</v>
      </c>
    </row>
    <row r="60" spans="1:9" ht="12.75" customHeight="1" x14ac:dyDescent="0.2">
      <c r="A60" s="28">
        <v>38758</v>
      </c>
      <c r="B60" s="26" t="s">
        <v>5316</v>
      </c>
      <c r="C60" s="26" t="s">
        <v>9</v>
      </c>
      <c r="D60" s="26" t="s">
        <v>20</v>
      </c>
      <c r="E60" s="26">
        <v>14769</v>
      </c>
      <c r="F60" s="26" t="s">
        <v>20</v>
      </c>
      <c r="G60" t="b">
        <f t="shared" si="0"/>
        <v>0</v>
      </c>
      <c r="H60" t="b">
        <f t="shared" si="1"/>
        <v>0</v>
      </c>
      <c r="I60" s="29">
        <f t="shared" si="2"/>
        <v>38758</v>
      </c>
    </row>
    <row r="61" spans="1:9" ht="12.75" customHeight="1" x14ac:dyDescent="0.2">
      <c r="A61" s="28">
        <v>38758</v>
      </c>
      <c r="B61" s="26" t="s">
        <v>5315</v>
      </c>
      <c r="C61" s="26" t="s">
        <v>3096</v>
      </c>
      <c r="D61" s="26">
        <v>50000000</v>
      </c>
      <c r="E61" s="26">
        <v>58640119</v>
      </c>
      <c r="F61" s="26">
        <v>70114174</v>
      </c>
      <c r="G61" t="b">
        <f t="shared" si="0"/>
        <v>0</v>
      </c>
      <c r="H61" t="b">
        <f t="shared" si="1"/>
        <v>0</v>
      </c>
      <c r="I61" s="29">
        <f t="shared" si="2"/>
        <v>38758</v>
      </c>
    </row>
    <row r="62" spans="1:9" ht="12.75" customHeight="1" x14ac:dyDescent="0.2">
      <c r="A62" s="28">
        <v>38765</v>
      </c>
      <c r="B62" s="26" t="s">
        <v>5314</v>
      </c>
      <c r="C62" s="26" t="s">
        <v>9</v>
      </c>
      <c r="D62" s="26" t="s">
        <v>20</v>
      </c>
      <c r="E62" s="26" t="s">
        <v>20</v>
      </c>
      <c r="F62" s="26" t="s">
        <v>20</v>
      </c>
      <c r="G62" t="b">
        <f t="shared" si="0"/>
        <v>0</v>
      </c>
      <c r="H62" t="b">
        <f t="shared" si="1"/>
        <v>0</v>
      </c>
      <c r="I62" s="29">
        <f t="shared" si="2"/>
        <v>38765</v>
      </c>
    </row>
    <row r="63" spans="1:9" ht="25.5" x14ac:dyDescent="0.2">
      <c r="A63" s="28">
        <v>38765</v>
      </c>
      <c r="B63" s="26" t="s">
        <v>5313</v>
      </c>
      <c r="C63" s="26" t="s">
        <v>2168</v>
      </c>
      <c r="D63" s="26" t="s">
        <v>20</v>
      </c>
      <c r="E63" s="26">
        <v>12512886</v>
      </c>
      <c r="F63" s="26">
        <v>14651216</v>
      </c>
      <c r="G63" t="b">
        <f t="shared" ref="G63:G124" si="3">ISBLANK(A63)</f>
        <v>0</v>
      </c>
      <c r="H63" t="b">
        <f t="shared" ref="H63:H124" si="4">ISTEXT(A63)</f>
        <v>0</v>
      </c>
      <c r="I63" s="29">
        <f t="shared" ref="I63:I124" si="5">DATE(2006,MONTH(A63), DAY(A63))</f>
        <v>38765</v>
      </c>
    </row>
    <row r="64" spans="1:9" ht="12.75" customHeight="1" x14ac:dyDescent="0.2">
      <c r="A64" s="28">
        <v>38765</v>
      </c>
      <c r="B64" s="26" t="s">
        <v>5312</v>
      </c>
      <c r="C64" s="26" t="s">
        <v>698</v>
      </c>
      <c r="D64" s="26">
        <v>3500000</v>
      </c>
      <c r="E64" s="26">
        <v>107492</v>
      </c>
      <c r="F64" s="26">
        <v>113783</v>
      </c>
      <c r="G64" t="b">
        <f t="shared" si="3"/>
        <v>0</v>
      </c>
      <c r="H64" t="b">
        <f t="shared" si="4"/>
        <v>0</v>
      </c>
      <c r="I64" s="29">
        <f t="shared" si="5"/>
        <v>38765</v>
      </c>
    </row>
    <row r="65" spans="1:9" ht="12.75" customHeight="1" x14ac:dyDescent="0.2">
      <c r="A65" s="28">
        <v>38765</v>
      </c>
      <c r="B65" s="26" t="s">
        <v>5311</v>
      </c>
      <c r="C65" s="26" t="s">
        <v>384</v>
      </c>
      <c r="D65" s="26">
        <v>20000000</v>
      </c>
      <c r="E65" s="26">
        <v>48548426</v>
      </c>
      <c r="F65" s="26">
        <v>84548426</v>
      </c>
      <c r="G65" t="b">
        <f t="shared" si="3"/>
        <v>0</v>
      </c>
      <c r="H65" t="b">
        <f t="shared" si="4"/>
        <v>0</v>
      </c>
      <c r="I65" s="29">
        <f t="shared" si="5"/>
        <v>38765</v>
      </c>
    </row>
    <row r="66" spans="1:9" ht="25.5" x14ac:dyDescent="0.2">
      <c r="A66" s="28">
        <v>38765</v>
      </c>
      <c r="B66" s="26" t="s">
        <v>5310</v>
      </c>
      <c r="C66" s="26" t="s">
        <v>9</v>
      </c>
      <c r="D66" s="26" t="s">
        <v>20</v>
      </c>
      <c r="E66" s="26">
        <v>432253</v>
      </c>
      <c r="F66" s="26" t="s">
        <v>20</v>
      </c>
      <c r="G66" t="b">
        <f t="shared" si="3"/>
        <v>0</v>
      </c>
      <c r="H66" t="b">
        <f t="shared" si="4"/>
        <v>0</v>
      </c>
      <c r="I66" s="29">
        <f t="shared" si="5"/>
        <v>38765</v>
      </c>
    </row>
    <row r="67" spans="1:9" ht="12.75" customHeight="1" x14ac:dyDescent="0.2">
      <c r="A67" s="28">
        <v>38765</v>
      </c>
      <c r="B67" s="26" t="s">
        <v>5309</v>
      </c>
      <c r="C67" s="26" t="s">
        <v>3390</v>
      </c>
      <c r="D67" s="26">
        <v>40000000</v>
      </c>
      <c r="E67" s="26">
        <v>81612565</v>
      </c>
      <c r="F67" s="26">
        <v>120612565</v>
      </c>
      <c r="G67" t="b">
        <f t="shared" si="3"/>
        <v>0</v>
      </c>
      <c r="H67" t="b">
        <f t="shared" si="4"/>
        <v>0</v>
      </c>
      <c r="I67" s="29">
        <f t="shared" si="5"/>
        <v>38765</v>
      </c>
    </row>
    <row r="68" spans="1:9" ht="25.5" x14ac:dyDescent="0.2">
      <c r="A68" s="28">
        <v>38765</v>
      </c>
      <c r="B68" s="26" t="s">
        <v>5308</v>
      </c>
      <c r="C68" s="26" t="s">
        <v>9</v>
      </c>
      <c r="D68" s="26" t="s">
        <v>20</v>
      </c>
      <c r="E68" s="26">
        <v>680331</v>
      </c>
      <c r="F68" s="26">
        <v>9237193</v>
      </c>
      <c r="G68" t="b">
        <f t="shared" si="3"/>
        <v>0</v>
      </c>
      <c r="H68" t="b">
        <f t="shared" si="4"/>
        <v>0</v>
      </c>
      <c r="I68" s="29">
        <f t="shared" si="5"/>
        <v>38765</v>
      </c>
    </row>
    <row r="69" spans="1:9" ht="12.75" customHeight="1" x14ac:dyDescent="0.2">
      <c r="A69" s="28">
        <v>38765</v>
      </c>
      <c r="B69" s="26" t="s">
        <v>5307</v>
      </c>
      <c r="C69" s="26" t="s">
        <v>155</v>
      </c>
      <c r="D69" s="26">
        <v>4200000</v>
      </c>
      <c r="E69" s="26">
        <v>1502188</v>
      </c>
      <c r="F69" s="26">
        <v>33923550</v>
      </c>
      <c r="G69" t="b">
        <f t="shared" si="3"/>
        <v>0</v>
      </c>
      <c r="H69" t="b">
        <f t="shared" si="4"/>
        <v>0</v>
      </c>
      <c r="I69" s="29">
        <f t="shared" si="5"/>
        <v>38765</v>
      </c>
    </row>
    <row r="70" spans="1:9" ht="12.75" customHeight="1" x14ac:dyDescent="0.2">
      <c r="A70" s="28">
        <v>38765</v>
      </c>
      <c r="B70" s="26" t="s">
        <v>5306</v>
      </c>
      <c r="C70" s="26" t="s">
        <v>4973</v>
      </c>
      <c r="D70" s="26" t="s">
        <v>20</v>
      </c>
      <c r="E70" s="26">
        <v>70899</v>
      </c>
      <c r="F70" s="26" t="s">
        <v>20</v>
      </c>
      <c r="G70" t="b">
        <f t="shared" si="3"/>
        <v>0</v>
      </c>
      <c r="H70" t="b">
        <f t="shared" si="4"/>
        <v>0</v>
      </c>
      <c r="I70" s="29">
        <f t="shared" si="5"/>
        <v>38765</v>
      </c>
    </row>
    <row r="71" spans="1:9" ht="25.5" x14ac:dyDescent="0.2">
      <c r="A71" s="28">
        <v>38769</v>
      </c>
      <c r="B71" s="26" t="s">
        <v>5305</v>
      </c>
      <c r="C71" s="26" t="s">
        <v>9</v>
      </c>
      <c r="D71" s="26" t="s">
        <v>20</v>
      </c>
      <c r="E71" s="26" t="s">
        <v>20</v>
      </c>
      <c r="F71" s="26" t="s">
        <v>20</v>
      </c>
      <c r="G71" t="b">
        <f t="shared" si="3"/>
        <v>0</v>
      </c>
      <c r="H71" t="b">
        <f t="shared" si="4"/>
        <v>0</v>
      </c>
      <c r="I71" s="29">
        <f t="shared" si="5"/>
        <v>38769</v>
      </c>
    </row>
    <row r="72" spans="1:9" ht="12.75" customHeight="1" x14ac:dyDescent="0.2">
      <c r="A72" s="28">
        <v>38769</v>
      </c>
      <c r="B72" s="26" t="s">
        <v>5304</v>
      </c>
      <c r="C72" s="26" t="s">
        <v>9</v>
      </c>
      <c r="D72" s="26" t="s">
        <v>20</v>
      </c>
      <c r="E72" s="26" t="s">
        <v>20</v>
      </c>
      <c r="F72" s="26" t="s">
        <v>20</v>
      </c>
      <c r="G72" t="b">
        <f t="shared" si="3"/>
        <v>0</v>
      </c>
      <c r="H72" t="b">
        <f t="shared" si="4"/>
        <v>0</v>
      </c>
      <c r="I72" s="29">
        <f t="shared" si="5"/>
        <v>38769</v>
      </c>
    </row>
    <row r="73" spans="1:9" ht="12.75" customHeight="1" x14ac:dyDescent="0.2">
      <c r="A73" s="28">
        <v>38770</v>
      </c>
      <c r="B73" s="26" t="s">
        <v>5303</v>
      </c>
      <c r="C73" s="26" t="s">
        <v>9</v>
      </c>
      <c r="D73" s="26" t="s">
        <v>20</v>
      </c>
      <c r="E73" s="26">
        <v>4779</v>
      </c>
      <c r="F73" s="26" t="s">
        <v>20</v>
      </c>
      <c r="G73" t="b">
        <f t="shared" si="3"/>
        <v>0</v>
      </c>
      <c r="H73" t="b">
        <f t="shared" si="4"/>
        <v>0</v>
      </c>
      <c r="I73" s="29">
        <f t="shared" si="5"/>
        <v>38770</v>
      </c>
    </row>
    <row r="74" spans="1:9" ht="38.25" x14ac:dyDescent="0.2">
      <c r="A74" s="28">
        <v>38772</v>
      </c>
      <c r="B74" s="26" t="s">
        <v>5302</v>
      </c>
      <c r="C74" s="26" t="s">
        <v>9</v>
      </c>
      <c r="D74" s="26" t="s">
        <v>20</v>
      </c>
      <c r="E74" s="26">
        <v>157415</v>
      </c>
      <c r="F74" s="26" t="s">
        <v>20</v>
      </c>
      <c r="G74" t="b">
        <f t="shared" si="3"/>
        <v>0</v>
      </c>
      <c r="H74" t="b">
        <f t="shared" si="4"/>
        <v>0</v>
      </c>
      <c r="I74" s="29">
        <f t="shared" si="5"/>
        <v>38772</v>
      </c>
    </row>
    <row r="75" spans="1:9" ht="25.5" x14ac:dyDescent="0.2">
      <c r="A75" s="28">
        <v>38772</v>
      </c>
      <c r="B75" s="26" t="s">
        <v>5301</v>
      </c>
      <c r="C75" s="26" t="s">
        <v>3419</v>
      </c>
      <c r="D75" s="26">
        <v>10000000</v>
      </c>
      <c r="E75" s="26">
        <v>63257940</v>
      </c>
      <c r="F75" s="26">
        <v>63308879</v>
      </c>
      <c r="G75" t="b">
        <f t="shared" si="3"/>
        <v>0</v>
      </c>
      <c r="H75" t="b">
        <f t="shared" si="4"/>
        <v>0</v>
      </c>
      <c r="I75" s="29">
        <f t="shared" si="5"/>
        <v>38772</v>
      </c>
    </row>
    <row r="76" spans="1:9" ht="12.75" customHeight="1" x14ac:dyDescent="0.2">
      <c r="A76" s="28">
        <v>38772</v>
      </c>
      <c r="B76" s="26" t="s">
        <v>5300</v>
      </c>
      <c r="C76" s="26" t="s">
        <v>9</v>
      </c>
      <c r="D76" s="26" t="s">
        <v>20</v>
      </c>
      <c r="E76" s="26">
        <v>22453</v>
      </c>
      <c r="F76" s="26">
        <v>3222453</v>
      </c>
      <c r="G76" t="b">
        <f t="shared" si="3"/>
        <v>0</v>
      </c>
      <c r="H76" t="b">
        <f t="shared" si="4"/>
        <v>0</v>
      </c>
      <c r="I76" s="29">
        <f t="shared" si="5"/>
        <v>38772</v>
      </c>
    </row>
    <row r="77" spans="1:9" ht="12.75" customHeight="1" x14ac:dyDescent="0.2">
      <c r="A77" s="28">
        <v>38772</v>
      </c>
      <c r="B77" s="26" t="s">
        <v>5299</v>
      </c>
      <c r="C77" s="26" t="s">
        <v>2460</v>
      </c>
      <c r="D77" s="26">
        <v>17000000</v>
      </c>
      <c r="E77" s="26">
        <v>6855137</v>
      </c>
      <c r="F77" s="26">
        <v>8345277</v>
      </c>
      <c r="G77" t="b">
        <f t="shared" si="3"/>
        <v>0</v>
      </c>
      <c r="H77" t="b">
        <f t="shared" si="4"/>
        <v>0</v>
      </c>
      <c r="I77" s="29">
        <f t="shared" si="5"/>
        <v>38772</v>
      </c>
    </row>
    <row r="78" spans="1:9" ht="12.75" customHeight="1" x14ac:dyDescent="0.2">
      <c r="A78" s="28">
        <v>38772</v>
      </c>
      <c r="B78" s="26" t="s">
        <v>5298</v>
      </c>
      <c r="C78" s="26" t="s">
        <v>49</v>
      </c>
      <c r="D78" s="26">
        <v>20000000</v>
      </c>
      <c r="E78" s="26">
        <v>7578946</v>
      </c>
      <c r="F78" s="26">
        <v>26942802</v>
      </c>
      <c r="G78" t="b">
        <f t="shared" si="3"/>
        <v>0</v>
      </c>
      <c r="H78" t="b">
        <f t="shared" si="4"/>
        <v>0</v>
      </c>
      <c r="I78" s="29">
        <f t="shared" si="5"/>
        <v>38772</v>
      </c>
    </row>
    <row r="79" spans="1:9" ht="25.5" x14ac:dyDescent="0.2">
      <c r="A79" s="28">
        <v>38772</v>
      </c>
      <c r="B79" s="26" t="s">
        <v>5297</v>
      </c>
      <c r="C79" s="26" t="s">
        <v>9</v>
      </c>
      <c r="D79" s="26" t="s">
        <v>20</v>
      </c>
      <c r="E79" s="26">
        <v>10403</v>
      </c>
      <c r="F79" s="26" t="s">
        <v>20</v>
      </c>
      <c r="G79" t="b">
        <f t="shared" si="3"/>
        <v>0</v>
      </c>
      <c r="H79" t="b">
        <f t="shared" si="4"/>
        <v>0</v>
      </c>
      <c r="I79" s="29">
        <f t="shared" si="5"/>
        <v>38772</v>
      </c>
    </row>
    <row r="80" spans="1:9" ht="12.75" customHeight="1" x14ac:dyDescent="0.2">
      <c r="A80" s="28">
        <v>38772</v>
      </c>
      <c r="B80" s="26" t="s">
        <v>5296</v>
      </c>
      <c r="C80" s="26" t="s">
        <v>9</v>
      </c>
      <c r="D80" s="26" t="s">
        <v>20</v>
      </c>
      <c r="E80" s="26">
        <v>20</v>
      </c>
      <c r="F80" s="26" t="s">
        <v>20</v>
      </c>
      <c r="G80" t="b">
        <f t="shared" si="3"/>
        <v>0</v>
      </c>
      <c r="H80" t="b">
        <f t="shared" si="4"/>
        <v>0</v>
      </c>
      <c r="I80" s="29">
        <f t="shared" si="5"/>
        <v>38772</v>
      </c>
    </row>
    <row r="81" spans="1:9" ht="38.25" x14ac:dyDescent="0.2">
      <c r="A81" s="28">
        <v>38772</v>
      </c>
      <c r="B81" s="26" t="s">
        <v>5295</v>
      </c>
      <c r="C81" s="26" t="s">
        <v>9</v>
      </c>
      <c r="D81" s="26" t="s">
        <v>20</v>
      </c>
      <c r="E81" s="26">
        <v>53471</v>
      </c>
      <c r="F81" s="26" t="s">
        <v>20</v>
      </c>
      <c r="G81" t="b">
        <f t="shared" si="3"/>
        <v>0</v>
      </c>
      <c r="H81" t="b">
        <f t="shared" si="4"/>
        <v>0</v>
      </c>
      <c r="I81" s="29">
        <f t="shared" si="5"/>
        <v>38772</v>
      </c>
    </row>
    <row r="82" spans="1:9" ht="12.75" customHeight="1" x14ac:dyDescent="0.2">
      <c r="A82" s="28">
        <v>38772</v>
      </c>
      <c r="B82" s="26" t="s">
        <v>5294</v>
      </c>
      <c r="C82" s="26" t="s">
        <v>3218</v>
      </c>
      <c r="D82" s="26">
        <v>3000000</v>
      </c>
      <c r="E82" s="26">
        <v>2912606</v>
      </c>
      <c r="F82" s="26">
        <v>9879971</v>
      </c>
      <c r="G82" t="b">
        <f t="shared" si="3"/>
        <v>0</v>
      </c>
      <c r="H82" t="b">
        <f t="shared" si="4"/>
        <v>0</v>
      </c>
      <c r="I82" s="29">
        <f t="shared" si="5"/>
        <v>38772</v>
      </c>
    </row>
    <row r="83" spans="1:9" x14ac:dyDescent="0.2">
      <c r="A83" s="28">
        <v>38772</v>
      </c>
      <c r="B83" s="26" t="s">
        <v>5293</v>
      </c>
      <c r="C83" s="26" t="s">
        <v>9</v>
      </c>
      <c r="D83" s="26" t="s">
        <v>20</v>
      </c>
      <c r="E83" s="26">
        <v>292794</v>
      </c>
      <c r="F83" s="26" t="s">
        <v>20</v>
      </c>
      <c r="G83" t="b">
        <f t="shared" si="3"/>
        <v>0</v>
      </c>
      <c r="H83" t="b">
        <f t="shared" si="4"/>
        <v>0</v>
      </c>
      <c r="I83" s="29">
        <f t="shared" si="5"/>
        <v>38772</v>
      </c>
    </row>
    <row r="84" spans="1:9" ht="25.5" x14ac:dyDescent="0.2">
      <c r="A84" s="28">
        <v>38772</v>
      </c>
      <c r="B84" s="26" t="s">
        <v>5292</v>
      </c>
      <c r="C84" s="26" t="s">
        <v>9</v>
      </c>
      <c r="D84" s="26" t="s">
        <v>20</v>
      </c>
      <c r="E84" s="26">
        <v>126836</v>
      </c>
      <c r="F84" s="26" t="s">
        <v>20</v>
      </c>
      <c r="G84" t="b">
        <f t="shared" si="3"/>
        <v>0</v>
      </c>
      <c r="H84" t="b">
        <f t="shared" si="4"/>
        <v>0</v>
      </c>
      <c r="I84" s="29">
        <f t="shared" si="5"/>
        <v>38772</v>
      </c>
    </row>
    <row r="85" spans="1:9" ht="25.5" x14ac:dyDescent="0.2">
      <c r="A85" s="28">
        <v>38772</v>
      </c>
      <c r="B85" s="26" t="s">
        <v>5291</v>
      </c>
      <c r="C85" s="26" t="s">
        <v>9</v>
      </c>
      <c r="D85" s="26" t="s">
        <v>20</v>
      </c>
      <c r="E85" s="26">
        <v>2214</v>
      </c>
      <c r="F85" s="26" t="s">
        <v>20</v>
      </c>
      <c r="G85" t="b">
        <f t="shared" si="3"/>
        <v>0</v>
      </c>
      <c r="H85" t="b">
        <f t="shared" si="4"/>
        <v>0</v>
      </c>
      <c r="I85" s="29">
        <f t="shared" si="5"/>
        <v>38772</v>
      </c>
    </row>
    <row r="86" spans="1:9" ht="12.75" customHeight="1" x14ac:dyDescent="0.2">
      <c r="A86" s="28">
        <v>38779</v>
      </c>
      <c r="B86" s="26" t="s">
        <v>5290</v>
      </c>
      <c r="C86" s="26" t="s">
        <v>9</v>
      </c>
      <c r="D86" s="26" t="s">
        <v>20</v>
      </c>
      <c r="E86" s="26">
        <v>43444818</v>
      </c>
      <c r="F86" s="26">
        <v>85223000</v>
      </c>
      <c r="G86" t="b">
        <f t="shared" si="3"/>
        <v>0</v>
      </c>
      <c r="H86" t="b">
        <f t="shared" si="4"/>
        <v>0</v>
      </c>
      <c r="I86" s="29">
        <f t="shared" si="5"/>
        <v>38779</v>
      </c>
    </row>
    <row r="87" spans="1:9" ht="12.75" customHeight="1" x14ac:dyDescent="0.2">
      <c r="A87" s="28">
        <v>38779</v>
      </c>
      <c r="B87" s="26" t="s">
        <v>5289</v>
      </c>
      <c r="C87" s="26" t="s">
        <v>384</v>
      </c>
      <c r="D87" s="26">
        <v>17000000</v>
      </c>
      <c r="E87" s="26">
        <v>18597342</v>
      </c>
      <c r="F87" s="26">
        <v>22978953</v>
      </c>
      <c r="G87" t="b">
        <f t="shared" si="3"/>
        <v>0</v>
      </c>
      <c r="H87" t="b">
        <f t="shared" si="4"/>
        <v>0</v>
      </c>
      <c r="I87" s="29">
        <f t="shared" si="5"/>
        <v>38779</v>
      </c>
    </row>
    <row r="88" spans="1:9" ht="25.5" x14ac:dyDescent="0.2">
      <c r="A88" s="28">
        <v>38779</v>
      </c>
      <c r="B88" s="26" t="s">
        <v>5288</v>
      </c>
      <c r="C88" s="26" t="s">
        <v>9</v>
      </c>
      <c r="D88" s="26" t="s">
        <v>20</v>
      </c>
      <c r="E88" s="26">
        <v>831</v>
      </c>
      <c r="F88" s="26" t="s">
        <v>20</v>
      </c>
      <c r="G88" t="b">
        <f t="shared" si="3"/>
        <v>0</v>
      </c>
      <c r="H88" t="b">
        <f t="shared" si="4"/>
        <v>0</v>
      </c>
      <c r="I88" s="29">
        <f t="shared" si="5"/>
        <v>38779</v>
      </c>
    </row>
    <row r="89" spans="1:9" ht="12.75" customHeight="1" x14ac:dyDescent="0.2">
      <c r="A89" s="28">
        <v>38779</v>
      </c>
      <c r="B89" s="26" t="s">
        <v>5287</v>
      </c>
      <c r="C89" s="26" t="s">
        <v>9</v>
      </c>
      <c r="D89" s="26" t="s">
        <v>20</v>
      </c>
      <c r="E89" s="26">
        <v>6364</v>
      </c>
      <c r="F89" s="26" t="s">
        <v>20</v>
      </c>
      <c r="G89" t="b">
        <f t="shared" si="3"/>
        <v>0</v>
      </c>
      <c r="H89" t="b">
        <f t="shared" si="4"/>
        <v>0</v>
      </c>
      <c r="I89" s="29">
        <f t="shared" si="5"/>
        <v>38779</v>
      </c>
    </row>
    <row r="90" spans="1:9" ht="12.75" customHeight="1" x14ac:dyDescent="0.2">
      <c r="A90" s="28">
        <v>38779</v>
      </c>
      <c r="B90" s="26" t="s">
        <v>5286</v>
      </c>
      <c r="C90" s="26" t="s">
        <v>2160</v>
      </c>
      <c r="D90" s="26">
        <v>30000000</v>
      </c>
      <c r="E90" s="26">
        <v>18522064</v>
      </c>
      <c r="F90" s="26">
        <v>20722064</v>
      </c>
      <c r="G90" t="b">
        <f t="shared" si="3"/>
        <v>0</v>
      </c>
      <c r="H90" t="b">
        <f t="shared" si="4"/>
        <v>0</v>
      </c>
      <c r="I90" s="29">
        <f t="shared" si="5"/>
        <v>38779</v>
      </c>
    </row>
    <row r="91" spans="1:9" ht="12.75" customHeight="1" x14ac:dyDescent="0.2">
      <c r="A91" s="28">
        <v>38779</v>
      </c>
      <c r="B91" s="26" t="s">
        <v>5285</v>
      </c>
      <c r="C91" s="26" t="s">
        <v>9</v>
      </c>
      <c r="D91" s="26">
        <v>22000000</v>
      </c>
      <c r="E91" s="26">
        <v>1054361</v>
      </c>
      <c r="F91" s="26" t="s">
        <v>20</v>
      </c>
      <c r="G91" t="b">
        <f t="shared" si="3"/>
        <v>0</v>
      </c>
      <c r="H91" t="b">
        <f t="shared" si="4"/>
        <v>0</v>
      </c>
      <c r="I91" s="29">
        <f t="shared" si="5"/>
        <v>38779</v>
      </c>
    </row>
    <row r="92" spans="1:9" ht="25.5" x14ac:dyDescent="0.2">
      <c r="A92" s="28">
        <v>38779</v>
      </c>
      <c r="B92" s="26" t="s">
        <v>5284</v>
      </c>
      <c r="C92" s="26" t="s">
        <v>9</v>
      </c>
      <c r="D92" s="26" t="s">
        <v>20</v>
      </c>
      <c r="E92" s="26">
        <v>166750</v>
      </c>
      <c r="F92" s="26" t="s">
        <v>20</v>
      </c>
      <c r="G92" t="b">
        <f t="shared" si="3"/>
        <v>0</v>
      </c>
      <c r="H92" t="b">
        <f t="shared" si="4"/>
        <v>0</v>
      </c>
      <c r="I92" s="29">
        <f t="shared" si="5"/>
        <v>38779</v>
      </c>
    </row>
    <row r="93" spans="1:9" ht="25.5" x14ac:dyDescent="0.2">
      <c r="A93" s="28">
        <v>38779</v>
      </c>
      <c r="B93" s="26" t="s">
        <v>5283</v>
      </c>
      <c r="C93" s="26" t="s">
        <v>698</v>
      </c>
      <c r="D93" s="26">
        <v>3000000</v>
      </c>
      <c r="E93" s="26">
        <v>11718595</v>
      </c>
      <c r="F93" s="26">
        <v>12051924</v>
      </c>
      <c r="G93" t="b">
        <f t="shared" si="3"/>
        <v>0</v>
      </c>
      <c r="H93" t="b">
        <f t="shared" si="4"/>
        <v>0</v>
      </c>
      <c r="I93" s="29">
        <f t="shared" si="5"/>
        <v>38779</v>
      </c>
    </row>
    <row r="94" spans="1:9" ht="25.5" x14ac:dyDescent="0.2">
      <c r="A94" s="28">
        <v>38779</v>
      </c>
      <c r="B94" s="26" t="s">
        <v>5282</v>
      </c>
      <c r="C94" s="26" t="s">
        <v>9</v>
      </c>
      <c r="D94" s="26" t="s">
        <v>20</v>
      </c>
      <c r="E94" s="26">
        <v>11807</v>
      </c>
      <c r="F94" s="26" t="s">
        <v>20</v>
      </c>
      <c r="G94" t="b">
        <f t="shared" si="3"/>
        <v>0</v>
      </c>
      <c r="H94" t="b">
        <f t="shared" si="4"/>
        <v>0</v>
      </c>
      <c r="I94" s="29">
        <f t="shared" si="5"/>
        <v>38779</v>
      </c>
    </row>
    <row r="95" spans="1:9" ht="12.75" customHeight="1" x14ac:dyDescent="0.2">
      <c r="A95" s="28">
        <v>38779</v>
      </c>
      <c r="B95" s="26" t="s">
        <v>5281</v>
      </c>
      <c r="C95" s="26" t="s">
        <v>9</v>
      </c>
      <c r="D95" s="26">
        <v>45000000</v>
      </c>
      <c r="E95" s="26">
        <v>36895141</v>
      </c>
      <c r="F95" s="26">
        <v>65595141</v>
      </c>
      <c r="G95" t="b">
        <f t="shared" si="3"/>
        <v>0</v>
      </c>
      <c r="H95" t="b">
        <f t="shared" si="4"/>
        <v>0</v>
      </c>
      <c r="I95" s="29">
        <f t="shared" si="5"/>
        <v>38779</v>
      </c>
    </row>
    <row r="96" spans="1:9" ht="12.75" customHeight="1" x14ac:dyDescent="0.2">
      <c r="A96" s="28">
        <v>38786</v>
      </c>
      <c r="B96" s="26" t="s">
        <v>5280</v>
      </c>
      <c r="C96" s="26" t="s">
        <v>9</v>
      </c>
      <c r="D96" s="26" t="s">
        <v>20</v>
      </c>
      <c r="E96" s="26">
        <v>204612</v>
      </c>
      <c r="F96" s="26" t="s">
        <v>20</v>
      </c>
      <c r="G96" t="b">
        <f t="shared" si="3"/>
        <v>0</v>
      </c>
      <c r="H96" t="b">
        <f t="shared" si="4"/>
        <v>0</v>
      </c>
      <c r="I96" s="29">
        <f t="shared" si="5"/>
        <v>38786</v>
      </c>
    </row>
    <row r="97" spans="1:9" ht="25.5" x14ac:dyDescent="0.2">
      <c r="A97" s="28">
        <v>38786</v>
      </c>
      <c r="B97" s="26" t="s">
        <v>5279</v>
      </c>
      <c r="C97" s="26" t="s">
        <v>9</v>
      </c>
      <c r="D97" s="26" t="s">
        <v>20</v>
      </c>
      <c r="E97" s="26">
        <v>48594</v>
      </c>
      <c r="F97" s="26" t="s">
        <v>20</v>
      </c>
      <c r="G97" t="b">
        <f t="shared" si="3"/>
        <v>0</v>
      </c>
      <c r="H97" t="b">
        <f t="shared" si="4"/>
        <v>0</v>
      </c>
      <c r="I97" s="29">
        <f t="shared" si="5"/>
        <v>38786</v>
      </c>
    </row>
    <row r="98" spans="1:9" ht="25.5" x14ac:dyDescent="0.2">
      <c r="A98" s="28">
        <v>38786</v>
      </c>
      <c r="B98" s="26" t="s">
        <v>5278</v>
      </c>
      <c r="C98" s="26" t="s">
        <v>9</v>
      </c>
      <c r="D98" s="26" t="s">
        <v>20</v>
      </c>
      <c r="E98" s="26">
        <v>5659</v>
      </c>
      <c r="F98" s="26" t="s">
        <v>20</v>
      </c>
      <c r="G98" t="b">
        <f t="shared" si="3"/>
        <v>0</v>
      </c>
      <c r="H98" t="b">
        <f t="shared" si="4"/>
        <v>0</v>
      </c>
      <c r="I98" s="29">
        <f t="shared" si="5"/>
        <v>38786</v>
      </c>
    </row>
    <row r="99" spans="1:9" ht="25.5" x14ac:dyDescent="0.2">
      <c r="A99" s="28">
        <v>38786</v>
      </c>
      <c r="B99" s="26" t="s">
        <v>5277</v>
      </c>
      <c r="C99" s="26" t="s">
        <v>155</v>
      </c>
      <c r="D99" s="26">
        <v>17000000</v>
      </c>
      <c r="E99" s="26">
        <v>41778863</v>
      </c>
      <c r="F99" s="26">
        <v>69623713</v>
      </c>
      <c r="G99" t="b">
        <f t="shared" si="3"/>
        <v>0</v>
      </c>
      <c r="H99" t="b">
        <f t="shared" si="4"/>
        <v>0</v>
      </c>
      <c r="I99" s="29">
        <f t="shared" si="5"/>
        <v>38786</v>
      </c>
    </row>
    <row r="100" spans="1:9" ht="12.75" customHeight="1" x14ac:dyDescent="0.2">
      <c r="A100" s="28">
        <v>38786</v>
      </c>
      <c r="B100" s="26" t="s">
        <v>5276</v>
      </c>
      <c r="C100" s="26" t="s">
        <v>9</v>
      </c>
      <c r="D100" s="26" t="s">
        <v>20</v>
      </c>
      <c r="E100" s="26">
        <v>15530</v>
      </c>
      <c r="F100" s="26" t="s">
        <v>20</v>
      </c>
      <c r="G100" t="b">
        <f t="shared" si="3"/>
        <v>0</v>
      </c>
      <c r="H100" t="b">
        <f t="shared" si="4"/>
        <v>0</v>
      </c>
      <c r="I100" s="29">
        <f t="shared" si="5"/>
        <v>38786</v>
      </c>
    </row>
    <row r="101" spans="1:9" ht="12.75" customHeight="1" x14ac:dyDescent="0.2">
      <c r="A101" s="28">
        <v>38786</v>
      </c>
      <c r="B101" s="26" t="s">
        <v>5275</v>
      </c>
      <c r="C101" s="26" t="s">
        <v>9</v>
      </c>
      <c r="D101" s="26" t="s">
        <v>20</v>
      </c>
      <c r="E101" s="26">
        <v>129664</v>
      </c>
      <c r="F101" s="26" t="s">
        <v>20</v>
      </c>
      <c r="G101" t="b">
        <f t="shared" si="3"/>
        <v>0</v>
      </c>
      <c r="H101" t="b">
        <f t="shared" si="4"/>
        <v>0</v>
      </c>
      <c r="I101" s="29">
        <f t="shared" si="5"/>
        <v>38786</v>
      </c>
    </row>
    <row r="102" spans="1:9" ht="38.25" x14ac:dyDescent="0.2">
      <c r="A102" s="28">
        <v>38786</v>
      </c>
      <c r="B102" s="26" t="s">
        <v>5274</v>
      </c>
      <c r="C102" s="26" t="s">
        <v>9</v>
      </c>
      <c r="D102" s="26" t="s">
        <v>20</v>
      </c>
      <c r="E102" s="26">
        <v>26092</v>
      </c>
      <c r="F102" s="26" t="s">
        <v>20</v>
      </c>
      <c r="G102" t="b">
        <f t="shared" si="3"/>
        <v>0</v>
      </c>
      <c r="H102" t="b">
        <f t="shared" si="4"/>
        <v>0</v>
      </c>
      <c r="I102" s="29">
        <f t="shared" si="5"/>
        <v>38786</v>
      </c>
    </row>
    <row r="103" spans="1:9" ht="25.5" x14ac:dyDescent="0.2">
      <c r="A103" s="28">
        <v>38786</v>
      </c>
      <c r="B103" s="26" t="s">
        <v>5273</v>
      </c>
      <c r="C103" s="26" t="s">
        <v>2168</v>
      </c>
      <c r="D103" s="26">
        <v>50000000</v>
      </c>
      <c r="E103" s="26">
        <v>88715192</v>
      </c>
      <c r="F103" s="26">
        <v>128402901</v>
      </c>
      <c r="G103" t="b">
        <f t="shared" si="3"/>
        <v>0</v>
      </c>
      <c r="H103" t="b">
        <f t="shared" si="4"/>
        <v>0</v>
      </c>
      <c r="I103" s="29">
        <f t="shared" si="5"/>
        <v>38786</v>
      </c>
    </row>
    <row r="104" spans="1:9" ht="25.5" x14ac:dyDescent="0.2">
      <c r="A104" s="28">
        <v>38786</v>
      </c>
      <c r="B104" s="26" t="s">
        <v>5272</v>
      </c>
      <c r="C104" s="26" t="s">
        <v>2992</v>
      </c>
      <c r="D104" s="26" t="s">
        <v>20</v>
      </c>
      <c r="E104" s="26">
        <v>742614</v>
      </c>
      <c r="F104" s="26" t="s">
        <v>20</v>
      </c>
      <c r="G104" t="b">
        <f t="shared" si="3"/>
        <v>0</v>
      </c>
      <c r="H104" t="b">
        <f t="shared" si="4"/>
        <v>0</v>
      </c>
      <c r="I104" s="29">
        <f t="shared" si="5"/>
        <v>38786</v>
      </c>
    </row>
    <row r="105" spans="1:9" ht="12.75" customHeight="1" x14ac:dyDescent="0.2">
      <c r="A105" s="28">
        <v>38786</v>
      </c>
      <c r="B105" s="26" t="s">
        <v>5271</v>
      </c>
      <c r="C105" s="26" t="s">
        <v>3390</v>
      </c>
      <c r="D105" s="26">
        <v>60000000</v>
      </c>
      <c r="E105" s="26">
        <v>61123569</v>
      </c>
      <c r="F105" s="26">
        <v>87123569</v>
      </c>
      <c r="G105" t="b">
        <f t="shared" si="3"/>
        <v>0</v>
      </c>
      <c r="H105" t="b">
        <f t="shared" si="4"/>
        <v>0</v>
      </c>
      <c r="I105" s="29">
        <f t="shared" si="5"/>
        <v>38786</v>
      </c>
    </row>
    <row r="106" spans="1:9" ht="38.25" x14ac:dyDescent="0.2">
      <c r="A106" s="28">
        <v>38786</v>
      </c>
      <c r="B106" s="26" t="s">
        <v>5270</v>
      </c>
      <c r="C106" s="26" t="s">
        <v>2837</v>
      </c>
      <c r="D106" s="26" t="s">
        <v>20</v>
      </c>
      <c r="E106" s="26">
        <v>147551</v>
      </c>
      <c r="F106" s="26" t="s">
        <v>20</v>
      </c>
      <c r="G106" t="b">
        <f t="shared" si="3"/>
        <v>0</v>
      </c>
      <c r="H106" t="b">
        <f t="shared" si="4"/>
        <v>0</v>
      </c>
      <c r="I106" s="29">
        <f t="shared" si="5"/>
        <v>38786</v>
      </c>
    </row>
    <row r="107" spans="1:9" ht="25.5" x14ac:dyDescent="0.2">
      <c r="A107" s="28">
        <v>38790</v>
      </c>
      <c r="B107" s="26" t="s">
        <v>5269</v>
      </c>
      <c r="C107" s="26" t="s">
        <v>9</v>
      </c>
      <c r="D107" s="26" t="s">
        <v>20</v>
      </c>
      <c r="E107" s="26" t="s">
        <v>20</v>
      </c>
      <c r="F107" s="26" t="s">
        <v>20</v>
      </c>
      <c r="G107" t="b">
        <f t="shared" si="3"/>
        <v>0</v>
      </c>
      <c r="H107" t="b">
        <f t="shared" si="4"/>
        <v>0</v>
      </c>
      <c r="I107" s="29">
        <f t="shared" si="5"/>
        <v>38790</v>
      </c>
    </row>
    <row r="108" spans="1:9" ht="12.75" customHeight="1" x14ac:dyDescent="0.2">
      <c r="A108" s="28">
        <v>38792</v>
      </c>
      <c r="B108" s="26" t="s">
        <v>5268</v>
      </c>
      <c r="C108" s="26" t="s">
        <v>3466</v>
      </c>
      <c r="D108" s="26" t="s">
        <v>20</v>
      </c>
      <c r="E108" s="26" t="s">
        <v>20</v>
      </c>
      <c r="F108" s="26" t="s">
        <v>20</v>
      </c>
      <c r="G108" t="b">
        <f t="shared" si="3"/>
        <v>0</v>
      </c>
      <c r="H108" t="b">
        <f t="shared" si="4"/>
        <v>0</v>
      </c>
      <c r="I108" s="29">
        <f t="shared" si="5"/>
        <v>38792</v>
      </c>
    </row>
    <row r="109" spans="1:9" ht="12.75" customHeight="1" x14ac:dyDescent="0.2">
      <c r="A109" s="28">
        <v>38793</v>
      </c>
      <c r="B109" s="26" t="s">
        <v>5267</v>
      </c>
      <c r="C109" s="26" t="s">
        <v>3209</v>
      </c>
      <c r="D109" s="26">
        <v>50000000</v>
      </c>
      <c r="E109" s="26">
        <v>70511035</v>
      </c>
      <c r="F109" s="26">
        <v>132511035</v>
      </c>
      <c r="G109" t="b">
        <f t="shared" si="3"/>
        <v>0</v>
      </c>
      <c r="H109" t="b">
        <f t="shared" si="4"/>
        <v>0</v>
      </c>
      <c r="I109" s="29">
        <f t="shared" si="5"/>
        <v>38793</v>
      </c>
    </row>
    <row r="110" spans="1:9" ht="12.75" customHeight="1" x14ac:dyDescent="0.2">
      <c r="A110" s="28">
        <v>38793</v>
      </c>
      <c r="B110" s="26" t="s">
        <v>5266</v>
      </c>
      <c r="C110" s="26" t="s">
        <v>2051</v>
      </c>
      <c r="D110" s="26">
        <v>3000000</v>
      </c>
      <c r="E110" s="26">
        <v>95204</v>
      </c>
      <c r="F110" s="26" t="s">
        <v>20</v>
      </c>
      <c r="G110" t="b">
        <f t="shared" si="3"/>
        <v>0</v>
      </c>
      <c r="H110" t="b">
        <f t="shared" si="4"/>
        <v>0</v>
      </c>
      <c r="I110" s="29">
        <f t="shared" si="5"/>
        <v>38793</v>
      </c>
    </row>
    <row r="111" spans="1:9" ht="25.5" x14ac:dyDescent="0.2">
      <c r="A111" s="28">
        <v>38793</v>
      </c>
      <c r="B111" s="26" t="s">
        <v>5265</v>
      </c>
      <c r="C111" s="26" t="s">
        <v>2051</v>
      </c>
      <c r="D111" s="26" t="s">
        <v>20</v>
      </c>
      <c r="E111" s="26" t="s">
        <v>20</v>
      </c>
      <c r="F111" s="26" t="s">
        <v>20</v>
      </c>
      <c r="G111" t="b">
        <f t="shared" si="3"/>
        <v>0</v>
      </c>
      <c r="H111" t="b">
        <f t="shared" si="4"/>
        <v>0</v>
      </c>
      <c r="I111" s="29">
        <f t="shared" si="5"/>
        <v>38793</v>
      </c>
    </row>
    <row r="112" spans="1:9" ht="12.75" customHeight="1" x14ac:dyDescent="0.2">
      <c r="A112" s="28">
        <v>38793</v>
      </c>
      <c r="B112" s="26" t="s">
        <v>5264</v>
      </c>
      <c r="C112" s="26" t="s">
        <v>3233</v>
      </c>
      <c r="D112" s="26" t="s">
        <v>20</v>
      </c>
      <c r="E112" s="26">
        <v>2248</v>
      </c>
      <c r="F112" s="26" t="s">
        <v>20</v>
      </c>
      <c r="G112" t="b">
        <f t="shared" si="3"/>
        <v>0</v>
      </c>
      <c r="H112" t="b">
        <f t="shared" si="4"/>
        <v>0</v>
      </c>
      <c r="I112" s="29">
        <f t="shared" si="5"/>
        <v>38793</v>
      </c>
    </row>
    <row r="113" spans="1:9" ht="12.75" customHeight="1" x14ac:dyDescent="0.2">
      <c r="A113" s="28">
        <v>38793</v>
      </c>
      <c r="B113" s="26" t="s">
        <v>5263</v>
      </c>
      <c r="C113" s="26" t="s">
        <v>3233</v>
      </c>
      <c r="D113" s="26" t="s">
        <v>20</v>
      </c>
      <c r="E113" s="26">
        <v>45148</v>
      </c>
      <c r="F113" s="26" t="s">
        <v>20</v>
      </c>
      <c r="G113" t="b">
        <f t="shared" si="3"/>
        <v>0</v>
      </c>
      <c r="H113" t="b">
        <f t="shared" si="4"/>
        <v>0</v>
      </c>
      <c r="I113" s="29">
        <f t="shared" si="5"/>
        <v>38793</v>
      </c>
    </row>
    <row r="114" spans="1:9" ht="38.25" x14ac:dyDescent="0.2">
      <c r="A114" s="28">
        <v>38793</v>
      </c>
      <c r="B114" s="26" t="s">
        <v>5262</v>
      </c>
      <c r="C114" s="26" t="s">
        <v>9</v>
      </c>
      <c r="D114" s="26" t="s">
        <v>20</v>
      </c>
      <c r="E114" s="26">
        <v>319088</v>
      </c>
      <c r="F114" s="26" t="s">
        <v>20</v>
      </c>
      <c r="G114" t="b">
        <f t="shared" si="3"/>
        <v>0</v>
      </c>
      <c r="H114" t="b">
        <f t="shared" si="4"/>
        <v>0</v>
      </c>
      <c r="I114" s="29">
        <f t="shared" si="5"/>
        <v>38793</v>
      </c>
    </row>
    <row r="115" spans="1:9" ht="12.75" customHeight="1" x14ac:dyDescent="0.2">
      <c r="A115" s="28">
        <v>38793</v>
      </c>
      <c r="B115" s="26" t="s">
        <v>5261</v>
      </c>
      <c r="C115" s="26" t="s">
        <v>9</v>
      </c>
      <c r="D115" s="26" t="s">
        <v>20</v>
      </c>
      <c r="E115" s="26">
        <v>27105</v>
      </c>
      <c r="F115" s="26" t="s">
        <v>20</v>
      </c>
      <c r="G115" t="b">
        <f t="shared" si="3"/>
        <v>0</v>
      </c>
      <c r="H115" t="b">
        <f t="shared" si="4"/>
        <v>0</v>
      </c>
      <c r="I115" s="29">
        <f t="shared" si="5"/>
        <v>38793</v>
      </c>
    </row>
    <row r="116" spans="1:9" ht="12.75" customHeight="1" x14ac:dyDescent="0.2">
      <c r="A116" s="28">
        <v>38793</v>
      </c>
      <c r="B116" s="26" t="s">
        <v>5260</v>
      </c>
      <c r="C116" s="26" t="s">
        <v>9</v>
      </c>
      <c r="D116" s="26" t="s">
        <v>20</v>
      </c>
      <c r="E116" s="26">
        <v>464991</v>
      </c>
      <c r="F116" s="26" t="s">
        <v>20</v>
      </c>
      <c r="G116" t="b">
        <f t="shared" si="3"/>
        <v>0</v>
      </c>
      <c r="H116" t="b">
        <f t="shared" si="4"/>
        <v>0</v>
      </c>
      <c r="I116" s="29">
        <f t="shared" si="5"/>
        <v>38793</v>
      </c>
    </row>
    <row r="117" spans="1:9" ht="12.75" customHeight="1" x14ac:dyDescent="0.2">
      <c r="A117" s="28">
        <v>38793</v>
      </c>
      <c r="B117" s="26" t="s">
        <v>5259</v>
      </c>
      <c r="C117" s="26" t="s">
        <v>9</v>
      </c>
      <c r="D117" s="26" t="s">
        <v>20</v>
      </c>
      <c r="E117" s="26">
        <v>6437</v>
      </c>
      <c r="F117" s="26" t="s">
        <v>20</v>
      </c>
      <c r="G117" t="b">
        <f t="shared" si="3"/>
        <v>0</v>
      </c>
      <c r="H117" t="b">
        <f t="shared" si="4"/>
        <v>0</v>
      </c>
      <c r="I117" s="29">
        <f t="shared" si="5"/>
        <v>38793</v>
      </c>
    </row>
    <row r="118" spans="1:9" ht="25.5" x14ac:dyDescent="0.2">
      <c r="A118" s="28">
        <v>38793</v>
      </c>
      <c r="B118" s="26" t="s">
        <v>5258</v>
      </c>
      <c r="C118" s="26" t="s">
        <v>612</v>
      </c>
      <c r="D118" s="26" t="s">
        <v>20</v>
      </c>
      <c r="E118" s="26">
        <v>440793</v>
      </c>
      <c r="F118" s="26">
        <v>4633357</v>
      </c>
      <c r="G118" t="b">
        <f t="shared" si="3"/>
        <v>0</v>
      </c>
      <c r="H118" t="b">
        <f t="shared" si="4"/>
        <v>0</v>
      </c>
      <c r="I118" s="29">
        <f t="shared" si="5"/>
        <v>38793</v>
      </c>
    </row>
    <row r="119" spans="1:9" ht="12.75" customHeight="1" x14ac:dyDescent="0.2">
      <c r="A119" s="28">
        <v>38793</v>
      </c>
      <c r="B119" s="26" t="s">
        <v>5257</v>
      </c>
      <c r="C119" s="26" t="s">
        <v>9</v>
      </c>
      <c r="D119" s="26">
        <v>1500000</v>
      </c>
      <c r="E119" s="26" t="s">
        <v>20</v>
      </c>
      <c r="F119" s="26" t="s">
        <v>20</v>
      </c>
      <c r="G119" t="b">
        <f t="shared" si="3"/>
        <v>0</v>
      </c>
      <c r="H119" t="b">
        <f t="shared" si="4"/>
        <v>0</v>
      </c>
      <c r="I119" s="29">
        <f t="shared" si="5"/>
        <v>38793</v>
      </c>
    </row>
    <row r="120" spans="1:9" ht="12.75" customHeight="1" x14ac:dyDescent="0.2">
      <c r="A120" s="28">
        <v>38793</v>
      </c>
      <c r="B120" s="26" t="s">
        <v>5256</v>
      </c>
      <c r="C120" s="26" t="s">
        <v>9</v>
      </c>
      <c r="D120" s="26" t="s">
        <v>20</v>
      </c>
      <c r="E120" s="26">
        <v>39975</v>
      </c>
      <c r="F120" s="26" t="s">
        <v>20</v>
      </c>
      <c r="G120" t="b">
        <f t="shared" si="3"/>
        <v>0</v>
      </c>
      <c r="H120" t="b">
        <f t="shared" si="4"/>
        <v>0</v>
      </c>
      <c r="I120" s="29">
        <f t="shared" si="5"/>
        <v>38793</v>
      </c>
    </row>
    <row r="121" spans="1:9" ht="12.75" customHeight="1" x14ac:dyDescent="0.2">
      <c r="A121" s="28">
        <v>38793</v>
      </c>
      <c r="B121" s="26" t="s">
        <v>5255</v>
      </c>
      <c r="C121" s="26" t="s">
        <v>3240</v>
      </c>
      <c r="D121" s="26">
        <v>25000000</v>
      </c>
      <c r="E121" s="26">
        <v>33889159</v>
      </c>
      <c r="F121" s="26">
        <v>56889159</v>
      </c>
      <c r="G121" t="b">
        <f t="shared" si="3"/>
        <v>0</v>
      </c>
      <c r="H121" t="b">
        <f t="shared" si="4"/>
        <v>0</v>
      </c>
      <c r="I121" s="29">
        <f t="shared" si="5"/>
        <v>38793</v>
      </c>
    </row>
    <row r="122" spans="1:9" ht="12.75" customHeight="1" x14ac:dyDescent="0.2">
      <c r="A122" s="28">
        <v>38793</v>
      </c>
      <c r="B122" s="26" t="s">
        <v>5254</v>
      </c>
      <c r="C122" s="26" t="s">
        <v>9</v>
      </c>
      <c r="D122" s="26" t="s">
        <v>20</v>
      </c>
      <c r="E122" s="26">
        <v>25578</v>
      </c>
      <c r="F122" s="26" t="s">
        <v>20</v>
      </c>
      <c r="G122" t="b">
        <f t="shared" si="3"/>
        <v>0</v>
      </c>
      <c r="H122" t="b">
        <f t="shared" si="4"/>
        <v>0</v>
      </c>
      <c r="I122" s="29">
        <f t="shared" si="5"/>
        <v>38793</v>
      </c>
    </row>
    <row r="123" spans="1:9" ht="12.75" customHeight="1" x14ac:dyDescent="0.2">
      <c r="A123" s="28">
        <v>38793</v>
      </c>
      <c r="B123" s="26" t="s">
        <v>5253</v>
      </c>
      <c r="C123" s="26" t="s">
        <v>9</v>
      </c>
      <c r="D123" s="26" t="s">
        <v>20</v>
      </c>
      <c r="E123" s="26">
        <v>14289</v>
      </c>
      <c r="F123" s="26" t="s">
        <v>20</v>
      </c>
      <c r="G123" t="b">
        <f t="shared" si="3"/>
        <v>0</v>
      </c>
      <c r="H123" t="b">
        <f t="shared" si="4"/>
        <v>0</v>
      </c>
      <c r="I123" s="29">
        <f t="shared" si="5"/>
        <v>38793</v>
      </c>
    </row>
    <row r="124" spans="1:9" ht="25.5" x14ac:dyDescent="0.2">
      <c r="A124" s="28">
        <v>38793</v>
      </c>
      <c r="B124" s="26" t="s">
        <v>5252</v>
      </c>
      <c r="C124" s="26" t="s">
        <v>9</v>
      </c>
      <c r="D124" s="26">
        <v>7500000</v>
      </c>
      <c r="E124" s="26">
        <v>24793509</v>
      </c>
      <c r="F124" s="26">
        <v>39232211</v>
      </c>
      <c r="G124" t="b">
        <f t="shared" si="3"/>
        <v>0</v>
      </c>
      <c r="H124" t="b">
        <f t="shared" si="4"/>
        <v>0</v>
      </c>
      <c r="I124" s="29">
        <f t="shared" si="5"/>
        <v>38793</v>
      </c>
    </row>
    <row r="125" spans="1:9" ht="12.75" customHeight="1" x14ac:dyDescent="0.2">
      <c r="A125" s="28">
        <v>38793</v>
      </c>
      <c r="B125" s="26" t="s">
        <v>5251</v>
      </c>
      <c r="C125" s="26" t="s">
        <v>9</v>
      </c>
      <c r="D125" s="26">
        <v>13000000</v>
      </c>
      <c r="E125" s="26">
        <v>1173673</v>
      </c>
      <c r="F125" s="26">
        <v>1788077</v>
      </c>
      <c r="G125" t="b">
        <f t="shared" ref="G125:G186" si="6">ISBLANK(A125)</f>
        <v>0</v>
      </c>
      <c r="H125" t="b">
        <f t="shared" ref="H125:H186" si="7">ISTEXT(A125)</f>
        <v>0</v>
      </c>
      <c r="I125" s="29">
        <f t="shared" ref="I125:I186" si="8">DATE(2006,MONTH(A125), DAY(A125))</f>
        <v>38793</v>
      </c>
    </row>
    <row r="126" spans="1:9" ht="12.75" customHeight="1" x14ac:dyDescent="0.2">
      <c r="A126" s="28">
        <v>38793</v>
      </c>
      <c r="B126" s="26" t="s">
        <v>5250</v>
      </c>
      <c r="C126" s="26" t="s">
        <v>9</v>
      </c>
      <c r="D126" s="26" t="s">
        <v>20</v>
      </c>
      <c r="E126" s="26">
        <v>1511</v>
      </c>
      <c r="F126" s="26" t="s">
        <v>20</v>
      </c>
      <c r="G126" t="b">
        <f t="shared" si="6"/>
        <v>0</v>
      </c>
      <c r="H126" t="b">
        <f t="shared" si="7"/>
        <v>0</v>
      </c>
      <c r="I126" s="29">
        <f t="shared" si="8"/>
        <v>38793</v>
      </c>
    </row>
    <row r="127" spans="1:9" ht="25.5" x14ac:dyDescent="0.2">
      <c r="A127" s="28">
        <v>38796</v>
      </c>
      <c r="B127" s="26" t="s">
        <v>5249</v>
      </c>
      <c r="C127" s="26" t="s">
        <v>9</v>
      </c>
      <c r="D127" s="26" t="s">
        <v>20</v>
      </c>
      <c r="E127" s="26" t="s">
        <v>20</v>
      </c>
      <c r="F127" s="26" t="s">
        <v>20</v>
      </c>
      <c r="G127" t="b">
        <f t="shared" si="6"/>
        <v>0</v>
      </c>
      <c r="H127" t="b">
        <f t="shared" si="7"/>
        <v>0</v>
      </c>
      <c r="I127" s="29">
        <f t="shared" si="8"/>
        <v>38796</v>
      </c>
    </row>
    <row r="128" spans="1:9" ht="12.75" customHeight="1" x14ac:dyDescent="0.2">
      <c r="A128" s="28">
        <v>38798</v>
      </c>
      <c r="B128" s="26" t="s">
        <v>5248</v>
      </c>
      <c r="C128" s="26" t="s">
        <v>3466</v>
      </c>
      <c r="D128" s="26" t="s">
        <v>20</v>
      </c>
      <c r="E128" s="26">
        <v>24098</v>
      </c>
      <c r="F128" s="26" t="s">
        <v>20</v>
      </c>
      <c r="G128" t="b">
        <f t="shared" si="6"/>
        <v>0</v>
      </c>
      <c r="H128" t="b">
        <f t="shared" si="7"/>
        <v>0</v>
      </c>
      <c r="I128" s="29">
        <f t="shared" si="8"/>
        <v>38798</v>
      </c>
    </row>
    <row r="129" spans="1:9" ht="12.75" customHeight="1" x14ac:dyDescent="0.2">
      <c r="A129" s="28">
        <v>38800</v>
      </c>
      <c r="B129" s="26" t="s">
        <v>5247</v>
      </c>
      <c r="C129" s="26" t="s">
        <v>9</v>
      </c>
      <c r="D129" s="26" t="s">
        <v>20</v>
      </c>
      <c r="E129" s="26">
        <v>38922</v>
      </c>
      <c r="F129" s="26" t="s">
        <v>20</v>
      </c>
      <c r="G129" t="b">
        <f t="shared" si="6"/>
        <v>0</v>
      </c>
      <c r="H129" t="b">
        <f t="shared" si="7"/>
        <v>0</v>
      </c>
      <c r="I129" s="29">
        <f t="shared" si="8"/>
        <v>38800</v>
      </c>
    </row>
    <row r="130" spans="1:9" ht="25.5" x14ac:dyDescent="0.2">
      <c r="A130" s="28">
        <v>38800</v>
      </c>
      <c r="B130" s="26" t="s">
        <v>5246</v>
      </c>
      <c r="C130" s="26" t="s">
        <v>9</v>
      </c>
      <c r="D130" s="26" t="s">
        <v>20</v>
      </c>
      <c r="E130" s="26">
        <v>225448</v>
      </c>
      <c r="F130" s="26" t="s">
        <v>20</v>
      </c>
      <c r="G130" t="b">
        <f t="shared" si="6"/>
        <v>0</v>
      </c>
      <c r="H130" t="b">
        <f t="shared" si="7"/>
        <v>0</v>
      </c>
      <c r="I130" s="29">
        <f t="shared" si="8"/>
        <v>38800</v>
      </c>
    </row>
    <row r="131" spans="1:9" ht="25.5" x14ac:dyDescent="0.2">
      <c r="A131" s="28">
        <v>38800</v>
      </c>
      <c r="B131" s="26" t="s">
        <v>5245</v>
      </c>
      <c r="C131" s="26" t="s">
        <v>9</v>
      </c>
      <c r="D131" s="26" t="s">
        <v>20</v>
      </c>
      <c r="E131" s="26" t="s">
        <v>20</v>
      </c>
      <c r="F131" s="26" t="s">
        <v>20</v>
      </c>
      <c r="G131" t="b">
        <f t="shared" si="6"/>
        <v>0</v>
      </c>
      <c r="H131" t="b">
        <f t="shared" si="7"/>
        <v>0</v>
      </c>
      <c r="I131" s="29">
        <f t="shared" si="8"/>
        <v>38800</v>
      </c>
    </row>
    <row r="132" spans="1:9" ht="12.75" customHeight="1" x14ac:dyDescent="0.2">
      <c r="A132" s="28">
        <v>38800</v>
      </c>
      <c r="B132" s="26" t="s">
        <v>5244</v>
      </c>
      <c r="C132" s="26" t="s">
        <v>9</v>
      </c>
      <c r="D132" s="26" t="s">
        <v>20</v>
      </c>
      <c r="E132" s="26" t="s">
        <v>20</v>
      </c>
      <c r="F132" s="26" t="s">
        <v>20</v>
      </c>
      <c r="G132" t="b">
        <f t="shared" si="6"/>
        <v>0</v>
      </c>
      <c r="H132" t="b">
        <f t="shared" si="7"/>
        <v>0</v>
      </c>
      <c r="I132" s="29">
        <f t="shared" si="8"/>
        <v>38800</v>
      </c>
    </row>
    <row r="133" spans="1:9" ht="38.25" x14ac:dyDescent="0.2">
      <c r="A133" s="28">
        <v>38800</v>
      </c>
      <c r="B133" s="26" t="s">
        <v>5243</v>
      </c>
      <c r="C133" s="26" t="s">
        <v>3419</v>
      </c>
      <c r="D133" s="26">
        <v>17000000</v>
      </c>
      <c r="E133" s="26">
        <v>15680099</v>
      </c>
      <c r="F133" s="26" t="s">
        <v>20</v>
      </c>
      <c r="G133" t="b">
        <f t="shared" si="6"/>
        <v>0</v>
      </c>
      <c r="H133" t="b">
        <f t="shared" si="7"/>
        <v>0</v>
      </c>
      <c r="I133" s="29">
        <f t="shared" si="8"/>
        <v>38800</v>
      </c>
    </row>
    <row r="134" spans="1:9" ht="12.75" customHeight="1" x14ac:dyDescent="0.2">
      <c r="A134" s="28">
        <v>38800</v>
      </c>
      <c r="B134" s="26" t="s">
        <v>5242</v>
      </c>
      <c r="C134" s="26" t="s">
        <v>9</v>
      </c>
      <c r="D134" s="26" t="s">
        <v>20</v>
      </c>
      <c r="E134" s="26">
        <v>87728</v>
      </c>
      <c r="F134" s="26">
        <v>132325</v>
      </c>
      <c r="G134" t="b">
        <f t="shared" si="6"/>
        <v>0</v>
      </c>
      <c r="H134" t="b">
        <f t="shared" si="7"/>
        <v>0</v>
      </c>
      <c r="I134" s="29">
        <f t="shared" si="8"/>
        <v>38800</v>
      </c>
    </row>
    <row r="135" spans="1:9" ht="12.75" customHeight="1" x14ac:dyDescent="0.2">
      <c r="A135" s="28">
        <v>38800</v>
      </c>
      <c r="B135" s="26" t="s">
        <v>5241</v>
      </c>
      <c r="C135" s="26" t="s">
        <v>3096</v>
      </c>
      <c r="D135" s="26">
        <v>50000000</v>
      </c>
      <c r="E135" s="26">
        <v>88634237</v>
      </c>
      <c r="F135" s="26">
        <v>184634237</v>
      </c>
      <c r="G135" t="b">
        <f t="shared" si="6"/>
        <v>0</v>
      </c>
      <c r="H135" t="b">
        <f t="shared" si="7"/>
        <v>0</v>
      </c>
      <c r="I135" s="29">
        <f t="shared" si="8"/>
        <v>38800</v>
      </c>
    </row>
    <row r="136" spans="1:9" ht="25.5" x14ac:dyDescent="0.2">
      <c r="A136" s="28">
        <v>38800</v>
      </c>
      <c r="B136" s="26" t="s">
        <v>5240</v>
      </c>
      <c r="C136" s="26" t="s">
        <v>9</v>
      </c>
      <c r="D136" s="26">
        <v>2900000</v>
      </c>
      <c r="E136" s="26">
        <v>3127472</v>
      </c>
      <c r="F136" s="26" t="s">
        <v>20</v>
      </c>
      <c r="G136" t="b">
        <f t="shared" si="6"/>
        <v>0</v>
      </c>
      <c r="H136" t="b">
        <f t="shared" si="7"/>
        <v>0</v>
      </c>
      <c r="I136" s="29">
        <f t="shared" si="8"/>
        <v>38800</v>
      </c>
    </row>
    <row r="137" spans="1:9" ht="25.5" x14ac:dyDescent="0.2">
      <c r="A137" s="28">
        <v>38800</v>
      </c>
      <c r="B137" s="26" t="s">
        <v>5239</v>
      </c>
      <c r="C137" s="26" t="s">
        <v>9</v>
      </c>
      <c r="D137" s="26" t="s">
        <v>20</v>
      </c>
      <c r="E137" s="26">
        <v>2500</v>
      </c>
      <c r="F137" s="26" t="s">
        <v>20</v>
      </c>
      <c r="G137" t="b">
        <f t="shared" si="6"/>
        <v>0</v>
      </c>
      <c r="H137" t="b">
        <f t="shared" si="7"/>
        <v>0</v>
      </c>
      <c r="I137" s="29">
        <f t="shared" si="8"/>
        <v>38800</v>
      </c>
    </row>
    <row r="138" spans="1:9" ht="12.75" customHeight="1" x14ac:dyDescent="0.2">
      <c r="A138" s="28">
        <v>38800</v>
      </c>
      <c r="B138" s="26" t="s">
        <v>5238</v>
      </c>
      <c r="C138" s="26" t="s">
        <v>3390</v>
      </c>
      <c r="D138" s="26">
        <v>20000000</v>
      </c>
      <c r="E138" s="26">
        <v>23086480</v>
      </c>
      <c r="F138" s="26">
        <v>23187506</v>
      </c>
      <c r="G138" t="b">
        <f t="shared" si="6"/>
        <v>0</v>
      </c>
      <c r="H138" t="b">
        <f t="shared" si="7"/>
        <v>0</v>
      </c>
      <c r="I138" s="29">
        <f t="shared" si="8"/>
        <v>38800</v>
      </c>
    </row>
    <row r="139" spans="1:9" ht="12.75" customHeight="1" x14ac:dyDescent="0.2">
      <c r="A139" s="28">
        <v>38800</v>
      </c>
      <c r="B139" s="26" t="s">
        <v>5237</v>
      </c>
      <c r="C139" s="26" t="s">
        <v>612</v>
      </c>
      <c r="D139" s="26" t="s">
        <v>20</v>
      </c>
      <c r="E139" s="26">
        <v>651941</v>
      </c>
      <c r="F139" s="26">
        <v>5341053</v>
      </c>
      <c r="G139" t="b">
        <f t="shared" si="6"/>
        <v>0</v>
      </c>
      <c r="H139" t="b">
        <f t="shared" si="7"/>
        <v>0</v>
      </c>
      <c r="I139" s="29">
        <f t="shared" si="8"/>
        <v>38800</v>
      </c>
    </row>
    <row r="140" spans="1:9" ht="12.75" customHeight="1" x14ac:dyDescent="0.2">
      <c r="A140" s="28">
        <v>38800</v>
      </c>
      <c r="B140" s="26" t="s">
        <v>5236</v>
      </c>
      <c r="C140" s="26" t="s">
        <v>9</v>
      </c>
      <c r="D140" s="26">
        <v>500000</v>
      </c>
      <c r="E140" s="26">
        <v>154187</v>
      </c>
      <c r="F140" s="26" t="s">
        <v>20</v>
      </c>
      <c r="G140" t="b">
        <f t="shared" si="6"/>
        <v>0</v>
      </c>
      <c r="H140" t="b">
        <f t="shared" si="7"/>
        <v>0</v>
      </c>
      <c r="I140" s="29">
        <f t="shared" si="8"/>
        <v>38800</v>
      </c>
    </row>
    <row r="141" spans="1:9" ht="25.5" x14ac:dyDescent="0.2">
      <c r="A141" s="28">
        <v>38800</v>
      </c>
      <c r="B141" s="26" t="s">
        <v>5235</v>
      </c>
      <c r="C141" s="26" t="s">
        <v>9</v>
      </c>
      <c r="D141" s="26" t="s">
        <v>20</v>
      </c>
      <c r="E141" s="26" t="s">
        <v>20</v>
      </c>
      <c r="F141" s="26" t="s">
        <v>20</v>
      </c>
      <c r="G141" t="b">
        <f t="shared" si="6"/>
        <v>0</v>
      </c>
      <c r="H141" t="b">
        <f t="shared" si="7"/>
        <v>0</v>
      </c>
      <c r="I141" s="29">
        <f t="shared" si="8"/>
        <v>38800</v>
      </c>
    </row>
    <row r="142" spans="1:9" ht="25.5" x14ac:dyDescent="0.2">
      <c r="A142" s="28">
        <v>38804</v>
      </c>
      <c r="B142" s="26" t="s">
        <v>5234</v>
      </c>
      <c r="C142" s="26" t="s">
        <v>9</v>
      </c>
      <c r="D142" s="26" t="s">
        <v>20</v>
      </c>
      <c r="E142" s="26" t="s">
        <v>20</v>
      </c>
      <c r="F142" s="26" t="s">
        <v>20</v>
      </c>
      <c r="G142" t="b">
        <f t="shared" si="6"/>
        <v>0</v>
      </c>
      <c r="H142" t="b">
        <f t="shared" si="7"/>
        <v>0</v>
      </c>
      <c r="I142" s="29">
        <f t="shared" si="8"/>
        <v>38804</v>
      </c>
    </row>
    <row r="143" spans="1:9" ht="12.75" customHeight="1" x14ac:dyDescent="0.2">
      <c r="A143" s="28">
        <v>38805</v>
      </c>
      <c r="B143" s="26" t="s">
        <v>5233</v>
      </c>
      <c r="C143" s="26" t="s">
        <v>9</v>
      </c>
      <c r="D143" s="26" t="s">
        <v>20</v>
      </c>
      <c r="E143" s="26">
        <v>234743</v>
      </c>
      <c r="F143" s="26">
        <v>243743</v>
      </c>
      <c r="G143" t="b">
        <f t="shared" si="6"/>
        <v>0</v>
      </c>
      <c r="H143" t="b">
        <f t="shared" si="7"/>
        <v>0</v>
      </c>
      <c r="I143" s="29">
        <f t="shared" si="8"/>
        <v>38805</v>
      </c>
    </row>
    <row r="144" spans="1:9" ht="12.75" customHeight="1" x14ac:dyDescent="0.2">
      <c r="A144" s="28">
        <v>38807</v>
      </c>
      <c r="B144" s="26" t="s">
        <v>5232</v>
      </c>
      <c r="C144" s="26" t="s">
        <v>5231</v>
      </c>
      <c r="D144" s="26" t="s">
        <v>20</v>
      </c>
      <c r="E144" s="26">
        <v>34812</v>
      </c>
      <c r="F144" s="26" t="s">
        <v>20</v>
      </c>
      <c r="G144" t="b">
        <f t="shared" si="6"/>
        <v>0</v>
      </c>
      <c r="H144" t="b">
        <f t="shared" si="7"/>
        <v>0</v>
      </c>
      <c r="I144" s="29">
        <f t="shared" si="8"/>
        <v>38807</v>
      </c>
    </row>
    <row r="145" spans="1:9" ht="25.5" x14ac:dyDescent="0.2">
      <c r="A145" s="28">
        <v>38807</v>
      </c>
      <c r="B145" s="26" t="s">
        <v>5230</v>
      </c>
      <c r="C145" s="26" t="s">
        <v>9</v>
      </c>
      <c r="D145" s="26" t="s">
        <v>20</v>
      </c>
      <c r="E145" s="26">
        <v>334450</v>
      </c>
      <c r="F145" s="26">
        <v>430982</v>
      </c>
      <c r="G145" t="b">
        <f t="shared" si="6"/>
        <v>0</v>
      </c>
      <c r="H145" t="b">
        <f t="shared" si="7"/>
        <v>0</v>
      </c>
      <c r="I145" s="29">
        <f t="shared" si="8"/>
        <v>38807</v>
      </c>
    </row>
    <row r="146" spans="1:9" ht="25.5" x14ac:dyDescent="0.2">
      <c r="A146" s="28">
        <v>38807</v>
      </c>
      <c r="B146" s="26" t="s">
        <v>5229</v>
      </c>
      <c r="C146" s="26" t="s">
        <v>9</v>
      </c>
      <c r="D146" s="26" t="s">
        <v>20</v>
      </c>
      <c r="E146" s="26">
        <v>162538</v>
      </c>
      <c r="F146" s="26" t="s">
        <v>20</v>
      </c>
      <c r="G146" t="b">
        <f t="shared" si="6"/>
        <v>0</v>
      </c>
      <c r="H146" t="b">
        <f t="shared" si="7"/>
        <v>0</v>
      </c>
      <c r="I146" s="29">
        <f t="shared" si="8"/>
        <v>38807</v>
      </c>
    </row>
    <row r="147" spans="1:9" ht="12.75" customHeight="1" x14ac:dyDescent="0.2">
      <c r="A147" s="28">
        <v>38807</v>
      </c>
      <c r="B147" s="26" t="s">
        <v>5228</v>
      </c>
      <c r="C147" s="26" t="s">
        <v>1760</v>
      </c>
      <c r="D147" s="26" t="s">
        <v>20</v>
      </c>
      <c r="E147" s="26">
        <v>27177</v>
      </c>
      <c r="F147" s="26" t="s">
        <v>20</v>
      </c>
      <c r="G147" t="b">
        <f t="shared" si="6"/>
        <v>0</v>
      </c>
      <c r="H147" t="b">
        <f t="shared" si="7"/>
        <v>0</v>
      </c>
      <c r="I147" s="29">
        <f t="shared" si="8"/>
        <v>38807</v>
      </c>
    </row>
    <row r="148" spans="1:9" ht="12.75" customHeight="1" x14ac:dyDescent="0.2">
      <c r="A148" s="28">
        <v>38807</v>
      </c>
      <c r="B148" s="26" t="s">
        <v>5227</v>
      </c>
      <c r="C148" s="26" t="s">
        <v>9</v>
      </c>
      <c r="D148" s="26" t="s">
        <v>20</v>
      </c>
      <c r="E148" s="26">
        <v>21244</v>
      </c>
      <c r="F148" s="26" t="s">
        <v>20</v>
      </c>
      <c r="G148" t="b">
        <f t="shared" si="6"/>
        <v>0</v>
      </c>
      <c r="H148" t="b">
        <f t="shared" si="7"/>
        <v>0</v>
      </c>
      <c r="I148" s="29">
        <f t="shared" si="8"/>
        <v>38807</v>
      </c>
    </row>
    <row r="149" spans="1:9" ht="12.75" customHeight="1" x14ac:dyDescent="0.2">
      <c r="A149" s="28">
        <v>38807</v>
      </c>
      <c r="B149" s="26" t="s">
        <v>5226</v>
      </c>
      <c r="C149" s="26" t="s">
        <v>2256</v>
      </c>
      <c r="D149" s="26">
        <v>70000000</v>
      </c>
      <c r="E149" s="26">
        <v>5946136</v>
      </c>
      <c r="F149" s="26">
        <v>35417162</v>
      </c>
      <c r="G149" t="b">
        <f t="shared" si="6"/>
        <v>0</v>
      </c>
      <c r="H149" t="b">
        <f t="shared" si="7"/>
        <v>0</v>
      </c>
      <c r="I149" s="29">
        <f t="shared" si="8"/>
        <v>38807</v>
      </c>
    </row>
    <row r="150" spans="1:9" ht="25.5" x14ac:dyDescent="0.2">
      <c r="A150" s="28">
        <v>38807</v>
      </c>
      <c r="B150" s="26" t="s">
        <v>5225</v>
      </c>
      <c r="C150" s="26" t="s">
        <v>384</v>
      </c>
      <c r="D150" s="26">
        <v>75000000</v>
      </c>
      <c r="E150" s="26">
        <v>195330621</v>
      </c>
      <c r="F150" s="26">
        <v>651899282</v>
      </c>
      <c r="G150" t="b">
        <f t="shared" si="6"/>
        <v>0</v>
      </c>
      <c r="H150" t="b">
        <f t="shared" si="7"/>
        <v>0</v>
      </c>
      <c r="I150" s="29">
        <f t="shared" si="8"/>
        <v>38807</v>
      </c>
    </row>
    <row r="151" spans="1:9" ht="12.75" customHeight="1" x14ac:dyDescent="0.2">
      <c r="A151" s="28">
        <v>38807</v>
      </c>
      <c r="B151" s="26" t="s">
        <v>5224</v>
      </c>
      <c r="C151" s="26" t="s">
        <v>698</v>
      </c>
      <c r="D151" s="26">
        <v>450000</v>
      </c>
      <c r="E151" s="26">
        <v>2075743</v>
      </c>
      <c r="F151" s="26">
        <v>3918941</v>
      </c>
      <c r="G151" t="b">
        <f t="shared" si="6"/>
        <v>0</v>
      </c>
      <c r="H151" t="b">
        <f t="shared" si="7"/>
        <v>0</v>
      </c>
      <c r="I151" s="29">
        <f t="shared" si="8"/>
        <v>38807</v>
      </c>
    </row>
    <row r="152" spans="1:9" ht="25.5" x14ac:dyDescent="0.2">
      <c r="A152" s="28">
        <v>38807</v>
      </c>
      <c r="B152" s="26" t="s">
        <v>5223</v>
      </c>
      <c r="C152" s="26" t="s">
        <v>9</v>
      </c>
      <c r="D152" s="26" t="s">
        <v>20</v>
      </c>
      <c r="E152" s="26">
        <v>47243</v>
      </c>
      <c r="F152" s="26" t="s">
        <v>20</v>
      </c>
      <c r="G152" t="b">
        <f t="shared" si="6"/>
        <v>0</v>
      </c>
      <c r="H152" t="b">
        <f t="shared" si="7"/>
        <v>0</v>
      </c>
      <c r="I152" s="29">
        <f t="shared" si="8"/>
        <v>38807</v>
      </c>
    </row>
    <row r="153" spans="1:9" ht="12.75" customHeight="1" x14ac:dyDescent="0.2">
      <c r="A153" s="28">
        <v>38807</v>
      </c>
      <c r="B153" s="26" t="s">
        <v>5222</v>
      </c>
      <c r="C153" s="26" t="s">
        <v>3209</v>
      </c>
      <c r="D153" s="26">
        <v>17000000</v>
      </c>
      <c r="E153" s="26">
        <v>21170563</v>
      </c>
      <c r="F153" s="26" t="s">
        <v>20</v>
      </c>
      <c r="G153" t="b">
        <f t="shared" si="6"/>
        <v>0</v>
      </c>
      <c r="H153" t="b">
        <f t="shared" si="7"/>
        <v>0</v>
      </c>
      <c r="I153" s="29">
        <f t="shared" si="8"/>
        <v>38807</v>
      </c>
    </row>
    <row r="154" spans="1:9" ht="12.75" customHeight="1" x14ac:dyDescent="0.2">
      <c r="A154" s="28">
        <v>38807</v>
      </c>
      <c r="B154" s="26" t="s">
        <v>5221</v>
      </c>
      <c r="C154" s="26" t="s">
        <v>9</v>
      </c>
      <c r="D154" s="26" t="s">
        <v>20</v>
      </c>
      <c r="E154" s="26">
        <v>309404</v>
      </c>
      <c r="F154" s="26" t="s">
        <v>20</v>
      </c>
      <c r="G154" t="b">
        <f t="shared" si="6"/>
        <v>0</v>
      </c>
      <c r="H154" t="b">
        <f t="shared" si="7"/>
        <v>0</v>
      </c>
      <c r="I154" s="29">
        <f t="shared" si="8"/>
        <v>38807</v>
      </c>
    </row>
    <row r="155" spans="1:9" ht="38.25" x14ac:dyDescent="0.2">
      <c r="A155" s="28">
        <v>38807</v>
      </c>
      <c r="B155" s="26" t="s">
        <v>5220</v>
      </c>
      <c r="C155" s="26" t="s">
        <v>1319</v>
      </c>
      <c r="D155" s="26">
        <v>2500000</v>
      </c>
      <c r="E155" s="26">
        <v>349132</v>
      </c>
      <c r="F155" s="26">
        <v>399114</v>
      </c>
      <c r="G155" t="b">
        <f t="shared" si="6"/>
        <v>0</v>
      </c>
      <c r="H155" t="b">
        <f t="shared" si="7"/>
        <v>0</v>
      </c>
      <c r="I155" s="29">
        <f t="shared" si="8"/>
        <v>38807</v>
      </c>
    </row>
    <row r="156" spans="1:9" ht="12.75" customHeight="1" x14ac:dyDescent="0.2">
      <c r="A156" s="28">
        <v>38807</v>
      </c>
      <c r="B156" s="26" t="s">
        <v>5219</v>
      </c>
      <c r="C156" s="26" t="s">
        <v>3096</v>
      </c>
      <c r="D156" s="26">
        <v>15250000</v>
      </c>
      <c r="E156" s="26">
        <v>7802450</v>
      </c>
      <c r="F156" s="26">
        <v>12834936</v>
      </c>
      <c r="G156" t="b">
        <f t="shared" si="6"/>
        <v>0</v>
      </c>
      <c r="H156" t="b">
        <f t="shared" si="7"/>
        <v>0</v>
      </c>
      <c r="I156" s="29">
        <f t="shared" si="8"/>
        <v>38807</v>
      </c>
    </row>
    <row r="157" spans="1:9" ht="12.75" customHeight="1" x14ac:dyDescent="0.2">
      <c r="A157" s="28">
        <v>38813</v>
      </c>
      <c r="B157" s="26" t="s">
        <v>5218</v>
      </c>
      <c r="C157" s="26" t="s">
        <v>9</v>
      </c>
      <c r="D157" s="26" t="s">
        <v>20</v>
      </c>
      <c r="E157" s="26">
        <v>5228</v>
      </c>
      <c r="F157" s="26" t="s">
        <v>20</v>
      </c>
      <c r="G157" t="b">
        <f t="shared" si="6"/>
        <v>0</v>
      </c>
      <c r="H157" t="b">
        <f t="shared" si="7"/>
        <v>0</v>
      </c>
      <c r="I157" s="29">
        <f t="shared" si="8"/>
        <v>38813</v>
      </c>
    </row>
    <row r="158" spans="1:9" ht="12.75" customHeight="1" x14ac:dyDescent="0.2">
      <c r="A158" s="28">
        <v>38814</v>
      </c>
      <c r="B158" s="26" t="s">
        <v>5217</v>
      </c>
      <c r="C158" s="26" t="s">
        <v>9</v>
      </c>
      <c r="D158" s="26" t="s">
        <v>20</v>
      </c>
      <c r="E158" s="26">
        <v>115694</v>
      </c>
      <c r="F158" s="26" t="s">
        <v>20</v>
      </c>
      <c r="G158" t="b">
        <f t="shared" si="6"/>
        <v>0</v>
      </c>
      <c r="H158" t="b">
        <f t="shared" si="7"/>
        <v>0</v>
      </c>
      <c r="I158" s="29">
        <f t="shared" si="8"/>
        <v>38814</v>
      </c>
    </row>
    <row r="159" spans="1:9" ht="25.5" x14ac:dyDescent="0.2">
      <c r="A159" s="28">
        <v>38814</v>
      </c>
      <c r="B159" s="26" t="s">
        <v>5216</v>
      </c>
      <c r="C159" s="26" t="s">
        <v>49</v>
      </c>
      <c r="D159" s="26">
        <v>27000000</v>
      </c>
      <c r="E159" s="26">
        <v>22495466</v>
      </c>
      <c r="F159" s="26">
        <v>55495466</v>
      </c>
      <c r="G159" t="b">
        <f t="shared" si="6"/>
        <v>0</v>
      </c>
      <c r="H159" t="b">
        <f t="shared" si="7"/>
        <v>0</v>
      </c>
      <c r="I159" s="29">
        <f t="shared" si="8"/>
        <v>38814</v>
      </c>
    </row>
    <row r="160" spans="1:9" ht="12.75" customHeight="1" x14ac:dyDescent="0.2">
      <c r="A160" s="28">
        <v>38814</v>
      </c>
      <c r="B160" s="26" t="s">
        <v>5215</v>
      </c>
      <c r="C160" s="26" t="s">
        <v>9</v>
      </c>
      <c r="D160" s="26">
        <v>3000000</v>
      </c>
      <c r="E160" s="26">
        <v>7061128</v>
      </c>
      <c r="F160" s="26">
        <v>7271305</v>
      </c>
      <c r="G160" t="b">
        <f t="shared" si="6"/>
        <v>0</v>
      </c>
      <c r="H160" t="b">
        <f t="shared" si="7"/>
        <v>0</v>
      </c>
      <c r="I160" s="29">
        <f t="shared" si="8"/>
        <v>38814</v>
      </c>
    </row>
    <row r="161" spans="1:9" ht="12.75" customHeight="1" x14ac:dyDescent="0.2">
      <c r="A161" s="28">
        <v>38814</v>
      </c>
      <c r="B161" s="26" t="s">
        <v>5214</v>
      </c>
      <c r="C161" s="26" t="s">
        <v>9</v>
      </c>
      <c r="D161" s="26" t="s">
        <v>20</v>
      </c>
      <c r="E161" s="26">
        <v>431513</v>
      </c>
      <c r="F161" s="26" t="s">
        <v>20</v>
      </c>
      <c r="G161" t="b">
        <f t="shared" si="6"/>
        <v>0</v>
      </c>
      <c r="H161" t="b">
        <f t="shared" si="7"/>
        <v>0</v>
      </c>
      <c r="I161" s="29">
        <f t="shared" si="8"/>
        <v>38814</v>
      </c>
    </row>
    <row r="162" spans="1:9" ht="12.75" customHeight="1" x14ac:dyDescent="0.2">
      <c r="A162" s="28">
        <v>38814</v>
      </c>
      <c r="B162" s="26" t="s">
        <v>5213</v>
      </c>
      <c r="C162" s="26" t="s">
        <v>9</v>
      </c>
      <c r="D162" s="26" t="s">
        <v>20</v>
      </c>
      <c r="E162" s="26">
        <v>3195</v>
      </c>
      <c r="F162" s="26" t="s">
        <v>20</v>
      </c>
      <c r="G162" t="b">
        <f t="shared" si="6"/>
        <v>0</v>
      </c>
      <c r="H162" t="b">
        <f t="shared" si="7"/>
        <v>0</v>
      </c>
      <c r="I162" s="29">
        <f t="shared" si="8"/>
        <v>38814</v>
      </c>
    </row>
    <row r="163" spans="1:9" ht="12.75" customHeight="1" x14ac:dyDescent="0.2">
      <c r="A163" s="28">
        <v>38814</v>
      </c>
      <c r="B163" s="26" t="s">
        <v>5212</v>
      </c>
      <c r="C163" s="26" t="s">
        <v>9</v>
      </c>
      <c r="D163" s="26" t="s">
        <v>20</v>
      </c>
      <c r="E163" s="26">
        <v>32381</v>
      </c>
      <c r="F163" s="26" t="s">
        <v>20</v>
      </c>
      <c r="G163" t="b">
        <f t="shared" si="6"/>
        <v>0</v>
      </c>
      <c r="H163" t="b">
        <f t="shared" si="7"/>
        <v>0</v>
      </c>
      <c r="I163" s="29">
        <f t="shared" si="8"/>
        <v>38814</v>
      </c>
    </row>
    <row r="164" spans="1:9" ht="12.75" customHeight="1" x14ac:dyDescent="0.2">
      <c r="A164" s="28">
        <v>38814</v>
      </c>
      <c r="B164" s="26" t="s">
        <v>5211</v>
      </c>
      <c r="C164" s="26" t="s">
        <v>698</v>
      </c>
      <c r="D164" s="26" t="s">
        <v>20</v>
      </c>
      <c r="E164" s="26">
        <v>186912</v>
      </c>
      <c r="F164" s="26">
        <v>974240</v>
      </c>
      <c r="G164" t="b">
        <f t="shared" si="6"/>
        <v>0</v>
      </c>
      <c r="H164" t="b">
        <f t="shared" si="7"/>
        <v>0</v>
      </c>
      <c r="I164" s="29">
        <f t="shared" si="8"/>
        <v>38814</v>
      </c>
    </row>
    <row r="165" spans="1:9" ht="12.75" customHeight="1" x14ac:dyDescent="0.2">
      <c r="A165" s="28">
        <v>38814</v>
      </c>
      <c r="B165" s="26">
        <v>4</v>
      </c>
      <c r="C165" s="26" t="s">
        <v>9</v>
      </c>
      <c r="D165" s="26" t="s">
        <v>20</v>
      </c>
      <c r="E165" s="26">
        <v>18926</v>
      </c>
      <c r="F165" s="26" t="s">
        <v>20</v>
      </c>
      <c r="G165" t="b">
        <f t="shared" si="6"/>
        <v>0</v>
      </c>
      <c r="H165" t="b">
        <f t="shared" si="7"/>
        <v>0</v>
      </c>
      <c r="I165" s="29">
        <f t="shared" si="8"/>
        <v>38814</v>
      </c>
    </row>
    <row r="166" spans="1:9" ht="12.75" customHeight="1" x14ac:dyDescent="0.2">
      <c r="A166" s="28">
        <v>38814</v>
      </c>
      <c r="B166" s="26" t="s">
        <v>5210</v>
      </c>
      <c r="C166" s="26" t="s">
        <v>9</v>
      </c>
      <c r="D166" s="26" t="s">
        <v>20</v>
      </c>
      <c r="E166" s="26">
        <v>53609</v>
      </c>
      <c r="F166" s="26" t="s">
        <v>20</v>
      </c>
      <c r="G166" t="b">
        <f t="shared" si="6"/>
        <v>0</v>
      </c>
      <c r="H166" t="b">
        <f t="shared" si="7"/>
        <v>0</v>
      </c>
      <c r="I166" s="29">
        <f t="shared" si="8"/>
        <v>38814</v>
      </c>
    </row>
    <row r="167" spans="1:9" ht="25.5" x14ac:dyDescent="0.2">
      <c r="A167" s="28">
        <v>38814</v>
      </c>
      <c r="B167" s="26" t="s">
        <v>5209</v>
      </c>
      <c r="C167" s="26" t="s">
        <v>2160</v>
      </c>
      <c r="D167" s="26">
        <v>35000000</v>
      </c>
      <c r="E167" s="26">
        <v>59843754</v>
      </c>
      <c r="F167" s="26">
        <v>64843754</v>
      </c>
      <c r="G167" t="b">
        <f t="shared" si="6"/>
        <v>0</v>
      </c>
      <c r="H167" t="b">
        <f t="shared" si="7"/>
        <v>0</v>
      </c>
      <c r="I167" s="29">
        <f t="shared" si="8"/>
        <v>38814</v>
      </c>
    </row>
    <row r="168" spans="1:9" ht="25.5" x14ac:dyDescent="0.2">
      <c r="A168" s="28">
        <v>38814</v>
      </c>
      <c r="B168" s="26" t="s">
        <v>5208</v>
      </c>
      <c r="C168" s="26" t="s">
        <v>612</v>
      </c>
      <c r="D168" s="26">
        <v>6500000</v>
      </c>
      <c r="E168" s="26">
        <v>13368437</v>
      </c>
      <c r="F168" s="26">
        <v>15328368</v>
      </c>
      <c r="G168" t="b">
        <f t="shared" si="6"/>
        <v>0</v>
      </c>
      <c r="H168" t="b">
        <f t="shared" si="7"/>
        <v>0</v>
      </c>
      <c r="I168" s="29">
        <f t="shared" si="8"/>
        <v>38814</v>
      </c>
    </row>
    <row r="169" spans="1:9" ht="12.75" customHeight="1" x14ac:dyDescent="0.2">
      <c r="A169" s="28">
        <v>38814</v>
      </c>
      <c r="B169" s="26" t="s">
        <v>5207</v>
      </c>
      <c r="C169" s="26" t="s">
        <v>9</v>
      </c>
      <c r="D169" s="26" t="s">
        <v>20</v>
      </c>
      <c r="E169" s="26">
        <v>116944</v>
      </c>
      <c r="F169" s="26" t="s">
        <v>20</v>
      </c>
      <c r="G169" t="b">
        <f t="shared" si="6"/>
        <v>0</v>
      </c>
      <c r="H169" t="b">
        <f t="shared" si="7"/>
        <v>0</v>
      </c>
      <c r="I169" s="29">
        <f t="shared" si="8"/>
        <v>38814</v>
      </c>
    </row>
    <row r="170" spans="1:9" ht="12.75" customHeight="1" x14ac:dyDescent="0.2">
      <c r="A170" s="28">
        <v>38814</v>
      </c>
      <c r="B170" s="26" t="s">
        <v>5206</v>
      </c>
      <c r="C170" s="26" t="s">
        <v>9</v>
      </c>
      <c r="D170" s="26" t="s">
        <v>20</v>
      </c>
      <c r="E170" s="26">
        <v>1990</v>
      </c>
      <c r="F170" s="26" t="s">
        <v>20</v>
      </c>
      <c r="G170" t="b">
        <f t="shared" si="6"/>
        <v>0</v>
      </c>
      <c r="H170" t="b">
        <f t="shared" si="7"/>
        <v>0</v>
      </c>
      <c r="I170" s="29">
        <f t="shared" si="8"/>
        <v>38814</v>
      </c>
    </row>
    <row r="171" spans="1:9" ht="12.75" customHeight="1" x14ac:dyDescent="0.2">
      <c r="A171" s="28">
        <v>38814</v>
      </c>
      <c r="B171" s="26" t="s">
        <v>5205</v>
      </c>
      <c r="C171" s="26" t="s">
        <v>9</v>
      </c>
      <c r="D171" s="26" t="s">
        <v>20</v>
      </c>
      <c r="E171" s="26">
        <v>106129</v>
      </c>
      <c r="F171" s="26" t="s">
        <v>20</v>
      </c>
      <c r="G171" t="b">
        <f t="shared" si="6"/>
        <v>0</v>
      </c>
      <c r="H171" t="b">
        <f t="shared" si="7"/>
        <v>0</v>
      </c>
      <c r="I171" s="29">
        <f t="shared" si="8"/>
        <v>38814</v>
      </c>
    </row>
    <row r="172" spans="1:9" ht="12.75" customHeight="1" x14ac:dyDescent="0.2">
      <c r="A172" s="28">
        <v>38814</v>
      </c>
      <c r="B172" s="26" t="s">
        <v>5204</v>
      </c>
      <c r="C172" s="26" t="s">
        <v>9</v>
      </c>
      <c r="D172" s="26" t="s">
        <v>20</v>
      </c>
      <c r="E172" s="26">
        <v>10529</v>
      </c>
      <c r="F172" s="26" t="s">
        <v>20</v>
      </c>
      <c r="G172" t="b">
        <f t="shared" si="6"/>
        <v>0</v>
      </c>
      <c r="H172" t="b">
        <f t="shared" si="7"/>
        <v>0</v>
      </c>
      <c r="I172" s="29">
        <f t="shared" si="8"/>
        <v>38814</v>
      </c>
    </row>
    <row r="173" spans="1:9" ht="12.75" customHeight="1" x14ac:dyDescent="0.2">
      <c r="A173" s="28">
        <v>38814</v>
      </c>
      <c r="B173" s="26" t="s">
        <v>5203</v>
      </c>
      <c r="C173" s="26" t="s">
        <v>2460</v>
      </c>
      <c r="D173" s="26">
        <v>30000000</v>
      </c>
      <c r="E173" s="26">
        <v>34742066</v>
      </c>
      <c r="F173" s="26">
        <v>65742066</v>
      </c>
      <c r="G173" t="b">
        <f t="shared" si="6"/>
        <v>0</v>
      </c>
      <c r="H173" t="b">
        <f t="shared" si="7"/>
        <v>0</v>
      </c>
      <c r="I173" s="29">
        <f t="shared" si="8"/>
        <v>38814</v>
      </c>
    </row>
    <row r="174" spans="1:9" ht="12.75" customHeight="1" x14ac:dyDescent="0.2">
      <c r="A174" s="28">
        <v>38814</v>
      </c>
      <c r="B174" s="26" t="s">
        <v>5202</v>
      </c>
      <c r="C174" s="26" t="s">
        <v>9</v>
      </c>
      <c r="D174" s="26">
        <v>1300000</v>
      </c>
      <c r="E174" s="26">
        <v>4055</v>
      </c>
      <c r="F174" s="26" t="s">
        <v>20</v>
      </c>
      <c r="G174" t="b">
        <f t="shared" si="6"/>
        <v>0</v>
      </c>
      <c r="H174" t="b">
        <f t="shared" si="7"/>
        <v>0</v>
      </c>
      <c r="I174" s="29">
        <f t="shared" si="8"/>
        <v>38814</v>
      </c>
    </row>
    <row r="175" spans="1:9" ht="25.5" x14ac:dyDescent="0.2">
      <c r="A175" s="28">
        <v>38818</v>
      </c>
      <c r="B175" s="26" t="s">
        <v>5201</v>
      </c>
      <c r="C175" s="26" t="s">
        <v>9</v>
      </c>
      <c r="D175" s="26" t="s">
        <v>20</v>
      </c>
      <c r="E175" s="26" t="s">
        <v>20</v>
      </c>
      <c r="F175" s="26" t="s">
        <v>20</v>
      </c>
      <c r="G175" t="b">
        <f t="shared" si="6"/>
        <v>0</v>
      </c>
      <c r="H175" t="b">
        <f t="shared" si="7"/>
        <v>0</v>
      </c>
      <c r="I175" s="29">
        <f t="shared" si="8"/>
        <v>38818</v>
      </c>
    </row>
    <row r="176" spans="1:9" ht="38.25" x14ac:dyDescent="0.2">
      <c r="A176" s="28">
        <v>38818</v>
      </c>
      <c r="B176" s="26" t="s">
        <v>5200</v>
      </c>
      <c r="C176" s="26" t="s">
        <v>9</v>
      </c>
      <c r="D176" s="26" t="s">
        <v>20</v>
      </c>
      <c r="E176" s="26" t="s">
        <v>20</v>
      </c>
      <c r="F176" s="26" t="s">
        <v>20</v>
      </c>
      <c r="G176" t="b">
        <f t="shared" si="6"/>
        <v>0</v>
      </c>
      <c r="H176" t="b">
        <f t="shared" si="7"/>
        <v>0</v>
      </c>
      <c r="I176" s="29">
        <f t="shared" si="8"/>
        <v>38818</v>
      </c>
    </row>
    <row r="177" spans="1:9" ht="12.75" customHeight="1" x14ac:dyDescent="0.2">
      <c r="A177" s="28">
        <v>38819</v>
      </c>
      <c r="B177" s="26" t="s">
        <v>5199</v>
      </c>
      <c r="C177" s="26" t="s">
        <v>9</v>
      </c>
      <c r="D177" s="26">
        <v>300000</v>
      </c>
      <c r="E177" s="26">
        <v>33312</v>
      </c>
      <c r="F177" s="26" t="s">
        <v>20</v>
      </c>
      <c r="G177" t="b">
        <f t="shared" si="6"/>
        <v>0</v>
      </c>
      <c r="H177" t="b">
        <f t="shared" si="7"/>
        <v>0</v>
      </c>
      <c r="I177" s="29">
        <f t="shared" si="8"/>
        <v>38819</v>
      </c>
    </row>
    <row r="178" spans="1:9" ht="38.25" x14ac:dyDescent="0.2">
      <c r="A178" s="28">
        <v>38821</v>
      </c>
      <c r="B178" s="26" t="s">
        <v>5198</v>
      </c>
      <c r="C178" s="26" t="s">
        <v>9</v>
      </c>
      <c r="D178" s="26" t="s">
        <v>20</v>
      </c>
      <c r="E178" s="26">
        <v>9528</v>
      </c>
      <c r="F178" s="26" t="s">
        <v>20</v>
      </c>
      <c r="G178" t="b">
        <f t="shared" si="6"/>
        <v>0</v>
      </c>
      <c r="H178" t="b">
        <f t="shared" si="7"/>
        <v>0</v>
      </c>
      <c r="I178" s="29">
        <f t="shared" si="8"/>
        <v>38821</v>
      </c>
    </row>
    <row r="179" spans="1:9" ht="12.75" customHeight="1" x14ac:dyDescent="0.2">
      <c r="A179" s="28">
        <v>38821</v>
      </c>
      <c r="B179" s="26" t="s">
        <v>5197</v>
      </c>
      <c r="C179" s="26" t="s">
        <v>9</v>
      </c>
      <c r="D179" s="26" t="s">
        <v>20</v>
      </c>
      <c r="E179" s="26">
        <v>343522</v>
      </c>
      <c r="F179" s="26" t="s">
        <v>20</v>
      </c>
      <c r="G179" t="b">
        <f t="shared" si="6"/>
        <v>0</v>
      </c>
      <c r="H179" t="b">
        <f t="shared" si="7"/>
        <v>0</v>
      </c>
      <c r="I179" s="29">
        <f t="shared" si="8"/>
        <v>38821</v>
      </c>
    </row>
    <row r="180" spans="1:9" ht="25.5" x14ac:dyDescent="0.2">
      <c r="A180" s="28">
        <v>38821</v>
      </c>
      <c r="B180" s="26" t="s">
        <v>5196</v>
      </c>
      <c r="C180" s="26" t="s">
        <v>9</v>
      </c>
      <c r="D180" s="26" t="s">
        <v>20</v>
      </c>
      <c r="E180" s="26">
        <v>2808241</v>
      </c>
      <c r="F180" s="26">
        <v>7622028</v>
      </c>
      <c r="G180" t="b">
        <f t="shared" si="6"/>
        <v>0</v>
      </c>
      <c r="H180" t="b">
        <f t="shared" si="7"/>
        <v>0</v>
      </c>
      <c r="I180" s="29">
        <f t="shared" si="8"/>
        <v>38821</v>
      </c>
    </row>
    <row r="181" spans="1:9" ht="12.75" customHeight="1" x14ac:dyDescent="0.2">
      <c r="A181" s="28">
        <v>38821</v>
      </c>
      <c r="B181" s="26" t="s">
        <v>5195</v>
      </c>
      <c r="C181" s="26" t="s">
        <v>9</v>
      </c>
      <c r="D181" s="26" t="s">
        <v>20</v>
      </c>
      <c r="E181" s="26">
        <v>105067</v>
      </c>
      <c r="F181" s="26">
        <v>107260</v>
      </c>
      <c r="G181" t="b">
        <f t="shared" si="6"/>
        <v>0</v>
      </c>
      <c r="H181" t="b">
        <f t="shared" si="7"/>
        <v>0</v>
      </c>
      <c r="I181" s="29">
        <f t="shared" si="8"/>
        <v>38821</v>
      </c>
    </row>
    <row r="182" spans="1:9" ht="12.75" customHeight="1" x14ac:dyDescent="0.2">
      <c r="A182" s="28">
        <v>38821</v>
      </c>
      <c r="B182" s="26" t="s">
        <v>5194</v>
      </c>
      <c r="C182" s="26" t="s">
        <v>5193</v>
      </c>
      <c r="D182" s="26" t="s">
        <v>20</v>
      </c>
      <c r="E182" s="26">
        <v>143383</v>
      </c>
      <c r="F182" s="26" t="s">
        <v>20</v>
      </c>
      <c r="G182" t="b">
        <f t="shared" si="6"/>
        <v>0</v>
      </c>
      <c r="H182" t="b">
        <f t="shared" si="7"/>
        <v>0</v>
      </c>
      <c r="I182" s="29">
        <f t="shared" si="8"/>
        <v>38821</v>
      </c>
    </row>
    <row r="183" spans="1:9" ht="25.5" x14ac:dyDescent="0.2">
      <c r="A183" s="28">
        <v>38821</v>
      </c>
      <c r="B183" s="26" t="s">
        <v>5192</v>
      </c>
      <c r="C183" s="26" t="s">
        <v>9</v>
      </c>
      <c r="D183" s="26" t="s">
        <v>20</v>
      </c>
      <c r="E183" s="26">
        <v>2493</v>
      </c>
      <c r="F183" s="26" t="s">
        <v>20</v>
      </c>
      <c r="G183" t="b">
        <f t="shared" si="6"/>
        <v>0</v>
      </c>
      <c r="H183" t="b">
        <f t="shared" si="7"/>
        <v>0</v>
      </c>
      <c r="I183" s="29">
        <f t="shared" si="8"/>
        <v>38821</v>
      </c>
    </row>
    <row r="184" spans="1:9" ht="25.5" x14ac:dyDescent="0.2">
      <c r="A184" s="28">
        <v>38821</v>
      </c>
      <c r="B184" s="26" t="s">
        <v>5191</v>
      </c>
      <c r="C184" s="26" t="s">
        <v>9</v>
      </c>
      <c r="D184" s="26" t="s">
        <v>20</v>
      </c>
      <c r="E184" s="26">
        <v>250083</v>
      </c>
      <c r="F184" s="26" t="s">
        <v>20</v>
      </c>
      <c r="G184" t="b">
        <f t="shared" si="6"/>
        <v>0</v>
      </c>
      <c r="H184" t="b">
        <f t="shared" si="7"/>
        <v>0</v>
      </c>
      <c r="I184" s="29">
        <f t="shared" si="8"/>
        <v>38821</v>
      </c>
    </row>
    <row r="185" spans="1:9" ht="25.5" x14ac:dyDescent="0.2">
      <c r="A185" s="28">
        <v>38821</v>
      </c>
      <c r="B185" s="26" t="s">
        <v>5190</v>
      </c>
      <c r="C185" s="26" t="s">
        <v>9</v>
      </c>
      <c r="D185" s="26" t="s">
        <v>20</v>
      </c>
      <c r="E185" s="26">
        <v>27000</v>
      </c>
      <c r="F185" s="26" t="s">
        <v>20</v>
      </c>
      <c r="G185" t="b">
        <f t="shared" si="6"/>
        <v>0</v>
      </c>
      <c r="H185" t="b">
        <f t="shared" si="7"/>
        <v>0</v>
      </c>
      <c r="I185" s="29">
        <f t="shared" si="8"/>
        <v>38821</v>
      </c>
    </row>
    <row r="186" spans="1:9" ht="25.5" x14ac:dyDescent="0.2">
      <c r="A186" s="28">
        <v>38821</v>
      </c>
      <c r="B186" s="26" t="s">
        <v>5189</v>
      </c>
      <c r="C186" s="26" t="s">
        <v>849</v>
      </c>
      <c r="D186" s="26" t="s">
        <v>20</v>
      </c>
      <c r="E186" s="26">
        <v>1415082</v>
      </c>
      <c r="F186" s="26">
        <v>1778006</v>
      </c>
      <c r="G186" t="b">
        <f t="shared" si="6"/>
        <v>0</v>
      </c>
      <c r="H186" t="b">
        <f t="shared" si="7"/>
        <v>0</v>
      </c>
      <c r="I186" s="29">
        <f t="shared" si="8"/>
        <v>38821</v>
      </c>
    </row>
    <row r="187" spans="1:9" ht="25.5" x14ac:dyDescent="0.2">
      <c r="A187" s="28">
        <v>38821</v>
      </c>
      <c r="B187" s="26" t="s">
        <v>5188</v>
      </c>
      <c r="C187" s="26" t="s">
        <v>9</v>
      </c>
      <c r="D187" s="26" t="s">
        <v>20</v>
      </c>
      <c r="E187" s="26">
        <v>405191</v>
      </c>
      <c r="F187" s="26" t="s">
        <v>20</v>
      </c>
      <c r="G187" t="b">
        <f t="shared" ref="G187:G248" si="9">ISBLANK(A187)</f>
        <v>0</v>
      </c>
      <c r="H187" t="b">
        <f t="shared" ref="H187:H248" si="10">ISTEXT(A187)</f>
        <v>0</v>
      </c>
      <c r="I187" s="29">
        <f t="shared" ref="I187:I248" si="11">DATE(2006,MONTH(A187), DAY(A187))</f>
        <v>38821</v>
      </c>
    </row>
    <row r="188" spans="1:9" ht="12.75" customHeight="1" x14ac:dyDescent="0.2">
      <c r="A188" s="28">
        <v>38821</v>
      </c>
      <c r="B188" s="26" t="s">
        <v>5187</v>
      </c>
      <c r="C188" s="26" t="s">
        <v>9</v>
      </c>
      <c r="D188" s="26" t="s">
        <v>20</v>
      </c>
      <c r="E188" s="26">
        <v>1810</v>
      </c>
      <c r="F188" s="26" t="s">
        <v>20</v>
      </c>
      <c r="G188" t="b">
        <f t="shared" si="9"/>
        <v>0</v>
      </c>
      <c r="H188" t="b">
        <f t="shared" si="10"/>
        <v>0</v>
      </c>
      <c r="I188" s="29">
        <f t="shared" si="11"/>
        <v>38821</v>
      </c>
    </row>
    <row r="189" spans="1:9" ht="12.75" customHeight="1" x14ac:dyDescent="0.2">
      <c r="A189" s="28">
        <v>38821</v>
      </c>
      <c r="B189" s="26" t="s">
        <v>5186</v>
      </c>
      <c r="C189" s="26" t="s">
        <v>3419</v>
      </c>
      <c r="D189" s="26">
        <v>950000</v>
      </c>
      <c r="E189" s="26">
        <v>1024640</v>
      </c>
      <c r="F189" s="26">
        <v>1881243</v>
      </c>
      <c r="G189" t="b">
        <f t="shared" si="9"/>
        <v>0</v>
      </c>
      <c r="H189" t="b">
        <f t="shared" si="10"/>
        <v>0</v>
      </c>
      <c r="I189" s="29">
        <f t="shared" si="11"/>
        <v>38821</v>
      </c>
    </row>
    <row r="190" spans="1:9" ht="12.75" customHeight="1" x14ac:dyDescent="0.2">
      <c r="A190" s="28">
        <v>38821</v>
      </c>
      <c r="B190" s="26" t="s">
        <v>5185</v>
      </c>
      <c r="C190" s="26" t="s">
        <v>9</v>
      </c>
      <c r="D190" s="26" t="s">
        <v>20</v>
      </c>
      <c r="E190" s="26" t="s">
        <v>20</v>
      </c>
      <c r="F190" s="26" t="s">
        <v>20</v>
      </c>
      <c r="G190" t="b">
        <f t="shared" si="9"/>
        <v>0</v>
      </c>
      <c r="H190" t="b">
        <f t="shared" si="10"/>
        <v>0</v>
      </c>
      <c r="I190" s="29">
        <f t="shared" si="11"/>
        <v>38821</v>
      </c>
    </row>
    <row r="191" spans="1:9" ht="12.75" customHeight="1" x14ac:dyDescent="0.2">
      <c r="A191" s="28">
        <v>38821</v>
      </c>
      <c r="B191" s="26" t="s">
        <v>5184</v>
      </c>
      <c r="C191" s="26" t="s">
        <v>3218</v>
      </c>
      <c r="D191" s="26" t="s">
        <v>20</v>
      </c>
      <c r="E191" s="26">
        <v>1822428</v>
      </c>
      <c r="F191" s="26">
        <v>8818428</v>
      </c>
      <c r="G191" t="b">
        <f t="shared" si="9"/>
        <v>0</v>
      </c>
      <c r="H191" t="b">
        <f t="shared" si="10"/>
        <v>0</v>
      </c>
      <c r="I191" s="29">
        <f t="shared" si="11"/>
        <v>38821</v>
      </c>
    </row>
    <row r="192" spans="1:9" ht="12.75" customHeight="1" x14ac:dyDescent="0.2">
      <c r="A192" s="28">
        <v>38821</v>
      </c>
      <c r="B192" s="26" t="s">
        <v>5183</v>
      </c>
      <c r="C192" s="26" t="s">
        <v>3390</v>
      </c>
      <c r="D192" s="26">
        <v>80000000</v>
      </c>
      <c r="E192" s="26">
        <v>37384046</v>
      </c>
      <c r="F192" s="26">
        <v>99384046</v>
      </c>
      <c r="G192" t="b">
        <f t="shared" si="9"/>
        <v>0</v>
      </c>
      <c r="H192" t="b">
        <f t="shared" si="10"/>
        <v>0</v>
      </c>
      <c r="I192" s="29">
        <f t="shared" si="11"/>
        <v>38821</v>
      </c>
    </row>
    <row r="193" spans="1:9" ht="12.75" customHeight="1" x14ac:dyDescent="0.2">
      <c r="A193" s="28">
        <v>38821</v>
      </c>
      <c r="B193" s="26" t="s">
        <v>5182</v>
      </c>
      <c r="C193" s="26" t="s">
        <v>5181</v>
      </c>
      <c r="D193" s="26">
        <v>40000000</v>
      </c>
      <c r="E193" s="26">
        <v>90710620</v>
      </c>
      <c r="F193" s="26">
        <v>178710620</v>
      </c>
      <c r="G193" t="b">
        <f t="shared" si="9"/>
        <v>0</v>
      </c>
      <c r="H193" t="b">
        <f t="shared" si="10"/>
        <v>0</v>
      </c>
      <c r="I193" s="29">
        <f t="shared" si="11"/>
        <v>38821</v>
      </c>
    </row>
    <row r="194" spans="1:9" ht="12.75" customHeight="1" x14ac:dyDescent="0.2">
      <c r="A194" s="28">
        <v>38821</v>
      </c>
      <c r="B194" s="26" t="s">
        <v>5180</v>
      </c>
      <c r="C194" s="26" t="s">
        <v>9</v>
      </c>
      <c r="D194" s="26" t="s">
        <v>20</v>
      </c>
      <c r="E194" s="26">
        <v>31008</v>
      </c>
      <c r="F194" s="26" t="s">
        <v>20</v>
      </c>
      <c r="G194" t="b">
        <f t="shared" si="9"/>
        <v>0</v>
      </c>
      <c r="H194" t="b">
        <f t="shared" si="10"/>
        <v>0</v>
      </c>
      <c r="I194" s="29">
        <f t="shared" si="11"/>
        <v>38821</v>
      </c>
    </row>
    <row r="195" spans="1:9" ht="25.5" x14ac:dyDescent="0.2">
      <c r="A195" s="28">
        <v>38826</v>
      </c>
      <c r="B195" s="26" t="s">
        <v>5179</v>
      </c>
      <c r="C195" s="26" t="s">
        <v>9</v>
      </c>
      <c r="D195" s="26" t="s">
        <v>20</v>
      </c>
      <c r="E195" s="26">
        <v>1214661</v>
      </c>
      <c r="F195" s="26">
        <v>1276994</v>
      </c>
      <c r="G195" t="b">
        <f t="shared" si="9"/>
        <v>0</v>
      </c>
      <c r="H195" t="b">
        <f t="shared" si="10"/>
        <v>0</v>
      </c>
      <c r="I195" s="29">
        <f t="shared" si="11"/>
        <v>38826</v>
      </c>
    </row>
    <row r="196" spans="1:9" ht="12.75" customHeight="1" x14ac:dyDescent="0.2">
      <c r="A196" s="28">
        <v>38826</v>
      </c>
      <c r="B196" s="26" t="s">
        <v>397</v>
      </c>
      <c r="C196" s="26" t="s">
        <v>9</v>
      </c>
      <c r="D196" s="26" t="s">
        <v>20</v>
      </c>
      <c r="E196" s="26">
        <v>132596</v>
      </c>
      <c r="F196" s="26" t="s">
        <v>20</v>
      </c>
      <c r="G196" t="b">
        <f t="shared" si="9"/>
        <v>0</v>
      </c>
      <c r="H196" t="b">
        <f t="shared" si="10"/>
        <v>0</v>
      </c>
      <c r="I196" s="29">
        <f t="shared" si="11"/>
        <v>38826</v>
      </c>
    </row>
    <row r="197" spans="1:9" ht="12.75" customHeight="1" x14ac:dyDescent="0.2">
      <c r="A197" s="28">
        <v>38828</v>
      </c>
      <c r="B197" s="26" t="s">
        <v>5178</v>
      </c>
      <c r="C197" s="26" t="s">
        <v>9</v>
      </c>
      <c r="D197" s="26" t="s">
        <v>20</v>
      </c>
      <c r="E197" s="26">
        <v>30142</v>
      </c>
      <c r="F197" s="26" t="s">
        <v>20</v>
      </c>
      <c r="G197" t="b">
        <f t="shared" si="9"/>
        <v>0</v>
      </c>
      <c r="H197" t="b">
        <f t="shared" si="10"/>
        <v>0</v>
      </c>
      <c r="I197" s="29">
        <f t="shared" si="11"/>
        <v>38828</v>
      </c>
    </row>
    <row r="198" spans="1:9" ht="12.75" customHeight="1" x14ac:dyDescent="0.2">
      <c r="A198" s="28">
        <v>38828</v>
      </c>
      <c r="B198" s="26" t="s">
        <v>5177</v>
      </c>
      <c r="C198" s="26" t="s">
        <v>2160</v>
      </c>
      <c r="D198" s="26">
        <v>50000000</v>
      </c>
      <c r="E198" s="26">
        <v>46982632</v>
      </c>
      <c r="F198" s="26">
        <v>99982632</v>
      </c>
      <c r="G198" t="b">
        <f t="shared" si="9"/>
        <v>0</v>
      </c>
      <c r="H198" t="b">
        <f t="shared" si="10"/>
        <v>0</v>
      </c>
      <c r="I198" s="29">
        <f t="shared" si="11"/>
        <v>38828</v>
      </c>
    </row>
    <row r="199" spans="1:9" ht="12.75" customHeight="1" x14ac:dyDescent="0.2">
      <c r="A199" s="28">
        <v>38828</v>
      </c>
      <c r="B199" s="26" t="s">
        <v>5176</v>
      </c>
      <c r="C199" s="26" t="s">
        <v>746</v>
      </c>
      <c r="D199" s="26" t="s">
        <v>20</v>
      </c>
      <c r="E199" s="26">
        <v>92214</v>
      </c>
      <c r="F199" s="26" t="s">
        <v>20</v>
      </c>
      <c r="G199" t="b">
        <f t="shared" si="9"/>
        <v>0</v>
      </c>
      <c r="H199" t="b">
        <f t="shared" si="10"/>
        <v>0</v>
      </c>
      <c r="I199" s="29">
        <f t="shared" si="11"/>
        <v>38828</v>
      </c>
    </row>
    <row r="200" spans="1:9" ht="12.75" customHeight="1" x14ac:dyDescent="0.2">
      <c r="A200" s="28">
        <v>38828</v>
      </c>
      <c r="B200" s="26" t="s">
        <v>5175</v>
      </c>
      <c r="C200" s="26" t="s">
        <v>384</v>
      </c>
      <c r="D200" s="26">
        <v>60000000</v>
      </c>
      <c r="E200" s="26">
        <v>36280697</v>
      </c>
      <c r="F200" s="26">
        <v>77280697</v>
      </c>
      <c r="G200" t="b">
        <f t="shared" si="9"/>
        <v>0</v>
      </c>
      <c r="H200" t="b">
        <f t="shared" si="10"/>
        <v>0</v>
      </c>
      <c r="I200" s="29">
        <f t="shared" si="11"/>
        <v>38828</v>
      </c>
    </row>
    <row r="201" spans="1:9" ht="12.75" customHeight="1" x14ac:dyDescent="0.2">
      <c r="A201" s="28">
        <v>38828</v>
      </c>
      <c r="B201" s="26" t="s">
        <v>5174</v>
      </c>
      <c r="C201" s="26" t="s">
        <v>9</v>
      </c>
      <c r="D201" s="26" t="s">
        <v>20</v>
      </c>
      <c r="E201" s="26">
        <v>71223</v>
      </c>
      <c r="F201" s="26" t="s">
        <v>20</v>
      </c>
      <c r="G201" t="b">
        <f t="shared" si="9"/>
        <v>0</v>
      </c>
      <c r="H201" t="b">
        <f t="shared" si="10"/>
        <v>0</v>
      </c>
      <c r="I201" s="29">
        <f t="shared" si="11"/>
        <v>38828</v>
      </c>
    </row>
    <row r="202" spans="1:9" ht="12.75" customHeight="1" x14ac:dyDescent="0.2">
      <c r="A202" s="28">
        <v>38828</v>
      </c>
      <c r="B202" s="26" t="s">
        <v>5173</v>
      </c>
      <c r="C202" s="26" t="s">
        <v>9</v>
      </c>
      <c r="D202" s="26" t="s">
        <v>20</v>
      </c>
      <c r="E202" s="26" t="s">
        <v>20</v>
      </c>
      <c r="F202" s="26" t="s">
        <v>20</v>
      </c>
      <c r="G202" t="b">
        <f t="shared" si="9"/>
        <v>0</v>
      </c>
      <c r="H202" t="b">
        <f t="shared" si="10"/>
        <v>0</v>
      </c>
      <c r="I202" s="29">
        <f t="shared" si="11"/>
        <v>38828</v>
      </c>
    </row>
    <row r="203" spans="1:9" ht="12.75" customHeight="1" x14ac:dyDescent="0.2">
      <c r="A203" s="28">
        <v>38828</v>
      </c>
      <c r="B203" s="26" t="s">
        <v>5172</v>
      </c>
      <c r="C203" s="26" t="s">
        <v>9</v>
      </c>
      <c r="D203" s="26" t="s">
        <v>20</v>
      </c>
      <c r="E203" s="26">
        <v>150198</v>
      </c>
      <c r="F203" s="26" t="s">
        <v>20</v>
      </c>
      <c r="G203" t="b">
        <f t="shared" si="9"/>
        <v>0</v>
      </c>
      <c r="H203" t="b">
        <f t="shared" si="10"/>
        <v>0</v>
      </c>
      <c r="I203" s="29">
        <f t="shared" si="11"/>
        <v>38828</v>
      </c>
    </row>
    <row r="204" spans="1:9" ht="12.75" customHeight="1" x14ac:dyDescent="0.2">
      <c r="A204" s="28">
        <v>38828</v>
      </c>
      <c r="B204" s="26" t="s">
        <v>5171</v>
      </c>
      <c r="C204" s="26" t="s">
        <v>9</v>
      </c>
      <c r="D204" s="26" t="s">
        <v>20</v>
      </c>
      <c r="E204" s="26">
        <v>5800</v>
      </c>
      <c r="F204" s="26" t="s">
        <v>20</v>
      </c>
      <c r="G204" t="b">
        <f t="shared" si="9"/>
        <v>0</v>
      </c>
      <c r="H204" t="b">
        <f t="shared" si="10"/>
        <v>0</v>
      </c>
      <c r="I204" s="29">
        <f t="shared" si="11"/>
        <v>38828</v>
      </c>
    </row>
    <row r="205" spans="1:9" ht="12.75" customHeight="1" x14ac:dyDescent="0.2">
      <c r="A205" s="28">
        <v>38828</v>
      </c>
      <c r="B205" s="26" t="s">
        <v>5170</v>
      </c>
      <c r="C205" s="26" t="s">
        <v>9</v>
      </c>
      <c r="D205" s="26">
        <v>1000000</v>
      </c>
      <c r="E205" s="26">
        <v>884</v>
      </c>
      <c r="F205" s="26" t="s">
        <v>20</v>
      </c>
      <c r="G205" t="b">
        <f t="shared" si="9"/>
        <v>0</v>
      </c>
      <c r="H205" t="b">
        <f t="shared" si="10"/>
        <v>0</v>
      </c>
      <c r="I205" s="29">
        <f t="shared" si="11"/>
        <v>38828</v>
      </c>
    </row>
    <row r="206" spans="1:9" x14ac:dyDescent="0.2">
      <c r="A206" s="28">
        <v>38828</v>
      </c>
      <c r="B206" s="26" t="s">
        <v>5169</v>
      </c>
      <c r="C206" s="26" t="s">
        <v>3096</v>
      </c>
      <c r="D206" s="26">
        <v>17000000</v>
      </c>
      <c r="E206" s="26">
        <v>7314027</v>
      </c>
      <c r="F206" s="26">
        <v>16510971</v>
      </c>
      <c r="G206" t="b">
        <f t="shared" si="9"/>
        <v>0</v>
      </c>
      <c r="H206" t="b">
        <f t="shared" si="10"/>
        <v>0</v>
      </c>
      <c r="I206" s="29">
        <f t="shared" si="11"/>
        <v>38828</v>
      </c>
    </row>
    <row r="207" spans="1:9" ht="12.75" customHeight="1" x14ac:dyDescent="0.2">
      <c r="A207" s="28">
        <v>38829</v>
      </c>
      <c r="B207" s="26" t="s">
        <v>5168</v>
      </c>
      <c r="C207" s="26" t="s">
        <v>9</v>
      </c>
      <c r="D207" s="26" t="s">
        <v>20</v>
      </c>
      <c r="E207" s="26" t="s">
        <v>20</v>
      </c>
      <c r="F207" s="26" t="s">
        <v>20</v>
      </c>
      <c r="G207" t="b">
        <f t="shared" si="9"/>
        <v>0</v>
      </c>
      <c r="H207" t="b">
        <f t="shared" si="10"/>
        <v>0</v>
      </c>
      <c r="I207" s="29">
        <f t="shared" si="11"/>
        <v>38829</v>
      </c>
    </row>
    <row r="208" spans="1:9" ht="38.25" x14ac:dyDescent="0.2">
      <c r="A208" s="28">
        <v>38832</v>
      </c>
      <c r="B208" s="26" t="s">
        <v>5167</v>
      </c>
      <c r="C208" s="26" t="s">
        <v>9</v>
      </c>
      <c r="D208" s="26" t="s">
        <v>20</v>
      </c>
      <c r="E208" s="26" t="s">
        <v>20</v>
      </c>
      <c r="F208" s="26" t="s">
        <v>20</v>
      </c>
      <c r="G208" t="b">
        <f t="shared" si="9"/>
        <v>0</v>
      </c>
      <c r="H208" t="b">
        <f t="shared" si="10"/>
        <v>0</v>
      </c>
      <c r="I208" s="29">
        <f t="shared" si="11"/>
        <v>38832</v>
      </c>
    </row>
    <row r="209" spans="1:9" ht="12.75" customHeight="1" x14ac:dyDescent="0.2">
      <c r="A209" s="28">
        <v>38832</v>
      </c>
      <c r="B209" s="26" t="s">
        <v>5166</v>
      </c>
      <c r="C209" s="26" t="s">
        <v>9</v>
      </c>
      <c r="D209" s="26" t="s">
        <v>20</v>
      </c>
      <c r="E209" s="26" t="s">
        <v>20</v>
      </c>
      <c r="F209" s="26" t="s">
        <v>20</v>
      </c>
      <c r="G209" t="b">
        <f t="shared" si="9"/>
        <v>0</v>
      </c>
      <c r="H209" t="b">
        <f t="shared" si="10"/>
        <v>0</v>
      </c>
      <c r="I209" s="29">
        <f t="shared" si="11"/>
        <v>38832</v>
      </c>
    </row>
    <row r="210" spans="1:9" ht="25.5" x14ac:dyDescent="0.2">
      <c r="A210" s="28">
        <v>38832</v>
      </c>
      <c r="B210" s="26" t="s">
        <v>5165</v>
      </c>
      <c r="C210" s="26" t="s">
        <v>9</v>
      </c>
      <c r="D210" s="26" t="s">
        <v>20</v>
      </c>
      <c r="E210" s="26" t="s">
        <v>20</v>
      </c>
      <c r="F210" s="26" t="s">
        <v>20</v>
      </c>
      <c r="G210" t="b">
        <f t="shared" si="9"/>
        <v>0</v>
      </c>
      <c r="H210" t="b">
        <f t="shared" si="10"/>
        <v>0</v>
      </c>
      <c r="I210" s="29">
        <f t="shared" si="11"/>
        <v>38832</v>
      </c>
    </row>
    <row r="211" spans="1:9" ht="12.75" customHeight="1" x14ac:dyDescent="0.2">
      <c r="A211" s="28">
        <v>38832</v>
      </c>
      <c r="B211" s="26" t="s">
        <v>5164</v>
      </c>
      <c r="C211" s="26" t="s">
        <v>9</v>
      </c>
      <c r="D211" s="26" t="s">
        <v>20</v>
      </c>
      <c r="E211" s="26" t="s">
        <v>20</v>
      </c>
      <c r="F211" s="26" t="s">
        <v>20</v>
      </c>
      <c r="G211" t="b">
        <f t="shared" si="9"/>
        <v>0</v>
      </c>
      <c r="H211" t="b">
        <f t="shared" si="10"/>
        <v>0</v>
      </c>
      <c r="I211" s="29">
        <f t="shared" si="11"/>
        <v>38832</v>
      </c>
    </row>
    <row r="212" spans="1:9" ht="12.75" customHeight="1" x14ac:dyDescent="0.2">
      <c r="A212" s="28">
        <v>38835</v>
      </c>
      <c r="B212" s="26" t="s">
        <v>5163</v>
      </c>
      <c r="C212" s="26" t="s">
        <v>3501</v>
      </c>
      <c r="D212" s="26">
        <v>10000</v>
      </c>
      <c r="E212" s="26">
        <v>138711</v>
      </c>
      <c r="F212" s="26" t="s">
        <v>20</v>
      </c>
      <c r="G212" t="b">
        <f t="shared" si="9"/>
        <v>0</v>
      </c>
      <c r="H212" t="b">
        <f t="shared" si="10"/>
        <v>0</v>
      </c>
      <c r="I212" s="29">
        <f t="shared" si="11"/>
        <v>38835</v>
      </c>
    </row>
    <row r="213" spans="1:9" ht="12.75" customHeight="1" x14ac:dyDescent="0.2">
      <c r="A213" s="28">
        <v>38835</v>
      </c>
      <c r="B213" s="26" t="s">
        <v>5162</v>
      </c>
      <c r="C213" s="26" t="s">
        <v>2775</v>
      </c>
      <c r="D213" s="26" t="s">
        <v>20</v>
      </c>
      <c r="E213" s="26">
        <v>28324</v>
      </c>
      <c r="F213" s="26" t="s">
        <v>20</v>
      </c>
      <c r="G213" t="b">
        <f t="shared" si="9"/>
        <v>0</v>
      </c>
      <c r="H213" t="b">
        <f t="shared" si="10"/>
        <v>0</v>
      </c>
      <c r="I213" s="29">
        <f t="shared" si="11"/>
        <v>38835</v>
      </c>
    </row>
    <row r="214" spans="1:9" ht="25.5" x14ac:dyDescent="0.2">
      <c r="A214" s="28">
        <v>38835</v>
      </c>
      <c r="B214" s="26" t="s">
        <v>5161</v>
      </c>
      <c r="C214" s="26" t="s">
        <v>3419</v>
      </c>
      <c r="D214" s="26">
        <v>8000000</v>
      </c>
      <c r="E214" s="26">
        <v>18848430</v>
      </c>
      <c r="F214" s="26">
        <v>18948425</v>
      </c>
      <c r="G214" t="b">
        <f t="shared" si="9"/>
        <v>0</v>
      </c>
      <c r="H214" t="b">
        <f t="shared" si="10"/>
        <v>0</v>
      </c>
      <c r="I214" s="29">
        <f t="shared" si="11"/>
        <v>38835</v>
      </c>
    </row>
    <row r="215" spans="1:9" ht="12.75" customHeight="1" x14ac:dyDescent="0.2">
      <c r="A215" s="28">
        <v>38835</v>
      </c>
      <c r="B215" s="26" t="s">
        <v>5160</v>
      </c>
      <c r="C215" s="26" t="s">
        <v>2776</v>
      </c>
      <c r="D215" s="26" t="s">
        <v>20</v>
      </c>
      <c r="E215" s="26">
        <v>20795</v>
      </c>
      <c r="F215" s="26" t="s">
        <v>20</v>
      </c>
      <c r="G215" t="b">
        <f t="shared" si="9"/>
        <v>0</v>
      </c>
      <c r="H215" t="b">
        <f t="shared" si="10"/>
        <v>0</v>
      </c>
      <c r="I215" s="29">
        <f t="shared" si="11"/>
        <v>38835</v>
      </c>
    </row>
    <row r="216" spans="1:9" ht="25.5" x14ac:dyDescent="0.2">
      <c r="A216" s="28">
        <v>38835</v>
      </c>
      <c r="B216" s="26" t="s">
        <v>5159</v>
      </c>
      <c r="C216" s="26" t="s">
        <v>9</v>
      </c>
      <c r="D216" s="26">
        <v>12000</v>
      </c>
      <c r="E216" s="26">
        <v>1336</v>
      </c>
      <c r="F216" s="26" t="s">
        <v>20</v>
      </c>
      <c r="G216" t="b">
        <f t="shared" si="9"/>
        <v>0</v>
      </c>
      <c r="H216" t="b">
        <f t="shared" si="10"/>
        <v>0</v>
      </c>
      <c r="I216" s="29">
        <f t="shared" si="11"/>
        <v>38835</v>
      </c>
    </row>
    <row r="217" spans="1:9" ht="12.75" customHeight="1" x14ac:dyDescent="0.2">
      <c r="A217" s="28">
        <v>38835</v>
      </c>
      <c r="B217" s="26" t="s">
        <v>5158</v>
      </c>
      <c r="C217" s="26" t="s">
        <v>9</v>
      </c>
      <c r="D217" s="26">
        <v>9600000</v>
      </c>
      <c r="E217" s="26">
        <v>2484186</v>
      </c>
      <c r="F217" s="26">
        <v>3650302</v>
      </c>
      <c r="G217" t="b">
        <f t="shared" si="9"/>
        <v>0</v>
      </c>
      <c r="H217" t="b">
        <f t="shared" si="10"/>
        <v>0</v>
      </c>
      <c r="I217" s="29">
        <f t="shared" si="11"/>
        <v>38835</v>
      </c>
    </row>
    <row r="218" spans="1:9" ht="12.75" customHeight="1" x14ac:dyDescent="0.2">
      <c r="A218" s="28">
        <v>38835</v>
      </c>
      <c r="B218" s="26" t="s">
        <v>5157</v>
      </c>
      <c r="C218" s="26" t="s">
        <v>155</v>
      </c>
      <c r="D218" s="26" t="s">
        <v>20</v>
      </c>
      <c r="E218" s="26">
        <v>5529144</v>
      </c>
      <c r="F218" s="26">
        <v>8119205</v>
      </c>
      <c r="G218" t="b">
        <f t="shared" si="9"/>
        <v>0</v>
      </c>
      <c r="H218" t="b">
        <f t="shared" si="10"/>
        <v>0</v>
      </c>
      <c r="I218" s="29">
        <f t="shared" si="11"/>
        <v>38835</v>
      </c>
    </row>
    <row r="219" spans="1:9" ht="12.75" customHeight="1" x14ac:dyDescent="0.2">
      <c r="A219" s="28">
        <v>38835</v>
      </c>
      <c r="B219" s="26" t="s">
        <v>5156</v>
      </c>
      <c r="C219" s="26" t="s">
        <v>9</v>
      </c>
      <c r="D219" s="26">
        <v>20000000</v>
      </c>
      <c r="E219" s="26">
        <v>26910736</v>
      </c>
      <c r="F219" s="26">
        <v>30399714</v>
      </c>
      <c r="G219" t="b">
        <f t="shared" si="9"/>
        <v>0</v>
      </c>
      <c r="H219" t="b">
        <f t="shared" si="10"/>
        <v>0</v>
      </c>
      <c r="I219" s="29">
        <f t="shared" si="11"/>
        <v>38835</v>
      </c>
    </row>
    <row r="220" spans="1:9" ht="12.75" customHeight="1" x14ac:dyDescent="0.2">
      <c r="A220" s="28">
        <v>38835</v>
      </c>
      <c r="B220" s="26" t="s">
        <v>5155</v>
      </c>
      <c r="C220" s="26" t="s">
        <v>2160</v>
      </c>
      <c r="D220" s="26">
        <v>55000000</v>
      </c>
      <c r="E220" s="26">
        <v>71724497</v>
      </c>
      <c r="F220" s="26">
        <v>87524497</v>
      </c>
      <c r="G220" t="b">
        <f t="shared" si="9"/>
        <v>0</v>
      </c>
      <c r="H220" t="b">
        <f t="shared" si="10"/>
        <v>0</v>
      </c>
      <c r="I220" s="29">
        <f t="shared" si="11"/>
        <v>38835</v>
      </c>
    </row>
    <row r="221" spans="1:9" ht="25.5" x14ac:dyDescent="0.2">
      <c r="A221" s="28">
        <v>38835</v>
      </c>
      <c r="B221" s="26" t="s">
        <v>5154</v>
      </c>
      <c r="C221" s="26" t="s">
        <v>9</v>
      </c>
      <c r="D221" s="26" t="s">
        <v>20</v>
      </c>
      <c r="E221" s="26">
        <v>80301</v>
      </c>
      <c r="F221" s="26" t="s">
        <v>20</v>
      </c>
      <c r="G221" t="b">
        <f t="shared" si="9"/>
        <v>0</v>
      </c>
      <c r="H221" t="b">
        <f t="shared" si="10"/>
        <v>0</v>
      </c>
      <c r="I221" s="29">
        <f t="shared" si="11"/>
        <v>38835</v>
      </c>
    </row>
    <row r="222" spans="1:9" ht="25.5" x14ac:dyDescent="0.2">
      <c r="A222" s="28">
        <v>38835</v>
      </c>
      <c r="B222" s="26" t="s">
        <v>5153</v>
      </c>
      <c r="C222" s="26" t="s">
        <v>9</v>
      </c>
      <c r="D222" s="26" t="s">
        <v>20</v>
      </c>
      <c r="E222" s="26">
        <v>151922</v>
      </c>
      <c r="F222" s="26" t="s">
        <v>20</v>
      </c>
      <c r="G222" t="b">
        <f t="shared" si="9"/>
        <v>0</v>
      </c>
      <c r="H222" t="b">
        <f t="shared" si="10"/>
        <v>0</v>
      </c>
      <c r="I222" s="29">
        <f t="shared" si="11"/>
        <v>38835</v>
      </c>
    </row>
    <row r="223" spans="1:9" ht="25.5" x14ac:dyDescent="0.2">
      <c r="A223" s="28">
        <v>38835</v>
      </c>
      <c r="B223" s="26" t="s">
        <v>5152</v>
      </c>
      <c r="C223" s="26" t="s">
        <v>9</v>
      </c>
      <c r="D223" s="26" t="s">
        <v>20</v>
      </c>
      <c r="E223" s="26">
        <v>741766</v>
      </c>
      <c r="F223" s="26">
        <v>810532</v>
      </c>
      <c r="G223" t="b">
        <f t="shared" si="9"/>
        <v>0</v>
      </c>
      <c r="H223" t="b">
        <f t="shared" si="10"/>
        <v>0</v>
      </c>
      <c r="I223" s="29">
        <f t="shared" si="11"/>
        <v>38835</v>
      </c>
    </row>
    <row r="224" spans="1:9" ht="12.75" customHeight="1" x14ac:dyDescent="0.2">
      <c r="A224" s="28">
        <v>38835</v>
      </c>
      <c r="B224" s="26" t="s">
        <v>5151</v>
      </c>
      <c r="C224" s="26" t="s">
        <v>9</v>
      </c>
      <c r="D224" s="26" t="s">
        <v>20</v>
      </c>
      <c r="E224" s="26">
        <v>7656</v>
      </c>
      <c r="F224" s="26" t="s">
        <v>20</v>
      </c>
      <c r="G224" t="b">
        <f t="shared" si="9"/>
        <v>0</v>
      </c>
      <c r="H224" t="b">
        <f t="shared" si="10"/>
        <v>0</v>
      </c>
      <c r="I224" s="29">
        <f t="shared" si="11"/>
        <v>38835</v>
      </c>
    </row>
    <row r="225" spans="1:9" ht="12.75" customHeight="1" x14ac:dyDescent="0.2">
      <c r="A225" s="28">
        <v>38835</v>
      </c>
      <c r="B225" s="26" t="s">
        <v>5150</v>
      </c>
      <c r="C225" s="26" t="s">
        <v>9</v>
      </c>
      <c r="D225" s="26" t="s">
        <v>20</v>
      </c>
      <c r="E225" s="26">
        <v>224099</v>
      </c>
      <c r="F225" s="26" t="s">
        <v>20</v>
      </c>
      <c r="G225" t="b">
        <f t="shared" si="9"/>
        <v>0</v>
      </c>
      <c r="H225" t="b">
        <f t="shared" si="10"/>
        <v>0</v>
      </c>
      <c r="I225" s="29">
        <f t="shared" si="11"/>
        <v>38835</v>
      </c>
    </row>
    <row r="226" spans="1:9" ht="12.75" customHeight="1" x14ac:dyDescent="0.2">
      <c r="A226" s="28">
        <v>38835</v>
      </c>
      <c r="B226" s="26" t="s">
        <v>5149</v>
      </c>
      <c r="C226" s="26" t="s">
        <v>3096</v>
      </c>
      <c r="D226" s="26">
        <v>18000000</v>
      </c>
      <c r="E226" s="26">
        <v>31567134</v>
      </c>
      <c r="F226" s="26">
        <v>76366864</v>
      </c>
      <c r="G226" t="b">
        <f t="shared" si="9"/>
        <v>0</v>
      </c>
      <c r="H226" t="b">
        <f t="shared" si="10"/>
        <v>0</v>
      </c>
      <c r="I226" s="29">
        <f t="shared" si="11"/>
        <v>38835</v>
      </c>
    </row>
    <row r="227" spans="1:9" ht="12.75" customHeight="1" x14ac:dyDescent="0.2">
      <c r="A227" s="28">
        <v>38839</v>
      </c>
      <c r="B227" s="26" t="s">
        <v>5148</v>
      </c>
      <c r="C227" s="26" t="s">
        <v>2256</v>
      </c>
      <c r="D227" s="26" t="s">
        <v>20</v>
      </c>
      <c r="E227" s="26" t="s">
        <v>20</v>
      </c>
      <c r="F227" s="26" t="s">
        <v>20</v>
      </c>
      <c r="G227" t="b">
        <f t="shared" si="9"/>
        <v>0</v>
      </c>
      <c r="H227" t="b">
        <f t="shared" si="10"/>
        <v>0</v>
      </c>
      <c r="I227" s="29">
        <f t="shared" si="11"/>
        <v>38839</v>
      </c>
    </row>
    <row r="228" spans="1:9" ht="12.75" customHeight="1" x14ac:dyDescent="0.2">
      <c r="A228" s="28">
        <v>38842</v>
      </c>
      <c r="B228" s="26" t="s">
        <v>5147</v>
      </c>
      <c r="C228" s="26" t="s">
        <v>9</v>
      </c>
      <c r="D228" s="26" t="s">
        <v>20</v>
      </c>
      <c r="E228" s="26">
        <v>9376</v>
      </c>
      <c r="F228" s="26" t="s">
        <v>20</v>
      </c>
      <c r="G228" t="b">
        <f t="shared" si="9"/>
        <v>0</v>
      </c>
      <c r="H228" t="b">
        <f t="shared" si="10"/>
        <v>0</v>
      </c>
      <c r="I228" s="29">
        <f t="shared" si="11"/>
        <v>38842</v>
      </c>
    </row>
    <row r="229" spans="1:9" ht="12.75" customHeight="1" x14ac:dyDescent="0.2">
      <c r="A229" s="28">
        <v>38842</v>
      </c>
      <c r="B229" s="26" t="s">
        <v>5146</v>
      </c>
      <c r="C229" s="26" t="s">
        <v>2460</v>
      </c>
      <c r="D229" s="26">
        <v>15000000</v>
      </c>
      <c r="E229" s="26">
        <v>8117637</v>
      </c>
      <c r="F229" s="26">
        <v>8224998</v>
      </c>
      <c r="G229" t="b">
        <f t="shared" si="9"/>
        <v>0</v>
      </c>
      <c r="H229" t="b">
        <f t="shared" si="10"/>
        <v>0</v>
      </c>
      <c r="I229" s="29">
        <f t="shared" si="11"/>
        <v>38842</v>
      </c>
    </row>
    <row r="230" spans="1:9" ht="25.5" x14ac:dyDescent="0.2">
      <c r="A230" s="28">
        <v>38842</v>
      </c>
      <c r="B230" s="26" t="s">
        <v>5145</v>
      </c>
      <c r="C230" s="26" t="s">
        <v>9</v>
      </c>
      <c r="D230" s="26" t="s">
        <v>20</v>
      </c>
      <c r="E230" s="26">
        <v>4630</v>
      </c>
      <c r="F230" s="26" t="s">
        <v>20</v>
      </c>
      <c r="G230" t="b">
        <f t="shared" si="9"/>
        <v>0</v>
      </c>
      <c r="H230" t="b">
        <f t="shared" si="10"/>
        <v>0</v>
      </c>
      <c r="I230" s="29">
        <f t="shared" si="11"/>
        <v>38842</v>
      </c>
    </row>
    <row r="231" spans="1:9" x14ac:dyDescent="0.2">
      <c r="A231" s="28">
        <v>38842</v>
      </c>
      <c r="B231" s="26" t="s">
        <v>5144</v>
      </c>
      <c r="C231" s="26" t="s">
        <v>3233</v>
      </c>
      <c r="D231" s="26" t="s">
        <v>20</v>
      </c>
      <c r="E231" s="26">
        <v>568932</v>
      </c>
      <c r="F231" s="26">
        <v>850735</v>
      </c>
      <c r="G231" t="b">
        <f t="shared" si="9"/>
        <v>0</v>
      </c>
      <c r="H231" t="b">
        <f t="shared" si="10"/>
        <v>0</v>
      </c>
      <c r="I231" s="29">
        <f t="shared" si="11"/>
        <v>38842</v>
      </c>
    </row>
    <row r="232" spans="1:9" ht="25.5" x14ac:dyDescent="0.2">
      <c r="A232" s="28">
        <v>38842</v>
      </c>
      <c r="B232" s="26" t="s">
        <v>5143</v>
      </c>
      <c r="C232" s="26" t="s">
        <v>9</v>
      </c>
      <c r="D232" s="26">
        <v>14000000</v>
      </c>
      <c r="E232" s="26">
        <v>16298046</v>
      </c>
      <c r="F232" s="26">
        <v>27844063</v>
      </c>
      <c r="G232" t="b">
        <f t="shared" si="9"/>
        <v>0</v>
      </c>
      <c r="H232" t="b">
        <f t="shared" si="10"/>
        <v>0</v>
      </c>
      <c r="I232" s="29">
        <f t="shared" si="11"/>
        <v>38842</v>
      </c>
    </row>
    <row r="233" spans="1:9" ht="12.75" customHeight="1" x14ac:dyDescent="0.2">
      <c r="A233" s="28">
        <v>38842</v>
      </c>
      <c r="B233" s="26" t="s">
        <v>5142</v>
      </c>
      <c r="C233" s="26" t="s">
        <v>9</v>
      </c>
      <c r="D233" s="26" t="s">
        <v>20</v>
      </c>
      <c r="E233" s="26">
        <v>1903434</v>
      </c>
      <c r="F233" s="26">
        <v>5048693</v>
      </c>
      <c r="G233" t="b">
        <f t="shared" si="9"/>
        <v>0</v>
      </c>
      <c r="H233" t="b">
        <f t="shared" si="10"/>
        <v>0</v>
      </c>
      <c r="I233" s="29">
        <f t="shared" si="11"/>
        <v>38842</v>
      </c>
    </row>
    <row r="234" spans="1:9" ht="12.75" customHeight="1" x14ac:dyDescent="0.2">
      <c r="A234" s="28">
        <v>38842</v>
      </c>
      <c r="B234" s="26" t="s">
        <v>5141</v>
      </c>
      <c r="C234" s="26" t="s">
        <v>9</v>
      </c>
      <c r="D234" s="26">
        <v>30000000</v>
      </c>
      <c r="E234" s="26">
        <v>669625</v>
      </c>
      <c r="F234" s="26">
        <v>35869934</v>
      </c>
      <c r="G234" t="b">
        <f t="shared" si="9"/>
        <v>0</v>
      </c>
      <c r="H234" t="b">
        <f t="shared" si="10"/>
        <v>0</v>
      </c>
      <c r="I234" s="29">
        <f t="shared" si="11"/>
        <v>38842</v>
      </c>
    </row>
    <row r="235" spans="1:9" ht="25.5" x14ac:dyDescent="0.2">
      <c r="A235" s="28">
        <v>38842</v>
      </c>
      <c r="B235" s="26" t="s">
        <v>5140</v>
      </c>
      <c r="C235" s="26" t="s">
        <v>2168</v>
      </c>
      <c r="D235" s="26">
        <v>150000000</v>
      </c>
      <c r="E235" s="26">
        <v>133501348</v>
      </c>
      <c r="F235" s="26">
        <v>397501348</v>
      </c>
      <c r="G235" t="b">
        <f t="shared" si="9"/>
        <v>0</v>
      </c>
      <c r="H235" t="b">
        <f t="shared" si="10"/>
        <v>0</v>
      </c>
      <c r="I235" s="29">
        <f t="shared" si="11"/>
        <v>38842</v>
      </c>
    </row>
    <row r="236" spans="1:9" ht="25.5" x14ac:dyDescent="0.2">
      <c r="A236" s="28">
        <v>38842</v>
      </c>
      <c r="B236" s="26" t="s">
        <v>5139</v>
      </c>
      <c r="C236" s="26" t="s">
        <v>9</v>
      </c>
      <c r="D236" s="26" t="s">
        <v>20</v>
      </c>
      <c r="E236" s="26">
        <v>3297137</v>
      </c>
      <c r="F236" s="26" t="s">
        <v>20</v>
      </c>
      <c r="G236" t="b">
        <f t="shared" si="9"/>
        <v>0</v>
      </c>
      <c r="H236" t="b">
        <f t="shared" si="10"/>
        <v>0</v>
      </c>
      <c r="I236" s="29">
        <f t="shared" si="11"/>
        <v>38842</v>
      </c>
    </row>
    <row r="237" spans="1:9" ht="12.75" customHeight="1" x14ac:dyDescent="0.2">
      <c r="A237" s="28">
        <v>38842</v>
      </c>
      <c r="B237" s="26" t="s">
        <v>5138</v>
      </c>
      <c r="C237" s="26" t="s">
        <v>9</v>
      </c>
      <c r="D237" s="26" t="s">
        <v>20</v>
      </c>
      <c r="E237" s="26">
        <v>3458</v>
      </c>
      <c r="F237" s="26" t="s">
        <v>20</v>
      </c>
      <c r="G237" t="b">
        <f t="shared" si="9"/>
        <v>0</v>
      </c>
      <c r="H237" t="b">
        <f t="shared" si="10"/>
        <v>0</v>
      </c>
      <c r="I237" s="29">
        <f t="shared" si="11"/>
        <v>38842</v>
      </c>
    </row>
    <row r="238" spans="1:9" ht="25.5" x14ac:dyDescent="0.2">
      <c r="A238" s="28">
        <v>38842</v>
      </c>
      <c r="B238" s="26" t="s">
        <v>5137</v>
      </c>
      <c r="C238" s="26" t="s">
        <v>4973</v>
      </c>
      <c r="D238" s="26">
        <v>4500000</v>
      </c>
      <c r="E238" s="26">
        <v>211667</v>
      </c>
      <c r="F238" s="26">
        <v>23471871</v>
      </c>
      <c r="G238" t="b">
        <f t="shared" si="9"/>
        <v>0</v>
      </c>
      <c r="H238" t="b">
        <f t="shared" si="10"/>
        <v>0</v>
      </c>
      <c r="I238" s="29">
        <f t="shared" si="11"/>
        <v>38842</v>
      </c>
    </row>
    <row r="239" spans="1:9" ht="12.75" customHeight="1" x14ac:dyDescent="0.2">
      <c r="A239" s="28">
        <v>38842</v>
      </c>
      <c r="B239" s="26" t="s">
        <v>5136</v>
      </c>
      <c r="C239" s="26" t="s">
        <v>9</v>
      </c>
      <c r="D239" s="26" t="s">
        <v>20</v>
      </c>
      <c r="E239" s="26">
        <v>13334</v>
      </c>
      <c r="F239" s="26" t="s">
        <v>20</v>
      </c>
      <c r="G239" t="b">
        <f t="shared" si="9"/>
        <v>0</v>
      </c>
      <c r="H239" t="b">
        <f t="shared" si="10"/>
        <v>0</v>
      </c>
      <c r="I239" s="29">
        <f t="shared" si="11"/>
        <v>38842</v>
      </c>
    </row>
    <row r="240" spans="1:9" ht="12.75" customHeight="1" x14ac:dyDescent="0.2">
      <c r="A240" s="28">
        <v>38842</v>
      </c>
      <c r="B240" s="26" t="s">
        <v>5135</v>
      </c>
      <c r="C240" s="26" t="s">
        <v>9</v>
      </c>
      <c r="D240" s="26" t="s">
        <v>20</v>
      </c>
      <c r="E240" s="26">
        <v>59680</v>
      </c>
      <c r="F240" s="26" t="s">
        <v>20</v>
      </c>
      <c r="G240" t="b">
        <f t="shared" si="9"/>
        <v>0</v>
      </c>
      <c r="H240" t="b">
        <f t="shared" si="10"/>
        <v>0</v>
      </c>
      <c r="I240" s="29">
        <f t="shared" si="11"/>
        <v>38842</v>
      </c>
    </row>
    <row r="241" spans="1:9" ht="25.5" x14ac:dyDescent="0.2">
      <c r="A241" s="28">
        <v>38843</v>
      </c>
      <c r="B241" s="26" t="s">
        <v>5134</v>
      </c>
      <c r="C241" s="26" t="s">
        <v>9</v>
      </c>
      <c r="D241" s="26" t="s">
        <v>20</v>
      </c>
      <c r="E241" s="26" t="s">
        <v>20</v>
      </c>
      <c r="F241" s="26">
        <v>61600000</v>
      </c>
      <c r="G241" t="b">
        <f t="shared" si="9"/>
        <v>0</v>
      </c>
      <c r="H241" t="b">
        <f t="shared" si="10"/>
        <v>0</v>
      </c>
      <c r="I241" s="29">
        <f t="shared" si="11"/>
        <v>38843</v>
      </c>
    </row>
    <row r="242" spans="1:9" ht="25.5" x14ac:dyDescent="0.2">
      <c r="A242" s="28">
        <v>38846</v>
      </c>
      <c r="B242" s="26" t="s">
        <v>5133</v>
      </c>
      <c r="C242" s="26" t="s">
        <v>9</v>
      </c>
      <c r="D242" s="26" t="s">
        <v>20</v>
      </c>
      <c r="E242" s="26" t="s">
        <v>20</v>
      </c>
      <c r="F242" s="26" t="s">
        <v>20</v>
      </c>
      <c r="G242" t="b">
        <f t="shared" si="9"/>
        <v>0</v>
      </c>
      <c r="H242" t="b">
        <f t="shared" si="10"/>
        <v>0</v>
      </c>
      <c r="I242" s="29">
        <f t="shared" si="11"/>
        <v>38846</v>
      </c>
    </row>
    <row r="243" spans="1:9" x14ac:dyDescent="0.2">
      <c r="A243" s="28">
        <v>38846</v>
      </c>
      <c r="B243" s="26" t="s">
        <v>5132</v>
      </c>
      <c r="C243" s="26" t="s">
        <v>9</v>
      </c>
      <c r="D243" s="26" t="s">
        <v>20</v>
      </c>
      <c r="E243" s="26" t="s">
        <v>20</v>
      </c>
      <c r="F243" s="26" t="s">
        <v>20</v>
      </c>
      <c r="G243" t="b">
        <f t="shared" si="9"/>
        <v>0</v>
      </c>
      <c r="H243" t="b">
        <f t="shared" si="10"/>
        <v>0</v>
      </c>
      <c r="I243" s="29">
        <f t="shared" si="11"/>
        <v>38846</v>
      </c>
    </row>
    <row r="244" spans="1:9" ht="12.75" customHeight="1" x14ac:dyDescent="0.2">
      <c r="A244" s="28">
        <v>38847</v>
      </c>
      <c r="B244" s="26" t="s">
        <v>5131</v>
      </c>
      <c r="C244" s="26" t="s">
        <v>9</v>
      </c>
      <c r="D244" s="26" t="s">
        <v>20</v>
      </c>
      <c r="E244" s="26">
        <v>326095</v>
      </c>
      <c r="F244" s="26">
        <v>23654241</v>
      </c>
      <c r="G244" t="b">
        <f t="shared" si="9"/>
        <v>0</v>
      </c>
      <c r="H244" t="b">
        <f t="shared" si="10"/>
        <v>0</v>
      </c>
      <c r="I244" s="29">
        <f t="shared" si="11"/>
        <v>38847</v>
      </c>
    </row>
    <row r="245" spans="1:9" ht="25.5" x14ac:dyDescent="0.2">
      <c r="A245" s="28">
        <v>38849</v>
      </c>
      <c r="B245" s="26" t="s">
        <v>5130</v>
      </c>
      <c r="C245" s="26" t="s">
        <v>9</v>
      </c>
      <c r="D245" s="26" t="s">
        <v>20</v>
      </c>
      <c r="E245" s="26">
        <v>439309</v>
      </c>
      <c r="F245" s="26">
        <v>727160</v>
      </c>
      <c r="G245" t="b">
        <f t="shared" si="9"/>
        <v>0</v>
      </c>
      <c r="H245" t="b">
        <f t="shared" si="10"/>
        <v>0</v>
      </c>
      <c r="I245" s="29">
        <f t="shared" si="11"/>
        <v>38849</v>
      </c>
    </row>
    <row r="246" spans="1:9" ht="12.75" customHeight="1" x14ac:dyDescent="0.2">
      <c r="A246" s="28">
        <v>38849</v>
      </c>
      <c r="B246" s="26" t="s">
        <v>5129</v>
      </c>
      <c r="C246" s="26" t="s">
        <v>9</v>
      </c>
      <c r="D246" s="26" t="s">
        <v>20</v>
      </c>
      <c r="E246" s="26">
        <v>6000</v>
      </c>
      <c r="F246" s="26" t="s">
        <v>20</v>
      </c>
      <c r="G246" t="b">
        <f t="shared" si="9"/>
        <v>0</v>
      </c>
      <c r="H246" t="b">
        <f t="shared" si="10"/>
        <v>0</v>
      </c>
      <c r="I246" s="29">
        <f t="shared" si="11"/>
        <v>38849</v>
      </c>
    </row>
    <row r="247" spans="1:9" ht="12.75" customHeight="1" x14ac:dyDescent="0.2">
      <c r="A247" s="28">
        <v>38849</v>
      </c>
      <c r="B247" s="26" t="s">
        <v>5128</v>
      </c>
      <c r="C247" s="26" t="s">
        <v>9</v>
      </c>
      <c r="D247" s="26">
        <v>7000000</v>
      </c>
      <c r="E247" s="26">
        <v>234750</v>
      </c>
      <c r="F247" s="26">
        <v>463039</v>
      </c>
      <c r="G247" t="b">
        <f t="shared" si="9"/>
        <v>0</v>
      </c>
      <c r="H247" t="b">
        <f t="shared" si="10"/>
        <v>0</v>
      </c>
      <c r="I247" s="29">
        <f t="shared" si="11"/>
        <v>38849</v>
      </c>
    </row>
    <row r="248" spans="1:9" ht="25.5" x14ac:dyDescent="0.2">
      <c r="A248" s="28">
        <v>38849</v>
      </c>
      <c r="B248" s="26" t="s">
        <v>5127</v>
      </c>
      <c r="C248" s="26" t="s">
        <v>746</v>
      </c>
      <c r="D248" s="26" t="s">
        <v>20</v>
      </c>
      <c r="E248" s="26">
        <v>6408</v>
      </c>
      <c r="F248" s="26" t="s">
        <v>20</v>
      </c>
      <c r="G248" t="b">
        <f t="shared" si="9"/>
        <v>0</v>
      </c>
      <c r="H248" t="b">
        <f t="shared" si="10"/>
        <v>0</v>
      </c>
      <c r="I248" s="29">
        <f t="shared" si="11"/>
        <v>38849</v>
      </c>
    </row>
    <row r="249" spans="1:9" ht="12.75" customHeight="1" x14ac:dyDescent="0.2">
      <c r="A249" s="28">
        <v>38849</v>
      </c>
      <c r="B249" s="26" t="s">
        <v>5126</v>
      </c>
      <c r="C249" s="26" t="s">
        <v>9</v>
      </c>
      <c r="D249" s="26" t="s">
        <v>20</v>
      </c>
      <c r="E249" s="26">
        <v>21967</v>
      </c>
      <c r="F249" s="26" t="s">
        <v>20</v>
      </c>
      <c r="G249" t="b">
        <f t="shared" ref="G249:G310" si="12">ISBLANK(A249)</f>
        <v>0</v>
      </c>
      <c r="H249" t="b">
        <f t="shared" ref="H249:H310" si="13">ISTEXT(A249)</f>
        <v>0</v>
      </c>
      <c r="I249" s="29">
        <f t="shared" ref="I249:I310" si="14">DATE(2006,MONTH(A249), DAY(A249))</f>
        <v>38849</v>
      </c>
    </row>
    <row r="250" spans="1:9" ht="25.5" x14ac:dyDescent="0.2">
      <c r="A250" s="28">
        <v>38849</v>
      </c>
      <c r="B250" s="26" t="s">
        <v>5125</v>
      </c>
      <c r="C250" s="26" t="s">
        <v>9</v>
      </c>
      <c r="D250" s="26" t="s">
        <v>20</v>
      </c>
      <c r="E250" s="26">
        <v>7123</v>
      </c>
      <c r="F250" s="26" t="s">
        <v>20</v>
      </c>
      <c r="G250" t="b">
        <f t="shared" si="12"/>
        <v>0</v>
      </c>
      <c r="H250" t="b">
        <f t="shared" si="13"/>
        <v>0</v>
      </c>
      <c r="I250" s="29">
        <f t="shared" si="14"/>
        <v>38849</v>
      </c>
    </row>
    <row r="251" spans="1:9" ht="12.75" customHeight="1" x14ac:dyDescent="0.2">
      <c r="A251" s="28">
        <v>38849</v>
      </c>
      <c r="B251" s="26" t="s">
        <v>5124</v>
      </c>
      <c r="C251" s="26" t="s">
        <v>9</v>
      </c>
      <c r="D251" s="26">
        <v>160000000</v>
      </c>
      <c r="E251" s="26">
        <v>60674817</v>
      </c>
      <c r="F251" s="26">
        <v>181674817</v>
      </c>
      <c r="G251" t="b">
        <f t="shared" si="12"/>
        <v>0</v>
      </c>
      <c r="H251" t="b">
        <f t="shared" si="13"/>
        <v>0</v>
      </c>
      <c r="I251" s="29">
        <f t="shared" si="14"/>
        <v>38849</v>
      </c>
    </row>
    <row r="252" spans="1:9" ht="12.75" customHeight="1" x14ac:dyDescent="0.2">
      <c r="A252" s="28">
        <v>38849</v>
      </c>
      <c r="B252" s="26" t="s">
        <v>5123</v>
      </c>
      <c r="C252" s="26" t="s">
        <v>384</v>
      </c>
      <c r="D252" s="26">
        <v>28000000</v>
      </c>
      <c r="E252" s="26">
        <v>17326650</v>
      </c>
      <c r="F252" s="26">
        <v>38326650</v>
      </c>
      <c r="G252" t="b">
        <f t="shared" si="12"/>
        <v>0</v>
      </c>
      <c r="H252" t="b">
        <f t="shared" si="13"/>
        <v>0</v>
      </c>
      <c r="I252" s="29">
        <f t="shared" si="14"/>
        <v>38849</v>
      </c>
    </row>
    <row r="253" spans="1:9" ht="12.75" customHeight="1" x14ac:dyDescent="0.2">
      <c r="A253" s="28">
        <v>38849</v>
      </c>
      <c r="B253" s="26" t="s">
        <v>5122</v>
      </c>
      <c r="C253" s="26" t="s">
        <v>9</v>
      </c>
      <c r="D253" s="26">
        <v>33000000</v>
      </c>
      <c r="E253" s="26">
        <v>4283255</v>
      </c>
      <c r="F253" s="26">
        <v>27610873</v>
      </c>
      <c r="G253" t="b">
        <f t="shared" si="12"/>
        <v>0</v>
      </c>
      <c r="H253" t="b">
        <f t="shared" si="13"/>
        <v>0</v>
      </c>
      <c r="I253" s="29">
        <f t="shared" si="14"/>
        <v>38849</v>
      </c>
    </row>
    <row r="254" spans="1:9" ht="25.5" x14ac:dyDescent="0.2">
      <c r="A254" s="28">
        <v>38849</v>
      </c>
      <c r="B254" s="26" t="s">
        <v>5121</v>
      </c>
      <c r="C254" s="26" t="s">
        <v>9</v>
      </c>
      <c r="D254" s="26" t="s">
        <v>20</v>
      </c>
      <c r="E254" s="26">
        <v>4339241</v>
      </c>
      <c r="F254" s="26" t="s">
        <v>20</v>
      </c>
      <c r="G254" t="b">
        <f t="shared" si="12"/>
        <v>0</v>
      </c>
      <c r="H254" t="b">
        <f t="shared" si="13"/>
        <v>0</v>
      </c>
      <c r="I254" s="29">
        <f t="shared" si="14"/>
        <v>38849</v>
      </c>
    </row>
    <row r="255" spans="1:9" ht="25.5" x14ac:dyDescent="0.2">
      <c r="A255" s="28">
        <v>38856</v>
      </c>
      <c r="B255" s="26" t="s">
        <v>5120</v>
      </c>
      <c r="C255" s="26" t="s">
        <v>3466</v>
      </c>
      <c r="D255" s="26" t="s">
        <v>20</v>
      </c>
      <c r="E255" s="26">
        <v>96464</v>
      </c>
      <c r="F255" s="26" t="s">
        <v>20</v>
      </c>
      <c r="G255" t="b">
        <f t="shared" si="12"/>
        <v>0</v>
      </c>
      <c r="H255" t="b">
        <f t="shared" si="13"/>
        <v>0</v>
      </c>
      <c r="I255" s="29">
        <f t="shared" si="14"/>
        <v>38856</v>
      </c>
    </row>
    <row r="256" spans="1:9" ht="12.75" customHeight="1" x14ac:dyDescent="0.2">
      <c r="A256" s="28">
        <v>38856</v>
      </c>
      <c r="B256" s="26" t="s">
        <v>5119</v>
      </c>
      <c r="C256" s="26" t="s">
        <v>3240</v>
      </c>
      <c r="D256" s="26" t="s">
        <v>20</v>
      </c>
      <c r="E256" s="26">
        <v>155019340</v>
      </c>
      <c r="F256" s="26">
        <v>336002981</v>
      </c>
      <c r="G256" t="b">
        <f t="shared" si="12"/>
        <v>0</v>
      </c>
      <c r="H256" t="b">
        <f t="shared" si="13"/>
        <v>0</v>
      </c>
      <c r="I256" s="29">
        <f t="shared" si="14"/>
        <v>38856</v>
      </c>
    </row>
    <row r="257" spans="1:9" ht="12.75" customHeight="1" x14ac:dyDescent="0.2">
      <c r="A257" s="28">
        <v>38856</v>
      </c>
      <c r="B257" s="26" t="s">
        <v>5118</v>
      </c>
      <c r="C257" s="26" t="s">
        <v>9</v>
      </c>
      <c r="D257" s="26" t="s">
        <v>20</v>
      </c>
      <c r="E257" s="26">
        <v>2150</v>
      </c>
      <c r="F257" s="26" t="s">
        <v>20</v>
      </c>
      <c r="G257" t="b">
        <f t="shared" si="12"/>
        <v>0</v>
      </c>
      <c r="H257" t="b">
        <f t="shared" si="13"/>
        <v>0</v>
      </c>
      <c r="I257" s="29">
        <f t="shared" si="14"/>
        <v>38856</v>
      </c>
    </row>
    <row r="258" spans="1:9" x14ac:dyDescent="0.2">
      <c r="A258" s="28">
        <v>38856</v>
      </c>
      <c r="B258" s="26" t="s">
        <v>5117</v>
      </c>
      <c r="C258" s="26" t="s">
        <v>2160</v>
      </c>
      <c r="D258" s="26">
        <v>125000000</v>
      </c>
      <c r="E258" s="26">
        <v>217536138</v>
      </c>
      <c r="F258" s="26">
        <v>757236138</v>
      </c>
      <c r="G258" t="b">
        <f t="shared" si="12"/>
        <v>0</v>
      </c>
      <c r="H258" t="b">
        <f t="shared" si="13"/>
        <v>0</v>
      </c>
      <c r="I258" s="29">
        <f t="shared" si="14"/>
        <v>38856</v>
      </c>
    </row>
    <row r="259" spans="1:9" ht="12.75" customHeight="1" x14ac:dyDescent="0.2">
      <c r="A259" s="28">
        <v>38856</v>
      </c>
      <c r="B259" s="26" t="s">
        <v>5116</v>
      </c>
      <c r="C259" s="26" t="s">
        <v>3419</v>
      </c>
      <c r="D259" s="26">
        <v>8000000</v>
      </c>
      <c r="E259" s="26">
        <v>15032800</v>
      </c>
      <c r="F259" s="26">
        <v>15387513</v>
      </c>
      <c r="G259" t="b">
        <f t="shared" si="12"/>
        <v>0</v>
      </c>
      <c r="H259" t="b">
        <f t="shared" si="13"/>
        <v>0</v>
      </c>
      <c r="I259" s="29">
        <f t="shared" si="14"/>
        <v>38856</v>
      </c>
    </row>
    <row r="260" spans="1:9" ht="12.75" customHeight="1" x14ac:dyDescent="0.2">
      <c r="A260" s="28">
        <v>38856</v>
      </c>
      <c r="B260" s="26" t="s">
        <v>5115</v>
      </c>
      <c r="C260" s="26" t="s">
        <v>3233</v>
      </c>
      <c r="D260" s="26" t="s">
        <v>20</v>
      </c>
      <c r="E260" s="26">
        <v>282183</v>
      </c>
      <c r="F260" s="26">
        <v>723110</v>
      </c>
      <c r="G260" t="b">
        <f t="shared" si="12"/>
        <v>0</v>
      </c>
      <c r="H260" t="b">
        <f t="shared" si="13"/>
        <v>0</v>
      </c>
      <c r="I260" s="29">
        <f t="shared" si="14"/>
        <v>38856</v>
      </c>
    </row>
    <row r="261" spans="1:9" ht="12.75" customHeight="1" x14ac:dyDescent="0.2">
      <c r="A261" s="28">
        <v>38856</v>
      </c>
      <c r="B261" s="26" t="s">
        <v>5114</v>
      </c>
      <c r="C261" s="26" t="s">
        <v>9</v>
      </c>
      <c r="D261" s="26" t="s">
        <v>20</v>
      </c>
      <c r="E261" s="26">
        <v>81698</v>
      </c>
      <c r="F261" s="26">
        <v>793604</v>
      </c>
      <c r="G261" t="b">
        <f t="shared" si="12"/>
        <v>0</v>
      </c>
      <c r="H261" t="b">
        <f t="shared" si="13"/>
        <v>0</v>
      </c>
      <c r="I261" s="29">
        <f t="shared" si="14"/>
        <v>38856</v>
      </c>
    </row>
    <row r="262" spans="1:9" ht="12.75" customHeight="1" x14ac:dyDescent="0.2">
      <c r="A262" s="28">
        <v>38856</v>
      </c>
      <c r="B262" s="26" t="s">
        <v>5113</v>
      </c>
      <c r="C262" s="26" t="s">
        <v>5112</v>
      </c>
      <c r="D262" s="26" t="s">
        <v>20</v>
      </c>
      <c r="E262" s="26">
        <v>51570</v>
      </c>
      <c r="F262" s="26" t="s">
        <v>20</v>
      </c>
      <c r="G262" t="b">
        <f t="shared" si="12"/>
        <v>0</v>
      </c>
      <c r="H262" t="b">
        <f t="shared" si="13"/>
        <v>0</v>
      </c>
      <c r="I262" s="29">
        <f t="shared" si="14"/>
        <v>38856</v>
      </c>
    </row>
    <row r="263" spans="1:9" ht="12.75" customHeight="1" x14ac:dyDescent="0.2">
      <c r="A263" s="28">
        <v>38861</v>
      </c>
      <c r="B263" s="26" t="s">
        <v>5111</v>
      </c>
      <c r="C263" s="26" t="s">
        <v>9</v>
      </c>
      <c r="D263" s="26" t="s">
        <v>20</v>
      </c>
      <c r="E263" s="26">
        <v>244771</v>
      </c>
      <c r="F263" s="26">
        <v>3078324</v>
      </c>
      <c r="G263" t="b">
        <f t="shared" si="12"/>
        <v>0</v>
      </c>
      <c r="H263" t="b">
        <f t="shared" si="13"/>
        <v>0</v>
      </c>
      <c r="I263" s="29">
        <f t="shared" si="14"/>
        <v>38861</v>
      </c>
    </row>
    <row r="264" spans="1:9" ht="25.5" x14ac:dyDescent="0.2">
      <c r="A264" s="28">
        <v>38861</v>
      </c>
      <c r="B264" s="26" t="s">
        <v>5110</v>
      </c>
      <c r="C264" s="26" t="s">
        <v>2992</v>
      </c>
      <c r="D264" s="26" t="s">
        <v>20</v>
      </c>
      <c r="E264" s="26">
        <v>24146161</v>
      </c>
      <c r="F264" s="26">
        <v>49749351</v>
      </c>
      <c r="G264" t="b">
        <f t="shared" si="12"/>
        <v>0</v>
      </c>
      <c r="H264" t="b">
        <f t="shared" si="13"/>
        <v>0</v>
      </c>
      <c r="I264" s="29">
        <f t="shared" si="14"/>
        <v>38861</v>
      </c>
    </row>
    <row r="265" spans="1:9" ht="12.75" customHeight="1" x14ac:dyDescent="0.2">
      <c r="A265" s="28">
        <v>38863</v>
      </c>
      <c r="B265" s="26" t="s">
        <v>5109</v>
      </c>
      <c r="C265" s="26" t="s">
        <v>2161</v>
      </c>
      <c r="D265" s="26" t="s">
        <v>20</v>
      </c>
      <c r="E265" s="26">
        <v>2105351</v>
      </c>
      <c r="F265" s="26">
        <v>15707114</v>
      </c>
      <c r="G265" t="b">
        <f t="shared" si="12"/>
        <v>0</v>
      </c>
      <c r="H265" t="b">
        <f t="shared" si="13"/>
        <v>0</v>
      </c>
      <c r="I265" s="29">
        <f t="shared" si="14"/>
        <v>38863</v>
      </c>
    </row>
    <row r="266" spans="1:9" ht="12.75" customHeight="1" x14ac:dyDescent="0.2">
      <c r="A266" s="28">
        <v>38863</v>
      </c>
      <c r="B266" s="26" t="s">
        <v>5108</v>
      </c>
      <c r="C266" s="26" t="s">
        <v>2466</v>
      </c>
      <c r="D266" s="26">
        <v>7000</v>
      </c>
      <c r="E266" s="26">
        <v>70071</v>
      </c>
      <c r="F266" s="26">
        <v>71644</v>
      </c>
      <c r="G266" t="b">
        <f t="shared" si="12"/>
        <v>0</v>
      </c>
      <c r="H266" t="b">
        <f t="shared" si="13"/>
        <v>0</v>
      </c>
      <c r="I266" s="29">
        <f t="shared" si="14"/>
        <v>38863</v>
      </c>
    </row>
    <row r="267" spans="1:9" ht="12.75" customHeight="1" x14ac:dyDescent="0.2">
      <c r="A267" s="28">
        <v>38863</v>
      </c>
      <c r="B267" s="26" t="s">
        <v>5107</v>
      </c>
      <c r="C267" s="26" t="s">
        <v>5106</v>
      </c>
      <c r="D267" s="26" t="s">
        <v>20</v>
      </c>
      <c r="E267" s="26">
        <v>14804</v>
      </c>
      <c r="F267" s="26" t="s">
        <v>20</v>
      </c>
      <c r="G267" t="b">
        <f t="shared" si="12"/>
        <v>0</v>
      </c>
      <c r="H267" t="b">
        <f t="shared" si="13"/>
        <v>0</v>
      </c>
      <c r="I267" s="29">
        <f t="shared" si="14"/>
        <v>38863</v>
      </c>
    </row>
    <row r="268" spans="1:9" ht="25.5" x14ac:dyDescent="0.2">
      <c r="A268" s="28">
        <v>38863</v>
      </c>
      <c r="B268" s="26" t="s">
        <v>5105</v>
      </c>
      <c r="C268" s="26" t="s">
        <v>384</v>
      </c>
      <c r="D268" s="26">
        <v>150000000</v>
      </c>
      <c r="E268" s="26">
        <v>234362462</v>
      </c>
      <c r="F268" s="26">
        <v>459359555</v>
      </c>
      <c r="G268" t="b">
        <f t="shared" si="12"/>
        <v>0</v>
      </c>
      <c r="H268" t="b">
        <f t="shared" si="13"/>
        <v>0</v>
      </c>
      <c r="I268" s="29">
        <f t="shared" si="14"/>
        <v>38863</v>
      </c>
    </row>
    <row r="269" spans="1:9" ht="12.75" customHeight="1" x14ac:dyDescent="0.2">
      <c r="A269" s="28">
        <v>38868</v>
      </c>
      <c r="B269" s="26" t="s">
        <v>5104</v>
      </c>
      <c r="C269" s="26" t="s">
        <v>9</v>
      </c>
      <c r="D269" s="26" t="s">
        <v>20</v>
      </c>
      <c r="E269" s="26">
        <v>249</v>
      </c>
      <c r="F269" s="26" t="s">
        <v>20</v>
      </c>
      <c r="G269" t="b">
        <f t="shared" si="12"/>
        <v>0</v>
      </c>
      <c r="H269" t="b">
        <f t="shared" si="13"/>
        <v>0</v>
      </c>
      <c r="I269" s="29">
        <f t="shared" si="14"/>
        <v>38868</v>
      </c>
    </row>
    <row r="270" spans="1:9" ht="12.75" customHeight="1" x14ac:dyDescent="0.2">
      <c r="A270" s="28">
        <v>38868</v>
      </c>
      <c r="B270" s="26" t="s">
        <v>5103</v>
      </c>
      <c r="C270" s="26" t="s">
        <v>9</v>
      </c>
      <c r="D270" s="26" t="s">
        <v>20</v>
      </c>
      <c r="E270" s="26">
        <v>7883</v>
      </c>
      <c r="F270" s="26" t="s">
        <v>20</v>
      </c>
      <c r="G270" t="b">
        <f t="shared" si="12"/>
        <v>0</v>
      </c>
      <c r="H270" t="b">
        <f t="shared" si="13"/>
        <v>0</v>
      </c>
      <c r="I270" s="29">
        <f t="shared" si="14"/>
        <v>38868</v>
      </c>
    </row>
    <row r="271" spans="1:9" ht="12.75" customHeight="1" x14ac:dyDescent="0.2">
      <c r="A271" s="28">
        <v>38870</v>
      </c>
      <c r="B271" s="26" t="s">
        <v>5102</v>
      </c>
      <c r="C271" s="26" t="s">
        <v>9</v>
      </c>
      <c r="D271" s="26">
        <v>15000000</v>
      </c>
      <c r="E271" s="26">
        <v>1200216</v>
      </c>
      <c r="F271" s="26">
        <v>11208291</v>
      </c>
      <c r="G271" t="b">
        <f t="shared" si="12"/>
        <v>0</v>
      </c>
      <c r="H271" t="b">
        <f t="shared" si="13"/>
        <v>0</v>
      </c>
      <c r="I271" s="29">
        <f t="shared" si="14"/>
        <v>38870</v>
      </c>
    </row>
    <row r="272" spans="1:9" ht="25.5" x14ac:dyDescent="0.2">
      <c r="A272" s="28">
        <v>38870</v>
      </c>
      <c r="B272" s="26" t="s">
        <v>5101</v>
      </c>
      <c r="C272" s="26" t="s">
        <v>9</v>
      </c>
      <c r="D272" s="26" t="s">
        <v>20</v>
      </c>
      <c r="E272" s="26">
        <v>7451</v>
      </c>
      <c r="F272" s="26" t="s">
        <v>20</v>
      </c>
      <c r="G272" t="b">
        <f t="shared" si="12"/>
        <v>0</v>
      </c>
      <c r="H272" t="b">
        <f t="shared" si="13"/>
        <v>0</v>
      </c>
      <c r="I272" s="29">
        <f t="shared" si="14"/>
        <v>38870</v>
      </c>
    </row>
    <row r="273" spans="1:9" ht="12.75" customHeight="1" x14ac:dyDescent="0.2">
      <c r="A273" s="28">
        <v>38870</v>
      </c>
      <c r="B273" s="26" t="s">
        <v>5100</v>
      </c>
      <c r="C273" s="26" t="s">
        <v>9</v>
      </c>
      <c r="D273" s="26" t="s">
        <v>20</v>
      </c>
      <c r="E273" s="26">
        <v>10565</v>
      </c>
      <c r="F273" s="26" t="s">
        <v>20</v>
      </c>
      <c r="G273" t="b">
        <f t="shared" si="12"/>
        <v>0</v>
      </c>
      <c r="H273" t="b">
        <f t="shared" si="13"/>
        <v>0</v>
      </c>
      <c r="I273" s="29">
        <f t="shared" si="14"/>
        <v>38870</v>
      </c>
    </row>
    <row r="274" spans="1:9" ht="12.75" customHeight="1" x14ac:dyDescent="0.2">
      <c r="A274" s="28">
        <v>38870</v>
      </c>
      <c r="B274" s="26" t="s">
        <v>5099</v>
      </c>
      <c r="C274" s="26" t="s">
        <v>9</v>
      </c>
      <c r="D274" s="26" t="s">
        <v>20</v>
      </c>
      <c r="E274" s="26">
        <v>11001</v>
      </c>
      <c r="F274" s="26" t="s">
        <v>20</v>
      </c>
      <c r="G274" t="b">
        <f t="shared" si="12"/>
        <v>0</v>
      </c>
      <c r="H274" t="b">
        <f t="shared" si="13"/>
        <v>0</v>
      </c>
      <c r="I274" s="29">
        <f t="shared" si="14"/>
        <v>38870</v>
      </c>
    </row>
    <row r="275" spans="1:9" ht="12.75" customHeight="1" x14ac:dyDescent="0.2">
      <c r="A275" s="28">
        <v>38870</v>
      </c>
      <c r="B275" s="26" t="s">
        <v>5098</v>
      </c>
      <c r="C275" s="26" t="s">
        <v>9</v>
      </c>
      <c r="D275" s="26" t="s">
        <v>20</v>
      </c>
      <c r="E275" s="26">
        <v>254190</v>
      </c>
      <c r="F275" s="26" t="s">
        <v>20</v>
      </c>
      <c r="G275" t="b">
        <f t="shared" si="12"/>
        <v>0</v>
      </c>
      <c r="H275" t="b">
        <f t="shared" si="13"/>
        <v>0</v>
      </c>
      <c r="I275" s="29">
        <f t="shared" si="14"/>
        <v>38870</v>
      </c>
    </row>
    <row r="276" spans="1:9" ht="12.75" customHeight="1" x14ac:dyDescent="0.2">
      <c r="A276" s="28">
        <v>38870</v>
      </c>
      <c r="B276" s="26" t="s">
        <v>5097</v>
      </c>
      <c r="C276" s="26" t="s">
        <v>9</v>
      </c>
      <c r="D276" s="26">
        <v>15000</v>
      </c>
      <c r="E276" s="26">
        <v>194523</v>
      </c>
      <c r="F276" s="26" t="s">
        <v>20</v>
      </c>
      <c r="G276" t="b">
        <f t="shared" si="12"/>
        <v>0</v>
      </c>
      <c r="H276" t="b">
        <f t="shared" si="13"/>
        <v>0</v>
      </c>
      <c r="I276" s="29">
        <f t="shared" si="14"/>
        <v>38870</v>
      </c>
    </row>
    <row r="277" spans="1:9" ht="25.5" x14ac:dyDescent="0.2">
      <c r="A277" s="28">
        <v>38870</v>
      </c>
      <c r="B277" s="26" t="s">
        <v>5096</v>
      </c>
      <c r="C277" s="26" t="s">
        <v>9</v>
      </c>
      <c r="D277" s="26" t="s">
        <v>20</v>
      </c>
      <c r="E277" s="26">
        <v>4800</v>
      </c>
      <c r="F277" s="26" t="s">
        <v>20</v>
      </c>
      <c r="G277" t="b">
        <f t="shared" si="12"/>
        <v>0</v>
      </c>
      <c r="H277" t="b">
        <f t="shared" si="13"/>
        <v>0</v>
      </c>
      <c r="I277" s="29">
        <f t="shared" si="14"/>
        <v>38870</v>
      </c>
    </row>
    <row r="278" spans="1:9" ht="12.75" customHeight="1" x14ac:dyDescent="0.2">
      <c r="A278" s="28">
        <v>38870</v>
      </c>
      <c r="B278" s="26" t="s">
        <v>5095</v>
      </c>
      <c r="C278" s="26" t="s">
        <v>3096</v>
      </c>
      <c r="D278" s="26">
        <v>52000000</v>
      </c>
      <c r="E278" s="26">
        <v>118806699</v>
      </c>
      <c r="F278" s="26">
        <v>202944203</v>
      </c>
      <c r="G278" t="b">
        <f t="shared" si="12"/>
        <v>0</v>
      </c>
      <c r="H278" t="b">
        <f t="shared" si="13"/>
        <v>0</v>
      </c>
      <c r="I278" s="29">
        <f t="shared" si="14"/>
        <v>38870</v>
      </c>
    </row>
    <row r="279" spans="1:9" ht="12.75" customHeight="1" x14ac:dyDescent="0.2">
      <c r="A279" s="28">
        <v>38870</v>
      </c>
      <c r="B279" s="26" t="s">
        <v>5094</v>
      </c>
      <c r="C279" s="26" t="s">
        <v>9</v>
      </c>
      <c r="D279" s="26" t="s">
        <v>20</v>
      </c>
      <c r="E279" s="26" t="s">
        <v>20</v>
      </c>
      <c r="F279" s="26" t="s">
        <v>20</v>
      </c>
      <c r="G279" t="b">
        <f t="shared" si="12"/>
        <v>0</v>
      </c>
      <c r="H279" t="b">
        <f t="shared" si="13"/>
        <v>0</v>
      </c>
      <c r="I279" s="29">
        <f t="shared" si="14"/>
        <v>38870</v>
      </c>
    </row>
    <row r="280" spans="1:9" ht="25.5" x14ac:dyDescent="0.2">
      <c r="A280" s="28">
        <v>38870</v>
      </c>
      <c r="B280" s="26" t="s">
        <v>5093</v>
      </c>
      <c r="C280" s="26" t="s">
        <v>2992</v>
      </c>
      <c r="D280" s="26" t="s">
        <v>20</v>
      </c>
      <c r="E280" s="26">
        <v>139059</v>
      </c>
      <c r="F280" s="26">
        <v>29592720</v>
      </c>
      <c r="G280" t="b">
        <f t="shared" si="12"/>
        <v>0</v>
      </c>
      <c r="H280" t="b">
        <f t="shared" si="13"/>
        <v>0</v>
      </c>
      <c r="I280" s="29">
        <f t="shared" si="14"/>
        <v>38870</v>
      </c>
    </row>
    <row r="281" spans="1:9" ht="12.75" customHeight="1" x14ac:dyDescent="0.2">
      <c r="A281" s="28">
        <v>38870</v>
      </c>
      <c r="B281" s="26" t="s">
        <v>5092</v>
      </c>
      <c r="C281" s="26" t="s">
        <v>9</v>
      </c>
      <c r="D281" s="26" t="s">
        <v>20</v>
      </c>
      <c r="E281" s="26">
        <v>2893666</v>
      </c>
      <c r="F281" s="26" t="s">
        <v>20</v>
      </c>
      <c r="G281" t="b">
        <f t="shared" si="12"/>
        <v>0</v>
      </c>
      <c r="H281" t="b">
        <f t="shared" si="13"/>
        <v>0</v>
      </c>
      <c r="I281" s="29">
        <f t="shared" si="14"/>
        <v>38870</v>
      </c>
    </row>
    <row r="282" spans="1:9" ht="12.75" customHeight="1" x14ac:dyDescent="0.2">
      <c r="A282" s="28">
        <v>38874</v>
      </c>
      <c r="B282" s="26" t="s">
        <v>5091</v>
      </c>
      <c r="C282" s="26" t="s">
        <v>384</v>
      </c>
      <c r="D282" s="26">
        <v>25000000</v>
      </c>
      <c r="E282" s="26">
        <v>54607383</v>
      </c>
      <c r="F282" s="26">
        <v>119607383</v>
      </c>
      <c r="G282" t="b">
        <f t="shared" si="12"/>
        <v>0</v>
      </c>
      <c r="H282" t="b">
        <f t="shared" si="13"/>
        <v>0</v>
      </c>
      <c r="I282" s="29">
        <f t="shared" si="14"/>
        <v>38874</v>
      </c>
    </row>
    <row r="283" spans="1:9" ht="25.5" x14ac:dyDescent="0.2">
      <c r="A283" s="28">
        <v>38874</v>
      </c>
      <c r="B283" s="26" t="s">
        <v>5090</v>
      </c>
      <c r="C283" s="26" t="s">
        <v>9</v>
      </c>
      <c r="D283" s="26" t="s">
        <v>20</v>
      </c>
      <c r="E283" s="26" t="s">
        <v>20</v>
      </c>
      <c r="F283" s="26" t="s">
        <v>20</v>
      </c>
      <c r="G283" t="b">
        <f t="shared" si="12"/>
        <v>0</v>
      </c>
      <c r="H283" t="b">
        <f t="shared" si="13"/>
        <v>0</v>
      </c>
      <c r="I283" s="29">
        <f t="shared" si="14"/>
        <v>38874</v>
      </c>
    </row>
    <row r="284" spans="1:9" ht="25.5" x14ac:dyDescent="0.2">
      <c r="A284" s="28">
        <v>38876</v>
      </c>
      <c r="B284" s="26" t="s">
        <v>5089</v>
      </c>
      <c r="C284" s="26" t="s">
        <v>9</v>
      </c>
      <c r="D284" s="26" t="s">
        <v>20</v>
      </c>
      <c r="E284" s="26">
        <v>4012</v>
      </c>
      <c r="F284" s="26" t="s">
        <v>20</v>
      </c>
      <c r="G284" t="b">
        <f t="shared" si="12"/>
        <v>0</v>
      </c>
      <c r="H284" t="b">
        <f t="shared" si="13"/>
        <v>0</v>
      </c>
      <c r="I284" s="29">
        <f t="shared" si="14"/>
        <v>38876</v>
      </c>
    </row>
    <row r="285" spans="1:9" ht="12.75" customHeight="1" x14ac:dyDescent="0.2">
      <c r="A285" s="28">
        <v>38877</v>
      </c>
      <c r="B285" s="26" t="s">
        <v>5088</v>
      </c>
      <c r="C285" s="26" t="s">
        <v>9</v>
      </c>
      <c r="D285" s="26" t="s">
        <v>20</v>
      </c>
      <c r="E285" s="26">
        <v>19791</v>
      </c>
      <c r="F285" s="26" t="s">
        <v>20</v>
      </c>
      <c r="G285" t="b">
        <f t="shared" si="12"/>
        <v>0</v>
      </c>
      <c r="H285" t="b">
        <f t="shared" si="13"/>
        <v>0</v>
      </c>
      <c r="I285" s="29">
        <f t="shared" si="14"/>
        <v>38877</v>
      </c>
    </row>
    <row r="286" spans="1:9" ht="12.75" customHeight="1" x14ac:dyDescent="0.2">
      <c r="A286" s="28">
        <v>38877</v>
      </c>
      <c r="B286" s="26" t="s">
        <v>5087</v>
      </c>
      <c r="C286" s="26" t="s">
        <v>9</v>
      </c>
      <c r="D286" s="26" t="s">
        <v>20</v>
      </c>
      <c r="E286" s="26">
        <v>4270</v>
      </c>
      <c r="F286" s="26" t="s">
        <v>20</v>
      </c>
      <c r="G286" t="b">
        <f t="shared" si="12"/>
        <v>0</v>
      </c>
      <c r="H286" t="b">
        <f t="shared" si="13"/>
        <v>0</v>
      </c>
      <c r="I286" s="29">
        <f t="shared" si="14"/>
        <v>38877</v>
      </c>
    </row>
    <row r="287" spans="1:9" ht="12.75" customHeight="1" x14ac:dyDescent="0.2">
      <c r="A287" s="28">
        <v>38877</v>
      </c>
      <c r="B287" s="26" t="s">
        <v>5086</v>
      </c>
      <c r="C287" s="26" t="s">
        <v>9</v>
      </c>
      <c r="D287" s="26" t="s">
        <v>20</v>
      </c>
      <c r="E287" s="26">
        <v>334618</v>
      </c>
      <c r="F287" s="26" t="s">
        <v>20</v>
      </c>
      <c r="G287" t="b">
        <f t="shared" si="12"/>
        <v>0</v>
      </c>
      <c r="H287" t="b">
        <f t="shared" si="13"/>
        <v>0</v>
      </c>
      <c r="I287" s="29">
        <f t="shared" si="14"/>
        <v>38877</v>
      </c>
    </row>
    <row r="288" spans="1:9" ht="25.5" x14ac:dyDescent="0.2">
      <c r="A288" s="28">
        <v>38877</v>
      </c>
      <c r="B288" s="26" t="s">
        <v>5085</v>
      </c>
      <c r="C288" s="26" t="s">
        <v>3218</v>
      </c>
      <c r="D288" s="26" t="s">
        <v>20</v>
      </c>
      <c r="E288" s="26">
        <v>444687</v>
      </c>
      <c r="F288" s="26" t="s">
        <v>20</v>
      </c>
      <c r="G288" t="b">
        <f t="shared" si="12"/>
        <v>0</v>
      </c>
      <c r="H288" t="b">
        <f t="shared" si="13"/>
        <v>0</v>
      </c>
      <c r="I288" s="29">
        <f t="shared" si="14"/>
        <v>38877</v>
      </c>
    </row>
    <row r="289" spans="1:9" ht="12.75" customHeight="1" x14ac:dyDescent="0.2">
      <c r="A289" s="28">
        <v>38877</v>
      </c>
      <c r="B289" s="26" t="s">
        <v>5084</v>
      </c>
      <c r="C289" s="26" t="s">
        <v>9</v>
      </c>
      <c r="D289" s="26" t="s">
        <v>20</v>
      </c>
      <c r="E289" s="26">
        <v>12655</v>
      </c>
      <c r="F289" s="26" t="s">
        <v>20</v>
      </c>
      <c r="G289" t="b">
        <f t="shared" si="12"/>
        <v>0</v>
      </c>
      <c r="H289" t="b">
        <f t="shared" si="13"/>
        <v>0</v>
      </c>
      <c r="I289" s="29">
        <f t="shared" si="14"/>
        <v>38877</v>
      </c>
    </row>
    <row r="290" spans="1:9" ht="25.5" x14ac:dyDescent="0.2">
      <c r="A290" s="28">
        <v>38877</v>
      </c>
      <c r="B290" s="26" t="s">
        <v>5083</v>
      </c>
      <c r="C290" s="26" t="s">
        <v>9</v>
      </c>
      <c r="D290" s="26" t="s">
        <v>20</v>
      </c>
      <c r="E290" s="26">
        <v>2731</v>
      </c>
      <c r="F290" s="26" t="s">
        <v>20</v>
      </c>
      <c r="G290" t="b">
        <f t="shared" si="12"/>
        <v>0</v>
      </c>
      <c r="H290" t="b">
        <f t="shared" si="13"/>
        <v>0</v>
      </c>
      <c r="I290" s="29">
        <f t="shared" si="14"/>
        <v>38877</v>
      </c>
    </row>
    <row r="291" spans="1:9" ht="12.75" customHeight="1" x14ac:dyDescent="0.2">
      <c r="A291" s="28">
        <v>38877</v>
      </c>
      <c r="B291" s="26" t="s">
        <v>5082</v>
      </c>
      <c r="C291" s="26" t="s">
        <v>3390</v>
      </c>
      <c r="D291" s="26">
        <v>70000000</v>
      </c>
      <c r="E291" s="26">
        <v>244082982</v>
      </c>
      <c r="F291" s="26">
        <v>461982881</v>
      </c>
      <c r="G291" t="b">
        <f t="shared" si="12"/>
        <v>0</v>
      </c>
      <c r="H291" t="b">
        <f t="shared" si="13"/>
        <v>0</v>
      </c>
      <c r="I291" s="29">
        <f t="shared" si="14"/>
        <v>38877</v>
      </c>
    </row>
    <row r="292" spans="1:9" ht="25.5" x14ac:dyDescent="0.2">
      <c r="A292" s="28">
        <v>38877</v>
      </c>
      <c r="B292" s="26" t="s">
        <v>5081</v>
      </c>
      <c r="C292" s="26" t="s">
        <v>9</v>
      </c>
      <c r="D292" s="26" t="s">
        <v>20</v>
      </c>
      <c r="E292" s="26">
        <v>20342852</v>
      </c>
      <c r="F292" s="26">
        <v>22409764</v>
      </c>
      <c r="G292" t="b">
        <f t="shared" si="12"/>
        <v>0</v>
      </c>
      <c r="H292" t="b">
        <f t="shared" si="13"/>
        <v>0</v>
      </c>
      <c r="I292" s="29">
        <f t="shared" si="14"/>
        <v>38877</v>
      </c>
    </row>
    <row r="293" spans="1:9" ht="38.25" x14ac:dyDescent="0.2">
      <c r="A293" s="28">
        <v>38877</v>
      </c>
      <c r="B293" s="26" t="s">
        <v>5080</v>
      </c>
      <c r="C293" s="26" t="s">
        <v>9</v>
      </c>
      <c r="D293" s="26" t="s">
        <v>20</v>
      </c>
      <c r="E293" s="26">
        <v>70685</v>
      </c>
      <c r="F293" s="26">
        <v>140685</v>
      </c>
      <c r="G293" t="b">
        <f t="shared" si="12"/>
        <v>0</v>
      </c>
      <c r="H293" t="b">
        <f t="shared" si="13"/>
        <v>0</v>
      </c>
      <c r="I293" s="29">
        <f t="shared" si="14"/>
        <v>38877</v>
      </c>
    </row>
    <row r="294" spans="1:9" ht="25.5" x14ac:dyDescent="0.2">
      <c r="A294" s="28">
        <v>38877</v>
      </c>
      <c r="B294" s="26" t="s">
        <v>5079</v>
      </c>
      <c r="C294" s="26" t="s">
        <v>9</v>
      </c>
      <c r="D294" s="26" t="s">
        <v>20</v>
      </c>
      <c r="E294" s="26">
        <v>1286</v>
      </c>
      <c r="F294" s="26" t="s">
        <v>20</v>
      </c>
      <c r="G294" t="b">
        <f t="shared" si="12"/>
        <v>0</v>
      </c>
      <c r="H294" t="b">
        <f t="shared" si="13"/>
        <v>0</v>
      </c>
      <c r="I294" s="29">
        <f t="shared" si="14"/>
        <v>38877</v>
      </c>
    </row>
    <row r="295" spans="1:9" ht="12.75" customHeight="1" x14ac:dyDescent="0.2">
      <c r="A295" s="28">
        <v>38881</v>
      </c>
      <c r="B295" s="26" t="s">
        <v>5078</v>
      </c>
      <c r="C295" s="26" t="s">
        <v>3419</v>
      </c>
      <c r="D295" s="26" t="s">
        <v>20</v>
      </c>
      <c r="E295" s="26" t="s">
        <v>20</v>
      </c>
      <c r="F295" s="26" t="s">
        <v>20</v>
      </c>
      <c r="G295" t="b">
        <f t="shared" si="12"/>
        <v>0</v>
      </c>
      <c r="H295" t="b">
        <f t="shared" si="13"/>
        <v>0</v>
      </c>
      <c r="I295" s="29">
        <f t="shared" si="14"/>
        <v>38881</v>
      </c>
    </row>
    <row r="296" spans="1:9" ht="12.75" customHeight="1" x14ac:dyDescent="0.2">
      <c r="A296" s="28">
        <v>38882</v>
      </c>
      <c r="B296" s="26" t="s">
        <v>5077</v>
      </c>
      <c r="C296" s="26" t="s">
        <v>9</v>
      </c>
      <c r="D296" s="26" t="s">
        <v>20</v>
      </c>
      <c r="E296" s="26">
        <v>3917</v>
      </c>
      <c r="F296" s="26" t="s">
        <v>20</v>
      </c>
      <c r="G296" t="b">
        <f t="shared" si="12"/>
        <v>0</v>
      </c>
      <c r="H296" t="b">
        <f t="shared" si="13"/>
        <v>0</v>
      </c>
      <c r="I296" s="29">
        <f t="shared" si="14"/>
        <v>38882</v>
      </c>
    </row>
    <row r="297" spans="1:9" ht="12.75" customHeight="1" x14ac:dyDescent="0.2">
      <c r="A297" s="28">
        <v>38883</v>
      </c>
      <c r="B297" s="26" t="s">
        <v>5076</v>
      </c>
      <c r="C297" s="26" t="s">
        <v>9</v>
      </c>
      <c r="D297" s="26" t="s">
        <v>20</v>
      </c>
      <c r="E297" s="26" t="s">
        <v>20</v>
      </c>
      <c r="F297" s="26">
        <v>10638098</v>
      </c>
      <c r="G297" t="b">
        <f t="shared" si="12"/>
        <v>0</v>
      </c>
      <c r="H297" t="b">
        <f t="shared" si="13"/>
        <v>0</v>
      </c>
      <c r="I297" s="29">
        <f t="shared" si="14"/>
        <v>38883</v>
      </c>
    </row>
    <row r="298" spans="1:9" ht="38.25" x14ac:dyDescent="0.2">
      <c r="A298" s="28">
        <v>38884</v>
      </c>
      <c r="B298" s="26" t="s">
        <v>5075</v>
      </c>
      <c r="C298" s="26" t="s">
        <v>9</v>
      </c>
      <c r="D298" s="26" t="s">
        <v>20</v>
      </c>
      <c r="E298" s="26">
        <v>153122</v>
      </c>
      <c r="F298" s="26" t="s">
        <v>20</v>
      </c>
      <c r="G298" t="b">
        <f t="shared" si="12"/>
        <v>0</v>
      </c>
      <c r="H298" t="b">
        <f t="shared" si="13"/>
        <v>0</v>
      </c>
      <c r="I298" s="29">
        <f t="shared" si="14"/>
        <v>38884</v>
      </c>
    </row>
    <row r="299" spans="1:9" ht="12.75" customHeight="1" x14ac:dyDescent="0.2">
      <c r="A299" s="28">
        <v>38884</v>
      </c>
      <c r="B299" s="26" t="s">
        <v>5074</v>
      </c>
      <c r="C299" s="26" t="s">
        <v>3233</v>
      </c>
      <c r="D299" s="26" t="s">
        <v>20</v>
      </c>
      <c r="E299" s="26">
        <v>33223</v>
      </c>
      <c r="F299" s="26" t="s">
        <v>20</v>
      </c>
      <c r="G299" t="b">
        <f t="shared" si="12"/>
        <v>0</v>
      </c>
      <c r="H299" t="b">
        <f t="shared" si="13"/>
        <v>0</v>
      </c>
      <c r="I299" s="29">
        <f t="shared" si="14"/>
        <v>38884</v>
      </c>
    </row>
    <row r="300" spans="1:9" ht="25.5" x14ac:dyDescent="0.2">
      <c r="A300" s="28">
        <v>38884</v>
      </c>
      <c r="B300" s="26" t="s">
        <v>5073</v>
      </c>
      <c r="C300" s="26" t="s">
        <v>384</v>
      </c>
      <c r="D300" s="26" t="s">
        <v>20</v>
      </c>
      <c r="E300" s="26">
        <v>28426747</v>
      </c>
      <c r="F300" s="26">
        <v>141702264</v>
      </c>
      <c r="G300" t="b">
        <f t="shared" si="12"/>
        <v>0</v>
      </c>
      <c r="H300" t="b">
        <f t="shared" si="13"/>
        <v>0</v>
      </c>
      <c r="I300" s="29">
        <f t="shared" si="14"/>
        <v>38884</v>
      </c>
    </row>
    <row r="301" spans="1:9" ht="38.25" x14ac:dyDescent="0.2">
      <c r="A301" s="28">
        <v>38884</v>
      </c>
      <c r="B301" s="26" t="s">
        <v>5072</v>
      </c>
      <c r="C301" s="26" t="s">
        <v>3096</v>
      </c>
      <c r="D301" s="26" t="s">
        <v>20</v>
      </c>
      <c r="E301" s="26">
        <v>62615510</v>
      </c>
      <c r="F301" s="26">
        <v>157794205</v>
      </c>
      <c r="G301" t="b">
        <f t="shared" si="12"/>
        <v>0</v>
      </c>
      <c r="H301" t="b">
        <f t="shared" si="13"/>
        <v>0</v>
      </c>
      <c r="I301" s="29">
        <f t="shared" si="14"/>
        <v>38884</v>
      </c>
    </row>
    <row r="302" spans="1:9" ht="25.5" x14ac:dyDescent="0.2">
      <c r="A302" s="28">
        <v>38884</v>
      </c>
      <c r="B302" s="26" t="s">
        <v>5071</v>
      </c>
      <c r="C302" s="26" t="s">
        <v>2168</v>
      </c>
      <c r="D302" s="26">
        <v>32000000</v>
      </c>
      <c r="E302" s="26">
        <v>80197993</v>
      </c>
      <c r="F302" s="26">
        <v>99197993</v>
      </c>
      <c r="G302" t="b">
        <f t="shared" si="12"/>
        <v>0</v>
      </c>
      <c r="H302" t="b">
        <f t="shared" si="13"/>
        <v>0</v>
      </c>
      <c r="I302" s="29">
        <f t="shared" si="14"/>
        <v>38884</v>
      </c>
    </row>
    <row r="303" spans="1:9" ht="12.75" customHeight="1" x14ac:dyDescent="0.2">
      <c r="A303" s="28">
        <v>38884</v>
      </c>
      <c r="B303" s="26" t="s">
        <v>5070</v>
      </c>
      <c r="C303" s="26" t="s">
        <v>9</v>
      </c>
      <c r="D303" s="26" t="s">
        <v>20</v>
      </c>
      <c r="E303" s="26">
        <v>762</v>
      </c>
      <c r="F303" s="26" t="s">
        <v>20</v>
      </c>
      <c r="G303" t="b">
        <f t="shared" si="12"/>
        <v>0</v>
      </c>
      <c r="H303" t="b">
        <f t="shared" si="13"/>
        <v>0</v>
      </c>
      <c r="I303" s="29">
        <f t="shared" si="14"/>
        <v>38884</v>
      </c>
    </row>
    <row r="304" spans="1:9" x14ac:dyDescent="0.2">
      <c r="A304" s="28">
        <v>38884</v>
      </c>
      <c r="B304" s="26" t="s">
        <v>5069</v>
      </c>
      <c r="C304" s="26" t="s">
        <v>9</v>
      </c>
      <c r="D304" s="26" t="s">
        <v>20</v>
      </c>
      <c r="E304" s="26">
        <v>68820</v>
      </c>
      <c r="F304" s="26" t="s">
        <v>20</v>
      </c>
      <c r="G304" t="b">
        <f t="shared" si="12"/>
        <v>0</v>
      </c>
      <c r="H304" t="b">
        <f t="shared" si="13"/>
        <v>0</v>
      </c>
      <c r="I304" s="29">
        <f t="shared" si="14"/>
        <v>38884</v>
      </c>
    </row>
    <row r="305" spans="1:9" ht="25.5" x14ac:dyDescent="0.2">
      <c r="A305" s="28">
        <v>38884</v>
      </c>
      <c r="B305" s="26" t="s">
        <v>5068</v>
      </c>
      <c r="C305" s="26" t="s">
        <v>9</v>
      </c>
      <c r="D305" s="26" t="s">
        <v>20</v>
      </c>
      <c r="E305" s="26">
        <v>2968</v>
      </c>
      <c r="F305" s="26" t="s">
        <v>20</v>
      </c>
      <c r="G305" t="b">
        <f t="shared" si="12"/>
        <v>0</v>
      </c>
      <c r="H305" t="b">
        <f t="shared" si="13"/>
        <v>0</v>
      </c>
      <c r="I305" s="29">
        <f t="shared" si="14"/>
        <v>38884</v>
      </c>
    </row>
    <row r="306" spans="1:9" ht="12.75" customHeight="1" x14ac:dyDescent="0.2">
      <c r="A306" s="28">
        <v>38884</v>
      </c>
      <c r="B306" s="26" t="s">
        <v>5067</v>
      </c>
      <c r="C306" s="26" t="s">
        <v>9</v>
      </c>
      <c r="D306" s="26" t="s">
        <v>20</v>
      </c>
      <c r="E306" s="26">
        <v>130794</v>
      </c>
      <c r="F306" s="26" t="s">
        <v>20</v>
      </c>
      <c r="G306" t="b">
        <f t="shared" si="12"/>
        <v>0</v>
      </c>
      <c r="H306" t="b">
        <f t="shared" si="13"/>
        <v>0</v>
      </c>
      <c r="I306" s="29">
        <f t="shared" si="14"/>
        <v>38884</v>
      </c>
    </row>
    <row r="307" spans="1:9" ht="12.75" customHeight="1" x14ac:dyDescent="0.2">
      <c r="A307" s="28">
        <v>38884</v>
      </c>
      <c r="B307" s="26" t="s">
        <v>5066</v>
      </c>
      <c r="C307" s="26" t="s">
        <v>9</v>
      </c>
      <c r="D307" s="26">
        <v>500000</v>
      </c>
      <c r="E307" s="26">
        <v>3121270</v>
      </c>
      <c r="F307" s="26">
        <v>3177636</v>
      </c>
      <c r="G307" t="b">
        <f t="shared" si="12"/>
        <v>0</v>
      </c>
      <c r="H307" t="b">
        <f t="shared" si="13"/>
        <v>0</v>
      </c>
      <c r="I307" s="29">
        <f t="shared" si="14"/>
        <v>38884</v>
      </c>
    </row>
    <row r="308" spans="1:9" ht="12.75" customHeight="1" x14ac:dyDescent="0.2">
      <c r="A308" s="28">
        <v>38884</v>
      </c>
      <c r="B308" s="26" t="s">
        <v>5065</v>
      </c>
      <c r="C308" s="26" t="s">
        <v>9</v>
      </c>
      <c r="D308" s="26" t="s">
        <v>20</v>
      </c>
      <c r="E308" s="26">
        <v>284961</v>
      </c>
      <c r="F308" s="26" t="s">
        <v>20</v>
      </c>
      <c r="G308" t="b">
        <f t="shared" si="12"/>
        <v>0</v>
      </c>
      <c r="H308" t="b">
        <f t="shared" si="13"/>
        <v>0</v>
      </c>
      <c r="I308" s="29">
        <f t="shared" si="14"/>
        <v>38884</v>
      </c>
    </row>
    <row r="309" spans="1:9" ht="12.75" customHeight="1" x14ac:dyDescent="0.2">
      <c r="A309" s="28">
        <v>38884</v>
      </c>
      <c r="B309" s="26" t="s">
        <v>5064</v>
      </c>
      <c r="C309" s="26" t="s">
        <v>3209</v>
      </c>
      <c r="D309" s="26">
        <v>40000000</v>
      </c>
      <c r="E309" s="26">
        <v>52330111</v>
      </c>
      <c r="F309" s="26">
        <v>114830111</v>
      </c>
      <c r="G309" t="b">
        <f t="shared" si="12"/>
        <v>0</v>
      </c>
      <c r="H309" t="b">
        <f t="shared" si="13"/>
        <v>0</v>
      </c>
      <c r="I309" s="29">
        <f t="shared" si="14"/>
        <v>38884</v>
      </c>
    </row>
    <row r="310" spans="1:9" ht="12.75" customHeight="1" x14ac:dyDescent="0.2">
      <c r="A310" s="28">
        <v>38884</v>
      </c>
      <c r="B310" s="26" t="s">
        <v>5063</v>
      </c>
      <c r="C310" s="26" t="s">
        <v>2748</v>
      </c>
      <c r="D310" s="26" t="s">
        <v>20</v>
      </c>
      <c r="E310" s="26">
        <v>5244</v>
      </c>
      <c r="F310" s="26" t="s">
        <v>20</v>
      </c>
      <c r="G310" t="b">
        <f t="shared" si="12"/>
        <v>0</v>
      </c>
      <c r="H310" t="b">
        <f t="shared" si="13"/>
        <v>0</v>
      </c>
      <c r="I310" s="29">
        <f t="shared" si="14"/>
        <v>38884</v>
      </c>
    </row>
    <row r="311" spans="1:9" ht="12.75" customHeight="1" x14ac:dyDescent="0.2">
      <c r="A311" s="28">
        <v>38884</v>
      </c>
      <c r="B311" s="26" t="s">
        <v>5062</v>
      </c>
      <c r="C311" s="26" t="s">
        <v>9</v>
      </c>
      <c r="D311" s="26" t="s">
        <v>20</v>
      </c>
      <c r="E311" s="26">
        <v>8043</v>
      </c>
      <c r="F311" s="26" t="s">
        <v>20</v>
      </c>
      <c r="G311" t="b">
        <f t="shared" ref="G311:G372" si="15">ISBLANK(A311)</f>
        <v>0</v>
      </c>
      <c r="H311" t="b">
        <f t="shared" ref="H311:H372" si="16">ISTEXT(A311)</f>
        <v>0</v>
      </c>
      <c r="I311" s="29">
        <f t="shared" ref="I311:I372" si="17">DATE(2006,MONTH(A311), DAY(A311))</f>
        <v>38884</v>
      </c>
    </row>
    <row r="312" spans="1:9" ht="12.75" customHeight="1" x14ac:dyDescent="0.2">
      <c r="A312" s="28">
        <v>38885</v>
      </c>
      <c r="B312" s="26" t="s">
        <v>5061</v>
      </c>
      <c r="C312" s="26" t="s">
        <v>9</v>
      </c>
      <c r="D312" s="26" t="s">
        <v>20</v>
      </c>
      <c r="E312" s="26" t="s">
        <v>20</v>
      </c>
      <c r="F312" s="26">
        <v>15016774</v>
      </c>
      <c r="G312" t="b">
        <f t="shared" si="15"/>
        <v>0</v>
      </c>
      <c r="H312" t="b">
        <f t="shared" si="16"/>
        <v>0</v>
      </c>
      <c r="I312" s="29">
        <f t="shared" si="17"/>
        <v>38885</v>
      </c>
    </row>
    <row r="313" spans="1:9" x14ac:dyDescent="0.2">
      <c r="A313" s="28">
        <v>38885</v>
      </c>
      <c r="B313" s="26" t="s">
        <v>5060</v>
      </c>
      <c r="C313" s="26" t="s">
        <v>9</v>
      </c>
      <c r="D313" s="26" t="s">
        <v>20</v>
      </c>
      <c r="E313" s="26" t="s">
        <v>20</v>
      </c>
      <c r="F313" s="26">
        <v>8683771</v>
      </c>
      <c r="G313" t="b">
        <f t="shared" si="15"/>
        <v>0</v>
      </c>
      <c r="H313" t="b">
        <f t="shared" si="16"/>
        <v>0</v>
      </c>
      <c r="I313" s="29">
        <f t="shared" si="17"/>
        <v>38885</v>
      </c>
    </row>
    <row r="314" spans="1:9" ht="25.5" x14ac:dyDescent="0.2">
      <c r="A314" s="28">
        <v>38888</v>
      </c>
      <c r="B314" s="26" t="s">
        <v>5059</v>
      </c>
      <c r="C314" s="26" t="s">
        <v>9</v>
      </c>
      <c r="D314" s="26" t="s">
        <v>20</v>
      </c>
      <c r="E314" s="26" t="s">
        <v>20</v>
      </c>
      <c r="F314" s="26" t="s">
        <v>20</v>
      </c>
      <c r="G314" t="b">
        <f t="shared" si="15"/>
        <v>0</v>
      </c>
      <c r="H314" t="b">
        <f t="shared" si="16"/>
        <v>0</v>
      </c>
      <c r="I314" s="29">
        <f t="shared" si="17"/>
        <v>38888</v>
      </c>
    </row>
    <row r="315" spans="1:9" ht="25.5" x14ac:dyDescent="0.2">
      <c r="A315" s="28">
        <v>38889</v>
      </c>
      <c r="B315" s="26" t="s">
        <v>5058</v>
      </c>
      <c r="C315" s="26" t="s">
        <v>3419</v>
      </c>
      <c r="D315" s="26" t="s">
        <v>20</v>
      </c>
      <c r="E315" s="26">
        <v>1044254</v>
      </c>
      <c r="F315" s="26" t="s">
        <v>20</v>
      </c>
      <c r="G315" t="b">
        <f t="shared" si="15"/>
        <v>0</v>
      </c>
      <c r="H315" t="b">
        <f t="shared" si="16"/>
        <v>0</v>
      </c>
      <c r="I315" s="29">
        <f t="shared" si="17"/>
        <v>38889</v>
      </c>
    </row>
    <row r="316" spans="1:9" ht="25.5" x14ac:dyDescent="0.2">
      <c r="A316" s="28">
        <v>38891</v>
      </c>
      <c r="B316" s="26" t="s">
        <v>5057</v>
      </c>
      <c r="C316" s="26" t="s">
        <v>5056</v>
      </c>
      <c r="D316" s="26" t="s">
        <v>20</v>
      </c>
      <c r="E316" s="26">
        <v>38147</v>
      </c>
      <c r="F316" s="26" t="s">
        <v>20</v>
      </c>
      <c r="G316" t="b">
        <f t="shared" si="15"/>
        <v>0</v>
      </c>
      <c r="H316" t="b">
        <f t="shared" si="16"/>
        <v>0</v>
      </c>
      <c r="I316" s="29">
        <f t="shared" si="17"/>
        <v>38891</v>
      </c>
    </row>
    <row r="317" spans="1:9" ht="25.5" x14ac:dyDescent="0.2">
      <c r="A317" s="28">
        <v>38891</v>
      </c>
      <c r="B317" s="26" t="s">
        <v>5055</v>
      </c>
      <c r="C317" s="26" t="s">
        <v>9</v>
      </c>
      <c r="D317" s="26" t="s">
        <v>20</v>
      </c>
      <c r="E317" s="26">
        <v>150142</v>
      </c>
      <c r="F317" s="26" t="s">
        <v>20</v>
      </c>
      <c r="G317" t="b">
        <f t="shared" si="15"/>
        <v>0</v>
      </c>
      <c r="H317" t="b">
        <f t="shared" si="16"/>
        <v>0</v>
      </c>
      <c r="I317" s="29">
        <f t="shared" si="17"/>
        <v>38891</v>
      </c>
    </row>
    <row r="318" spans="1:9" ht="12.75" customHeight="1" x14ac:dyDescent="0.2">
      <c r="A318" s="28">
        <v>38891</v>
      </c>
      <c r="B318" s="26" t="s">
        <v>5054</v>
      </c>
      <c r="C318" s="26" t="s">
        <v>9</v>
      </c>
      <c r="D318" s="26" t="s">
        <v>20</v>
      </c>
      <c r="E318" s="26">
        <v>221574</v>
      </c>
      <c r="F318" s="26">
        <v>627077</v>
      </c>
      <c r="G318" t="b">
        <f t="shared" si="15"/>
        <v>0</v>
      </c>
      <c r="H318" t="b">
        <f t="shared" si="16"/>
        <v>0</v>
      </c>
      <c r="I318" s="29">
        <f t="shared" si="17"/>
        <v>38891</v>
      </c>
    </row>
    <row r="319" spans="1:9" ht="12.75" customHeight="1" x14ac:dyDescent="0.2">
      <c r="A319" s="28">
        <v>38891</v>
      </c>
      <c r="B319" s="26" t="s">
        <v>5053</v>
      </c>
      <c r="C319" s="26" t="s">
        <v>9</v>
      </c>
      <c r="D319" s="26" t="s">
        <v>20</v>
      </c>
      <c r="E319" s="26">
        <v>24452</v>
      </c>
      <c r="F319" s="26" t="s">
        <v>20</v>
      </c>
      <c r="G319" t="b">
        <f t="shared" si="15"/>
        <v>0</v>
      </c>
      <c r="H319" t="b">
        <f t="shared" si="16"/>
        <v>0</v>
      </c>
      <c r="I319" s="29">
        <f t="shared" si="17"/>
        <v>38891</v>
      </c>
    </row>
    <row r="320" spans="1:9" ht="12.75" customHeight="1" x14ac:dyDescent="0.2">
      <c r="A320" s="28">
        <v>38891</v>
      </c>
      <c r="B320" s="26" t="s">
        <v>5052</v>
      </c>
      <c r="C320" s="26" t="s">
        <v>9</v>
      </c>
      <c r="D320" s="26">
        <v>2000000</v>
      </c>
      <c r="E320" s="26">
        <v>5361</v>
      </c>
      <c r="F320" s="26" t="s">
        <v>20</v>
      </c>
      <c r="G320" t="b">
        <f t="shared" si="15"/>
        <v>0</v>
      </c>
      <c r="H320" t="b">
        <f t="shared" si="16"/>
        <v>0</v>
      </c>
      <c r="I320" s="29">
        <f t="shared" si="17"/>
        <v>38891</v>
      </c>
    </row>
    <row r="321" spans="1:9" ht="12.75" customHeight="1" x14ac:dyDescent="0.2">
      <c r="A321" s="28">
        <v>38891</v>
      </c>
      <c r="B321" s="26" t="s">
        <v>5051</v>
      </c>
      <c r="C321" s="26" t="s">
        <v>9</v>
      </c>
      <c r="D321" s="26">
        <v>10000000</v>
      </c>
      <c r="E321" s="26">
        <v>1430721</v>
      </c>
      <c r="F321" s="26">
        <v>32430721</v>
      </c>
      <c r="G321" t="b">
        <f t="shared" si="15"/>
        <v>0</v>
      </c>
      <c r="H321" t="b">
        <f t="shared" si="16"/>
        <v>0</v>
      </c>
      <c r="I321" s="29">
        <f t="shared" si="17"/>
        <v>38891</v>
      </c>
    </row>
    <row r="322" spans="1:9" ht="12.75" customHeight="1" x14ac:dyDescent="0.2">
      <c r="A322" s="28">
        <v>38891</v>
      </c>
      <c r="B322" s="26" t="s">
        <v>5050</v>
      </c>
      <c r="C322" s="26" t="s">
        <v>9</v>
      </c>
      <c r="D322" s="26" t="s">
        <v>20</v>
      </c>
      <c r="E322" s="26" t="s">
        <v>20</v>
      </c>
      <c r="F322" s="26">
        <v>21497802</v>
      </c>
      <c r="G322" t="b">
        <f t="shared" si="15"/>
        <v>0</v>
      </c>
      <c r="H322" t="b">
        <f t="shared" si="16"/>
        <v>0</v>
      </c>
      <c r="I322" s="29">
        <f t="shared" si="17"/>
        <v>38891</v>
      </c>
    </row>
    <row r="323" spans="1:9" ht="12.75" customHeight="1" x14ac:dyDescent="0.2">
      <c r="A323" s="28">
        <v>38891</v>
      </c>
      <c r="B323" s="26" t="s">
        <v>5049</v>
      </c>
      <c r="C323" s="26" t="s">
        <v>698</v>
      </c>
      <c r="D323" s="26" t="s">
        <v>20</v>
      </c>
      <c r="E323" s="26">
        <v>21344312</v>
      </c>
      <c r="F323" s="26" t="s">
        <v>20</v>
      </c>
      <c r="G323" t="b">
        <f t="shared" si="15"/>
        <v>0</v>
      </c>
      <c r="H323" t="b">
        <f t="shared" si="16"/>
        <v>0</v>
      </c>
      <c r="I323" s="29">
        <f t="shared" si="17"/>
        <v>38891</v>
      </c>
    </row>
    <row r="324" spans="1:9" ht="12.75" customHeight="1" x14ac:dyDescent="0.2">
      <c r="A324" s="28">
        <v>38891</v>
      </c>
      <c r="B324" s="26" t="s">
        <v>5048</v>
      </c>
      <c r="C324" s="26" t="s">
        <v>2160</v>
      </c>
      <c r="D324" s="26">
        <v>82500000</v>
      </c>
      <c r="E324" s="26">
        <v>137355633</v>
      </c>
      <c r="F324" s="26">
        <v>237555633</v>
      </c>
      <c r="G324" t="b">
        <f t="shared" si="15"/>
        <v>0</v>
      </c>
      <c r="H324" t="b">
        <f t="shared" si="16"/>
        <v>0</v>
      </c>
      <c r="I324" s="29">
        <f t="shared" si="17"/>
        <v>38891</v>
      </c>
    </row>
    <row r="325" spans="1:9" ht="25.5" x14ac:dyDescent="0.2">
      <c r="A325" s="28">
        <v>38891</v>
      </c>
      <c r="B325" s="26" t="s">
        <v>5047</v>
      </c>
      <c r="C325" s="26" t="s">
        <v>9</v>
      </c>
      <c r="D325" s="26" t="s">
        <v>20</v>
      </c>
      <c r="E325" s="26">
        <v>326876</v>
      </c>
      <c r="F325" s="26">
        <v>1078635</v>
      </c>
      <c r="G325" t="b">
        <f t="shared" si="15"/>
        <v>0</v>
      </c>
      <c r="H325" t="b">
        <f t="shared" si="16"/>
        <v>0</v>
      </c>
      <c r="I325" s="29">
        <f t="shared" si="17"/>
        <v>38891</v>
      </c>
    </row>
    <row r="326" spans="1:9" ht="25.5" x14ac:dyDescent="0.2">
      <c r="A326" s="28">
        <v>38892</v>
      </c>
      <c r="B326" s="26" t="s">
        <v>5046</v>
      </c>
      <c r="C326" s="26" t="s">
        <v>9</v>
      </c>
      <c r="D326" s="26" t="s">
        <v>20</v>
      </c>
      <c r="E326" s="26" t="s">
        <v>20</v>
      </c>
      <c r="F326" s="26">
        <v>4810002</v>
      </c>
      <c r="G326" t="b">
        <f t="shared" si="15"/>
        <v>0</v>
      </c>
      <c r="H326" t="b">
        <f t="shared" si="16"/>
        <v>0</v>
      </c>
      <c r="I326" s="29">
        <f t="shared" si="17"/>
        <v>38892</v>
      </c>
    </row>
    <row r="327" spans="1:9" x14ac:dyDescent="0.2">
      <c r="A327" s="28">
        <v>38892</v>
      </c>
      <c r="B327" s="26" t="s">
        <v>5045</v>
      </c>
      <c r="C327" s="26" t="s">
        <v>9</v>
      </c>
      <c r="D327" s="26" t="s">
        <v>20</v>
      </c>
      <c r="E327" s="26" t="s">
        <v>20</v>
      </c>
      <c r="F327" s="26">
        <v>4907665</v>
      </c>
      <c r="G327" t="b">
        <f t="shared" si="15"/>
        <v>0</v>
      </c>
      <c r="H327" t="b">
        <f t="shared" si="16"/>
        <v>0</v>
      </c>
      <c r="I327" s="29">
        <f t="shared" si="17"/>
        <v>38892</v>
      </c>
    </row>
    <row r="328" spans="1:9" ht="25.5" x14ac:dyDescent="0.2">
      <c r="A328" s="28">
        <v>38895</v>
      </c>
      <c r="B328" s="26" t="s">
        <v>5044</v>
      </c>
      <c r="C328" s="26" t="s">
        <v>9</v>
      </c>
      <c r="D328" s="26" t="s">
        <v>20</v>
      </c>
      <c r="E328" s="26" t="s">
        <v>20</v>
      </c>
      <c r="F328" s="26" t="s">
        <v>20</v>
      </c>
      <c r="G328" t="b">
        <f t="shared" si="15"/>
        <v>0</v>
      </c>
      <c r="H328" t="b">
        <f t="shared" si="16"/>
        <v>0</v>
      </c>
      <c r="I328" s="29">
        <f t="shared" si="17"/>
        <v>38895</v>
      </c>
    </row>
    <row r="329" spans="1:9" ht="38.25" x14ac:dyDescent="0.2">
      <c r="A329" s="28">
        <v>38895</v>
      </c>
      <c r="B329" s="26" t="s">
        <v>5043</v>
      </c>
      <c r="C329" s="26" t="s">
        <v>9</v>
      </c>
      <c r="D329" s="26" t="s">
        <v>20</v>
      </c>
      <c r="E329" s="26" t="s">
        <v>20</v>
      </c>
      <c r="F329" s="26" t="s">
        <v>20</v>
      </c>
      <c r="G329" t="b">
        <f t="shared" si="15"/>
        <v>0</v>
      </c>
      <c r="H329" t="b">
        <f t="shared" si="16"/>
        <v>0</v>
      </c>
      <c r="I329" s="29">
        <f t="shared" si="17"/>
        <v>38895</v>
      </c>
    </row>
    <row r="330" spans="1:9" ht="12.75" customHeight="1" x14ac:dyDescent="0.2">
      <c r="A330" s="28">
        <v>38895</v>
      </c>
      <c r="B330" s="26" t="s">
        <v>5042</v>
      </c>
      <c r="C330" s="26" t="s">
        <v>9</v>
      </c>
      <c r="D330" s="26" t="s">
        <v>20</v>
      </c>
      <c r="E330" s="26" t="s">
        <v>20</v>
      </c>
      <c r="F330" s="26" t="s">
        <v>20</v>
      </c>
      <c r="G330" t="b">
        <f t="shared" si="15"/>
        <v>0</v>
      </c>
      <c r="H330" t="b">
        <f t="shared" si="16"/>
        <v>0</v>
      </c>
      <c r="I330" s="29">
        <f t="shared" si="17"/>
        <v>38895</v>
      </c>
    </row>
    <row r="331" spans="1:9" ht="25.5" x14ac:dyDescent="0.2">
      <c r="A331" s="28">
        <v>38895</v>
      </c>
      <c r="B331" s="26" t="s">
        <v>3787</v>
      </c>
      <c r="C331" s="26" t="s">
        <v>9</v>
      </c>
      <c r="D331" s="26" t="s">
        <v>20</v>
      </c>
      <c r="E331" s="26" t="s">
        <v>20</v>
      </c>
      <c r="F331" s="26" t="s">
        <v>20</v>
      </c>
      <c r="G331" t="b">
        <f t="shared" si="15"/>
        <v>0</v>
      </c>
      <c r="H331" t="b">
        <f t="shared" si="16"/>
        <v>0</v>
      </c>
      <c r="I331" s="29">
        <f t="shared" si="17"/>
        <v>38895</v>
      </c>
    </row>
    <row r="332" spans="1:9" ht="12.75" customHeight="1" x14ac:dyDescent="0.2">
      <c r="A332" s="28">
        <v>38896</v>
      </c>
      <c r="B332" s="26" t="s">
        <v>5041</v>
      </c>
      <c r="C332" s="26" t="s">
        <v>9</v>
      </c>
      <c r="D332" s="26" t="s">
        <v>20</v>
      </c>
      <c r="E332" s="26">
        <v>51540</v>
      </c>
      <c r="F332" s="26" t="s">
        <v>20</v>
      </c>
      <c r="G332" t="b">
        <f t="shared" si="15"/>
        <v>0</v>
      </c>
      <c r="H332" t="b">
        <f t="shared" si="16"/>
        <v>0</v>
      </c>
      <c r="I332" s="29">
        <f t="shared" si="17"/>
        <v>38896</v>
      </c>
    </row>
    <row r="333" spans="1:9" ht="25.5" x14ac:dyDescent="0.2">
      <c r="A333" s="28">
        <v>38896</v>
      </c>
      <c r="B333" s="26" t="s">
        <v>5040</v>
      </c>
      <c r="C333" s="26" t="s">
        <v>9</v>
      </c>
      <c r="D333" s="26">
        <v>2000000</v>
      </c>
      <c r="E333" s="26">
        <v>2072645</v>
      </c>
      <c r="F333" s="26">
        <v>2077844</v>
      </c>
      <c r="G333" t="b">
        <f t="shared" si="15"/>
        <v>0</v>
      </c>
      <c r="H333" t="b">
        <f t="shared" si="16"/>
        <v>0</v>
      </c>
      <c r="I333" s="29">
        <f t="shared" si="17"/>
        <v>38896</v>
      </c>
    </row>
    <row r="334" spans="1:9" ht="25.5" x14ac:dyDescent="0.2">
      <c r="A334" s="28">
        <v>38896</v>
      </c>
      <c r="B334" s="26" t="s">
        <v>5039</v>
      </c>
      <c r="C334" s="26" t="s">
        <v>612</v>
      </c>
      <c r="D334" s="26" t="s">
        <v>20</v>
      </c>
      <c r="E334" s="26">
        <v>1678874</v>
      </c>
      <c r="F334" s="26">
        <v>1685646</v>
      </c>
      <c r="G334" t="b">
        <f t="shared" si="15"/>
        <v>0</v>
      </c>
      <c r="H334" t="b">
        <f t="shared" si="16"/>
        <v>0</v>
      </c>
      <c r="I334" s="29">
        <f t="shared" si="17"/>
        <v>38896</v>
      </c>
    </row>
    <row r="335" spans="1:9" x14ac:dyDescent="0.2">
      <c r="A335" s="28">
        <v>38896</v>
      </c>
      <c r="B335" s="26" t="s">
        <v>5038</v>
      </c>
      <c r="C335" s="26" t="s">
        <v>3209</v>
      </c>
      <c r="D335" s="26">
        <v>232000000</v>
      </c>
      <c r="E335" s="26">
        <v>200120000</v>
      </c>
      <c r="F335" s="26">
        <v>391120000</v>
      </c>
      <c r="G335" t="b">
        <f t="shared" si="15"/>
        <v>0</v>
      </c>
      <c r="H335" t="b">
        <f t="shared" si="16"/>
        <v>0</v>
      </c>
      <c r="I335" s="29">
        <f t="shared" si="17"/>
        <v>38896</v>
      </c>
    </row>
    <row r="336" spans="1:9" ht="12.75" customHeight="1" x14ac:dyDescent="0.2">
      <c r="A336" s="28">
        <v>38896</v>
      </c>
      <c r="B336" s="26" t="s">
        <v>5037</v>
      </c>
      <c r="C336" s="26" t="s">
        <v>9</v>
      </c>
      <c r="D336" s="26" t="s">
        <v>20</v>
      </c>
      <c r="E336" s="26">
        <v>2485</v>
      </c>
      <c r="F336" s="26" t="s">
        <v>20</v>
      </c>
      <c r="G336" t="b">
        <f t="shared" si="15"/>
        <v>0</v>
      </c>
      <c r="H336" t="b">
        <f t="shared" si="16"/>
        <v>0</v>
      </c>
      <c r="I336" s="29">
        <f t="shared" si="17"/>
        <v>38896</v>
      </c>
    </row>
    <row r="337" spans="1:9" ht="12.75" customHeight="1" x14ac:dyDescent="0.2">
      <c r="A337" s="28">
        <v>38898</v>
      </c>
      <c r="B337" s="26" t="s">
        <v>5036</v>
      </c>
      <c r="C337" s="26" t="s">
        <v>9</v>
      </c>
      <c r="D337" s="26" t="s">
        <v>20</v>
      </c>
      <c r="E337" s="26" t="s">
        <v>20</v>
      </c>
      <c r="F337" s="26" t="s">
        <v>20</v>
      </c>
      <c r="G337" t="b">
        <f t="shared" si="15"/>
        <v>0</v>
      </c>
      <c r="H337" t="b">
        <f t="shared" si="16"/>
        <v>0</v>
      </c>
      <c r="I337" s="29">
        <f t="shared" si="17"/>
        <v>38898</v>
      </c>
    </row>
    <row r="338" spans="1:9" ht="12.75" customHeight="1" x14ac:dyDescent="0.2">
      <c r="A338" s="28">
        <v>38898</v>
      </c>
      <c r="B338" s="26" t="s">
        <v>5035</v>
      </c>
      <c r="C338" s="26" t="s">
        <v>9</v>
      </c>
      <c r="D338" s="26" t="s">
        <v>20</v>
      </c>
      <c r="E338" s="26" t="s">
        <v>20</v>
      </c>
      <c r="F338" s="26">
        <v>5428407</v>
      </c>
      <c r="G338" t="b">
        <f t="shared" si="15"/>
        <v>0</v>
      </c>
      <c r="H338" t="b">
        <f t="shared" si="16"/>
        <v>0</v>
      </c>
      <c r="I338" s="29">
        <f t="shared" si="17"/>
        <v>38898</v>
      </c>
    </row>
    <row r="339" spans="1:9" ht="25.5" x14ac:dyDescent="0.2">
      <c r="A339" s="28">
        <v>38898</v>
      </c>
      <c r="B339" s="26" t="s">
        <v>5034</v>
      </c>
      <c r="C339" s="26" t="s">
        <v>9</v>
      </c>
      <c r="D339" s="26">
        <v>500000</v>
      </c>
      <c r="E339" s="26" t="s">
        <v>20</v>
      </c>
      <c r="F339" s="26">
        <v>3000000</v>
      </c>
      <c r="G339" t="b">
        <f t="shared" si="15"/>
        <v>0</v>
      </c>
      <c r="H339" t="b">
        <f t="shared" si="16"/>
        <v>0</v>
      </c>
      <c r="I339" s="29">
        <f t="shared" si="17"/>
        <v>38898</v>
      </c>
    </row>
    <row r="340" spans="1:9" ht="38.25" x14ac:dyDescent="0.2">
      <c r="A340" s="28">
        <v>38898</v>
      </c>
      <c r="B340" s="26" t="s">
        <v>5033</v>
      </c>
      <c r="C340" s="26" t="s">
        <v>9</v>
      </c>
      <c r="D340" s="26">
        <v>120000</v>
      </c>
      <c r="E340" s="26" t="s">
        <v>20</v>
      </c>
      <c r="F340" s="26" t="s">
        <v>20</v>
      </c>
      <c r="G340" t="b">
        <f t="shared" si="15"/>
        <v>0</v>
      </c>
      <c r="H340" t="b">
        <f t="shared" si="16"/>
        <v>0</v>
      </c>
      <c r="I340" s="29">
        <f t="shared" si="17"/>
        <v>38898</v>
      </c>
    </row>
    <row r="341" spans="1:9" ht="25.5" x14ac:dyDescent="0.2">
      <c r="A341" s="28">
        <v>38898</v>
      </c>
      <c r="B341" s="26" t="s">
        <v>5032</v>
      </c>
      <c r="C341" s="26" t="s">
        <v>9</v>
      </c>
      <c r="D341" s="26" t="s">
        <v>20</v>
      </c>
      <c r="E341" s="26" t="s">
        <v>20</v>
      </c>
      <c r="F341" s="26">
        <v>6793108</v>
      </c>
      <c r="G341" t="b">
        <f t="shared" si="15"/>
        <v>0</v>
      </c>
      <c r="H341" t="b">
        <f t="shared" si="16"/>
        <v>0</v>
      </c>
      <c r="I341" s="29">
        <f t="shared" si="17"/>
        <v>38898</v>
      </c>
    </row>
    <row r="342" spans="1:9" ht="25.5" x14ac:dyDescent="0.2">
      <c r="A342" s="28">
        <v>38898</v>
      </c>
      <c r="B342" s="26" t="s">
        <v>5031</v>
      </c>
      <c r="C342" s="26" t="s">
        <v>384</v>
      </c>
      <c r="D342" s="26">
        <v>35000000</v>
      </c>
      <c r="E342" s="26">
        <v>124740460</v>
      </c>
      <c r="F342" s="26">
        <v>326551094</v>
      </c>
      <c r="G342" t="b">
        <f t="shared" si="15"/>
        <v>0</v>
      </c>
      <c r="H342" t="b">
        <f t="shared" si="16"/>
        <v>0</v>
      </c>
      <c r="I342" s="29">
        <f t="shared" si="17"/>
        <v>38898</v>
      </c>
    </row>
    <row r="343" spans="1:9" ht="38.25" x14ac:dyDescent="0.2">
      <c r="A343" s="28">
        <v>38905</v>
      </c>
      <c r="B343" s="26" t="s">
        <v>5030</v>
      </c>
      <c r="C343" s="26" t="s">
        <v>9</v>
      </c>
      <c r="D343" s="26" t="s">
        <v>20</v>
      </c>
      <c r="E343" s="26">
        <v>22938</v>
      </c>
      <c r="F343" s="26" t="s">
        <v>20</v>
      </c>
      <c r="G343" t="b">
        <f t="shared" si="15"/>
        <v>0</v>
      </c>
      <c r="H343" t="b">
        <f t="shared" si="16"/>
        <v>0</v>
      </c>
      <c r="I343" s="29">
        <f t="shared" si="17"/>
        <v>38905</v>
      </c>
    </row>
    <row r="344" spans="1:9" ht="12.75" customHeight="1" x14ac:dyDescent="0.2">
      <c r="A344" s="28">
        <v>38905</v>
      </c>
      <c r="B344" s="26" t="s">
        <v>5029</v>
      </c>
      <c r="C344" s="26" t="s">
        <v>9</v>
      </c>
      <c r="D344" s="26" t="s">
        <v>20</v>
      </c>
      <c r="E344" s="26">
        <v>898294</v>
      </c>
      <c r="F344" s="26">
        <v>2767187</v>
      </c>
      <c r="G344" t="b">
        <f t="shared" si="15"/>
        <v>0</v>
      </c>
      <c r="H344" t="b">
        <f t="shared" si="16"/>
        <v>0</v>
      </c>
      <c r="I344" s="29">
        <f t="shared" si="17"/>
        <v>38905</v>
      </c>
    </row>
    <row r="345" spans="1:9" ht="12.75" customHeight="1" x14ac:dyDescent="0.2">
      <c r="A345" s="28">
        <v>38905</v>
      </c>
      <c r="B345" s="26" t="s">
        <v>5028</v>
      </c>
      <c r="C345" s="26" t="s">
        <v>9</v>
      </c>
      <c r="D345" s="26" t="s">
        <v>20</v>
      </c>
      <c r="E345" s="26">
        <v>7753</v>
      </c>
      <c r="F345" s="26" t="s">
        <v>20</v>
      </c>
      <c r="G345" t="b">
        <f t="shared" si="15"/>
        <v>0</v>
      </c>
      <c r="H345" t="b">
        <f t="shared" si="16"/>
        <v>0</v>
      </c>
      <c r="I345" s="29">
        <f t="shared" si="17"/>
        <v>38905</v>
      </c>
    </row>
    <row r="346" spans="1:9" ht="63.75" x14ac:dyDescent="0.2">
      <c r="A346" s="28">
        <v>38905</v>
      </c>
      <c r="B346" s="26" t="s">
        <v>5027</v>
      </c>
      <c r="C346" s="26" t="s">
        <v>9</v>
      </c>
      <c r="D346" s="26">
        <v>1000000</v>
      </c>
      <c r="E346" s="26">
        <v>144601</v>
      </c>
      <c r="F346" s="26">
        <v>206351</v>
      </c>
      <c r="G346" t="b">
        <f t="shared" si="15"/>
        <v>0</v>
      </c>
      <c r="H346" t="b">
        <f t="shared" si="16"/>
        <v>0</v>
      </c>
      <c r="I346" s="29">
        <f t="shared" si="17"/>
        <v>38905</v>
      </c>
    </row>
    <row r="347" spans="1:9" ht="38.25" x14ac:dyDescent="0.2">
      <c r="A347" s="28">
        <v>38905</v>
      </c>
      <c r="B347" s="26" t="s">
        <v>5026</v>
      </c>
      <c r="C347" s="26" t="s">
        <v>3390</v>
      </c>
      <c r="D347" s="26">
        <v>225000000</v>
      </c>
      <c r="E347" s="26">
        <v>423315812</v>
      </c>
      <c r="F347" s="26">
        <v>1065659812</v>
      </c>
      <c r="G347" t="b">
        <f t="shared" si="15"/>
        <v>0</v>
      </c>
      <c r="H347" t="b">
        <f t="shared" si="16"/>
        <v>0</v>
      </c>
      <c r="I347" s="29">
        <f t="shared" si="17"/>
        <v>38905</v>
      </c>
    </row>
    <row r="348" spans="1:9" ht="25.5" x14ac:dyDescent="0.2">
      <c r="A348" s="28">
        <v>38905</v>
      </c>
      <c r="B348" s="26" t="s">
        <v>5025</v>
      </c>
      <c r="C348" s="26" t="s">
        <v>9</v>
      </c>
      <c r="D348" s="26" t="s">
        <v>20</v>
      </c>
      <c r="E348" s="26">
        <v>2438595</v>
      </c>
      <c r="F348" s="26" t="s">
        <v>20</v>
      </c>
      <c r="G348" t="b">
        <f t="shared" si="15"/>
        <v>0</v>
      </c>
      <c r="H348" t="b">
        <f t="shared" si="16"/>
        <v>0</v>
      </c>
      <c r="I348" s="29">
        <f t="shared" si="17"/>
        <v>38905</v>
      </c>
    </row>
    <row r="349" spans="1:9" ht="12.75" customHeight="1" x14ac:dyDescent="0.2">
      <c r="A349" s="28">
        <v>38905</v>
      </c>
      <c r="B349" s="26" t="s">
        <v>5024</v>
      </c>
      <c r="C349" s="26" t="s">
        <v>3209</v>
      </c>
      <c r="D349" s="26">
        <v>20000000</v>
      </c>
      <c r="E349" s="26">
        <v>5501616</v>
      </c>
      <c r="F349" s="26">
        <v>7405084</v>
      </c>
      <c r="G349" t="b">
        <f t="shared" si="15"/>
        <v>0</v>
      </c>
      <c r="H349" t="b">
        <f t="shared" si="16"/>
        <v>0</v>
      </c>
      <c r="I349" s="29">
        <f t="shared" si="17"/>
        <v>38905</v>
      </c>
    </row>
    <row r="350" spans="1:9" ht="12.75" customHeight="1" x14ac:dyDescent="0.2">
      <c r="A350" s="28">
        <v>38909</v>
      </c>
      <c r="B350" s="26" t="s">
        <v>5023</v>
      </c>
      <c r="C350" s="26" t="s">
        <v>9</v>
      </c>
      <c r="D350" s="26" t="s">
        <v>20</v>
      </c>
      <c r="E350" s="26" t="s">
        <v>20</v>
      </c>
      <c r="F350" s="26" t="s">
        <v>20</v>
      </c>
      <c r="G350" t="b">
        <f t="shared" si="15"/>
        <v>0</v>
      </c>
      <c r="H350" t="b">
        <f t="shared" si="16"/>
        <v>0</v>
      </c>
      <c r="I350" s="29">
        <f t="shared" si="17"/>
        <v>38909</v>
      </c>
    </row>
    <row r="351" spans="1:9" x14ac:dyDescent="0.2">
      <c r="A351" s="28">
        <v>38910</v>
      </c>
      <c r="B351" s="26" t="s">
        <v>5022</v>
      </c>
      <c r="C351" s="26" t="s">
        <v>9</v>
      </c>
      <c r="D351" s="26" t="s">
        <v>20</v>
      </c>
      <c r="E351" s="26">
        <v>1169</v>
      </c>
      <c r="F351" s="26" t="s">
        <v>20</v>
      </c>
      <c r="G351" t="b">
        <f t="shared" si="15"/>
        <v>0</v>
      </c>
      <c r="H351" t="b">
        <f t="shared" si="16"/>
        <v>0</v>
      </c>
      <c r="I351" s="29">
        <f t="shared" si="17"/>
        <v>38910</v>
      </c>
    </row>
    <row r="352" spans="1:9" ht="12.75" customHeight="1" x14ac:dyDescent="0.2">
      <c r="A352" s="28">
        <v>38912</v>
      </c>
      <c r="B352" s="26" t="s">
        <v>5021</v>
      </c>
      <c r="C352" s="26" t="s">
        <v>9</v>
      </c>
      <c r="D352" s="26" t="s">
        <v>20</v>
      </c>
      <c r="E352" s="26">
        <v>332829</v>
      </c>
      <c r="F352" s="26">
        <v>2775311</v>
      </c>
      <c r="G352" t="b">
        <f t="shared" si="15"/>
        <v>0</v>
      </c>
      <c r="H352" t="b">
        <f t="shared" si="16"/>
        <v>0</v>
      </c>
      <c r="I352" s="29">
        <f t="shared" si="17"/>
        <v>38912</v>
      </c>
    </row>
    <row r="353" spans="1:9" ht="12.75" customHeight="1" x14ac:dyDescent="0.2">
      <c r="A353" s="28">
        <v>38912</v>
      </c>
      <c r="B353" s="26" t="s">
        <v>5020</v>
      </c>
      <c r="C353" s="26" t="s">
        <v>2160</v>
      </c>
      <c r="D353" s="26">
        <v>64000000</v>
      </c>
      <c r="E353" s="26">
        <v>58636047</v>
      </c>
      <c r="F353" s="26">
        <v>101636047</v>
      </c>
      <c r="G353" t="b">
        <f t="shared" si="15"/>
        <v>0</v>
      </c>
      <c r="H353" t="b">
        <f t="shared" si="16"/>
        <v>0</v>
      </c>
      <c r="I353" s="29">
        <f t="shared" si="17"/>
        <v>38912</v>
      </c>
    </row>
    <row r="354" spans="1:9" ht="25.5" x14ac:dyDescent="0.2">
      <c r="A354" s="28">
        <v>38912</v>
      </c>
      <c r="B354" s="26" t="s">
        <v>5019</v>
      </c>
      <c r="C354" s="26" t="s">
        <v>3096</v>
      </c>
      <c r="D354" s="26">
        <v>54000000</v>
      </c>
      <c r="E354" s="26">
        <v>75802010</v>
      </c>
      <c r="F354" s="26">
        <v>130402010</v>
      </c>
      <c r="G354" t="b">
        <f t="shared" si="15"/>
        <v>0</v>
      </c>
      <c r="H354" t="b">
        <f t="shared" si="16"/>
        <v>0</v>
      </c>
      <c r="I354" s="29">
        <f t="shared" si="17"/>
        <v>38912</v>
      </c>
    </row>
    <row r="355" spans="1:9" ht="12.75" customHeight="1" x14ac:dyDescent="0.2">
      <c r="A355" s="28">
        <v>38912</v>
      </c>
      <c r="B355" s="26" t="s">
        <v>5018</v>
      </c>
      <c r="C355" s="26" t="s">
        <v>9</v>
      </c>
      <c r="D355" s="26" t="s">
        <v>20</v>
      </c>
      <c r="E355" s="26">
        <v>418689</v>
      </c>
      <c r="F355" s="26" t="s">
        <v>20</v>
      </c>
      <c r="G355" t="b">
        <f t="shared" si="15"/>
        <v>0</v>
      </c>
      <c r="H355" t="b">
        <f t="shared" si="16"/>
        <v>0</v>
      </c>
      <c r="I355" s="29">
        <f t="shared" si="17"/>
        <v>38912</v>
      </c>
    </row>
    <row r="356" spans="1:9" ht="12.75" customHeight="1" x14ac:dyDescent="0.2">
      <c r="A356" s="28">
        <v>38912</v>
      </c>
      <c r="B356" s="26" t="s">
        <v>5017</v>
      </c>
      <c r="C356" s="26" t="s">
        <v>9</v>
      </c>
      <c r="D356" s="26" t="s">
        <v>20</v>
      </c>
      <c r="E356" s="26" t="s">
        <v>20</v>
      </c>
      <c r="F356" s="26">
        <v>9069428</v>
      </c>
      <c r="G356" t="b">
        <f t="shared" si="15"/>
        <v>0</v>
      </c>
      <c r="H356" t="b">
        <f t="shared" si="16"/>
        <v>0</v>
      </c>
      <c r="I356" s="29">
        <f t="shared" si="17"/>
        <v>38912</v>
      </c>
    </row>
    <row r="357" spans="1:9" ht="12.75" customHeight="1" x14ac:dyDescent="0.2">
      <c r="A357" s="28">
        <v>38912</v>
      </c>
      <c r="B357" s="26" t="s">
        <v>5016</v>
      </c>
      <c r="C357" s="26" t="s">
        <v>9</v>
      </c>
      <c r="D357" s="26" t="s">
        <v>20</v>
      </c>
      <c r="E357" s="26">
        <v>49034</v>
      </c>
      <c r="F357" s="26" t="s">
        <v>20</v>
      </c>
      <c r="G357" t="b">
        <f t="shared" si="15"/>
        <v>0</v>
      </c>
      <c r="H357" t="b">
        <f t="shared" si="16"/>
        <v>0</v>
      </c>
      <c r="I357" s="29">
        <f t="shared" si="17"/>
        <v>38912</v>
      </c>
    </row>
    <row r="358" spans="1:9" x14ac:dyDescent="0.2">
      <c r="A358" s="28">
        <v>38912</v>
      </c>
      <c r="B358" s="26" t="s">
        <v>5015</v>
      </c>
      <c r="C358" s="26" t="s">
        <v>9</v>
      </c>
      <c r="D358" s="26" t="s">
        <v>20</v>
      </c>
      <c r="E358" s="26">
        <v>117686</v>
      </c>
      <c r="F358" s="26" t="s">
        <v>20</v>
      </c>
      <c r="G358" t="b">
        <f t="shared" si="15"/>
        <v>0</v>
      </c>
      <c r="H358" t="b">
        <f t="shared" si="16"/>
        <v>0</v>
      </c>
      <c r="I358" s="29">
        <f t="shared" si="17"/>
        <v>38912</v>
      </c>
    </row>
    <row r="359" spans="1:9" ht="25.5" x14ac:dyDescent="0.2">
      <c r="A359" s="28">
        <v>38912</v>
      </c>
      <c r="B359" s="26" t="s">
        <v>5014</v>
      </c>
      <c r="C359" s="26" t="s">
        <v>1542</v>
      </c>
      <c r="D359" s="26" t="s">
        <v>20</v>
      </c>
      <c r="E359" s="26">
        <v>131719</v>
      </c>
      <c r="F359" s="26" t="s">
        <v>20</v>
      </c>
      <c r="G359" t="b">
        <f t="shared" si="15"/>
        <v>0</v>
      </c>
      <c r="H359" t="b">
        <f t="shared" si="16"/>
        <v>0</v>
      </c>
      <c r="I359" s="29">
        <f t="shared" si="17"/>
        <v>38912</v>
      </c>
    </row>
    <row r="360" spans="1:9" ht="25.5" x14ac:dyDescent="0.2">
      <c r="A360" s="28">
        <v>38912</v>
      </c>
      <c r="B360" s="26" t="s">
        <v>5013</v>
      </c>
      <c r="C360" s="26" t="s">
        <v>9</v>
      </c>
      <c r="D360" s="26" t="s">
        <v>20</v>
      </c>
      <c r="E360" s="26">
        <v>30296</v>
      </c>
      <c r="F360" s="26" t="s">
        <v>20</v>
      </c>
      <c r="G360" t="b">
        <f t="shared" si="15"/>
        <v>0</v>
      </c>
      <c r="H360" t="b">
        <f t="shared" si="16"/>
        <v>0</v>
      </c>
      <c r="I360" s="29">
        <f t="shared" si="17"/>
        <v>38912</v>
      </c>
    </row>
    <row r="361" spans="1:9" ht="12.75" customHeight="1" x14ac:dyDescent="0.2">
      <c r="A361" s="28">
        <v>38912</v>
      </c>
      <c r="B361" s="26" t="s">
        <v>5012</v>
      </c>
      <c r="C361" s="26" t="s">
        <v>9</v>
      </c>
      <c r="D361" s="26" t="s">
        <v>20</v>
      </c>
      <c r="E361" s="26">
        <v>545255</v>
      </c>
      <c r="F361" s="26">
        <v>4104160</v>
      </c>
      <c r="G361" t="b">
        <f t="shared" si="15"/>
        <v>0</v>
      </c>
      <c r="H361" t="b">
        <f t="shared" si="16"/>
        <v>0</v>
      </c>
      <c r="I361" s="29">
        <f t="shared" si="17"/>
        <v>38912</v>
      </c>
    </row>
    <row r="362" spans="1:9" ht="12.75" customHeight="1" x14ac:dyDescent="0.2">
      <c r="A362" s="28">
        <v>38912</v>
      </c>
      <c r="B362" s="26" t="s">
        <v>5011</v>
      </c>
      <c r="C362" s="26" t="s">
        <v>9</v>
      </c>
      <c r="D362" s="26" t="s">
        <v>20</v>
      </c>
      <c r="E362" s="26">
        <v>128585</v>
      </c>
      <c r="F362" s="26" t="s">
        <v>20</v>
      </c>
      <c r="G362" t="b">
        <f t="shared" si="15"/>
        <v>0</v>
      </c>
      <c r="H362" t="b">
        <f t="shared" si="16"/>
        <v>0</v>
      </c>
      <c r="I362" s="29">
        <f t="shared" si="17"/>
        <v>38912</v>
      </c>
    </row>
    <row r="363" spans="1:9" ht="12.75" customHeight="1" x14ac:dyDescent="0.2">
      <c r="A363" s="28">
        <v>38916</v>
      </c>
      <c r="B363" s="26" t="s">
        <v>5010</v>
      </c>
      <c r="C363" s="26" t="s">
        <v>9</v>
      </c>
      <c r="D363" s="26" t="s">
        <v>20</v>
      </c>
      <c r="E363" s="26" t="s">
        <v>20</v>
      </c>
      <c r="F363" s="26" t="s">
        <v>20</v>
      </c>
      <c r="G363" t="b">
        <f t="shared" si="15"/>
        <v>0</v>
      </c>
      <c r="H363" t="b">
        <f t="shared" si="16"/>
        <v>0</v>
      </c>
      <c r="I363" s="29">
        <f t="shared" si="17"/>
        <v>38916</v>
      </c>
    </row>
    <row r="364" spans="1:9" ht="12.75" customHeight="1" x14ac:dyDescent="0.2">
      <c r="A364" s="28">
        <v>38917</v>
      </c>
      <c r="B364" s="26" t="s">
        <v>5009</v>
      </c>
      <c r="C364" s="26" t="s">
        <v>9</v>
      </c>
      <c r="D364" s="26" t="s">
        <v>20</v>
      </c>
      <c r="E364" s="26" t="s">
        <v>20</v>
      </c>
      <c r="F364" s="26" t="s">
        <v>20</v>
      </c>
      <c r="G364" t="b">
        <f t="shared" si="15"/>
        <v>0</v>
      </c>
      <c r="H364" t="b">
        <f t="shared" si="16"/>
        <v>0</v>
      </c>
      <c r="I364" s="29">
        <f t="shared" si="17"/>
        <v>38917</v>
      </c>
    </row>
    <row r="365" spans="1:9" ht="12.75" customHeight="1" x14ac:dyDescent="0.2">
      <c r="A365" s="28">
        <v>38918</v>
      </c>
      <c r="B365" s="26" t="s">
        <v>5008</v>
      </c>
      <c r="C365" s="26" t="s">
        <v>9</v>
      </c>
      <c r="D365" s="26" t="s">
        <v>20</v>
      </c>
      <c r="E365" s="26" t="s">
        <v>20</v>
      </c>
      <c r="F365" s="26">
        <v>20766123</v>
      </c>
      <c r="G365" t="b">
        <f t="shared" si="15"/>
        <v>0</v>
      </c>
      <c r="H365" t="b">
        <f t="shared" si="16"/>
        <v>0</v>
      </c>
      <c r="I365" s="29">
        <f t="shared" si="17"/>
        <v>38918</v>
      </c>
    </row>
    <row r="366" spans="1:9" ht="12.75" customHeight="1" x14ac:dyDescent="0.2">
      <c r="A366" s="28">
        <v>38919</v>
      </c>
      <c r="B366" s="26" t="s">
        <v>5007</v>
      </c>
      <c r="C366" s="26" t="s">
        <v>2160</v>
      </c>
      <c r="D366" s="26">
        <v>75000000</v>
      </c>
      <c r="E366" s="26">
        <v>73661010</v>
      </c>
      <c r="F366" s="26">
        <v>140161010</v>
      </c>
      <c r="G366" t="b">
        <f t="shared" si="15"/>
        <v>0</v>
      </c>
      <c r="H366" t="b">
        <f t="shared" si="16"/>
        <v>0</v>
      </c>
      <c r="I366" s="29">
        <f t="shared" si="17"/>
        <v>38919</v>
      </c>
    </row>
    <row r="367" spans="1:9" ht="12.75" customHeight="1" x14ac:dyDescent="0.2">
      <c r="A367" s="28">
        <v>38919</v>
      </c>
      <c r="B367" s="26" t="s">
        <v>5006</v>
      </c>
      <c r="C367" s="26" t="s">
        <v>9</v>
      </c>
      <c r="D367" s="26" t="s">
        <v>20</v>
      </c>
      <c r="E367" s="26">
        <v>370627</v>
      </c>
      <c r="F367" s="26">
        <v>442951</v>
      </c>
      <c r="G367" t="b">
        <f t="shared" si="15"/>
        <v>0</v>
      </c>
      <c r="H367" t="b">
        <f t="shared" si="16"/>
        <v>0</v>
      </c>
      <c r="I367" s="29">
        <f t="shared" si="17"/>
        <v>38919</v>
      </c>
    </row>
    <row r="368" spans="1:9" ht="12.75" customHeight="1" x14ac:dyDescent="0.2">
      <c r="A368" s="28">
        <v>38919</v>
      </c>
      <c r="B368" s="26" t="s">
        <v>5005</v>
      </c>
      <c r="C368" s="26" t="s">
        <v>9</v>
      </c>
      <c r="D368" s="26" t="s">
        <v>20</v>
      </c>
      <c r="E368" s="26">
        <v>26062</v>
      </c>
      <c r="F368" s="26">
        <v>2726062</v>
      </c>
      <c r="G368" t="b">
        <f t="shared" si="15"/>
        <v>0</v>
      </c>
      <c r="H368" t="b">
        <f t="shared" si="16"/>
        <v>0</v>
      </c>
      <c r="I368" s="29">
        <f t="shared" si="17"/>
        <v>38919</v>
      </c>
    </row>
    <row r="369" spans="1:9" x14ac:dyDescent="0.2">
      <c r="A369" s="28">
        <v>38919</v>
      </c>
      <c r="B369" s="26" t="s">
        <v>5004</v>
      </c>
      <c r="C369" s="26" t="s">
        <v>3501</v>
      </c>
      <c r="D369" s="26" t="s">
        <v>20</v>
      </c>
      <c r="E369" s="26">
        <v>88560</v>
      </c>
      <c r="F369" s="26" t="s">
        <v>20</v>
      </c>
      <c r="G369" t="b">
        <f t="shared" si="15"/>
        <v>0</v>
      </c>
      <c r="H369" t="b">
        <f t="shared" si="16"/>
        <v>0</v>
      </c>
      <c r="I369" s="29">
        <f t="shared" si="17"/>
        <v>38919</v>
      </c>
    </row>
    <row r="370" spans="1:9" ht="12.75" customHeight="1" x14ac:dyDescent="0.2">
      <c r="A370" s="28">
        <v>38919</v>
      </c>
      <c r="B370" s="26" t="s">
        <v>5003</v>
      </c>
      <c r="C370" s="26" t="s">
        <v>49</v>
      </c>
      <c r="D370" s="26">
        <v>5000000</v>
      </c>
      <c r="E370" s="26">
        <v>24148068</v>
      </c>
      <c r="F370" s="26">
        <v>25894473</v>
      </c>
      <c r="G370" t="b">
        <f t="shared" si="15"/>
        <v>0</v>
      </c>
      <c r="H370" t="b">
        <f t="shared" si="16"/>
        <v>0</v>
      </c>
      <c r="I370" s="29">
        <f t="shared" si="17"/>
        <v>38919</v>
      </c>
    </row>
    <row r="371" spans="1:9" ht="12.75" customHeight="1" x14ac:dyDescent="0.2">
      <c r="A371" s="28">
        <v>38919</v>
      </c>
      <c r="B371" s="26" t="s">
        <v>5002</v>
      </c>
      <c r="C371" s="26" t="s">
        <v>9</v>
      </c>
      <c r="D371" s="26" t="s">
        <v>20</v>
      </c>
      <c r="E371" s="26">
        <v>27449</v>
      </c>
      <c r="F371" s="26" t="s">
        <v>20</v>
      </c>
      <c r="G371" t="b">
        <f t="shared" si="15"/>
        <v>0</v>
      </c>
      <c r="H371" t="b">
        <f t="shared" si="16"/>
        <v>0</v>
      </c>
      <c r="I371" s="29">
        <f t="shared" si="17"/>
        <v>38919</v>
      </c>
    </row>
    <row r="372" spans="1:9" ht="12.75" customHeight="1" x14ac:dyDescent="0.2">
      <c r="A372" s="28">
        <v>38919</v>
      </c>
      <c r="B372" s="26" t="s">
        <v>5001</v>
      </c>
      <c r="C372" s="26" t="s">
        <v>9</v>
      </c>
      <c r="D372" s="26" t="s">
        <v>20</v>
      </c>
      <c r="E372" s="26">
        <v>41803</v>
      </c>
      <c r="F372" s="26" t="s">
        <v>20</v>
      </c>
      <c r="G372" t="b">
        <f t="shared" si="15"/>
        <v>0</v>
      </c>
      <c r="H372" t="b">
        <f t="shared" si="16"/>
        <v>0</v>
      </c>
      <c r="I372" s="29">
        <f t="shared" si="17"/>
        <v>38919</v>
      </c>
    </row>
    <row r="373" spans="1:9" ht="12.75" customHeight="1" x14ac:dyDescent="0.2">
      <c r="A373" s="28">
        <v>38919</v>
      </c>
      <c r="B373" s="26" t="s">
        <v>5000</v>
      </c>
      <c r="C373" s="26" t="s">
        <v>3209</v>
      </c>
      <c r="D373" s="26">
        <v>75000000</v>
      </c>
      <c r="E373" s="26">
        <v>42285169</v>
      </c>
      <c r="F373" s="26">
        <v>72785169</v>
      </c>
      <c r="G373" t="b">
        <f t="shared" ref="G373:G434" si="18">ISBLANK(A373)</f>
        <v>0</v>
      </c>
      <c r="H373" t="b">
        <f t="shared" ref="H373:H434" si="19">ISTEXT(A373)</f>
        <v>0</v>
      </c>
      <c r="I373" s="29">
        <f t="shared" ref="I373:I434" si="20">DATE(2006,MONTH(A373), DAY(A373))</f>
        <v>38919</v>
      </c>
    </row>
    <row r="374" spans="1:9" ht="25.5" x14ac:dyDescent="0.2">
      <c r="A374" s="28">
        <v>38919</v>
      </c>
      <c r="B374" s="26" t="s">
        <v>4999</v>
      </c>
      <c r="C374" s="26" t="s">
        <v>9</v>
      </c>
      <c r="D374" s="26" t="s">
        <v>20</v>
      </c>
      <c r="E374" s="26">
        <v>22530295</v>
      </c>
      <c r="F374" s="26">
        <v>60530295</v>
      </c>
      <c r="G374" t="b">
        <f t="shared" si="18"/>
        <v>0</v>
      </c>
      <c r="H374" t="b">
        <f t="shared" si="19"/>
        <v>0</v>
      </c>
      <c r="I374" s="29">
        <f t="shared" si="20"/>
        <v>38919</v>
      </c>
    </row>
    <row r="375" spans="1:9" ht="25.5" x14ac:dyDescent="0.2">
      <c r="A375" s="28">
        <v>38919</v>
      </c>
      <c r="B375" s="26" t="s">
        <v>4998</v>
      </c>
      <c r="C375" s="26" t="s">
        <v>9</v>
      </c>
      <c r="D375" s="26" t="s">
        <v>20</v>
      </c>
      <c r="E375" s="26">
        <v>36406</v>
      </c>
      <c r="F375" s="26" t="s">
        <v>20</v>
      </c>
      <c r="G375" t="b">
        <f t="shared" si="18"/>
        <v>0</v>
      </c>
      <c r="H375" t="b">
        <f t="shared" si="19"/>
        <v>0</v>
      </c>
      <c r="I375" s="29">
        <f t="shared" si="20"/>
        <v>38919</v>
      </c>
    </row>
    <row r="376" spans="1:9" ht="38.25" x14ac:dyDescent="0.2">
      <c r="A376" s="28">
        <v>38919</v>
      </c>
      <c r="B376" s="26" t="s">
        <v>4997</v>
      </c>
      <c r="C376" s="26" t="s">
        <v>9</v>
      </c>
      <c r="D376" s="26" t="s">
        <v>20</v>
      </c>
      <c r="E376" s="26">
        <v>11978</v>
      </c>
      <c r="F376" s="26" t="s">
        <v>20</v>
      </c>
      <c r="G376" t="b">
        <f t="shared" si="18"/>
        <v>0</v>
      </c>
      <c r="H376" t="b">
        <f t="shared" si="19"/>
        <v>0</v>
      </c>
      <c r="I376" s="29">
        <f t="shared" si="20"/>
        <v>38919</v>
      </c>
    </row>
    <row r="377" spans="1:9" ht="25.5" x14ac:dyDescent="0.2">
      <c r="A377" s="28">
        <v>38919</v>
      </c>
      <c r="B377" s="26" t="s">
        <v>4996</v>
      </c>
      <c r="C377" s="26" t="s">
        <v>9</v>
      </c>
      <c r="D377" s="26">
        <v>200000</v>
      </c>
      <c r="E377" s="26">
        <v>7033</v>
      </c>
      <c r="F377" s="26" t="s">
        <v>20</v>
      </c>
      <c r="G377" t="b">
        <f t="shared" si="18"/>
        <v>0</v>
      </c>
      <c r="H377" t="b">
        <f t="shared" si="19"/>
        <v>0</v>
      </c>
      <c r="I377" s="29">
        <f t="shared" si="20"/>
        <v>38919</v>
      </c>
    </row>
    <row r="378" spans="1:9" ht="25.5" x14ac:dyDescent="0.2">
      <c r="A378" s="28">
        <v>38919</v>
      </c>
      <c r="B378" s="26" t="s">
        <v>4995</v>
      </c>
      <c r="C378" s="26" t="s">
        <v>9</v>
      </c>
      <c r="D378" s="26" t="s">
        <v>20</v>
      </c>
      <c r="E378" s="26" t="s">
        <v>20</v>
      </c>
      <c r="F378" s="26">
        <v>11361720</v>
      </c>
      <c r="G378" t="b">
        <f t="shared" si="18"/>
        <v>0</v>
      </c>
      <c r="H378" t="b">
        <f t="shared" si="19"/>
        <v>0</v>
      </c>
      <c r="I378" s="29">
        <f t="shared" si="20"/>
        <v>38919</v>
      </c>
    </row>
    <row r="379" spans="1:9" ht="25.5" x14ac:dyDescent="0.2">
      <c r="A379" s="28">
        <v>38919</v>
      </c>
      <c r="B379" s="26" t="s">
        <v>4994</v>
      </c>
      <c r="C379" s="26" t="s">
        <v>9</v>
      </c>
      <c r="D379" s="26" t="s">
        <v>20</v>
      </c>
      <c r="E379" s="26" t="s">
        <v>20</v>
      </c>
      <c r="F379" s="26" t="s">
        <v>20</v>
      </c>
      <c r="G379" t="b">
        <f t="shared" si="18"/>
        <v>0</v>
      </c>
      <c r="H379" t="b">
        <f t="shared" si="19"/>
        <v>0</v>
      </c>
      <c r="I379" s="29">
        <f t="shared" si="20"/>
        <v>38919</v>
      </c>
    </row>
    <row r="380" spans="1:9" ht="38.25" x14ac:dyDescent="0.2">
      <c r="A380" s="28">
        <v>38920</v>
      </c>
      <c r="B380" s="26" t="s">
        <v>4993</v>
      </c>
      <c r="C380" s="26" t="s">
        <v>9</v>
      </c>
      <c r="D380" s="26" t="s">
        <v>20</v>
      </c>
      <c r="E380" s="26" t="s">
        <v>20</v>
      </c>
      <c r="F380" s="26" t="s">
        <v>20</v>
      </c>
      <c r="G380" t="b">
        <f t="shared" si="18"/>
        <v>0</v>
      </c>
      <c r="H380" t="b">
        <f t="shared" si="19"/>
        <v>0</v>
      </c>
      <c r="I380" s="29">
        <f t="shared" si="20"/>
        <v>38920</v>
      </c>
    </row>
    <row r="381" spans="1:9" ht="25.5" x14ac:dyDescent="0.2">
      <c r="A381" s="28">
        <v>38920</v>
      </c>
      <c r="B381" s="26" t="s">
        <v>4992</v>
      </c>
      <c r="C381" s="26" t="s">
        <v>9</v>
      </c>
      <c r="D381" s="26" t="s">
        <v>20</v>
      </c>
      <c r="E381" s="26" t="s">
        <v>20</v>
      </c>
      <c r="F381" s="26">
        <v>53000000</v>
      </c>
      <c r="G381" t="b">
        <f t="shared" si="18"/>
        <v>0</v>
      </c>
      <c r="H381" t="b">
        <f t="shared" si="19"/>
        <v>0</v>
      </c>
      <c r="I381" s="29">
        <f t="shared" si="20"/>
        <v>38920</v>
      </c>
    </row>
    <row r="382" spans="1:9" ht="38.25" x14ac:dyDescent="0.2">
      <c r="A382" s="28">
        <v>38920</v>
      </c>
      <c r="B382" s="26" t="s">
        <v>4991</v>
      </c>
      <c r="C382" s="26" t="s">
        <v>9</v>
      </c>
      <c r="D382" s="26" t="s">
        <v>20</v>
      </c>
      <c r="E382" s="26" t="s">
        <v>20</v>
      </c>
      <c r="F382" s="26">
        <v>21011389</v>
      </c>
      <c r="G382" t="b">
        <f t="shared" si="18"/>
        <v>0</v>
      </c>
      <c r="H382" t="b">
        <f t="shared" si="19"/>
        <v>0</v>
      </c>
      <c r="I382" s="29">
        <f t="shared" si="20"/>
        <v>38920</v>
      </c>
    </row>
    <row r="383" spans="1:9" ht="25.5" x14ac:dyDescent="0.2">
      <c r="A383" s="28">
        <v>38924</v>
      </c>
      <c r="B383" s="26" t="s">
        <v>4990</v>
      </c>
      <c r="C383" s="26" t="s">
        <v>155</v>
      </c>
      <c r="D383" s="26">
        <v>8000000</v>
      </c>
      <c r="E383" s="26">
        <v>59891098</v>
      </c>
      <c r="F383" s="26">
        <v>100523181</v>
      </c>
      <c r="G383" t="b">
        <f t="shared" si="18"/>
        <v>0</v>
      </c>
      <c r="H383" t="b">
        <f t="shared" si="19"/>
        <v>0</v>
      </c>
      <c r="I383" s="29">
        <f t="shared" si="20"/>
        <v>38924</v>
      </c>
    </row>
    <row r="384" spans="1:9" ht="25.5" x14ac:dyDescent="0.2">
      <c r="A384" s="28">
        <v>38925</v>
      </c>
      <c r="B384" s="26" t="s">
        <v>4989</v>
      </c>
      <c r="C384" s="26" t="s">
        <v>9</v>
      </c>
      <c r="D384" s="26" t="s">
        <v>20</v>
      </c>
      <c r="E384" s="26" t="s">
        <v>20</v>
      </c>
      <c r="F384" s="26">
        <v>973882</v>
      </c>
      <c r="G384" t="b">
        <f t="shared" si="18"/>
        <v>0</v>
      </c>
      <c r="H384" t="b">
        <f t="shared" si="19"/>
        <v>0</v>
      </c>
      <c r="I384" s="29">
        <f t="shared" si="20"/>
        <v>38925</v>
      </c>
    </row>
    <row r="385" spans="1:9" ht="12.75" customHeight="1" x14ac:dyDescent="0.2">
      <c r="A385" s="28">
        <v>38926</v>
      </c>
      <c r="B385" s="26" t="s">
        <v>4988</v>
      </c>
      <c r="C385" s="26" t="s">
        <v>9</v>
      </c>
      <c r="D385" s="26" t="s">
        <v>20</v>
      </c>
      <c r="E385" s="26">
        <v>1244576</v>
      </c>
      <c r="F385" s="26">
        <v>2599402</v>
      </c>
      <c r="G385" t="b">
        <f t="shared" si="18"/>
        <v>0</v>
      </c>
      <c r="H385" t="b">
        <f t="shared" si="19"/>
        <v>0</v>
      </c>
      <c r="I385" s="29">
        <f t="shared" si="20"/>
        <v>38926</v>
      </c>
    </row>
    <row r="386" spans="1:9" ht="25.5" x14ac:dyDescent="0.2">
      <c r="A386" s="28">
        <v>38926</v>
      </c>
      <c r="B386" s="26" t="s">
        <v>4987</v>
      </c>
      <c r="C386" s="26" t="s">
        <v>9</v>
      </c>
      <c r="D386" s="26" t="s">
        <v>20</v>
      </c>
      <c r="E386" s="26">
        <v>654132</v>
      </c>
      <c r="F386" s="26" t="s">
        <v>20</v>
      </c>
      <c r="G386" t="b">
        <f t="shared" si="18"/>
        <v>0</v>
      </c>
      <c r="H386" t="b">
        <f t="shared" si="19"/>
        <v>0</v>
      </c>
      <c r="I386" s="29">
        <f t="shared" si="20"/>
        <v>38926</v>
      </c>
    </row>
    <row r="387" spans="1:9" ht="25.5" x14ac:dyDescent="0.2">
      <c r="A387" s="28">
        <v>38926</v>
      </c>
      <c r="B387" s="26" t="s">
        <v>4986</v>
      </c>
      <c r="C387" s="26" t="s">
        <v>384</v>
      </c>
      <c r="D387" s="26" t="s">
        <v>20</v>
      </c>
      <c r="E387" s="26">
        <v>41011711</v>
      </c>
      <c r="F387" s="26">
        <v>68824526</v>
      </c>
      <c r="G387" t="b">
        <f t="shared" si="18"/>
        <v>0</v>
      </c>
      <c r="H387" t="b">
        <f t="shared" si="19"/>
        <v>0</v>
      </c>
      <c r="I387" s="29">
        <f t="shared" si="20"/>
        <v>38926</v>
      </c>
    </row>
    <row r="388" spans="1:9" ht="25.5" x14ac:dyDescent="0.2">
      <c r="A388" s="28">
        <v>38926</v>
      </c>
      <c r="B388" s="26" t="s">
        <v>4985</v>
      </c>
      <c r="C388" s="26" t="s">
        <v>9</v>
      </c>
      <c r="D388" s="26" t="s">
        <v>20</v>
      </c>
      <c r="E388" s="26">
        <v>45082</v>
      </c>
      <c r="F388" s="26" t="s">
        <v>20</v>
      </c>
      <c r="G388" t="b">
        <f t="shared" si="18"/>
        <v>0</v>
      </c>
      <c r="H388" t="b">
        <f t="shared" si="19"/>
        <v>0</v>
      </c>
      <c r="I388" s="29">
        <f t="shared" si="20"/>
        <v>38926</v>
      </c>
    </row>
    <row r="389" spans="1:9" ht="25.5" x14ac:dyDescent="0.2">
      <c r="A389" s="28">
        <v>38926</v>
      </c>
      <c r="B389" s="26" t="s">
        <v>4984</v>
      </c>
      <c r="C389" s="26" t="s">
        <v>9</v>
      </c>
      <c r="D389" s="26" t="s">
        <v>20</v>
      </c>
      <c r="E389" s="26">
        <v>87400</v>
      </c>
      <c r="F389" s="26" t="s">
        <v>20</v>
      </c>
      <c r="G389" t="b">
        <f t="shared" si="18"/>
        <v>0</v>
      </c>
      <c r="H389" t="b">
        <f t="shared" si="19"/>
        <v>0</v>
      </c>
      <c r="I389" s="29">
        <f t="shared" si="20"/>
        <v>38926</v>
      </c>
    </row>
    <row r="390" spans="1:9" ht="12.75" customHeight="1" x14ac:dyDescent="0.2">
      <c r="A390" s="28">
        <v>38926</v>
      </c>
      <c r="B390" s="26" t="s">
        <v>4983</v>
      </c>
      <c r="C390" s="26" t="s">
        <v>9</v>
      </c>
      <c r="D390" s="26" t="s">
        <v>20</v>
      </c>
      <c r="E390" s="26">
        <v>16214</v>
      </c>
      <c r="F390" s="26" t="s">
        <v>20</v>
      </c>
      <c r="G390" t="b">
        <f t="shared" si="18"/>
        <v>0</v>
      </c>
      <c r="H390" t="b">
        <f t="shared" si="19"/>
        <v>0</v>
      </c>
      <c r="I390" s="29">
        <f t="shared" si="20"/>
        <v>38926</v>
      </c>
    </row>
    <row r="391" spans="1:9" ht="12.75" customHeight="1" x14ac:dyDescent="0.2">
      <c r="A391" s="28">
        <v>38926</v>
      </c>
      <c r="B391" s="26" t="s">
        <v>4982</v>
      </c>
      <c r="C391" s="26" t="s">
        <v>9</v>
      </c>
      <c r="D391" s="26" t="s">
        <v>20</v>
      </c>
      <c r="E391" s="26">
        <v>121390</v>
      </c>
      <c r="F391" s="26" t="s">
        <v>20</v>
      </c>
      <c r="G391" t="b">
        <f t="shared" si="18"/>
        <v>0</v>
      </c>
      <c r="H391" t="b">
        <f t="shared" si="19"/>
        <v>0</v>
      </c>
      <c r="I391" s="29">
        <f t="shared" si="20"/>
        <v>38926</v>
      </c>
    </row>
    <row r="392" spans="1:9" ht="12.75" customHeight="1" x14ac:dyDescent="0.2">
      <c r="A392" s="28">
        <v>38926</v>
      </c>
      <c r="B392" s="26" t="s">
        <v>4981</v>
      </c>
      <c r="C392" s="26" t="s">
        <v>3209</v>
      </c>
      <c r="D392" s="26">
        <v>45000000</v>
      </c>
      <c r="E392" s="26">
        <v>28142535</v>
      </c>
      <c r="F392" s="26">
        <v>55181129</v>
      </c>
      <c r="G392" t="b">
        <f t="shared" si="18"/>
        <v>0</v>
      </c>
      <c r="H392" t="b">
        <f t="shared" si="19"/>
        <v>0</v>
      </c>
      <c r="I392" s="29">
        <f t="shared" si="20"/>
        <v>38926</v>
      </c>
    </row>
    <row r="393" spans="1:9" ht="25.5" x14ac:dyDescent="0.2">
      <c r="A393" s="28">
        <v>38926</v>
      </c>
      <c r="B393" s="26" t="s">
        <v>4980</v>
      </c>
      <c r="C393" s="26" t="s">
        <v>9</v>
      </c>
      <c r="D393" s="26" t="s">
        <v>20</v>
      </c>
      <c r="E393" s="26">
        <v>66032</v>
      </c>
      <c r="F393" s="26" t="s">
        <v>20</v>
      </c>
      <c r="G393" t="b">
        <f t="shared" si="18"/>
        <v>0</v>
      </c>
      <c r="H393" t="b">
        <f t="shared" si="19"/>
        <v>0</v>
      </c>
      <c r="I393" s="29">
        <f t="shared" si="20"/>
        <v>38926</v>
      </c>
    </row>
    <row r="394" spans="1:9" x14ac:dyDescent="0.2">
      <c r="A394" s="28">
        <v>38926</v>
      </c>
      <c r="B394" s="26" t="s">
        <v>4979</v>
      </c>
      <c r="C394" s="26" t="s">
        <v>9</v>
      </c>
      <c r="D394" s="26" t="s">
        <v>20</v>
      </c>
      <c r="E394" s="26" t="s">
        <v>20</v>
      </c>
      <c r="F394" s="26">
        <v>5302904</v>
      </c>
      <c r="G394" t="b">
        <f t="shared" si="18"/>
        <v>0</v>
      </c>
      <c r="H394" t="b">
        <f t="shared" si="19"/>
        <v>0</v>
      </c>
      <c r="I394" s="29">
        <f t="shared" si="20"/>
        <v>38926</v>
      </c>
    </row>
    <row r="395" spans="1:9" ht="25.5" x14ac:dyDescent="0.2">
      <c r="A395" s="28">
        <v>38926</v>
      </c>
      <c r="B395" s="26" t="s">
        <v>4978</v>
      </c>
      <c r="C395" s="26" t="s">
        <v>9</v>
      </c>
      <c r="D395" s="26" t="s">
        <v>20</v>
      </c>
      <c r="E395" s="26">
        <v>10330</v>
      </c>
      <c r="F395" s="26" t="s">
        <v>20</v>
      </c>
      <c r="G395" t="b">
        <f t="shared" si="18"/>
        <v>0</v>
      </c>
      <c r="H395" t="b">
        <f t="shared" si="19"/>
        <v>0</v>
      </c>
      <c r="I395" s="29">
        <f t="shared" si="20"/>
        <v>38926</v>
      </c>
    </row>
    <row r="396" spans="1:9" ht="12.75" customHeight="1" x14ac:dyDescent="0.2">
      <c r="A396" s="28">
        <v>38926</v>
      </c>
      <c r="B396" s="26" t="s">
        <v>4977</v>
      </c>
      <c r="C396" s="26" t="s">
        <v>9</v>
      </c>
      <c r="D396" s="26">
        <v>4000000</v>
      </c>
      <c r="E396" s="26">
        <v>10525717</v>
      </c>
      <c r="F396" s="26">
        <v>39125717</v>
      </c>
      <c r="G396" t="b">
        <f t="shared" si="18"/>
        <v>0</v>
      </c>
      <c r="H396" t="b">
        <f t="shared" si="19"/>
        <v>0</v>
      </c>
      <c r="I396" s="29">
        <f t="shared" si="20"/>
        <v>38926</v>
      </c>
    </row>
    <row r="397" spans="1:9" ht="12.75" customHeight="1" x14ac:dyDescent="0.2">
      <c r="A397" s="28">
        <v>38926</v>
      </c>
      <c r="B397" s="26" t="s">
        <v>4976</v>
      </c>
      <c r="C397" s="26" t="s">
        <v>3096</v>
      </c>
      <c r="D397" s="26">
        <v>135000000</v>
      </c>
      <c r="E397" s="26">
        <v>63478838</v>
      </c>
      <c r="F397" s="26">
        <v>163818556</v>
      </c>
      <c r="G397" t="b">
        <f t="shared" si="18"/>
        <v>0</v>
      </c>
      <c r="H397" t="b">
        <f t="shared" si="19"/>
        <v>0</v>
      </c>
      <c r="I397" s="29">
        <f t="shared" si="20"/>
        <v>38926</v>
      </c>
    </row>
    <row r="398" spans="1:9" ht="12.75" customHeight="1" x14ac:dyDescent="0.2">
      <c r="A398" s="28">
        <v>38927</v>
      </c>
      <c r="B398" s="26" t="s">
        <v>4975</v>
      </c>
      <c r="C398" s="26" t="s">
        <v>9</v>
      </c>
      <c r="D398" s="26" t="s">
        <v>20</v>
      </c>
      <c r="E398" s="26" t="s">
        <v>20</v>
      </c>
      <c r="F398" s="26">
        <v>68000000</v>
      </c>
      <c r="G398" t="b">
        <f t="shared" si="18"/>
        <v>0</v>
      </c>
      <c r="H398" t="b">
        <f t="shared" si="19"/>
        <v>0</v>
      </c>
      <c r="I398" s="29">
        <f t="shared" si="20"/>
        <v>38927</v>
      </c>
    </row>
    <row r="399" spans="1:9" ht="25.5" x14ac:dyDescent="0.2">
      <c r="A399" s="28">
        <v>38929</v>
      </c>
      <c r="B399" s="26" t="s">
        <v>4974</v>
      </c>
      <c r="C399" s="26" t="s">
        <v>4973</v>
      </c>
      <c r="D399" s="26" t="s">
        <v>20</v>
      </c>
      <c r="E399" s="26" t="s">
        <v>20</v>
      </c>
      <c r="F399" s="26" t="s">
        <v>20</v>
      </c>
      <c r="G399" t="b">
        <f t="shared" si="18"/>
        <v>0</v>
      </c>
      <c r="H399" t="b">
        <f t="shared" si="19"/>
        <v>0</v>
      </c>
      <c r="I399" s="29">
        <f t="shared" si="20"/>
        <v>38929</v>
      </c>
    </row>
    <row r="400" spans="1:9" ht="12.75" customHeight="1" x14ac:dyDescent="0.2">
      <c r="A400" s="28">
        <v>38932</v>
      </c>
      <c r="B400" s="26" t="s">
        <v>4972</v>
      </c>
      <c r="C400" s="26" t="s">
        <v>9</v>
      </c>
      <c r="D400" s="26" t="s">
        <v>20</v>
      </c>
      <c r="E400" s="26" t="s">
        <v>20</v>
      </c>
      <c r="F400" s="26">
        <v>1904386</v>
      </c>
      <c r="G400" t="b">
        <f t="shared" si="18"/>
        <v>0</v>
      </c>
      <c r="H400" t="b">
        <f t="shared" si="19"/>
        <v>0</v>
      </c>
      <c r="I400" s="29">
        <f t="shared" si="20"/>
        <v>38932</v>
      </c>
    </row>
    <row r="401" spans="1:9" ht="12.75" customHeight="1" x14ac:dyDescent="0.2">
      <c r="A401" s="28">
        <v>38932</v>
      </c>
      <c r="B401" s="26" t="s">
        <v>4971</v>
      </c>
      <c r="C401" s="26" t="s">
        <v>9</v>
      </c>
      <c r="D401" s="26" t="s">
        <v>20</v>
      </c>
      <c r="E401" s="26" t="s">
        <v>20</v>
      </c>
      <c r="F401" s="26">
        <v>1712029</v>
      </c>
      <c r="G401" t="b">
        <f t="shared" si="18"/>
        <v>0</v>
      </c>
      <c r="H401" t="b">
        <f t="shared" si="19"/>
        <v>0</v>
      </c>
      <c r="I401" s="29">
        <f t="shared" si="20"/>
        <v>38932</v>
      </c>
    </row>
    <row r="402" spans="1:9" x14ac:dyDescent="0.2">
      <c r="A402" s="28">
        <v>38933</v>
      </c>
      <c r="B402" s="26" t="s">
        <v>4970</v>
      </c>
      <c r="C402" s="26" t="s">
        <v>3466</v>
      </c>
      <c r="D402" s="26">
        <v>4000000</v>
      </c>
      <c r="E402" s="26">
        <v>7836393</v>
      </c>
      <c r="F402" s="26">
        <v>10547755</v>
      </c>
      <c r="G402" t="b">
        <f t="shared" si="18"/>
        <v>0</v>
      </c>
      <c r="H402" t="b">
        <f t="shared" si="19"/>
        <v>0</v>
      </c>
      <c r="I402" s="29">
        <f t="shared" si="20"/>
        <v>38933</v>
      </c>
    </row>
    <row r="403" spans="1:9" x14ac:dyDescent="0.2">
      <c r="A403" s="28">
        <v>38933</v>
      </c>
      <c r="B403" s="26" t="s">
        <v>4969</v>
      </c>
      <c r="C403" s="26" t="s">
        <v>9</v>
      </c>
      <c r="D403" s="26">
        <v>8000000</v>
      </c>
      <c r="E403" s="26">
        <v>12671300</v>
      </c>
      <c r="F403" s="26" t="s">
        <v>20</v>
      </c>
      <c r="G403" t="b">
        <f t="shared" si="18"/>
        <v>0</v>
      </c>
      <c r="H403" t="b">
        <f t="shared" si="19"/>
        <v>0</v>
      </c>
      <c r="I403" s="29">
        <f t="shared" si="20"/>
        <v>38933</v>
      </c>
    </row>
    <row r="404" spans="1:9" ht="25.5" x14ac:dyDescent="0.2">
      <c r="A404" s="28">
        <v>38933</v>
      </c>
      <c r="B404" s="26" t="s">
        <v>4968</v>
      </c>
      <c r="C404" s="26" t="s">
        <v>9</v>
      </c>
      <c r="D404" s="26" t="s">
        <v>20</v>
      </c>
      <c r="E404" s="26">
        <v>33620</v>
      </c>
      <c r="F404" s="26" t="s">
        <v>20</v>
      </c>
      <c r="G404" t="b">
        <f t="shared" si="18"/>
        <v>0</v>
      </c>
      <c r="H404" t="b">
        <f t="shared" si="19"/>
        <v>0</v>
      </c>
      <c r="I404" s="29">
        <f t="shared" si="20"/>
        <v>38933</v>
      </c>
    </row>
    <row r="405" spans="1:9" ht="12.75" customHeight="1" x14ac:dyDescent="0.2">
      <c r="A405" s="28">
        <v>38933</v>
      </c>
      <c r="B405" s="26" t="s">
        <v>4967</v>
      </c>
      <c r="C405" s="26" t="s">
        <v>9</v>
      </c>
      <c r="D405" s="26" t="s">
        <v>20</v>
      </c>
      <c r="E405" s="26">
        <v>5741</v>
      </c>
      <c r="F405" s="26" t="s">
        <v>20</v>
      </c>
      <c r="G405" t="b">
        <f t="shared" si="18"/>
        <v>0</v>
      </c>
      <c r="H405" t="b">
        <f t="shared" si="19"/>
        <v>0</v>
      </c>
      <c r="I405" s="29">
        <f t="shared" si="20"/>
        <v>38933</v>
      </c>
    </row>
    <row r="406" spans="1:9" ht="12.75" customHeight="1" x14ac:dyDescent="0.2">
      <c r="A406" s="28">
        <v>38933</v>
      </c>
      <c r="B406" s="26" t="s">
        <v>4966</v>
      </c>
      <c r="C406" s="26" t="s">
        <v>9</v>
      </c>
      <c r="D406" s="26" t="s">
        <v>20</v>
      </c>
      <c r="E406" s="26">
        <v>300454</v>
      </c>
      <c r="F406" s="26" t="s">
        <v>20</v>
      </c>
      <c r="G406" t="b">
        <f t="shared" si="18"/>
        <v>0</v>
      </c>
      <c r="H406" t="b">
        <f t="shared" si="19"/>
        <v>0</v>
      </c>
      <c r="I406" s="29">
        <f t="shared" si="20"/>
        <v>38933</v>
      </c>
    </row>
    <row r="407" spans="1:9" ht="25.5" x14ac:dyDescent="0.2">
      <c r="A407" s="28">
        <v>38933</v>
      </c>
      <c r="B407" s="26" t="s">
        <v>4965</v>
      </c>
      <c r="C407" s="26" t="s">
        <v>9</v>
      </c>
      <c r="D407" s="26" t="s">
        <v>20</v>
      </c>
      <c r="E407" s="26">
        <v>223137</v>
      </c>
      <c r="F407" s="26">
        <v>275593</v>
      </c>
      <c r="G407" t="b">
        <f t="shared" si="18"/>
        <v>0</v>
      </c>
      <c r="H407" t="b">
        <f t="shared" si="19"/>
        <v>0</v>
      </c>
      <c r="I407" s="29">
        <f t="shared" si="20"/>
        <v>38933</v>
      </c>
    </row>
    <row r="408" spans="1:9" ht="38.25" x14ac:dyDescent="0.2">
      <c r="A408" s="28">
        <v>38933</v>
      </c>
      <c r="B408" s="26" t="s">
        <v>4964</v>
      </c>
      <c r="C408" s="26" t="s">
        <v>2160</v>
      </c>
      <c r="D408" s="26">
        <v>73000000</v>
      </c>
      <c r="E408" s="26">
        <v>148213377</v>
      </c>
      <c r="F408" s="26">
        <v>163013377</v>
      </c>
      <c r="G408" t="b">
        <f t="shared" si="18"/>
        <v>0</v>
      </c>
      <c r="H408" t="b">
        <f t="shared" si="19"/>
        <v>0</v>
      </c>
      <c r="I408" s="29">
        <f t="shared" si="20"/>
        <v>38933</v>
      </c>
    </row>
    <row r="409" spans="1:9" ht="38.25" x14ac:dyDescent="0.2">
      <c r="A409" s="28">
        <v>38933</v>
      </c>
      <c r="B409" s="26" t="s">
        <v>4963</v>
      </c>
      <c r="C409" s="26" t="s">
        <v>2168</v>
      </c>
      <c r="D409" s="26">
        <v>51000000</v>
      </c>
      <c r="E409" s="26">
        <v>72779000</v>
      </c>
      <c r="F409" s="26">
        <v>116618084</v>
      </c>
      <c r="G409" t="b">
        <f t="shared" si="18"/>
        <v>0</v>
      </c>
      <c r="H409" t="b">
        <f t="shared" si="19"/>
        <v>0</v>
      </c>
      <c r="I409" s="29">
        <f t="shared" si="20"/>
        <v>38933</v>
      </c>
    </row>
    <row r="410" spans="1:9" x14ac:dyDescent="0.2">
      <c r="A410" s="28">
        <v>38933</v>
      </c>
      <c r="B410" s="26" t="s">
        <v>4962</v>
      </c>
      <c r="C410" s="26" t="s">
        <v>9</v>
      </c>
      <c r="D410" s="26" t="s">
        <v>20</v>
      </c>
      <c r="E410" s="26">
        <v>55418</v>
      </c>
      <c r="F410" s="26" t="s">
        <v>20</v>
      </c>
      <c r="G410" t="b">
        <f t="shared" si="18"/>
        <v>0</v>
      </c>
      <c r="H410" t="b">
        <f t="shared" si="19"/>
        <v>0</v>
      </c>
      <c r="I410" s="29">
        <f t="shared" si="20"/>
        <v>38933</v>
      </c>
    </row>
    <row r="411" spans="1:9" ht="38.25" x14ac:dyDescent="0.2">
      <c r="A411" s="28">
        <v>38933</v>
      </c>
      <c r="B411" s="26" t="s">
        <v>4961</v>
      </c>
      <c r="C411" s="26" t="s">
        <v>9</v>
      </c>
      <c r="D411" s="26" t="s">
        <v>20</v>
      </c>
      <c r="E411" s="26">
        <v>347</v>
      </c>
      <c r="F411" s="26" t="s">
        <v>20</v>
      </c>
      <c r="G411" t="b">
        <f t="shared" si="18"/>
        <v>0</v>
      </c>
      <c r="H411" t="b">
        <f t="shared" si="19"/>
        <v>0</v>
      </c>
      <c r="I411" s="29">
        <f t="shared" si="20"/>
        <v>38933</v>
      </c>
    </row>
    <row r="412" spans="1:9" ht="25.5" x14ac:dyDescent="0.2">
      <c r="A412" s="28">
        <v>38933</v>
      </c>
      <c r="B412" s="26" t="s">
        <v>4960</v>
      </c>
      <c r="C412" s="26" t="s">
        <v>9</v>
      </c>
      <c r="D412" s="26" t="s">
        <v>20</v>
      </c>
      <c r="E412" s="26">
        <v>3768</v>
      </c>
      <c r="F412" s="26" t="s">
        <v>20</v>
      </c>
      <c r="G412" t="b">
        <f t="shared" si="18"/>
        <v>0</v>
      </c>
      <c r="H412" t="b">
        <f t="shared" si="19"/>
        <v>0</v>
      </c>
      <c r="I412" s="29">
        <f t="shared" si="20"/>
        <v>38933</v>
      </c>
    </row>
    <row r="413" spans="1:9" ht="25.5" x14ac:dyDescent="0.2">
      <c r="A413" s="28">
        <v>38933</v>
      </c>
      <c r="B413" s="26" t="s">
        <v>4959</v>
      </c>
      <c r="C413" s="26" t="s">
        <v>9</v>
      </c>
      <c r="D413" s="26" t="s">
        <v>20</v>
      </c>
      <c r="E413" s="26">
        <v>111728</v>
      </c>
      <c r="F413" s="26" t="s">
        <v>20</v>
      </c>
      <c r="G413" t="b">
        <f t="shared" si="18"/>
        <v>0</v>
      </c>
      <c r="H413" t="b">
        <f t="shared" si="19"/>
        <v>0</v>
      </c>
      <c r="I413" s="29">
        <f t="shared" si="20"/>
        <v>38933</v>
      </c>
    </row>
    <row r="414" spans="1:9" ht="12.75" customHeight="1" x14ac:dyDescent="0.2">
      <c r="A414" s="28">
        <v>38933</v>
      </c>
      <c r="B414" s="26" t="s">
        <v>4958</v>
      </c>
      <c r="C414" s="26" t="s">
        <v>9</v>
      </c>
      <c r="D414" s="26">
        <v>400000</v>
      </c>
      <c r="E414" s="26">
        <v>1692693</v>
      </c>
      <c r="F414" s="26">
        <v>2522787</v>
      </c>
      <c r="G414" t="b">
        <f t="shared" si="18"/>
        <v>0</v>
      </c>
      <c r="H414" t="b">
        <f t="shared" si="19"/>
        <v>0</v>
      </c>
      <c r="I414" s="29">
        <f t="shared" si="20"/>
        <v>38933</v>
      </c>
    </row>
    <row r="415" spans="1:9" ht="12.75" customHeight="1" x14ac:dyDescent="0.2">
      <c r="A415" s="28">
        <v>38933</v>
      </c>
      <c r="B415" s="26" t="s">
        <v>4957</v>
      </c>
      <c r="C415" s="26" t="s">
        <v>3419</v>
      </c>
      <c r="D415" s="26">
        <v>7000000</v>
      </c>
      <c r="E415" s="26">
        <v>26024456</v>
      </c>
      <c r="F415" s="26">
        <v>57029609</v>
      </c>
      <c r="G415" t="b">
        <f t="shared" si="18"/>
        <v>0</v>
      </c>
      <c r="H415" t="b">
        <f t="shared" si="19"/>
        <v>0</v>
      </c>
      <c r="I415" s="29">
        <f t="shared" si="20"/>
        <v>38933</v>
      </c>
    </row>
    <row r="416" spans="1:9" ht="12.75" customHeight="1" x14ac:dyDescent="0.2">
      <c r="A416" s="28">
        <v>38933</v>
      </c>
      <c r="B416" s="26" t="s">
        <v>4956</v>
      </c>
      <c r="C416" s="26" t="s">
        <v>9</v>
      </c>
      <c r="D416" s="26" t="s">
        <v>20</v>
      </c>
      <c r="E416" s="26">
        <v>5342</v>
      </c>
      <c r="F416" s="26" t="s">
        <v>20</v>
      </c>
      <c r="G416" t="b">
        <f t="shared" si="18"/>
        <v>0</v>
      </c>
      <c r="H416" t="b">
        <f t="shared" si="19"/>
        <v>0</v>
      </c>
      <c r="I416" s="29">
        <f t="shared" si="20"/>
        <v>38933</v>
      </c>
    </row>
    <row r="417" spans="1:9" ht="25.5" x14ac:dyDescent="0.2">
      <c r="A417" s="28">
        <v>38934</v>
      </c>
      <c r="B417" s="26" t="s">
        <v>4955</v>
      </c>
      <c r="C417" s="26" t="s">
        <v>9</v>
      </c>
      <c r="D417" s="26" t="s">
        <v>20</v>
      </c>
      <c r="E417" s="26" t="s">
        <v>20</v>
      </c>
      <c r="F417" s="26">
        <v>1441305</v>
      </c>
      <c r="G417" t="b">
        <f t="shared" si="18"/>
        <v>0</v>
      </c>
      <c r="H417" t="b">
        <f t="shared" si="19"/>
        <v>0</v>
      </c>
      <c r="I417" s="29">
        <f t="shared" si="20"/>
        <v>38934</v>
      </c>
    </row>
    <row r="418" spans="1:9" ht="38.25" x14ac:dyDescent="0.2">
      <c r="A418" s="28">
        <v>38937</v>
      </c>
      <c r="B418" s="26" t="s">
        <v>4954</v>
      </c>
      <c r="C418" s="26" t="s">
        <v>9</v>
      </c>
      <c r="D418" s="26" t="s">
        <v>20</v>
      </c>
      <c r="E418" s="26" t="s">
        <v>20</v>
      </c>
      <c r="F418" s="26" t="s">
        <v>20</v>
      </c>
      <c r="G418" t="b">
        <f t="shared" si="18"/>
        <v>0</v>
      </c>
      <c r="H418" t="b">
        <f t="shared" si="19"/>
        <v>0</v>
      </c>
      <c r="I418" s="29">
        <f t="shared" si="20"/>
        <v>38937</v>
      </c>
    </row>
    <row r="419" spans="1:9" ht="25.5" x14ac:dyDescent="0.2">
      <c r="A419" s="28">
        <v>38937</v>
      </c>
      <c r="B419" s="26" t="s">
        <v>4953</v>
      </c>
      <c r="C419" s="26" t="s">
        <v>9</v>
      </c>
      <c r="D419" s="26" t="s">
        <v>20</v>
      </c>
      <c r="E419" s="26" t="s">
        <v>20</v>
      </c>
      <c r="F419" s="26" t="s">
        <v>20</v>
      </c>
      <c r="G419" t="b">
        <f t="shared" si="18"/>
        <v>0</v>
      </c>
      <c r="H419" t="b">
        <f t="shared" si="19"/>
        <v>0</v>
      </c>
      <c r="I419" s="29">
        <f t="shared" si="20"/>
        <v>38937</v>
      </c>
    </row>
    <row r="420" spans="1:9" ht="12.75" customHeight="1" x14ac:dyDescent="0.2">
      <c r="A420" s="28">
        <v>38938</v>
      </c>
      <c r="B420" s="26" t="s">
        <v>4952</v>
      </c>
      <c r="C420" s="26" t="s">
        <v>9</v>
      </c>
      <c r="D420" s="26" t="s">
        <v>20</v>
      </c>
      <c r="E420" s="26">
        <v>62062</v>
      </c>
      <c r="F420" s="26" t="s">
        <v>20</v>
      </c>
      <c r="G420" t="b">
        <f t="shared" si="18"/>
        <v>0</v>
      </c>
      <c r="H420" t="b">
        <f t="shared" si="19"/>
        <v>0</v>
      </c>
      <c r="I420" s="29">
        <f t="shared" si="20"/>
        <v>38938</v>
      </c>
    </row>
    <row r="421" spans="1:9" ht="12.75" customHeight="1" x14ac:dyDescent="0.2">
      <c r="A421" s="28">
        <v>38938</v>
      </c>
      <c r="B421" s="26" t="s">
        <v>4951</v>
      </c>
      <c r="C421" s="26" t="s">
        <v>9</v>
      </c>
      <c r="D421" s="26" t="s">
        <v>20</v>
      </c>
      <c r="E421" s="26">
        <v>48324</v>
      </c>
      <c r="F421" s="26" t="s">
        <v>20</v>
      </c>
      <c r="G421" t="b">
        <f t="shared" si="18"/>
        <v>0</v>
      </c>
      <c r="H421" t="b">
        <f t="shared" si="19"/>
        <v>0</v>
      </c>
      <c r="I421" s="29">
        <f t="shared" si="20"/>
        <v>38938</v>
      </c>
    </row>
    <row r="422" spans="1:9" ht="25.5" x14ac:dyDescent="0.2">
      <c r="A422" s="28">
        <v>38938</v>
      </c>
      <c r="B422" s="26" t="s">
        <v>4950</v>
      </c>
      <c r="C422" s="26" t="s">
        <v>2168</v>
      </c>
      <c r="D422" s="26">
        <v>65000000</v>
      </c>
      <c r="E422" s="26">
        <v>70278893</v>
      </c>
      <c r="F422" s="26">
        <v>163278893</v>
      </c>
      <c r="G422" t="b">
        <f t="shared" si="18"/>
        <v>0</v>
      </c>
      <c r="H422" t="b">
        <f t="shared" si="19"/>
        <v>0</v>
      </c>
      <c r="I422" s="29">
        <f t="shared" si="20"/>
        <v>38938</v>
      </c>
    </row>
    <row r="423" spans="1:9" ht="12.75" customHeight="1" x14ac:dyDescent="0.2">
      <c r="A423" s="28">
        <v>38939</v>
      </c>
      <c r="B423" s="26" t="s">
        <v>4949</v>
      </c>
      <c r="C423" s="26" t="s">
        <v>9</v>
      </c>
      <c r="D423" s="26" t="s">
        <v>20</v>
      </c>
      <c r="E423" s="26" t="s">
        <v>20</v>
      </c>
      <c r="F423" s="26">
        <v>5641862</v>
      </c>
      <c r="G423" t="b">
        <f t="shared" si="18"/>
        <v>0</v>
      </c>
      <c r="H423" t="b">
        <f t="shared" si="19"/>
        <v>0</v>
      </c>
      <c r="I423" s="29">
        <f t="shared" si="20"/>
        <v>38939</v>
      </c>
    </row>
    <row r="424" spans="1:9" ht="25.5" x14ac:dyDescent="0.2">
      <c r="A424" s="28">
        <v>38939</v>
      </c>
      <c r="B424" s="26" t="s">
        <v>4948</v>
      </c>
      <c r="C424" s="26" t="s">
        <v>9</v>
      </c>
      <c r="D424" s="26" t="s">
        <v>20</v>
      </c>
      <c r="E424" s="26" t="s">
        <v>20</v>
      </c>
      <c r="F424" s="26">
        <v>2396619</v>
      </c>
      <c r="G424" t="b">
        <f t="shared" si="18"/>
        <v>0</v>
      </c>
      <c r="H424" t="b">
        <f t="shared" si="19"/>
        <v>0</v>
      </c>
      <c r="I424" s="29">
        <f t="shared" si="20"/>
        <v>38939</v>
      </c>
    </row>
    <row r="425" spans="1:9" ht="12.75" customHeight="1" x14ac:dyDescent="0.2">
      <c r="A425" s="28">
        <v>38940</v>
      </c>
      <c r="B425" s="26" t="s">
        <v>4947</v>
      </c>
      <c r="C425" s="26" t="s">
        <v>3390</v>
      </c>
      <c r="D425" s="26">
        <v>12000000</v>
      </c>
      <c r="E425" s="26">
        <v>65328121</v>
      </c>
      <c r="F425" s="26">
        <v>115328121</v>
      </c>
      <c r="G425" t="b">
        <f t="shared" si="18"/>
        <v>0</v>
      </c>
      <c r="H425" t="b">
        <f t="shared" si="19"/>
        <v>0</v>
      </c>
      <c r="I425" s="29">
        <f t="shared" si="20"/>
        <v>38940</v>
      </c>
    </row>
    <row r="426" spans="1:9" ht="12.75" customHeight="1" x14ac:dyDescent="0.2">
      <c r="A426" s="28">
        <v>38940</v>
      </c>
      <c r="B426" s="26" t="s">
        <v>4946</v>
      </c>
      <c r="C426" s="26" t="s">
        <v>9</v>
      </c>
      <c r="D426" s="26" t="s">
        <v>20</v>
      </c>
      <c r="E426" s="26">
        <v>2623</v>
      </c>
      <c r="F426" s="26" t="s">
        <v>20</v>
      </c>
      <c r="G426" t="b">
        <f t="shared" si="18"/>
        <v>0</v>
      </c>
      <c r="H426" t="b">
        <f t="shared" si="19"/>
        <v>0</v>
      </c>
      <c r="I426" s="29">
        <f t="shared" si="20"/>
        <v>38940</v>
      </c>
    </row>
    <row r="427" spans="1:9" ht="12.75" customHeight="1" x14ac:dyDescent="0.2">
      <c r="A427" s="28">
        <v>38940</v>
      </c>
      <c r="B427" s="26" t="s">
        <v>4945</v>
      </c>
      <c r="C427" s="26" t="s">
        <v>2160</v>
      </c>
      <c r="D427" s="26">
        <v>35000000</v>
      </c>
      <c r="E427" s="26">
        <v>11989328</v>
      </c>
      <c r="F427" s="26">
        <v>12506188</v>
      </c>
      <c r="G427" t="b">
        <f t="shared" si="18"/>
        <v>0</v>
      </c>
      <c r="H427" t="b">
        <f t="shared" si="19"/>
        <v>0</v>
      </c>
      <c r="I427" s="29">
        <f t="shared" si="20"/>
        <v>38940</v>
      </c>
    </row>
    <row r="428" spans="1:9" ht="25.5" x14ac:dyDescent="0.2">
      <c r="A428" s="28">
        <v>38940</v>
      </c>
      <c r="B428" s="26" t="s">
        <v>4944</v>
      </c>
      <c r="C428" s="26" t="s">
        <v>9</v>
      </c>
      <c r="D428" s="26" t="s">
        <v>20</v>
      </c>
      <c r="E428" s="26">
        <v>208691</v>
      </c>
      <c r="F428" s="26">
        <v>3325937</v>
      </c>
      <c r="G428" t="b">
        <f t="shared" si="18"/>
        <v>0</v>
      </c>
      <c r="H428" t="b">
        <f t="shared" si="19"/>
        <v>0</v>
      </c>
      <c r="I428" s="29">
        <f t="shared" si="20"/>
        <v>38940</v>
      </c>
    </row>
    <row r="429" spans="1:9" ht="25.5" x14ac:dyDescent="0.2">
      <c r="A429" s="28">
        <v>38940</v>
      </c>
      <c r="B429" s="26" t="s">
        <v>4943</v>
      </c>
      <c r="C429" s="26" t="s">
        <v>4942</v>
      </c>
      <c r="D429" s="26" t="s">
        <v>20</v>
      </c>
      <c r="E429" s="26">
        <v>11455</v>
      </c>
      <c r="F429" s="26" t="s">
        <v>20</v>
      </c>
      <c r="G429" t="b">
        <f t="shared" si="18"/>
        <v>0</v>
      </c>
      <c r="H429" t="b">
        <f t="shared" si="19"/>
        <v>0</v>
      </c>
      <c r="I429" s="29">
        <f t="shared" si="20"/>
        <v>38940</v>
      </c>
    </row>
    <row r="430" spans="1:9" ht="25.5" x14ac:dyDescent="0.2">
      <c r="A430" s="28">
        <v>38940</v>
      </c>
      <c r="B430" s="26" t="s">
        <v>4941</v>
      </c>
      <c r="C430" s="26" t="s">
        <v>9</v>
      </c>
      <c r="D430" s="26" t="s">
        <v>20</v>
      </c>
      <c r="E430" s="26">
        <v>967</v>
      </c>
      <c r="F430" s="26" t="s">
        <v>20</v>
      </c>
      <c r="G430" t="b">
        <f t="shared" si="18"/>
        <v>0</v>
      </c>
      <c r="H430" t="b">
        <f t="shared" si="19"/>
        <v>0</v>
      </c>
      <c r="I430" s="29">
        <f t="shared" si="20"/>
        <v>38940</v>
      </c>
    </row>
    <row r="431" spans="1:9" ht="12.75" customHeight="1" x14ac:dyDescent="0.2">
      <c r="A431" s="28">
        <v>38940</v>
      </c>
      <c r="B431" s="26" t="s">
        <v>4940</v>
      </c>
      <c r="C431" s="26" t="s">
        <v>3233</v>
      </c>
      <c r="D431" s="26" t="s">
        <v>20</v>
      </c>
      <c r="E431" s="26">
        <v>2697938</v>
      </c>
      <c r="F431" s="26">
        <v>4616941</v>
      </c>
      <c r="G431" t="b">
        <f t="shared" si="18"/>
        <v>0</v>
      </c>
      <c r="H431" t="b">
        <f t="shared" si="19"/>
        <v>0</v>
      </c>
      <c r="I431" s="29">
        <f t="shared" si="20"/>
        <v>38940</v>
      </c>
    </row>
    <row r="432" spans="1:9" ht="12.75" customHeight="1" x14ac:dyDescent="0.2">
      <c r="A432" s="28">
        <v>38940</v>
      </c>
      <c r="B432" s="26" t="s">
        <v>4939</v>
      </c>
      <c r="C432" s="26" t="s">
        <v>9</v>
      </c>
      <c r="D432" s="26" t="s">
        <v>20</v>
      </c>
      <c r="E432" s="26" t="s">
        <v>20</v>
      </c>
      <c r="F432" s="26" t="s">
        <v>20</v>
      </c>
      <c r="G432" t="b">
        <f t="shared" si="18"/>
        <v>0</v>
      </c>
      <c r="H432" t="b">
        <f t="shared" si="19"/>
        <v>0</v>
      </c>
      <c r="I432" s="29">
        <f t="shared" si="20"/>
        <v>38940</v>
      </c>
    </row>
    <row r="433" spans="1:9" ht="12.75" customHeight="1" x14ac:dyDescent="0.2">
      <c r="A433" s="28">
        <v>38940</v>
      </c>
      <c r="B433" s="26" t="s">
        <v>4938</v>
      </c>
      <c r="C433" s="26" t="s">
        <v>9</v>
      </c>
      <c r="D433" s="26" t="s">
        <v>20</v>
      </c>
      <c r="E433" s="26">
        <v>579539</v>
      </c>
      <c r="F433" s="26" t="s">
        <v>20</v>
      </c>
      <c r="G433" t="b">
        <f t="shared" si="18"/>
        <v>0</v>
      </c>
      <c r="H433" t="b">
        <f t="shared" si="19"/>
        <v>0</v>
      </c>
      <c r="I433" s="29">
        <f t="shared" si="20"/>
        <v>38940</v>
      </c>
    </row>
    <row r="434" spans="1:9" ht="25.5" x14ac:dyDescent="0.2">
      <c r="A434" s="28">
        <v>38940</v>
      </c>
      <c r="B434" s="26" t="s">
        <v>4937</v>
      </c>
      <c r="C434" s="26" t="s">
        <v>9</v>
      </c>
      <c r="D434" s="26">
        <v>10750000</v>
      </c>
      <c r="E434" s="26">
        <v>3275443</v>
      </c>
      <c r="F434" s="26">
        <v>32575443</v>
      </c>
      <c r="G434" t="b">
        <f t="shared" si="18"/>
        <v>0</v>
      </c>
      <c r="H434" t="b">
        <f t="shared" si="19"/>
        <v>0</v>
      </c>
      <c r="I434" s="29">
        <f t="shared" si="20"/>
        <v>38940</v>
      </c>
    </row>
    <row r="435" spans="1:9" ht="25.5" x14ac:dyDescent="0.2">
      <c r="A435" s="28">
        <v>38940</v>
      </c>
      <c r="B435" s="26" t="s">
        <v>4936</v>
      </c>
      <c r="C435" s="26" t="s">
        <v>4935</v>
      </c>
      <c r="D435" s="26" t="s">
        <v>20</v>
      </c>
      <c r="E435" s="26">
        <v>379418</v>
      </c>
      <c r="F435" s="26">
        <v>909061</v>
      </c>
      <c r="G435" t="b">
        <f t="shared" ref="G435:G497" si="21">ISBLANK(A435)</f>
        <v>0</v>
      </c>
      <c r="H435" t="b">
        <f t="shared" ref="H435:H497" si="22">ISTEXT(A435)</f>
        <v>0</v>
      </c>
      <c r="I435" s="29">
        <f t="shared" ref="I435:I497" si="23">DATE(2006,MONTH(A435), DAY(A435))</f>
        <v>38940</v>
      </c>
    </row>
    <row r="436" spans="1:9" ht="12.75" customHeight="1" x14ac:dyDescent="0.2">
      <c r="A436" s="28">
        <v>38940</v>
      </c>
      <c r="B436" s="26" t="s">
        <v>4934</v>
      </c>
      <c r="C436" s="26" t="s">
        <v>9</v>
      </c>
      <c r="D436" s="26">
        <v>3750000</v>
      </c>
      <c r="E436" s="26">
        <v>539285</v>
      </c>
      <c r="F436" s="26">
        <v>1178175</v>
      </c>
      <c r="G436" t="b">
        <f t="shared" si="21"/>
        <v>0</v>
      </c>
      <c r="H436" t="b">
        <f t="shared" si="22"/>
        <v>0</v>
      </c>
      <c r="I436" s="29">
        <f t="shared" si="23"/>
        <v>38940</v>
      </c>
    </row>
    <row r="437" spans="1:9" ht="12.75" customHeight="1" x14ac:dyDescent="0.2">
      <c r="A437" s="28">
        <v>38940</v>
      </c>
      <c r="B437" s="26" t="s">
        <v>4933</v>
      </c>
      <c r="C437" s="26" t="s">
        <v>49</v>
      </c>
      <c r="D437" s="26">
        <v>7500000</v>
      </c>
      <c r="E437" s="26">
        <v>20264436</v>
      </c>
      <c r="F437" s="26">
        <v>29771485</v>
      </c>
      <c r="G437" t="b">
        <f t="shared" si="21"/>
        <v>0</v>
      </c>
      <c r="H437" t="b">
        <f t="shared" si="22"/>
        <v>0</v>
      </c>
      <c r="I437" s="29">
        <f t="shared" si="23"/>
        <v>38940</v>
      </c>
    </row>
    <row r="438" spans="1:9" ht="38.25" x14ac:dyDescent="0.2">
      <c r="A438" s="28">
        <v>38944</v>
      </c>
      <c r="B438" s="26" t="s">
        <v>4932</v>
      </c>
      <c r="C438" s="26" t="s">
        <v>2160</v>
      </c>
      <c r="D438" s="26" t="s">
        <v>20</v>
      </c>
      <c r="E438" s="26" t="s">
        <v>20</v>
      </c>
      <c r="F438" s="26" t="s">
        <v>20</v>
      </c>
      <c r="G438" t="b">
        <f t="shared" si="21"/>
        <v>0</v>
      </c>
      <c r="H438" t="b">
        <f t="shared" si="22"/>
        <v>0</v>
      </c>
      <c r="I438" s="29">
        <f t="shared" si="23"/>
        <v>38944</v>
      </c>
    </row>
    <row r="439" spans="1:9" ht="25.5" x14ac:dyDescent="0.2">
      <c r="A439" s="28">
        <v>38944</v>
      </c>
      <c r="B439" s="26" t="s">
        <v>4931</v>
      </c>
      <c r="C439" s="26" t="s">
        <v>9</v>
      </c>
      <c r="D439" s="26" t="s">
        <v>20</v>
      </c>
      <c r="E439" s="26">
        <v>3056</v>
      </c>
      <c r="F439" s="26" t="s">
        <v>20</v>
      </c>
      <c r="G439" t="b">
        <f t="shared" si="21"/>
        <v>0</v>
      </c>
      <c r="H439" t="b">
        <f t="shared" si="22"/>
        <v>0</v>
      </c>
      <c r="I439" s="29">
        <f t="shared" si="23"/>
        <v>38944</v>
      </c>
    </row>
    <row r="440" spans="1:9" ht="12.75" customHeight="1" x14ac:dyDescent="0.2">
      <c r="A440" s="28">
        <v>38946</v>
      </c>
      <c r="B440" s="26" t="s">
        <v>4930</v>
      </c>
      <c r="C440" s="26" t="s">
        <v>9</v>
      </c>
      <c r="D440" s="26" t="s">
        <v>20</v>
      </c>
      <c r="E440" s="26" t="s">
        <v>20</v>
      </c>
      <c r="F440" s="26">
        <v>2185663</v>
      </c>
      <c r="G440" t="b">
        <f t="shared" si="21"/>
        <v>0</v>
      </c>
      <c r="H440" t="b">
        <f t="shared" si="22"/>
        <v>0</v>
      </c>
      <c r="I440" s="29">
        <f t="shared" si="23"/>
        <v>38946</v>
      </c>
    </row>
    <row r="441" spans="1:9" ht="25.5" x14ac:dyDescent="0.2">
      <c r="A441" s="28">
        <v>38947</v>
      </c>
      <c r="B441" s="26" t="s">
        <v>4929</v>
      </c>
      <c r="C441" s="26" t="s">
        <v>9</v>
      </c>
      <c r="D441" s="26" t="s">
        <v>20</v>
      </c>
      <c r="E441" s="26">
        <v>62356</v>
      </c>
      <c r="F441" s="26" t="s">
        <v>20</v>
      </c>
      <c r="G441" t="b">
        <f t="shared" si="21"/>
        <v>0</v>
      </c>
      <c r="H441" t="b">
        <f t="shared" si="22"/>
        <v>0</v>
      </c>
      <c r="I441" s="29">
        <f t="shared" si="23"/>
        <v>38947</v>
      </c>
    </row>
    <row r="442" spans="1:9" x14ac:dyDescent="0.2">
      <c r="A442" s="28">
        <v>38947</v>
      </c>
      <c r="B442" s="26" t="s">
        <v>4928</v>
      </c>
      <c r="C442" s="26" t="s">
        <v>9</v>
      </c>
      <c r="D442" s="26" t="s">
        <v>20</v>
      </c>
      <c r="E442" s="26">
        <v>4815</v>
      </c>
      <c r="F442" s="26" t="s">
        <v>20</v>
      </c>
      <c r="G442" t="b">
        <f t="shared" si="21"/>
        <v>0</v>
      </c>
      <c r="H442" t="b">
        <f t="shared" si="22"/>
        <v>0</v>
      </c>
      <c r="I442" s="29">
        <f t="shared" si="23"/>
        <v>38947</v>
      </c>
    </row>
    <row r="443" spans="1:9" ht="25.5" x14ac:dyDescent="0.2">
      <c r="A443" s="28">
        <v>38947</v>
      </c>
      <c r="B443" s="26" t="s">
        <v>4927</v>
      </c>
      <c r="C443" s="26" t="s">
        <v>9</v>
      </c>
      <c r="D443" s="26" t="s">
        <v>20</v>
      </c>
      <c r="E443" s="26">
        <v>5194</v>
      </c>
      <c r="F443" s="26" t="s">
        <v>20</v>
      </c>
      <c r="G443" t="b">
        <f t="shared" si="21"/>
        <v>0</v>
      </c>
      <c r="H443" t="b">
        <f t="shared" si="22"/>
        <v>0</v>
      </c>
      <c r="I443" s="29">
        <f t="shared" si="23"/>
        <v>38947</v>
      </c>
    </row>
    <row r="444" spans="1:9" ht="12.75" customHeight="1" x14ac:dyDescent="0.2">
      <c r="A444" s="28">
        <v>38947</v>
      </c>
      <c r="B444" s="26" t="s">
        <v>4926</v>
      </c>
      <c r="C444" s="26" t="s">
        <v>9</v>
      </c>
      <c r="D444" s="26">
        <v>16500000</v>
      </c>
      <c r="E444" s="26">
        <v>39868642</v>
      </c>
      <c r="F444" s="26">
        <v>84276175</v>
      </c>
      <c r="G444" t="b">
        <f t="shared" si="21"/>
        <v>0</v>
      </c>
      <c r="H444" t="b">
        <f t="shared" si="22"/>
        <v>0</v>
      </c>
      <c r="I444" s="29">
        <f t="shared" si="23"/>
        <v>38947</v>
      </c>
    </row>
    <row r="445" spans="1:9" ht="12.75" customHeight="1" x14ac:dyDescent="0.2">
      <c r="A445" s="28">
        <v>38947</v>
      </c>
      <c r="B445" s="26" t="s">
        <v>4925</v>
      </c>
      <c r="C445" s="26" t="s">
        <v>571</v>
      </c>
      <c r="D445" s="26" t="s">
        <v>20</v>
      </c>
      <c r="E445" s="26">
        <v>14982</v>
      </c>
      <c r="F445" s="26" t="s">
        <v>20</v>
      </c>
      <c r="G445" t="b">
        <f t="shared" si="21"/>
        <v>0</v>
      </c>
      <c r="H445" t="b">
        <f t="shared" si="22"/>
        <v>0</v>
      </c>
      <c r="I445" s="29">
        <f t="shared" si="23"/>
        <v>38947</v>
      </c>
    </row>
    <row r="446" spans="1:9" ht="25.5" x14ac:dyDescent="0.2">
      <c r="A446" s="28">
        <v>38947</v>
      </c>
      <c r="B446" s="26" t="s">
        <v>4924</v>
      </c>
      <c r="C446" s="26" t="s">
        <v>2460</v>
      </c>
      <c r="D446" s="26">
        <v>33000000</v>
      </c>
      <c r="E446" s="26">
        <v>34020814</v>
      </c>
      <c r="F446" s="26">
        <v>62020814</v>
      </c>
      <c r="G446" t="b">
        <f t="shared" si="21"/>
        <v>0</v>
      </c>
      <c r="H446" t="b">
        <f t="shared" si="22"/>
        <v>0</v>
      </c>
      <c r="I446" s="29">
        <f t="shared" si="23"/>
        <v>38947</v>
      </c>
    </row>
    <row r="447" spans="1:9" ht="12.75" customHeight="1" x14ac:dyDescent="0.2">
      <c r="A447" s="28">
        <v>38947</v>
      </c>
      <c r="B447" s="26" t="s">
        <v>4923</v>
      </c>
      <c r="C447" s="26" t="s">
        <v>9</v>
      </c>
      <c r="D447" s="26" t="s">
        <v>20</v>
      </c>
      <c r="E447" s="26">
        <v>11449638</v>
      </c>
      <c r="F447" s="26">
        <v>12449638</v>
      </c>
      <c r="G447" t="b">
        <f t="shared" si="21"/>
        <v>0</v>
      </c>
      <c r="H447" t="b">
        <f t="shared" si="22"/>
        <v>0</v>
      </c>
      <c r="I447" s="29">
        <f t="shared" si="23"/>
        <v>38947</v>
      </c>
    </row>
    <row r="448" spans="1:9" ht="12.75" customHeight="1" x14ac:dyDescent="0.2">
      <c r="A448" s="28">
        <v>38947</v>
      </c>
      <c r="B448" s="26" t="s">
        <v>4922</v>
      </c>
      <c r="C448" s="26" t="s">
        <v>849</v>
      </c>
      <c r="D448" s="26" t="s">
        <v>20</v>
      </c>
      <c r="E448" s="26">
        <v>808221</v>
      </c>
      <c r="F448" s="26">
        <v>2708087</v>
      </c>
      <c r="G448" t="b">
        <f t="shared" si="21"/>
        <v>0</v>
      </c>
      <c r="H448" t="b">
        <f t="shared" si="22"/>
        <v>0</v>
      </c>
      <c r="I448" s="29">
        <f t="shared" si="23"/>
        <v>38947</v>
      </c>
    </row>
    <row r="449" spans="1:9" ht="12.75" customHeight="1" x14ac:dyDescent="0.2">
      <c r="A449" s="28">
        <v>38947</v>
      </c>
      <c r="B449" s="26" t="s">
        <v>4921</v>
      </c>
      <c r="C449" s="26" t="s">
        <v>155</v>
      </c>
      <c r="D449" s="26">
        <v>9000000</v>
      </c>
      <c r="E449" s="26">
        <v>1530535</v>
      </c>
      <c r="F449" s="26">
        <v>2548378</v>
      </c>
      <c r="G449" t="b">
        <f t="shared" si="21"/>
        <v>0</v>
      </c>
      <c r="H449" t="b">
        <f t="shared" si="22"/>
        <v>0</v>
      </c>
      <c r="I449" s="29">
        <f t="shared" si="23"/>
        <v>38947</v>
      </c>
    </row>
    <row r="450" spans="1:9" ht="12.75" customHeight="1" x14ac:dyDescent="0.2">
      <c r="A450" s="28">
        <v>38947</v>
      </c>
      <c r="B450" s="26" t="s">
        <v>4920</v>
      </c>
      <c r="C450" s="26" t="s">
        <v>3096</v>
      </c>
      <c r="D450" s="26" t="s">
        <v>20</v>
      </c>
      <c r="E450" s="26">
        <v>36580083</v>
      </c>
      <c r="F450" s="26">
        <v>38314803</v>
      </c>
      <c r="G450" t="b">
        <f t="shared" si="21"/>
        <v>0</v>
      </c>
      <c r="H450" t="b">
        <f t="shared" si="22"/>
        <v>0</v>
      </c>
      <c r="I450" s="29">
        <f t="shared" si="23"/>
        <v>38947</v>
      </c>
    </row>
    <row r="451" spans="1:9" ht="12.75" customHeight="1" x14ac:dyDescent="0.2">
      <c r="A451" s="28">
        <v>38947</v>
      </c>
      <c r="B451" s="26" t="s">
        <v>4919</v>
      </c>
      <c r="C451" s="26" t="s">
        <v>9</v>
      </c>
      <c r="D451" s="26">
        <v>8000000</v>
      </c>
      <c r="E451" s="26">
        <v>54702</v>
      </c>
      <c r="F451" s="26" t="s">
        <v>20</v>
      </c>
      <c r="G451" t="b">
        <f t="shared" si="21"/>
        <v>0</v>
      </c>
      <c r="H451" t="b">
        <f t="shared" si="22"/>
        <v>0</v>
      </c>
      <c r="I451" s="29">
        <f t="shared" si="23"/>
        <v>38947</v>
      </c>
    </row>
    <row r="452" spans="1:9" ht="25.5" x14ac:dyDescent="0.2">
      <c r="A452" s="28">
        <v>38948</v>
      </c>
      <c r="B452" s="26" t="s">
        <v>4918</v>
      </c>
      <c r="C452" s="26" t="s">
        <v>9</v>
      </c>
      <c r="D452" s="26" t="s">
        <v>20</v>
      </c>
      <c r="E452" s="26" t="s">
        <v>20</v>
      </c>
      <c r="F452" s="26">
        <v>1006324</v>
      </c>
      <c r="G452" t="b">
        <f t="shared" si="21"/>
        <v>0</v>
      </c>
      <c r="H452" t="b">
        <f t="shared" si="22"/>
        <v>0</v>
      </c>
      <c r="I452" s="29">
        <f t="shared" si="23"/>
        <v>38948</v>
      </c>
    </row>
    <row r="453" spans="1:9" ht="38.25" x14ac:dyDescent="0.2">
      <c r="A453" s="28">
        <v>38951</v>
      </c>
      <c r="B453" s="26" t="s">
        <v>4917</v>
      </c>
      <c r="C453" s="26" t="s">
        <v>9</v>
      </c>
      <c r="D453" s="26" t="s">
        <v>20</v>
      </c>
      <c r="E453" s="26" t="s">
        <v>20</v>
      </c>
      <c r="F453" s="26" t="s">
        <v>20</v>
      </c>
      <c r="G453" t="b">
        <f t="shared" si="21"/>
        <v>0</v>
      </c>
      <c r="H453" t="b">
        <f t="shared" si="22"/>
        <v>0</v>
      </c>
      <c r="I453" s="29">
        <f t="shared" si="23"/>
        <v>38951</v>
      </c>
    </row>
    <row r="454" spans="1:9" ht="12.75" customHeight="1" x14ac:dyDescent="0.2">
      <c r="A454" s="28">
        <v>38952</v>
      </c>
      <c r="B454" s="26" t="s">
        <v>4916</v>
      </c>
      <c r="C454" s="26" t="s">
        <v>9</v>
      </c>
      <c r="D454" s="26" t="s">
        <v>20</v>
      </c>
      <c r="E454" s="26">
        <v>29472</v>
      </c>
      <c r="F454" s="26" t="s">
        <v>20</v>
      </c>
      <c r="G454" t="b">
        <f t="shared" si="21"/>
        <v>0</v>
      </c>
      <c r="H454" t="b">
        <f t="shared" si="22"/>
        <v>0</v>
      </c>
      <c r="I454" s="29">
        <f t="shared" si="23"/>
        <v>38952</v>
      </c>
    </row>
    <row r="455" spans="1:9" ht="25.5" x14ac:dyDescent="0.2">
      <c r="A455" s="28">
        <v>38953</v>
      </c>
      <c r="B455" s="26" t="s">
        <v>4915</v>
      </c>
      <c r="C455" s="26" t="s">
        <v>9</v>
      </c>
      <c r="D455" s="26" t="s">
        <v>20</v>
      </c>
      <c r="E455" s="26" t="s">
        <v>20</v>
      </c>
      <c r="F455" s="26">
        <v>4620791</v>
      </c>
      <c r="G455" t="b">
        <f t="shared" si="21"/>
        <v>0</v>
      </c>
      <c r="H455" t="b">
        <f t="shared" si="22"/>
        <v>0</v>
      </c>
      <c r="I455" s="29">
        <f t="shared" si="23"/>
        <v>38953</v>
      </c>
    </row>
    <row r="456" spans="1:9" ht="12.75" customHeight="1" x14ac:dyDescent="0.2">
      <c r="A456" s="28">
        <v>38953</v>
      </c>
      <c r="B456" s="26" t="s">
        <v>4914</v>
      </c>
      <c r="C456" s="26" t="s">
        <v>9</v>
      </c>
      <c r="D456" s="26" t="s">
        <v>20</v>
      </c>
      <c r="E456" s="26" t="s">
        <v>20</v>
      </c>
      <c r="F456" s="26">
        <v>1857511</v>
      </c>
      <c r="G456" t="b">
        <f t="shared" si="21"/>
        <v>0</v>
      </c>
      <c r="H456" t="b">
        <f t="shared" si="22"/>
        <v>0</v>
      </c>
      <c r="I456" s="29">
        <f t="shared" si="23"/>
        <v>38953</v>
      </c>
    </row>
    <row r="457" spans="1:9" ht="12.75" customHeight="1" x14ac:dyDescent="0.2">
      <c r="A457" s="28">
        <v>38953</v>
      </c>
      <c r="B457" s="26" t="s">
        <v>4913</v>
      </c>
      <c r="C457" s="26" t="s">
        <v>9</v>
      </c>
      <c r="D457" s="26" t="s">
        <v>20</v>
      </c>
      <c r="E457" s="26" t="s">
        <v>20</v>
      </c>
      <c r="F457" s="26">
        <v>1595545</v>
      </c>
      <c r="G457" t="b">
        <f t="shared" si="21"/>
        <v>0</v>
      </c>
      <c r="H457" t="b">
        <f t="shared" si="22"/>
        <v>0</v>
      </c>
      <c r="I457" s="29">
        <f t="shared" si="23"/>
        <v>38953</v>
      </c>
    </row>
    <row r="458" spans="1:9" ht="12.75" customHeight="1" x14ac:dyDescent="0.2">
      <c r="A458" s="28">
        <v>38954</v>
      </c>
      <c r="B458" s="26" t="s">
        <v>4912</v>
      </c>
      <c r="C458" s="26" t="s">
        <v>3096</v>
      </c>
      <c r="D458" s="26">
        <v>15000000</v>
      </c>
      <c r="E458" s="26">
        <v>12669914</v>
      </c>
      <c r="F458" s="26" t="s">
        <v>20</v>
      </c>
      <c r="G458" t="b">
        <f t="shared" si="21"/>
        <v>0</v>
      </c>
      <c r="H458" t="b">
        <f t="shared" si="22"/>
        <v>0</v>
      </c>
      <c r="I458" s="29">
        <f t="shared" si="23"/>
        <v>38954</v>
      </c>
    </row>
    <row r="459" spans="1:9" ht="12.75" customHeight="1" x14ac:dyDescent="0.2">
      <c r="A459" s="28">
        <v>38954</v>
      </c>
      <c r="B459" s="26" t="s">
        <v>4911</v>
      </c>
      <c r="C459" s="26" t="s">
        <v>612</v>
      </c>
      <c r="D459" s="26">
        <v>900000</v>
      </c>
      <c r="E459" s="26">
        <v>381420</v>
      </c>
      <c r="F459" s="26" t="s">
        <v>20</v>
      </c>
      <c r="G459" t="b">
        <f t="shared" si="21"/>
        <v>0</v>
      </c>
      <c r="H459" t="b">
        <f t="shared" si="22"/>
        <v>0</v>
      </c>
      <c r="I459" s="29">
        <f t="shared" si="23"/>
        <v>38954</v>
      </c>
    </row>
    <row r="460" spans="1:9" ht="12.75" customHeight="1" x14ac:dyDescent="0.2">
      <c r="A460" s="28">
        <v>38954</v>
      </c>
      <c r="B460" s="26" t="s">
        <v>4910</v>
      </c>
      <c r="C460" s="26" t="s">
        <v>9</v>
      </c>
      <c r="D460" s="26" t="s">
        <v>20</v>
      </c>
      <c r="E460" s="26" t="s">
        <v>20</v>
      </c>
      <c r="F460" s="26" t="s">
        <v>20</v>
      </c>
      <c r="G460" t="b">
        <f t="shared" si="21"/>
        <v>0</v>
      </c>
      <c r="H460" t="b">
        <f t="shared" si="22"/>
        <v>0</v>
      </c>
      <c r="I460" s="29">
        <f t="shared" si="23"/>
        <v>38954</v>
      </c>
    </row>
    <row r="461" spans="1:9" ht="12.75" customHeight="1" x14ac:dyDescent="0.2">
      <c r="A461" s="28">
        <v>38954</v>
      </c>
      <c r="B461" s="26" t="s">
        <v>4909</v>
      </c>
      <c r="C461" s="26" t="s">
        <v>9</v>
      </c>
      <c r="D461" s="26" t="s">
        <v>20</v>
      </c>
      <c r="E461" s="26">
        <v>18239</v>
      </c>
      <c r="F461" s="26" t="s">
        <v>20</v>
      </c>
      <c r="G461" t="b">
        <f t="shared" si="21"/>
        <v>0</v>
      </c>
      <c r="H461" t="b">
        <f t="shared" si="22"/>
        <v>0</v>
      </c>
      <c r="I461" s="29">
        <f t="shared" si="23"/>
        <v>38954</v>
      </c>
    </row>
    <row r="462" spans="1:9" ht="25.5" x14ac:dyDescent="0.2">
      <c r="A462" s="28">
        <v>38954</v>
      </c>
      <c r="B462" s="26" t="s">
        <v>4908</v>
      </c>
      <c r="C462" s="26" t="s">
        <v>2460</v>
      </c>
      <c r="D462" s="26" t="s">
        <v>20</v>
      </c>
      <c r="E462" s="26">
        <v>13040527</v>
      </c>
      <c r="F462" s="26">
        <v>13096314</v>
      </c>
      <c r="G462" t="b">
        <f t="shared" si="21"/>
        <v>0</v>
      </c>
      <c r="H462" t="b">
        <f t="shared" si="22"/>
        <v>0</v>
      </c>
      <c r="I462" s="29">
        <f t="shared" si="23"/>
        <v>38954</v>
      </c>
    </row>
    <row r="463" spans="1:9" ht="12.75" customHeight="1" x14ac:dyDescent="0.2">
      <c r="A463" s="28">
        <v>38954</v>
      </c>
      <c r="B463" s="26" t="s">
        <v>4907</v>
      </c>
      <c r="C463" s="26" t="s">
        <v>9</v>
      </c>
      <c r="D463" s="26" t="s">
        <v>20</v>
      </c>
      <c r="E463" s="26">
        <v>255923</v>
      </c>
      <c r="F463" s="26" t="s">
        <v>20</v>
      </c>
      <c r="G463" t="b">
        <f t="shared" si="21"/>
        <v>0</v>
      </c>
      <c r="H463" t="b">
        <f t="shared" si="22"/>
        <v>0</v>
      </c>
      <c r="I463" s="29">
        <f t="shared" si="23"/>
        <v>38954</v>
      </c>
    </row>
    <row r="464" spans="1:9" ht="12.75" customHeight="1" x14ac:dyDescent="0.2">
      <c r="A464" s="28">
        <v>38954</v>
      </c>
      <c r="B464" s="26" t="s">
        <v>4906</v>
      </c>
      <c r="C464" s="26" t="s">
        <v>9</v>
      </c>
      <c r="D464" s="26" t="s">
        <v>20</v>
      </c>
      <c r="E464" s="26" t="s">
        <v>20</v>
      </c>
      <c r="F464" s="26">
        <v>1713311</v>
      </c>
      <c r="G464" t="b">
        <f t="shared" si="21"/>
        <v>0</v>
      </c>
      <c r="H464" t="b">
        <f t="shared" si="22"/>
        <v>0</v>
      </c>
      <c r="I464" s="29">
        <f t="shared" si="23"/>
        <v>38954</v>
      </c>
    </row>
    <row r="465" spans="1:9" ht="12.75" customHeight="1" x14ac:dyDescent="0.2">
      <c r="A465" s="28">
        <v>38954</v>
      </c>
      <c r="B465" s="26" t="s">
        <v>4905</v>
      </c>
      <c r="C465" s="26" t="s">
        <v>3390</v>
      </c>
      <c r="D465" s="26" t="s">
        <v>20</v>
      </c>
      <c r="E465" s="26">
        <v>57806952</v>
      </c>
      <c r="F465" s="26">
        <v>58480828</v>
      </c>
      <c r="G465" t="b">
        <f t="shared" si="21"/>
        <v>0</v>
      </c>
      <c r="H465" t="b">
        <f t="shared" si="22"/>
        <v>0</v>
      </c>
      <c r="I465" s="29">
        <f t="shared" si="23"/>
        <v>38954</v>
      </c>
    </row>
    <row r="466" spans="1:9" ht="12.75" customHeight="1" x14ac:dyDescent="0.2">
      <c r="A466" s="28">
        <v>38954</v>
      </c>
      <c r="B466" s="26" t="s">
        <v>4904</v>
      </c>
      <c r="C466" s="26" t="s">
        <v>3209</v>
      </c>
      <c r="D466" s="26" t="s">
        <v>20</v>
      </c>
      <c r="E466" s="26">
        <v>19185184</v>
      </c>
      <c r="F466" s="26">
        <v>20159316</v>
      </c>
      <c r="G466" t="b">
        <f t="shared" si="21"/>
        <v>0</v>
      </c>
      <c r="H466" t="b">
        <f t="shared" si="22"/>
        <v>0</v>
      </c>
      <c r="I466" s="29">
        <f t="shared" si="23"/>
        <v>38954</v>
      </c>
    </row>
    <row r="467" spans="1:9" ht="12.75" customHeight="1" x14ac:dyDescent="0.2">
      <c r="A467" s="28">
        <v>38954</v>
      </c>
      <c r="B467" s="26" t="s">
        <v>4903</v>
      </c>
      <c r="C467" s="26" t="s">
        <v>9</v>
      </c>
      <c r="D467" s="26" t="s">
        <v>20</v>
      </c>
      <c r="E467" s="26">
        <v>184927</v>
      </c>
      <c r="F467" s="26" t="s">
        <v>20</v>
      </c>
      <c r="G467" t="b">
        <f t="shared" si="21"/>
        <v>0</v>
      </c>
      <c r="H467" t="b">
        <f t="shared" si="22"/>
        <v>0</v>
      </c>
      <c r="I467" s="29">
        <f t="shared" si="23"/>
        <v>38954</v>
      </c>
    </row>
    <row r="468" spans="1:9" ht="12.75" customHeight="1" x14ac:dyDescent="0.2">
      <c r="A468" s="28">
        <v>38955</v>
      </c>
      <c r="B468" s="26" t="s">
        <v>4902</v>
      </c>
      <c r="C468" s="26" t="s">
        <v>9</v>
      </c>
      <c r="D468" s="26" t="s">
        <v>20</v>
      </c>
      <c r="E468" s="26" t="s">
        <v>20</v>
      </c>
      <c r="F468" s="26">
        <v>7229481</v>
      </c>
      <c r="G468" t="b">
        <f t="shared" si="21"/>
        <v>0</v>
      </c>
      <c r="H468" t="b">
        <f t="shared" si="22"/>
        <v>0</v>
      </c>
      <c r="I468" s="29">
        <f t="shared" si="23"/>
        <v>38955</v>
      </c>
    </row>
    <row r="469" spans="1:9" ht="12.75" customHeight="1" x14ac:dyDescent="0.2">
      <c r="A469" s="28">
        <v>38958</v>
      </c>
      <c r="B469" s="26" t="s">
        <v>4901</v>
      </c>
      <c r="C469" s="26" t="s">
        <v>9</v>
      </c>
      <c r="D469" s="26" t="s">
        <v>20</v>
      </c>
      <c r="E469" s="26" t="s">
        <v>20</v>
      </c>
      <c r="F469" s="26" t="s">
        <v>20</v>
      </c>
      <c r="G469" t="b">
        <f t="shared" si="21"/>
        <v>0</v>
      </c>
      <c r="H469" t="b">
        <f t="shared" si="22"/>
        <v>0</v>
      </c>
      <c r="I469" s="29">
        <f t="shared" si="23"/>
        <v>38958</v>
      </c>
    </row>
    <row r="470" spans="1:9" ht="12.75" customHeight="1" x14ac:dyDescent="0.2">
      <c r="A470" s="28">
        <v>38960</v>
      </c>
      <c r="B470" s="26" t="s">
        <v>4900</v>
      </c>
      <c r="C470" s="26" t="s">
        <v>9</v>
      </c>
      <c r="D470" s="26" t="s">
        <v>20</v>
      </c>
      <c r="E470" s="26" t="s">
        <v>20</v>
      </c>
      <c r="F470" s="26">
        <v>1443386</v>
      </c>
      <c r="G470" t="b">
        <f t="shared" si="21"/>
        <v>0</v>
      </c>
      <c r="H470" t="b">
        <f t="shared" si="22"/>
        <v>0</v>
      </c>
      <c r="I470" s="29">
        <f t="shared" si="23"/>
        <v>38960</v>
      </c>
    </row>
    <row r="471" spans="1:9" ht="25.5" x14ac:dyDescent="0.2">
      <c r="A471" s="28">
        <v>38961</v>
      </c>
      <c r="B471" s="26" t="s">
        <v>4899</v>
      </c>
      <c r="C471" s="26" t="s">
        <v>9</v>
      </c>
      <c r="D471" s="26" t="s">
        <v>20</v>
      </c>
      <c r="E471" s="26">
        <v>306845</v>
      </c>
      <c r="F471" s="26">
        <v>322187</v>
      </c>
      <c r="G471" t="b">
        <f t="shared" si="21"/>
        <v>0</v>
      </c>
      <c r="H471" t="b">
        <f t="shared" si="22"/>
        <v>0</v>
      </c>
      <c r="I471" s="29">
        <f t="shared" si="23"/>
        <v>38961</v>
      </c>
    </row>
    <row r="472" spans="1:9" ht="12.75" customHeight="1" x14ac:dyDescent="0.2">
      <c r="A472" s="28">
        <v>38961</v>
      </c>
      <c r="B472" s="26" t="s">
        <v>4898</v>
      </c>
      <c r="C472" s="26" t="s">
        <v>3209</v>
      </c>
      <c r="D472" s="26" t="s">
        <v>20</v>
      </c>
      <c r="E472" s="26">
        <v>24413467</v>
      </c>
      <c r="F472" s="26">
        <v>37721827</v>
      </c>
      <c r="G472" t="b">
        <f t="shared" si="21"/>
        <v>0</v>
      </c>
      <c r="H472" t="b">
        <f t="shared" si="22"/>
        <v>0</v>
      </c>
      <c r="I472" s="29">
        <f t="shared" si="23"/>
        <v>38961</v>
      </c>
    </row>
    <row r="473" spans="1:9" ht="12.75" customHeight="1" x14ac:dyDescent="0.2">
      <c r="A473" s="28">
        <v>38961</v>
      </c>
      <c r="B473" s="26" t="s">
        <v>4897</v>
      </c>
      <c r="C473" s="26" t="s">
        <v>3419</v>
      </c>
      <c r="D473" s="26">
        <v>12000000</v>
      </c>
      <c r="E473" s="26">
        <v>27838408</v>
      </c>
      <c r="F473" s="26">
        <v>33824696</v>
      </c>
      <c r="G473" t="b">
        <f t="shared" si="21"/>
        <v>0</v>
      </c>
      <c r="H473" t="b">
        <f t="shared" si="22"/>
        <v>0</v>
      </c>
      <c r="I473" s="29">
        <f t="shared" si="23"/>
        <v>38961</v>
      </c>
    </row>
    <row r="474" spans="1:9" ht="12.75" customHeight="1" x14ac:dyDescent="0.2">
      <c r="A474" s="28">
        <v>38961</v>
      </c>
      <c r="B474" s="26" t="s">
        <v>4896</v>
      </c>
      <c r="C474" s="26" t="s">
        <v>384</v>
      </c>
      <c r="D474" s="26" t="s">
        <v>20</v>
      </c>
      <c r="E474" s="26">
        <v>444093</v>
      </c>
      <c r="F474" s="26">
        <v>485199</v>
      </c>
      <c r="G474" t="b">
        <f t="shared" si="21"/>
        <v>0</v>
      </c>
      <c r="H474" t="b">
        <f t="shared" si="22"/>
        <v>0</v>
      </c>
      <c r="I474" s="29">
        <f t="shared" si="23"/>
        <v>38961</v>
      </c>
    </row>
    <row r="475" spans="1:9" ht="25.5" x14ac:dyDescent="0.2">
      <c r="A475" s="28">
        <v>38961</v>
      </c>
      <c r="B475" s="26" t="s">
        <v>4895</v>
      </c>
      <c r="C475" s="26" t="s">
        <v>9</v>
      </c>
      <c r="D475" s="26">
        <v>30000</v>
      </c>
      <c r="E475" s="26">
        <v>103509</v>
      </c>
      <c r="F475" s="26" t="s">
        <v>20</v>
      </c>
      <c r="G475" t="b">
        <f t="shared" si="21"/>
        <v>0</v>
      </c>
      <c r="H475" t="b">
        <f t="shared" si="22"/>
        <v>0</v>
      </c>
      <c r="I475" s="29">
        <f t="shared" si="23"/>
        <v>38961</v>
      </c>
    </row>
    <row r="476" spans="1:9" ht="12.75" customHeight="1" x14ac:dyDescent="0.2">
      <c r="A476" s="28">
        <v>38961</v>
      </c>
      <c r="B476" s="26" t="s">
        <v>4894</v>
      </c>
      <c r="C476" s="26" t="s">
        <v>2160</v>
      </c>
      <c r="D476" s="26">
        <v>5600000</v>
      </c>
      <c r="E476" s="26">
        <v>7009668</v>
      </c>
      <c r="F476" s="26" t="s">
        <v>20</v>
      </c>
      <c r="G476" t="b">
        <f t="shared" si="21"/>
        <v>0</v>
      </c>
      <c r="H476" t="b">
        <f t="shared" si="22"/>
        <v>0</v>
      </c>
      <c r="I476" s="29">
        <f t="shared" si="23"/>
        <v>38961</v>
      </c>
    </row>
    <row r="477" spans="1:9" ht="12.75" customHeight="1" x14ac:dyDescent="0.2">
      <c r="A477" s="28">
        <v>38961</v>
      </c>
      <c r="B477" s="26" t="s">
        <v>4893</v>
      </c>
      <c r="C477" s="26" t="s">
        <v>1319</v>
      </c>
      <c r="D477" s="26" t="s">
        <v>20</v>
      </c>
      <c r="E477" s="26">
        <v>652163</v>
      </c>
      <c r="F477" s="26">
        <v>5732750</v>
      </c>
      <c r="G477" t="b">
        <f t="shared" si="21"/>
        <v>0</v>
      </c>
      <c r="H477" t="b">
        <f t="shared" si="22"/>
        <v>0</v>
      </c>
      <c r="I477" s="29">
        <f t="shared" si="23"/>
        <v>38961</v>
      </c>
    </row>
    <row r="478" spans="1:9" ht="12.75" customHeight="1" x14ac:dyDescent="0.2">
      <c r="A478" s="28">
        <v>38961</v>
      </c>
      <c r="B478" s="26" t="s">
        <v>4892</v>
      </c>
      <c r="C478" s="26" t="s">
        <v>612</v>
      </c>
      <c r="D478" s="26" t="s">
        <v>20</v>
      </c>
      <c r="E478" s="26">
        <v>252325</v>
      </c>
      <c r="F478" s="26" t="s">
        <v>20</v>
      </c>
      <c r="G478" t="b">
        <f t="shared" si="21"/>
        <v>0</v>
      </c>
      <c r="H478" t="b">
        <f t="shared" si="22"/>
        <v>0</v>
      </c>
      <c r="I478" s="29">
        <f t="shared" si="23"/>
        <v>38961</v>
      </c>
    </row>
    <row r="479" spans="1:9" ht="12.75" customHeight="1" x14ac:dyDescent="0.2">
      <c r="A479" s="28">
        <v>38961</v>
      </c>
      <c r="B479" s="26" t="s">
        <v>4891</v>
      </c>
      <c r="C479" s="26" t="s">
        <v>9</v>
      </c>
      <c r="D479" s="26" t="s">
        <v>20</v>
      </c>
      <c r="E479" s="26">
        <v>4480</v>
      </c>
      <c r="F479" s="26" t="s">
        <v>20</v>
      </c>
      <c r="G479" t="b">
        <f t="shared" si="21"/>
        <v>0</v>
      </c>
      <c r="H479" t="b">
        <f t="shared" si="22"/>
        <v>0</v>
      </c>
      <c r="I479" s="29">
        <f t="shared" si="23"/>
        <v>38961</v>
      </c>
    </row>
    <row r="480" spans="1:9" ht="25.5" x14ac:dyDescent="0.2">
      <c r="A480" s="28">
        <v>38961</v>
      </c>
      <c r="B480" s="26" t="s">
        <v>4890</v>
      </c>
      <c r="C480" s="26" t="s">
        <v>9</v>
      </c>
      <c r="D480" s="26">
        <v>2700000</v>
      </c>
      <c r="E480" s="26">
        <v>2217561</v>
      </c>
      <c r="F480" s="26">
        <v>31517561</v>
      </c>
      <c r="G480" t="b">
        <f t="shared" si="21"/>
        <v>0</v>
      </c>
      <c r="H480" t="b">
        <f t="shared" si="22"/>
        <v>0</v>
      </c>
      <c r="I480" s="29">
        <f t="shared" si="23"/>
        <v>38961</v>
      </c>
    </row>
    <row r="481" spans="1:9" ht="38.25" x14ac:dyDescent="0.2">
      <c r="A481" s="28">
        <v>38965</v>
      </c>
      <c r="B481" s="26" t="s">
        <v>4889</v>
      </c>
      <c r="C481" s="26" t="s">
        <v>9</v>
      </c>
      <c r="D481" s="26" t="s">
        <v>20</v>
      </c>
      <c r="E481" s="26" t="s">
        <v>20</v>
      </c>
      <c r="F481" s="26" t="s">
        <v>20</v>
      </c>
      <c r="G481" t="b">
        <f t="shared" si="21"/>
        <v>0</v>
      </c>
      <c r="H481" t="b">
        <f t="shared" si="22"/>
        <v>0</v>
      </c>
      <c r="I481" s="29">
        <f t="shared" si="23"/>
        <v>38965</v>
      </c>
    </row>
    <row r="482" spans="1:9" ht="12.75" customHeight="1" x14ac:dyDescent="0.2">
      <c r="A482" s="28">
        <v>38966</v>
      </c>
      <c r="B482" s="26" t="s">
        <v>4888</v>
      </c>
      <c r="C482" s="26" t="s">
        <v>9</v>
      </c>
      <c r="D482" s="26" t="s">
        <v>20</v>
      </c>
      <c r="E482" s="26">
        <v>9291</v>
      </c>
      <c r="F482" s="26" t="s">
        <v>20</v>
      </c>
      <c r="G482" t="b">
        <f t="shared" si="21"/>
        <v>0</v>
      </c>
      <c r="H482" t="b">
        <f t="shared" si="22"/>
        <v>0</v>
      </c>
      <c r="I482" s="29">
        <f t="shared" si="23"/>
        <v>38966</v>
      </c>
    </row>
    <row r="483" spans="1:9" ht="12.75" customHeight="1" x14ac:dyDescent="0.2">
      <c r="A483" s="28">
        <v>38966</v>
      </c>
      <c r="B483" s="26" t="s">
        <v>4887</v>
      </c>
      <c r="C483" s="26" t="s">
        <v>9</v>
      </c>
      <c r="D483" s="26" t="s">
        <v>20</v>
      </c>
      <c r="E483" s="26">
        <v>36089</v>
      </c>
      <c r="F483" s="26" t="s">
        <v>20</v>
      </c>
      <c r="G483" t="b">
        <f t="shared" si="21"/>
        <v>0</v>
      </c>
      <c r="H483" t="b">
        <f t="shared" si="22"/>
        <v>0</v>
      </c>
      <c r="I483" s="29">
        <f t="shared" si="23"/>
        <v>38966</v>
      </c>
    </row>
    <row r="484" spans="1:9" ht="12.75" customHeight="1" x14ac:dyDescent="0.2">
      <c r="A484" s="28">
        <v>38966</v>
      </c>
      <c r="B484" s="26" t="s">
        <v>4886</v>
      </c>
      <c r="C484" s="26" t="s">
        <v>9</v>
      </c>
      <c r="D484" s="26" t="s">
        <v>20</v>
      </c>
      <c r="E484" s="26">
        <v>7137</v>
      </c>
      <c r="F484" s="26" t="s">
        <v>20</v>
      </c>
      <c r="G484" t="b">
        <f t="shared" si="21"/>
        <v>0</v>
      </c>
      <c r="H484" t="b">
        <f t="shared" si="22"/>
        <v>0</v>
      </c>
      <c r="I484" s="29">
        <f t="shared" si="23"/>
        <v>38966</v>
      </c>
    </row>
    <row r="485" spans="1:9" ht="25.5" x14ac:dyDescent="0.2">
      <c r="A485" s="28">
        <v>38967</v>
      </c>
      <c r="B485" s="26" t="s">
        <v>4885</v>
      </c>
      <c r="C485" s="26" t="s">
        <v>9</v>
      </c>
      <c r="D485" s="26" t="s">
        <v>20</v>
      </c>
      <c r="E485" s="26" t="s">
        <v>20</v>
      </c>
      <c r="F485" s="26">
        <v>1876545</v>
      </c>
      <c r="G485" t="b">
        <f t="shared" si="21"/>
        <v>0</v>
      </c>
      <c r="H485" t="b">
        <f t="shared" si="22"/>
        <v>0</v>
      </c>
      <c r="I485" s="29">
        <f t="shared" si="23"/>
        <v>38967</v>
      </c>
    </row>
    <row r="486" spans="1:9" ht="12.75" customHeight="1" x14ac:dyDescent="0.2">
      <c r="A486" s="28">
        <v>38967</v>
      </c>
      <c r="B486" s="26" t="s">
        <v>4884</v>
      </c>
      <c r="C486" s="26" t="s">
        <v>9</v>
      </c>
      <c r="D486" s="26" t="s">
        <v>20</v>
      </c>
      <c r="E486" s="26" t="s">
        <v>20</v>
      </c>
      <c r="F486" s="26">
        <v>1566972</v>
      </c>
      <c r="G486" t="b">
        <f t="shared" si="21"/>
        <v>0</v>
      </c>
      <c r="H486" t="b">
        <f t="shared" si="22"/>
        <v>0</v>
      </c>
      <c r="I486" s="29">
        <f t="shared" si="23"/>
        <v>38967</v>
      </c>
    </row>
    <row r="487" spans="1:9" ht="12.75" customHeight="1" x14ac:dyDescent="0.2">
      <c r="A487" s="28">
        <v>38968</v>
      </c>
      <c r="B487" s="26" t="s">
        <v>4883</v>
      </c>
      <c r="C487" s="26" t="s">
        <v>9</v>
      </c>
      <c r="D487" s="26" t="s">
        <v>20</v>
      </c>
      <c r="E487" s="26">
        <v>36608</v>
      </c>
      <c r="F487" s="26" t="s">
        <v>20</v>
      </c>
      <c r="G487" t="b">
        <f t="shared" si="21"/>
        <v>0</v>
      </c>
      <c r="H487" t="b">
        <f t="shared" si="22"/>
        <v>0</v>
      </c>
      <c r="I487" s="29">
        <f t="shared" si="23"/>
        <v>38968</v>
      </c>
    </row>
    <row r="488" spans="1:9" ht="12.75" customHeight="1" x14ac:dyDescent="0.2">
      <c r="A488" s="28">
        <v>38968</v>
      </c>
      <c r="B488" s="26" t="s">
        <v>4882</v>
      </c>
      <c r="C488" s="26" t="s">
        <v>9</v>
      </c>
      <c r="D488" s="26" t="s">
        <v>20</v>
      </c>
      <c r="E488" s="26">
        <v>251775</v>
      </c>
      <c r="F488" s="26" t="s">
        <v>20</v>
      </c>
      <c r="G488" t="b">
        <f t="shared" si="21"/>
        <v>0</v>
      </c>
      <c r="H488" t="b">
        <f t="shared" si="22"/>
        <v>0</v>
      </c>
      <c r="I488" s="29">
        <f t="shared" si="23"/>
        <v>38968</v>
      </c>
    </row>
    <row r="489" spans="1:9" ht="25.5" x14ac:dyDescent="0.2">
      <c r="A489" s="28">
        <v>38968</v>
      </c>
      <c r="B489" s="26" t="s">
        <v>4881</v>
      </c>
      <c r="C489" s="26" t="s">
        <v>241</v>
      </c>
      <c r="D489" s="26" t="s">
        <v>20</v>
      </c>
      <c r="E489" s="26">
        <v>12854</v>
      </c>
      <c r="F489" s="26" t="s">
        <v>20</v>
      </c>
      <c r="G489" t="b">
        <f t="shared" si="21"/>
        <v>0</v>
      </c>
      <c r="H489" t="b">
        <f t="shared" si="22"/>
        <v>0</v>
      </c>
      <c r="I489" s="29">
        <f t="shared" si="23"/>
        <v>38968</v>
      </c>
    </row>
    <row r="490" spans="1:9" ht="12.75" customHeight="1" x14ac:dyDescent="0.2">
      <c r="A490" s="28">
        <v>38968</v>
      </c>
      <c r="B490" s="26" t="s">
        <v>4880</v>
      </c>
      <c r="C490" s="26" t="s">
        <v>9</v>
      </c>
      <c r="D490" s="26" t="s">
        <v>20</v>
      </c>
      <c r="E490" s="26">
        <v>97848</v>
      </c>
      <c r="F490" s="26" t="s">
        <v>20</v>
      </c>
      <c r="G490" t="b">
        <f t="shared" si="21"/>
        <v>0</v>
      </c>
      <c r="H490" t="b">
        <f t="shared" si="22"/>
        <v>0</v>
      </c>
      <c r="I490" s="29">
        <f t="shared" si="23"/>
        <v>38968</v>
      </c>
    </row>
    <row r="491" spans="1:9" ht="12.75" customHeight="1" x14ac:dyDescent="0.2">
      <c r="A491" s="28">
        <v>38968</v>
      </c>
      <c r="B491" s="26" t="s">
        <v>4879</v>
      </c>
      <c r="C491" s="26" t="s">
        <v>2160</v>
      </c>
      <c r="D491" s="26">
        <v>20000000</v>
      </c>
      <c r="E491" s="26">
        <v>23364784</v>
      </c>
      <c r="F491" s="26">
        <v>38164784</v>
      </c>
      <c r="G491" t="b">
        <f t="shared" si="21"/>
        <v>0</v>
      </c>
      <c r="H491" t="b">
        <f t="shared" si="22"/>
        <v>0</v>
      </c>
      <c r="I491" s="29">
        <f t="shared" si="23"/>
        <v>38968</v>
      </c>
    </row>
    <row r="492" spans="1:9" ht="25.5" x14ac:dyDescent="0.2">
      <c r="A492" s="28">
        <v>38968</v>
      </c>
      <c r="B492" s="26" t="s">
        <v>4878</v>
      </c>
      <c r="C492" s="26" t="s">
        <v>9</v>
      </c>
      <c r="D492" s="26" t="s">
        <v>20</v>
      </c>
      <c r="E492" s="26" t="s">
        <v>20</v>
      </c>
      <c r="F492" s="26">
        <v>3036690</v>
      </c>
      <c r="G492" t="b">
        <f t="shared" si="21"/>
        <v>0</v>
      </c>
      <c r="H492" t="b">
        <f t="shared" si="22"/>
        <v>0</v>
      </c>
      <c r="I492" s="29">
        <f t="shared" si="23"/>
        <v>38968</v>
      </c>
    </row>
    <row r="493" spans="1:9" ht="25.5" x14ac:dyDescent="0.2">
      <c r="A493" s="28">
        <v>38968</v>
      </c>
      <c r="B493" s="26" t="s">
        <v>4877</v>
      </c>
      <c r="C493" s="26" t="s">
        <v>9</v>
      </c>
      <c r="D493" s="26">
        <v>775000</v>
      </c>
      <c r="E493" s="26" t="s">
        <v>20</v>
      </c>
      <c r="F493" s="26" t="s">
        <v>20</v>
      </c>
      <c r="G493" t="b">
        <f t="shared" si="21"/>
        <v>0</v>
      </c>
      <c r="H493" t="b">
        <f t="shared" si="22"/>
        <v>0</v>
      </c>
      <c r="I493" s="29">
        <f t="shared" si="23"/>
        <v>38968</v>
      </c>
    </row>
    <row r="494" spans="1:9" x14ac:dyDescent="0.2">
      <c r="A494" s="28">
        <v>38968</v>
      </c>
      <c r="B494" s="26" t="s">
        <v>4876</v>
      </c>
      <c r="C494" s="26" t="s">
        <v>9</v>
      </c>
      <c r="D494" s="26" t="s">
        <v>20</v>
      </c>
      <c r="E494" s="26">
        <v>8454</v>
      </c>
      <c r="F494" s="26" t="s">
        <v>20</v>
      </c>
      <c r="G494" t="b">
        <f t="shared" si="21"/>
        <v>0</v>
      </c>
      <c r="H494" t="b">
        <f t="shared" si="22"/>
        <v>0</v>
      </c>
      <c r="I494" s="29">
        <f t="shared" si="23"/>
        <v>38968</v>
      </c>
    </row>
    <row r="495" spans="1:9" x14ac:dyDescent="0.2">
      <c r="A495" s="28">
        <v>38968</v>
      </c>
      <c r="B495" s="26" t="s">
        <v>4875</v>
      </c>
      <c r="C495" s="26" t="s">
        <v>9</v>
      </c>
      <c r="D495" s="26" t="s">
        <v>20</v>
      </c>
      <c r="E495" s="26">
        <v>216724</v>
      </c>
      <c r="F495" s="26" t="s">
        <v>20</v>
      </c>
      <c r="G495" t="b">
        <f t="shared" si="21"/>
        <v>0</v>
      </c>
      <c r="H495" t="b">
        <f t="shared" si="22"/>
        <v>0</v>
      </c>
      <c r="I495" s="29">
        <f t="shared" si="23"/>
        <v>38968</v>
      </c>
    </row>
    <row r="496" spans="1:9" ht="12.75" customHeight="1" x14ac:dyDescent="0.2">
      <c r="A496" s="28">
        <v>38968</v>
      </c>
      <c r="B496" s="26" t="s">
        <v>4874</v>
      </c>
      <c r="C496" s="26" t="s">
        <v>698</v>
      </c>
      <c r="D496" s="26" t="s">
        <v>20</v>
      </c>
      <c r="E496" s="26">
        <v>14426251</v>
      </c>
      <c r="F496" s="26" t="s">
        <v>20</v>
      </c>
      <c r="G496" t="b">
        <f t="shared" si="21"/>
        <v>0</v>
      </c>
      <c r="H496" t="b">
        <f t="shared" si="22"/>
        <v>0</v>
      </c>
      <c r="I496" s="29">
        <f t="shared" si="23"/>
        <v>38968</v>
      </c>
    </row>
    <row r="497" spans="1:9" ht="12.75" customHeight="1" x14ac:dyDescent="0.2">
      <c r="A497" s="28">
        <v>38968</v>
      </c>
      <c r="B497" s="26" t="s">
        <v>4873</v>
      </c>
      <c r="C497" s="26" t="s">
        <v>3466</v>
      </c>
      <c r="D497" s="26">
        <v>2000000</v>
      </c>
      <c r="E497" s="26">
        <v>199176</v>
      </c>
      <c r="F497" s="26">
        <v>622806</v>
      </c>
      <c r="G497" t="b">
        <f t="shared" si="21"/>
        <v>0</v>
      </c>
      <c r="H497" t="b">
        <f t="shared" si="22"/>
        <v>0</v>
      </c>
      <c r="I497" s="29">
        <f t="shared" si="23"/>
        <v>38968</v>
      </c>
    </row>
    <row r="498" spans="1:9" ht="12.75" customHeight="1" x14ac:dyDescent="0.2">
      <c r="A498" s="28">
        <v>38968</v>
      </c>
      <c r="B498" s="26" t="s">
        <v>4872</v>
      </c>
      <c r="C498" s="26" t="s">
        <v>49</v>
      </c>
      <c r="D498" s="26">
        <v>5700000</v>
      </c>
      <c r="E498" s="26">
        <v>12044087</v>
      </c>
      <c r="F498" s="26">
        <v>43044087</v>
      </c>
      <c r="G498" t="b">
        <f t="shared" ref="G498:G560" si="24">ISBLANK(A498)</f>
        <v>0</v>
      </c>
      <c r="H498" t="b">
        <f t="shared" ref="H498:H560" si="25">ISTEXT(A498)</f>
        <v>0</v>
      </c>
      <c r="I498" s="29">
        <f t="shared" ref="I498:I560" si="26">DATE(2006,MONTH(A498), DAY(A498))</f>
        <v>38968</v>
      </c>
    </row>
    <row r="499" spans="1:9" ht="38.25" x14ac:dyDescent="0.2">
      <c r="A499" s="28">
        <v>38972</v>
      </c>
      <c r="B499" s="26" t="s">
        <v>4871</v>
      </c>
      <c r="C499" s="26" t="s">
        <v>9</v>
      </c>
      <c r="D499" s="26" t="s">
        <v>20</v>
      </c>
      <c r="E499" s="26" t="s">
        <v>20</v>
      </c>
      <c r="F499" s="26" t="s">
        <v>20</v>
      </c>
      <c r="G499" t="b">
        <f t="shared" si="24"/>
        <v>0</v>
      </c>
      <c r="H499" t="b">
        <f t="shared" si="25"/>
        <v>0</v>
      </c>
      <c r="I499" s="29">
        <f t="shared" si="26"/>
        <v>38972</v>
      </c>
    </row>
    <row r="500" spans="1:9" ht="63.75" x14ac:dyDescent="0.2">
      <c r="A500" s="28">
        <v>38972</v>
      </c>
      <c r="B500" s="26" t="s">
        <v>4870</v>
      </c>
      <c r="C500" s="26" t="s">
        <v>9</v>
      </c>
      <c r="D500" s="26" t="s">
        <v>20</v>
      </c>
      <c r="E500" s="26" t="s">
        <v>20</v>
      </c>
      <c r="F500" s="26" t="s">
        <v>20</v>
      </c>
      <c r="G500" t="b">
        <f t="shared" si="24"/>
        <v>0</v>
      </c>
      <c r="H500" t="b">
        <f t="shared" si="25"/>
        <v>0</v>
      </c>
      <c r="I500" s="29">
        <f t="shared" si="26"/>
        <v>38972</v>
      </c>
    </row>
    <row r="501" spans="1:9" ht="25.5" x14ac:dyDescent="0.2">
      <c r="A501" s="28">
        <v>38973</v>
      </c>
      <c r="B501" s="26" t="s">
        <v>4869</v>
      </c>
      <c r="C501" s="26" t="s">
        <v>1609</v>
      </c>
      <c r="D501" s="26" t="s">
        <v>20</v>
      </c>
      <c r="E501" s="26">
        <v>102990</v>
      </c>
      <c r="F501" s="26" t="s">
        <v>20</v>
      </c>
      <c r="G501" t="b">
        <f t="shared" si="24"/>
        <v>0</v>
      </c>
      <c r="H501" t="b">
        <f t="shared" si="25"/>
        <v>0</v>
      </c>
      <c r="I501" s="29">
        <f t="shared" si="26"/>
        <v>38973</v>
      </c>
    </row>
    <row r="502" spans="1:9" ht="12.75" customHeight="1" x14ac:dyDescent="0.2">
      <c r="A502" s="28">
        <v>38974</v>
      </c>
      <c r="B502" s="26" t="s">
        <v>4868</v>
      </c>
      <c r="C502" s="26" t="s">
        <v>9</v>
      </c>
      <c r="D502" s="26" t="s">
        <v>20</v>
      </c>
      <c r="E502" s="26" t="s">
        <v>20</v>
      </c>
      <c r="F502" s="26">
        <v>13117555</v>
      </c>
      <c r="G502" t="b">
        <f t="shared" si="24"/>
        <v>0</v>
      </c>
      <c r="H502" t="b">
        <f t="shared" si="25"/>
        <v>0</v>
      </c>
      <c r="I502" s="29">
        <f t="shared" si="26"/>
        <v>38974</v>
      </c>
    </row>
    <row r="503" spans="1:9" ht="12.75" customHeight="1" x14ac:dyDescent="0.2">
      <c r="A503" s="28">
        <v>38975</v>
      </c>
      <c r="B503" s="26" t="s">
        <v>4867</v>
      </c>
      <c r="C503" s="26" t="s">
        <v>155</v>
      </c>
      <c r="D503" s="26" t="s">
        <v>20</v>
      </c>
      <c r="E503" s="26">
        <v>228498</v>
      </c>
      <c r="F503" s="26">
        <v>4735229</v>
      </c>
      <c r="G503" t="b">
        <f t="shared" si="24"/>
        <v>0</v>
      </c>
      <c r="H503" t="b">
        <f t="shared" si="25"/>
        <v>0</v>
      </c>
      <c r="I503" s="29">
        <f t="shared" si="26"/>
        <v>38975</v>
      </c>
    </row>
    <row r="504" spans="1:9" ht="12.75" customHeight="1" x14ac:dyDescent="0.2">
      <c r="A504" s="28">
        <v>38975</v>
      </c>
      <c r="B504" s="26" t="s">
        <v>4866</v>
      </c>
      <c r="C504" s="26" t="s">
        <v>384</v>
      </c>
      <c r="D504" s="26" t="s">
        <v>20</v>
      </c>
      <c r="E504" s="26">
        <v>14523101</v>
      </c>
      <c r="F504" s="26">
        <v>16119639</v>
      </c>
      <c r="G504" t="b">
        <f t="shared" si="24"/>
        <v>0</v>
      </c>
      <c r="H504" t="b">
        <f t="shared" si="25"/>
        <v>0</v>
      </c>
      <c r="I504" s="29">
        <f t="shared" si="26"/>
        <v>38975</v>
      </c>
    </row>
    <row r="505" spans="1:9" ht="12.75" customHeight="1" x14ac:dyDescent="0.2">
      <c r="A505" s="28">
        <v>38975</v>
      </c>
      <c r="B505" s="26" t="s">
        <v>4865</v>
      </c>
      <c r="C505" s="26" t="s">
        <v>2160</v>
      </c>
      <c r="D505" s="26">
        <v>30000000</v>
      </c>
      <c r="E505" s="26">
        <v>38432823</v>
      </c>
      <c r="F505" s="26">
        <v>41480851</v>
      </c>
      <c r="G505" t="b">
        <f t="shared" si="24"/>
        <v>0</v>
      </c>
      <c r="H505" t="b">
        <f t="shared" si="25"/>
        <v>0</v>
      </c>
      <c r="I505" s="29">
        <f t="shared" si="26"/>
        <v>38975</v>
      </c>
    </row>
    <row r="506" spans="1:9" ht="12.75" customHeight="1" x14ac:dyDescent="0.2">
      <c r="A506" s="28">
        <v>38975</v>
      </c>
      <c r="B506" s="26" t="s">
        <v>4864</v>
      </c>
      <c r="C506" s="26" t="s">
        <v>9</v>
      </c>
      <c r="D506" s="26" t="s">
        <v>20</v>
      </c>
      <c r="E506" s="26">
        <v>6529</v>
      </c>
      <c r="F506" s="26" t="s">
        <v>20</v>
      </c>
      <c r="G506" t="b">
        <f t="shared" si="24"/>
        <v>0</v>
      </c>
      <c r="H506" t="b">
        <f t="shared" si="25"/>
        <v>0</v>
      </c>
      <c r="I506" s="29">
        <f t="shared" si="26"/>
        <v>38975</v>
      </c>
    </row>
    <row r="507" spans="1:9" ht="12.75" customHeight="1" x14ac:dyDescent="0.2">
      <c r="A507" s="28">
        <v>38975</v>
      </c>
      <c r="B507" s="26" t="s">
        <v>4863</v>
      </c>
      <c r="C507" s="26" t="s">
        <v>9</v>
      </c>
      <c r="D507" s="26" t="s">
        <v>20</v>
      </c>
      <c r="E507" s="26" t="s">
        <v>20</v>
      </c>
      <c r="F507" s="26" t="s">
        <v>20</v>
      </c>
      <c r="G507" t="b">
        <f t="shared" si="24"/>
        <v>0</v>
      </c>
      <c r="H507" t="b">
        <f t="shared" si="25"/>
        <v>0</v>
      </c>
      <c r="I507" s="29">
        <f t="shared" si="26"/>
        <v>38975</v>
      </c>
    </row>
    <row r="508" spans="1:9" ht="12.75" customHeight="1" x14ac:dyDescent="0.2">
      <c r="A508" s="28">
        <v>38975</v>
      </c>
      <c r="B508" s="26" t="s">
        <v>4862</v>
      </c>
      <c r="C508" s="26" t="s">
        <v>9</v>
      </c>
      <c r="D508" s="26" t="s">
        <v>20</v>
      </c>
      <c r="E508" s="26" t="s">
        <v>20</v>
      </c>
      <c r="F508" s="26" t="s">
        <v>20</v>
      </c>
      <c r="G508" t="b">
        <f t="shared" si="24"/>
        <v>0</v>
      </c>
      <c r="H508" t="b">
        <f t="shared" si="25"/>
        <v>0</v>
      </c>
      <c r="I508" s="29">
        <f t="shared" si="26"/>
        <v>38975</v>
      </c>
    </row>
    <row r="509" spans="1:9" ht="25.5" x14ac:dyDescent="0.2">
      <c r="A509" s="28">
        <v>38975</v>
      </c>
      <c r="B509" s="26" t="s">
        <v>4861</v>
      </c>
      <c r="C509" s="26" t="s">
        <v>3419</v>
      </c>
      <c r="D509" s="26" t="s">
        <v>20</v>
      </c>
      <c r="E509" s="26">
        <v>1109146</v>
      </c>
      <c r="F509" s="26">
        <v>1387320</v>
      </c>
      <c r="G509" t="b">
        <f t="shared" si="24"/>
        <v>0</v>
      </c>
      <c r="H509" t="b">
        <f t="shared" si="25"/>
        <v>0</v>
      </c>
      <c r="I509" s="29">
        <f t="shared" si="26"/>
        <v>38975</v>
      </c>
    </row>
    <row r="510" spans="1:9" ht="38.25" x14ac:dyDescent="0.2">
      <c r="A510" s="28">
        <v>38975</v>
      </c>
      <c r="B510" s="26" t="s">
        <v>4860</v>
      </c>
      <c r="C510" s="26" t="s">
        <v>9</v>
      </c>
      <c r="D510" s="26" t="s">
        <v>20</v>
      </c>
      <c r="E510" s="26">
        <v>20013</v>
      </c>
      <c r="F510" s="26" t="s">
        <v>20</v>
      </c>
      <c r="G510" t="b">
        <f t="shared" si="24"/>
        <v>0</v>
      </c>
      <c r="H510" t="b">
        <f t="shared" si="25"/>
        <v>0</v>
      </c>
      <c r="I510" s="29">
        <f t="shared" si="26"/>
        <v>38975</v>
      </c>
    </row>
    <row r="511" spans="1:9" ht="12.75" customHeight="1" x14ac:dyDescent="0.2">
      <c r="A511" s="28">
        <v>38975</v>
      </c>
      <c r="B511" s="26" t="s">
        <v>4859</v>
      </c>
      <c r="C511" s="26" t="s">
        <v>2775</v>
      </c>
      <c r="D511" s="26" t="s">
        <v>20</v>
      </c>
      <c r="E511" s="26">
        <v>60729</v>
      </c>
      <c r="F511" s="26" t="s">
        <v>20</v>
      </c>
      <c r="G511" t="b">
        <f t="shared" si="24"/>
        <v>0</v>
      </c>
      <c r="H511" t="b">
        <f t="shared" si="25"/>
        <v>0</v>
      </c>
      <c r="I511" s="29">
        <f t="shared" si="26"/>
        <v>38975</v>
      </c>
    </row>
    <row r="512" spans="1:9" ht="25.5" x14ac:dyDescent="0.2">
      <c r="A512" s="28">
        <v>38975</v>
      </c>
      <c r="B512" s="26" t="s">
        <v>4858</v>
      </c>
      <c r="C512" s="26" t="s">
        <v>9</v>
      </c>
      <c r="D512" s="26" t="s">
        <v>20</v>
      </c>
      <c r="E512" s="26">
        <v>30230</v>
      </c>
      <c r="F512" s="26" t="s">
        <v>20</v>
      </c>
      <c r="G512" t="b">
        <f t="shared" si="24"/>
        <v>0</v>
      </c>
      <c r="H512" t="b">
        <f t="shared" si="25"/>
        <v>0</v>
      </c>
      <c r="I512" s="29">
        <f t="shared" si="26"/>
        <v>38975</v>
      </c>
    </row>
    <row r="513" spans="1:9" ht="25.5" x14ac:dyDescent="0.2">
      <c r="A513" s="28">
        <v>38975</v>
      </c>
      <c r="B513" s="26" t="s">
        <v>4857</v>
      </c>
      <c r="C513" s="26" t="s">
        <v>9</v>
      </c>
      <c r="D513" s="26" t="s">
        <v>20</v>
      </c>
      <c r="E513" s="26">
        <v>22918</v>
      </c>
      <c r="F513" s="26" t="s">
        <v>20</v>
      </c>
      <c r="G513" t="b">
        <f t="shared" si="24"/>
        <v>0</v>
      </c>
      <c r="H513" t="b">
        <f t="shared" si="25"/>
        <v>0</v>
      </c>
      <c r="I513" s="29">
        <f t="shared" si="26"/>
        <v>38975</v>
      </c>
    </row>
    <row r="514" spans="1:9" ht="12.75" customHeight="1" x14ac:dyDescent="0.2">
      <c r="A514" s="28">
        <v>38975</v>
      </c>
      <c r="B514" s="26" t="s">
        <v>4856</v>
      </c>
      <c r="C514" s="26" t="s">
        <v>9</v>
      </c>
      <c r="D514" s="26" t="s">
        <v>20</v>
      </c>
      <c r="E514" s="26" t="s">
        <v>20</v>
      </c>
      <c r="F514" s="26" t="s">
        <v>20</v>
      </c>
      <c r="G514" t="b">
        <f t="shared" si="24"/>
        <v>0</v>
      </c>
      <c r="H514" t="b">
        <f t="shared" si="25"/>
        <v>0</v>
      </c>
      <c r="I514" s="29">
        <f t="shared" si="26"/>
        <v>38975</v>
      </c>
    </row>
    <row r="515" spans="1:9" ht="12.75" customHeight="1" x14ac:dyDescent="0.2">
      <c r="A515" s="28">
        <v>38975</v>
      </c>
      <c r="B515" s="26" t="s">
        <v>4855</v>
      </c>
      <c r="C515" s="26" t="s">
        <v>9</v>
      </c>
      <c r="D515" s="26" t="s">
        <v>20</v>
      </c>
      <c r="E515" s="26">
        <v>1619466</v>
      </c>
      <c r="F515" s="26">
        <v>18619466</v>
      </c>
      <c r="G515" t="b">
        <f t="shared" si="24"/>
        <v>0</v>
      </c>
      <c r="H515" t="b">
        <f t="shared" si="25"/>
        <v>0</v>
      </c>
      <c r="I515" s="29">
        <f t="shared" si="26"/>
        <v>38975</v>
      </c>
    </row>
    <row r="516" spans="1:9" ht="12.75" customHeight="1" x14ac:dyDescent="0.2">
      <c r="A516" s="28">
        <v>38975</v>
      </c>
      <c r="B516" s="26" t="s">
        <v>4854</v>
      </c>
      <c r="C516" s="26" t="s">
        <v>746</v>
      </c>
      <c r="D516" s="26" t="s">
        <v>20</v>
      </c>
      <c r="E516" s="26">
        <v>902544</v>
      </c>
      <c r="F516" s="26" t="s">
        <v>20</v>
      </c>
      <c r="G516" t="b">
        <f t="shared" si="24"/>
        <v>0</v>
      </c>
      <c r="H516" t="b">
        <f t="shared" si="25"/>
        <v>0</v>
      </c>
      <c r="I516" s="29">
        <f t="shared" si="26"/>
        <v>38975</v>
      </c>
    </row>
    <row r="517" spans="1:9" ht="25.5" x14ac:dyDescent="0.2">
      <c r="A517" s="28">
        <v>38975</v>
      </c>
      <c r="B517" s="26" t="s">
        <v>4853</v>
      </c>
      <c r="C517" s="26" t="s">
        <v>3096</v>
      </c>
      <c r="D517" s="26">
        <v>2800000</v>
      </c>
      <c r="E517" s="26">
        <v>475000</v>
      </c>
      <c r="F517" s="26" t="s">
        <v>20</v>
      </c>
      <c r="G517" t="b">
        <f t="shared" si="24"/>
        <v>0</v>
      </c>
      <c r="H517" t="b">
        <f t="shared" si="25"/>
        <v>0</v>
      </c>
      <c r="I517" s="29">
        <f t="shared" si="26"/>
        <v>38975</v>
      </c>
    </row>
    <row r="518" spans="1:9" ht="25.5" x14ac:dyDescent="0.2">
      <c r="A518" s="28">
        <v>38975</v>
      </c>
      <c r="B518" s="26" t="s">
        <v>4852</v>
      </c>
      <c r="C518" s="26" t="s">
        <v>9</v>
      </c>
      <c r="D518" s="26" t="s">
        <v>20</v>
      </c>
      <c r="E518" s="26" t="s">
        <v>20</v>
      </c>
      <c r="F518" s="26">
        <v>4785410</v>
      </c>
      <c r="G518" t="b">
        <f t="shared" si="24"/>
        <v>0</v>
      </c>
      <c r="H518" t="b">
        <f t="shared" si="25"/>
        <v>0</v>
      </c>
      <c r="I518" s="29">
        <f t="shared" si="26"/>
        <v>38975</v>
      </c>
    </row>
    <row r="519" spans="1:9" ht="12.75" customHeight="1" x14ac:dyDescent="0.2">
      <c r="A519" s="28">
        <v>38975</v>
      </c>
      <c r="B519" s="26" t="s">
        <v>4851</v>
      </c>
      <c r="C519" s="26" t="s">
        <v>9</v>
      </c>
      <c r="D519" s="26" t="s">
        <v>20</v>
      </c>
      <c r="E519" s="26">
        <v>142483</v>
      </c>
      <c r="F519" s="26" t="s">
        <v>20</v>
      </c>
      <c r="G519" t="b">
        <f t="shared" si="24"/>
        <v>0</v>
      </c>
      <c r="H519" t="b">
        <f t="shared" si="25"/>
        <v>0</v>
      </c>
      <c r="I519" s="29">
        <f t="shared" si="26"/>
        <v>38975</v>
      </c>
    </row>
    <row r="520" spans="1:9" ht="12.75" customHeight="1" x14ac:dyDescent="0.2">
      <c r="A520" s="28">
        <v>38975</v>
      </c>
      <c r="B520" s="26" t="s">
        <v>4850</v>
      </c>
      <c r="C520" s="26" t="s">
        <v>3096</v>
      </c>
      <c r="D520" s="26">
        <v>60000000</v>
      </c>
      <c r="E520" s="26">
        <v>22672813</v>
      </c>
      <c r="F520" s="26">
        <v>46672813</v>
      </c>
      <c r="G520" t="b">
        <f t="shared" si="24"/>
        <v>0</v>
      </c>
      <c r="H520" t="b">
        <f t="shared" si="25"/>
        <v>0</v>
      </c>
      <c r="I520" s="29">
        <f t="shared" si="26"/>
        <v>38975</v>
      </c>
    </row>
    <row r="521" spans="1:9" ht="12.75" customHeight="1" x14ac:dyDescent="0.2">
      <c r="A521" s="28">
        <v>38975</v>
      </c>
      <c r="B521" s="26" t="s">
        <v>4849</v>
      </c>
      <c r="C521" s="26" t="s">
        <v>9</v>
      </c>
      <c r="D521" s="26" t="s">
        <v>20</v>
      </c>
      <c r="E521" s="26">
        <v>11614790</v>
      </c>
      <c r="F521" s="26" t="s">
        <v>20</v>
      </c>
      <c r="G521" t="b">
        <f t="shared" si="24"/>
        <v>0</v>
      </c>
      <c r="H521" t="b">
        <f t="shared" si="25"/>
        <v>0</v>
      </c>
      <c r="I521" s="29">
        <f t="shared" si="26"/>
        <v>38975</v>
      </c>
    </row>
    <row r="522" spans="1:9" ht="38.25" x14ac:dyDescent="0.2">
      <c r="A522" s="28">
        <v>38976</v>
      </c>
      <c r="B522" s="26" t="s">
        <v>4848</v>
      </c>
      <c r="C522" s="26" t="s">
        <v>9</v>
      </c>
      <c r="D522" s="26" t="s">
        <v>20</v>
      </c>
      <c r="E522" s="26" t="s">
        <v>20</v>
      </c>
      <c r="F522" s="26">
        <v>1201351</v>
      </c>
      <c r="G522" t="b">
        <f t="shared" si="24"/>
        <v>0</v>
      </c>
      <c r="H522" t="b">
        <f t="shared" si="25"/>
        <v>0</v>
      </c>
      <c r="I522" s="29">
        <f t="shared" si="26"/>
        <v>38976</v>
      </c>
    </row>
    <row r="523" spans="1:9" ht="12.75" customHeight="1" x14ac:dyDescent="0.2">
      <c r="A523" s="28">
        <v>38978</v>
      </c>
      <c r="B523" s="26" t="s">
        <v>4847</v>
      </c>
      <c r="C523" s="26" t="s">
        <v>9</v>
      </c>
      <c r="D523" s="26" t="s">
        <v>20</v>
      </c>
      <c r="E523" s="26" t="s">
        <v>20</v>
      </c>
      <c r="F523" s="26" t="s">
        <v>20</v>
      </c>
      <c r="G523" t="b">
        <f t="shared" si="24"/>
        <v>0</v>
      </c>
      <c r="H523" t="b">
        <f t="shared" si="25"/>
        <v>0</v>
      </c>
      <c r="I523" s="29">
        <f t="shared" si="26"/>
        <v>38978</v>
      </c>
    </row>
    <row r="524" spans="1:9" ht="38.25" x14ac:dyDescent="0.2">
      <c r="A524" s="28">
        <v>38979</v>
      </c>
      <c r="B524" s="26" t="s">
        <v>4846</v>
      </c>
      <c r="C524" s="26" t="s">
        <v>9</v>
      </c>
      <c r="D524" s="26" t="s">
        <v>20</v>
      </c>
      <c r="E524" s="26" t="s">
        <v>20</v>
      </c>
      <c r="F524" s="26" t="s">
        <v>20</v>
      </c>
      <c r="G524" t="b">
        <f t="shared" si="24"/>
        <v>0</v>
      </c>
      <c r="H524" t="b">
        <f t="shared" si="25"/>
        <v>0</v>
      </c>
      <c r="I524" s="29">
        <f t="shared" si="26"/>
        <v>38979</v>
      </c>
    </row>
    <row r="525" spans="1:9" ht="25.5" x14ac:dyDescent="0.2">
      <c r="A525" s="28">
        <v>38979</v>
      </c>
      <c r="B525" s="26" t="s">
        <v>4845</v>
      </c>
      <c r="C525" s="26" t="s">
        <v>9</v>
      </c>
      <c r="D525" s="26" t="s">
        <v>20</v>
      </c>
      <c r="E525" s="26" t="s">
        <v>20</v>
      </c>
      <c r="F525" s="26" t="s">
        <v>20</v>
      </c>
      <c r="G525" t="b">
        <f t="shared" si="24"/>
        <v>0</v>
      </c>
      <c r="H525" t="b">
        <f t="shared" si="25"/>
        <v>0</v>
      </c>
      <c r="I525" s="29">
        <f t="shared" si="26"/>
        <v>38979</v>
      </c>
    </row>
    <row r="526" spans="1:9" ht="25.5" x14ac:dyDescent="0.2">
      <c r="A526" s="28">
        <v>38979</v>
      </c>
      <c r="B526" s="26" t="s">
        <v>4844</v>
      </c>
      <c r="C526" s="26" t="s">
        <v>9</v>
      </c>
      <c r="D526" s="26" t="s">
        <v>20</v>
      </c>
      <c r="E526" s="26" t="s">
        <v>20</v>
      </c>
      <c r="F526" s="26" t="s">
        <v>20</v>
      </c>
      <c r="G526" t="b">
        <f t="shared" si="24"/>
        <v>0</v>
      </c>
      <c r="H526" t="b">
        <f t="shared" si="25"/>
        <v>0</v>
      </c>
      <c r="I526" s="29">
        <f t="shared" si="26"/>
        <v>38979</v>
      </c>
    </row>
    <row r="527" spans="1:9" ht="25.5" x14ac:dyDescent="0.2">
      <c r="A527" s="28">
        <v>38980</v>
      </c>
      <c r="B527" s="26" t="s">
        <v>4843</v>
      </c>
      <c r="C527" s="26" t="s">
        <v>9</v>
      </c>
      <c r="D527" s="26" t="s">
        <v>20</v>
      </c>
      <c r="E527" s="26">
        <v>9915</v>
      </c>
      <c r="F527" s="26" t="s">
        <v>20</v>
      </c>
      <c r="G527" t="b">
        <f t="shared" si="24"/>
        <v>0</v>
      </c>
      <c r="H527" t="b">
        <f t="shared" si="25"/>
        <v>0</v>
      </c>
      <c r="I527" s="29">
        <f t="shared" si="26"/>
        <v>38980</v>
      </c>
    </row>
    <row r="528" spans="1:9" ht="25.5" x14ac:dyDescent="0.2">
      <c r="A528" s="28">
        <v>38981</v>
      </c>
      <c r="B528" s="26" t="s">
        <v>4842</v>
      </c>
      <c r="C528" s="26" t="s">
        <v>9</v>
      </c>
      <c r="D528" s="26" t="s">
        <v>20</v>
      </c>
      <c r="E528" s="26" t="s">
        <v>20</v>
      </c>
      <c r="F528" s="26">
        <v>15447156</v>
      </c>
      <c r="G528" t="b">
        <f t="shared" si="24"/>
        <v>0</v>
      </c>
      <c r="H528" t="b">
        <f t="shared" si="25"/>
        <v>0</v>
      </c>
      <c r="I528" s="29">
        <f t="shared" si="26"/>
        <v>38981</v>
      </c>
    </row>
    <row r="529" spans="1:9" ht="12.75" customHeight="1" x14ac:dyDescent="0.2">
      <c r="A529" s="28">
        <v>38982</v>
      </c>
      <c r="B529" s="26" t="s">
        <v>4841</v>
      </c>
      <c r="C529" s="26" t="s">
        <v>384</v>
      </c>
      <c r="D529" s="26">
        <v>35000000</v>
      </c>
      <c r="E529" s="26" t="s">
        <v>20</v>
      </c>
      <c r="F529" s="26">
        <v>10496317</v>
      </c>
      <c r="G529" t="b">
        <f t="shared" si="24"/>
        <v>0</v>
      </c>
      <c r="H529" t="b">
        <f t="shared" si="25"/>
        <v>0</v>
      </c>
      <c r="I529" s="29">
        <f t="shared" si="26"/>
        <v>38982</v>
      </c>
    </row>
    <row r="530" spans="1:9" ht="25.5" x14ac:dyDescent="0.2">
      <c r="A530" s="28">
        <v>38982</v>
      </c>
      <c r="B530" s="26" t="s">
        <v>4840</v>
      </c>
      <c r="C530" s="26" t="s">
        <v>9</v>
      </c>
      <c r="D530" s="26" t="s">
        <v>20</v>
      </c>
      <c r="E530" s="26">
        <v>28041</v>
      </c>
      <c r="F530" s="26" t="s">
        <v>20</v>
      </c>
      <c r="G530" t="b">
        <f t="shared" si="24"/>
        <v>0</v>
      </c>
      <c r="H530" t="b">
        <f t="shared" si="25"/>
        <v>0</v>
      </c>
      <c r="I530" s="29">
        <f t="shared" si="26"/>
        <v>38982</v>
      </c>
    </row>
    <row r="531" spans="1:9" ht="12.75" customHeight="1" x14ac:dyDescent="0.2">
      <c r="A531" s="28">
        <v>38982</v>
      </c>
      <c r="B531" s="26" t="s">
        <v>4839</v>
      </c>
      <c r="C531" s="26" t="s">
        <v>2256</v>
      </c>
      <c r="D531" s="26">
        <v>60000000</v>
      </c>
      <c r="E531" s="26">
        <v>13090630</v>
      </c>
      <c r="F531" s="26">
        <v>14816379</v>
      </c>
      <c r="G531" t="b">
        <f t="shared" si="24"/>
        <v>0</v>
      </c>
      <c r="H531" t="b">
        <f t="shared" si="25"/>
        <v>0</v>
      </c>
      <c r="I531" s="29">
        <f t="shared" si="26"/>
        <v>38982</v>
      </c>
    </row>
    <row r="532" spans="1:9" ht="12.75" customHeight="1" x14ac:dyDescent="0.2">
      <c r="A532" s="28">
        <v>38982</v>
      </c>
      <c r="B532" s="26" t="s">
        <v>4838</v>
      </c>
      <c r="C532" s="26" t="s">
        <v>49</v>
      </c>
      <c r="D532" s="26">
        <v>3200000</v>
      </c>
      <c r="E532" s="26">
        <v>56131</v>
      </c>
      <c r="F532" s="26">
        <v>341808</v>
      </c>
      <c r="G532" t="b">
        <f t="shared" si="24"/>
        <v>0</v>
      </c>
      <c r="H532" t="b">
        <f t="shared" si="25"/>
        <v>0</v>
      </c>
      <c r="I532" s="29">
        <f t="shared" si="26"/>
        <v>38982</v>
      </c>
    </row>
    <row r="533" spans="1:9" x14ac:dyDescent="0.2">
      <c r="A533" s="28">
        <v>38982</v>
      </c>
      <c r="B533" s="26" t="s">
        <v>4837</v>
      </c>
      <c r="C533" s="26" t="s">
        <v>571</v>
      </c>
      <c r="D533" s="26" t="s">
        <v>20</v>
      </c>
      <c r="E533" s="26">
        <v>105152</v>
      </c>
      <c r="F533" s="26" t="s">
        <v>20</v>
      </c>
      <c r="G533" t="b">
        <f t="shared" si="24"/>
        <v>0</v>
      </c>
      <c r="H533" t="b">
        <f t="shared" si="25"/>
        <v>0</v>
      </c>
      <c r="I533" s="29">
        <f t="shared" si="26"/>
        <v>38982</v>
      </c>
    </row>
    <row r="534" spans="1:9" ht="12.75" customHeight="1" x14ac:dyDescent="0.2">
      <c r="A534" s="28">
        <v>38982</v>
      </c>
      <c r="B534" s="26" t="s">
        <v>4836</v>
      </c>
      <c r="C534" s="26" t="s">
        <v>3218</v>
      </c>
      <c r="D534" s="26" t="s">
        <v>20</v>
      </c>
      <c r="E534" s="26">
        <v>70644</v>
      </c>
      <c r="F534" s="26" t="s">
        <v>20</v>
      </c>
      <c r="G534" t="b">
        <f t="shared" si="24"/>
        <v>0</v>
      </c>
      <c r="H534" t="b">
        <f t="shared" si="25"/>
        <v>0</v>
      </c>
      <c r="I534" s="29">
        <f t="shared" si="26"/>
        <v>38982</v>
      </c>
    </row>
    <row r="535" spans="1:9" ht="12.75" customHeight="1" x14ac:dyDescent="0.2">
      <c r="A535" s="28">
        <v>38982</v>
      </c>
      <c r="B535" s="26" t="s">
        <v>4835</v>
      </c>
      <c r="C535" s="26" t="s">
        <v>9</v>
      </c>
      <c r="D535" s="26" t="s">
        <v>20</v>
      </c>
      <c r="E535" s="26">
        <v>2867</v>
      </c>
      <c r="F535" s="26" t="s">
        <v>20</v>
      </c>
      <c r="G535" t="b">
        <f t="shared" si="24"/>
        <v>0</v>
      </c>
      <c r="H535" t="b">
        <f t="shared" si="25"/>
        <v>0</v>
      </c>
      <c r="I535" s="29">
        <f t="shared" si="26"/>
        <v>38982</v>
      </c>
    </row>
    <row r="536" spans="1:9" ht="12.75" customHeight="1" x14ac:dyDescent="0.2">
      <c r="A536" s="28">
        <v>38982</v>
      </c>
      <c r="B536" s="26" t="s">
        <v>4834</v>
      </c>
      <c r="C536" s="26" t="s">
        <v>2160</v>
      </c>
      <c r="D536" s="26">
        <v>55000000</v>
      </c>
      <c r="E536" s="26">
        <v>7221458</v>
      </c>
      <c r="F536" s="26">
        <v>9521458</v>
      </c>
      <c r="G536" t="b">
        <f t="shared" si="24"/>
        <v>0</v>
      </c>
      <c r="H536" t="b">
        <f t="shared" si="25"/>
        <v>0</v>
      </c>
      <c r="I536" s="29">
        <f t="shared" si="26"/>
        <v>38982</v>
      </c>
    </row>
    <row r="537" spans="1:9" ht="12.75" customHeight="1" x14ac:dyDescent="0.2">
      <c r="A537" s="28">
        <v>38982</v>
      </c>
      <c r="B537" s="26" t="s">
        <v>4833</v>
      </c>
      <c r="C537" s="26" t="s">
        <v>698</v>
      </c>
      <c r="D537" s="26" t="s">
        <v>20</v>
      </c>
      <c r="E537" s="26">
        <v>24633730</v>
      </c>
      <c r="F537" s="26">
        <v>66633730</v>
      </c>
      <c r="G537" t="b">
        <f t="shared" si="24"/>
        <v>0</v>
      </c>
      <c r="H537" t="b">
        <f t="shared" si="25"/>
        <v>0</v>
      </c>
      <c r="I537" s="29">
        <f t="shared" si="26"/>
        <v>38982</v>
      </c>
    </row>
    <row r="538" spans="1:9" ht="38.25" x14ac:dyDescent="0.2">
      <c r="A538" s="28">
        <v>38982</v>
      </c>
      <c r="B538" s="26" t="s">
        <v>4832</v>
      </c>
      <c r="C538" s="26" t="s">
        <v>4831</v>
      </c>
      <c r="D538" s="26" t="s">
        <v>20</v>
      </c>
      <c r="E538" s="26">
        <v>4670644</v>
      </c>
      <c r="F538" s="26">
        <v>8983891</v>
      </c>
      <c r="G538" t="b">
        <f t="shared" si="24"/>
        <v>0</v>
      </c>
      <c r="H538" t="b">
        <f t="shared" si="25"/>
        <v>0</v>
      </c>
      <c r="I538" s="29">
        <f t="shared" si="26"/>
        <v>38982</v>
      </c>
    </row>
    <row r="539" spans="1:9" ht="25.5" x14ac:dyDescent="0.2">
      <c r="A539" s="28">
        <v>38982</v>
      </c>
      <c r="B539" s="26" t="s">
        <v>4830</v>
      </c>
      <c r="C539" s="26" t="s">
        <v>612</v>
      </c>
      <c r="D539" s="26" t="s">
        <v>20</v>
      </c>
      <c r="E539" s="26">
        <v>279665</v>
      </c>
      <c r="F539" s="26">
        <v>287987</v>
      </c>
      <c r="G539" t="b">
        <f t="shared" si="24"/>
        <v>0</v>
      </c>
      <c r="H539" t="b">
        <f t="shared" si="25"/>
        <v>0</v>
      </c>
      <c r="I539" s="29">
        <f t="shared" si="26"/>
        <v>38982</v>
      </c>
    </row>
    <row r="540" spans="1:9" ht="25.5" x14ac:dyDescent="0.2">
      <c r="A540" s="28">
        <v>38982</v>
      </c>
      <c r="B540" s="26" t="s">
        <v>4829</v>
      </c>
      <c r="C540" s="26" t="s">
        <v>2168</v>
      </c>
      <c r="D540" s="26">
        <v>11000000</v>
      </c>
      <c r="E540" s="26">
        <v>72778712</v>
      </c>
      <c r="F540" s="26">
        <v>83578712</v>
      </c>
      <c r="G540" t="b">
        <f t="shared" si="24"/>
        <v>0</v>
      </c>
      <c r="H540" t="b">
        <f t="shared" si="25"/>
        <v>0</v>
      </c>
      <c r="I540" s="29">
        <f t="shared" si="26"/>
        <v>38982</v>
      </c>
    </row>
    <row r="541" spans="1:9" ht="12.75" customHeight="1" x14ac:dyDescent="0.2">
      <c r="A541" s="28">
        <v>38982</v>
      </c>
      <c r="B541" s="26" t="s">
        <v>4828</v>
      </c>
      <c r="C541" s="26" t="s">
        <v>9</v>
      </c>
      <c r="D541" s="26" t="s">
        <v>20</v>
      </c>
      <c r="E541" s="26" t="s">
        <v>20</v>
      </c>
      <c r="F541" s="26">
        <v>4408441</v>
      </c>
      <c r="G541" t="b">
        <f t="shared" si="24"/>
        <v>0</v>
      </c>
      <c r="H541" t="b">
        <f t="shared" si="25"/>
        <v>0</v>
      </c>
      <c r="I541" s="29">
        <f t="shared" si="26"/>
        <v>38982</v>
      </c>
    </row>
    <row r="542" spans="1:9" ht="12.75" customHeight="1" x14ac:dyDescent="0.2">
      <c r="A542" s="28">
        <v>38982</v>
      </c>
      <c r="B542" s="26" t="s">
        <v>4827</v>
      </c>
      <c r="C542" s="26" t="s">
        <v>9</v>
      </c>
      <c r="D542" s="26" t="s">
        <v>20</v>
      </c>
      <c r="E542" s="26" t="s">
        <v>20</v>
      </c>
      <c r="F542" s="26">
        <v>1171515</v>
      </c>
      <c r="G542" t="b">
        <f t="shared" si="24"/>
        <v>0</v>
      </c>
      <c r="H542" t="b">
        <f t="shared" si="25"/>
        <v>0</v>
      </c>
      <c r="I542" s="29">
        <f t="shared" si="26"/>
        <v>38982</v>
      </c>
    </row>
    <row r="543" spans="1:9" ht="12.75" customHeight="1" x14ac:dyDescent="0.2">
      <c r="A543" s="28">
        <v>38982</v>
      </c>
      <c r="B543" s="26" t="s">
        <v>4826</v>
      </c>
      <c r="C543" s="26" t="s">
        <v>9</v>
      </c>
      <c r="D543" s="26" t="s">
        <v>20</v>
      </c>
      <c r="E543" s="26">
        <v>26472</v>
      </c>
      <c r="F543" s="26" t="s">
        <v>20</v>
      </c>
      <c r="G543" t="b">
        <f t="shared" si="24"/>
        <v>0</v>
      </c>
      <c r="H543" t="b">
        <f t="shared" si="25"/>
        <v>0</v>
      </c>
      <c r="I543" s="29">
        <f t="shared" si="26"/>
        <v>38982</v>
      </c>
    </row>
    <row r="544" spans="1:9" ht="25.5" x14ac:dyDescent="0.2">
      <c r="A544" s="28">
        <v>38986</v>
      </c>
      <c r="B544" s="26" t="s">
        <v>4825</v>
      </c>
      <c r="C544" s="26" t="s">
        <v>9</v>
      </c>
      <c r="D544" s="26" t="s">
        <v>20</v>
      </c>
      <c r="E544" s="26" t="s">
        <v>20</v>
      </c>
      <c r="F544" s="26" t="s">
        <v>20</v>
      </c>
      <c r="G544" t="b">
        <f t="shared" si="24"/>
        <v>0</v>
      </c>
      <c r="H544" t="b">
        <f t="shared" si="25"/>
        <v>0</v>
      </c>
      <c r="I544" s="29">
        <f t="shared" si="26"/>
        <v>38986</v>
      </c>
    </row>
    <row r="545" spans="1:9" ht="25.5" x14ac:dyDescent="0.2">
      <c r="A545" s="28">
        <v>38987</v>
      </c>
      <c r="B545" s="26" t="s">
        <v>4824</v>
      </c>
      <c r="C545" s="26" t="s">
        <v>155</v>
      </c>
      <c r="D545" s="26">
        <v>6000000</v>
      </c>
      <c r="E545" s="26">
        <v>17606684</v>
      </c>
      <c r="F545" s="26">
        <v>48363516</v>
      </c>
      <c r="G545" t="b">
        <f t="shared" si="24"/>
        <v>0</v>
      </c>
      <c r="H545" t="b">
        <f t="shared" si="25"/>
        <v>0</v>
      </c>
      <c r="I545" s="29">
        <f t="shared" si="26"/>
        <v>38987</v>
      </c>
    </row>
    <row r="546" spans="1:9" ht="25.5" x14ac:dyDescent="0.2">
      <c r="A546" s="28">
        <v>38988</v>
      </c>
      <c r="B546" s="26" t="s">
        <v>4823</v>
      </c>
      <c r="C546" s="26" t="s">
        <v>9</v>
      </c>
      <c r="D546" s="26" t="s">
        <v>20</v>
      </c>
      <c r="E546" s="26" t="s">
        <v>20</v>
      </c>
      <c r="F546" s="26">
        <v>15732936</v>
      </c>
      <c r="G546" t="b">
        <f t="shared" si="24"/>
        <v>0</v>
      </c>
      <c r="H546" t="b">
        <f t="shared" si="25"/>
        <v>0</v>
      </c>
      <c r="I546" s="29">
        <f t="shared" si="26"/>
        <v>38988</v>
      </c>
    </row>
    <row r="547" spans="1:9" ht="12.75" customHeight="1" x14ac:dyDescent="0.2">
      <c r="A547" s="28">
        <v>38988</v>
      </c>
      <c r="B547" s="26" t="s">
        <v>4822</v>
      </c>
      <c r="C547" s="26" t="s">
        <v>9</v>
      </c>
      <c r="D547" s="26" t="s">
        <v>20</v>
      </c>
      <c r="E547" s="26" t="s">
        <v>20</v>
      </c>
      <c r="F547" s="26">
        <v>3199863</v>
      </c>
      <c r="G547" t="b">
        <f t="shared" si="24"/>
        <v>0</v>
      </c>
      <c r="H547" t="b">
        <f t="shared" si="25"/>
        <v>0</v>
      </c>
      <c r="I547" s="29">
        <f t="shared" si="26"/>
        <v>38988</v>
      </c>
    </row>
    <row r="548" spans="1:9" ht="12.75" customHeight="1" x14ac:dyDescent="0.2">
      <c r="A548" s="28">
        <v>38989</v>
      </c>
      <c r="B548" s="26" t="s">
        <v>4821</v>
      </c>
      <c r="C548" s="26" t="s">
        <v>2160</v>
      </c>
      <c r="D548" s="26">
        <v>85000000</v>
      </c>
      <c r="E548" s="26">
        <v>85105259</v>
      </c>
      <c r="F548" s="26">
        <v>189901703</v>
      </c>
      <c r="G548" t="b">
        <f t="shared" si="24"/>
        <v>0</v>
      </c>
      <c r="H548" t="b">
        <f t="shared" si="25"/>
        <v>0</v>
      </c>
      <c r="I548" s="29">
        <f t="shared" si="26"/>
        <v>38989</v>
      </c>
    </row>
    <row r="549" spans="1:9" ht="12.75" customHeight="1" x14ac:dyDescent="0.2">
      <c r="A549" s="28">
        <v>38989</v>
      </c>
      <c r="B549" s="26" t="s">
        <v>4820</v>
      </c>
      <c r="C549" s="26" t="s">
        <v>3390</v>
      </c>
      <c r="D549" s="26" t="s">
        <v>20</v>
      </c>
      <c r="E549" s="26">
        <v>55011732</v>
      </c>
      <c r="F549" s="26">
        <v>87011732</v>
      </c>
      <c r="G549" t="b">
        <f t="shared" si="24"/>
        <v>0</v>
      </c>
      <c r="H549" t="b">
        <f t="shared" si="25"/>
        <v>0</v>
      </c>
      <c r="I549" s="29">
        <f t="shared" si="26"/>
        <v>38989</v>
      </c>
    </row>
    <row r="550" spans="1:9" ht="25.5" x14ac:dyDescent="0.2">
      <c r="A550" s="28">
        <v>38989</v>
      </c>
      <c r="B550" s="26" t="s">
        <v>4819</v>
      </c>
      <c r="C550" s="26" t="s">
        <v>49</v>
      </c>
      <c r="D550" s="26">
        <v>20000000</v>
      </c>
      <c r="E550" s="26">
        <v>17807569</v>
      </c>
      <c r="F550" s="26" t="s">
        <v>20</v>
      </c>
      <c r="G550" t="b">
        <f t="shared" si="24"/>
        <v>0</v>
      </c>
      <c r="H550" t="b">
        <f t="shared" si="25"/>
        <v>0</v>
      </c>
      <c r="I550" s="29">
        <f t="shared" si="26"/>
        <v>38989</v>
      </c>
    </row>
    <row r="551" spans="1:9" ht="12.75" customHeight="1" x14ac:dyDescent="0.2">
      <c r="A551" s="28">
        <v>38989</v>
      </c>
      <c r="B551" s="26" t="s">
        <v>4818</v>
      </c>
      <c r="C551" s="26" t="s">
        <v>9</v>
      </c>
      <c r="D551" s="26" t="s">
        <v>20</v>
      </c>
      <c r="E551" s="26">
        <v>29185</v>
      </c>
      <c r="F551" s="26" t="s">
        <v>20</v>
      </c>
      <c r="G551" t="b">
        <f t="shared" si="24"/>
        <v>0</v>
      </c>
      <c r="H551" t="b">
        <f t="shared" si="25"/>
        <v>0</v>
      </c>
      <c r="I551" s="29">
        <f t="shared" si="26"/>
        <v>38989</v>
      </c>
    </row>
    <row r="552" spans="1:9" ht="12.75" customHeight="1" x14ac:dyDescent="0.2">
      <c r="A552" s="28">
        <v>38989</v>
      </c>
      <c r="B552" s="26" t="s">
        <v>4817</v>
      </c>
      <c r="C552" s="26" t="s">
        <v>1319</v>
      </c>
      <c r="D552" s="26">
        <v>100000</v>
      </c>
      <c r="E552" s="26">
        <v>10178331</v>
      </c>
      <c r="F552" s="26" t="s">
        <v>20</v>
      </c>
      <c r="G552" t="b">
        <f t="shared" si="24"/>
        <v>0</v>
      </c>
      <c r="H552" t="b">
        <f t="shared" si="25"/>
        <v>0</v>
      </c>
      <c r="I552" s="29">
        <f t="shared" si="26"/>
        <v>38989</v>
      </c>
    </row>
    <row r="553" spans="1:9" ht="12.75" customHeight="1" x14ac:dyDescent="0.2">
      <c r="A553" s="28">
        <v>38989</v>
      </c>
      <c r="B553" s="26" t="s">
        <v>4816</v>
      </c>
      <c r="C553" s="26" t="s">
        <v>9</v>
      </c>
      <c r="D553" s="26" t="s">
        <v>20</v>
      </c>
      <c r="E553" s="26">
        <v>1365</v>
      </c>
      <c r="F553" s="26" t="s">
        <v>20</v>
      </c>
      <c r="G553" t="b">
        <f t="shared" si="24"/>
        <v>0</v>
      </c>
      <c r="H553" t="b">
        <f t="shared" si="25"/>
        <v>0</v>
      </c>
      <c r="I553" s="29">
        <f t="shared" si="26"/>
        <v>38989</v>
      </c>
    </row>
    <row r="554" spans="1:9" ht="12.75" customHeight="1" x14ac:dyDescent="0.2">
      <c r="A554" s="28">
        <v>38989</v>
      </c>
      <c r="B554" s="26" t="s">
        <v>4815</v>
      </c>
      <c r="C554" s="26" t="s">
        <v>9</v>
      </c>
      <c r="D554" s="26" t="s">
        <v>20</v>
      </c>
      <c r="E554" s="26" t="s">
        <v>20</v>
      </c>
      <c r="F554" s="26">
        <v>8839526</v>
      </c>
      <c r="G554" t="b">
        <f t="shared" si="24"/>
        <v>0</v>
      </c>
      <c r="H554" t="b">
        <f t="shared" si="25"/>
        <v>0</v>
      </c>
      <c r="I554" s="29">
        <f t="shared" si="26"/>
        <v>38989</v>
      </c>
    </row>
    <row r="555" spans="1:9" ht="38.25" x14ac:dyDescent="0.2">
      <c r="A555" s="28">
        <v>38989</v>
      </c>
      <c r="B555" s="26" t="s">
        <v>4814</v>
      </c>
      <c r="C555" s="26" t="s">
        <v>9</v>
      </c>
      <c r="D555" s="26" t="s">
        <v>20</v>
      </c>
      <c r="E555" s="26">
        <v>24216</v>
      </c>
      <c r="F555" s="26" t="s">
        <v>20</v>
      </c>
      <c r="G555" t="b">
        <f t="shared" si="24"/>
        <v>0</v>
      </c>
      <c r="H555" t="b">
        <f t="shared" si="25"/>
        <v>0</v>
      </c>
      <c r="I555" s="29">
        <f t="shared" si="26"/>
        <v>38989</v>
      </c>
    </row>
    <row r="556" spans="1:9" ht="25.5" x14ac:dyDescent="0.2">
      <c r="A556" s="28">
        <v>38989</v>
      </c>
      <c r="B556" s="26" t="s">
        <v>4813</v>
      </c>
      <c r="C556" s="26" t="s">
        <v>9</v>
      </c>
      <c r="D556" s="26" t="s">
        <v>20</v>
      </c>
      <c r="E556" s="26">
        <v>209478</v>
      </c>
      <c r="F556" s="26" t="s">
        <v>20</v>
      </c>
      <c r="G556" t="b">
        <f t="shared" si="24"/>
        <v>0</v>
      </c>
      <c r="H556" t="b">
        <f t="shared" si="25"/>
        <v>0</v>
      </c>
      <c r="I556" s="29">
        <f t="shared" si="26"/>
        <v>38989</v>
      </c>
    </row>
    <row r="557" spans="1:9" ht="38.25" x14ac:dyDescent="0.2">
      <c r="A557" s="28">
        <v>38989</v>
      </c>
      <c r="B557" s="26" t="s">
        <v>4812</v>
      </c>
      <c r="C557" s="26" t="s">
        <v>2865</v>
      </c>
      <c r="D557" s="26" t="s">
        <v>20</v>
      </c>
      <c r="E557" s="26">
        <v>516139</v>
      </c>
      <c r="F557" s="26" t="s">
        <v>20</v>
      </c>
      <c r="G557" t="b">
        <f t="shared" si="24"/>
        <v>0</v>
      </c>
      <c r="H557" t="b">
        <f t="shared" si="25"/>
        <v>0</v>
      </c>
      <c r="I557" s="29">
        <f t="shared" si="26"/>
        <v>38989</v>
      </c>
    </row>
    <row r="558" spans="1:9" ht="38.25" x14ac:dyDescent="0.2">
      <c r="A558" s="28">
        <v>38989</v>
      </c>
      <c r="B558" s="26" t="s">
        <v>4811</v>
      </c>
      <c r="C558" s="26" t="s">
        <v>9</v>
      </c>
      <c r="D558" s="26" t="s">
        <v>20</v>
      </c>
      <c r="E558" s="26">
        <v>7506</v>
      </c>
      <c r="F558" s="26" t="s">
        <v>20</v>
      </c>
      <c r="G558" t="b">
        <f t="shared" si="24"/>
        <v>0</v>
      </c>
      <c r="H558" t="b">
        <f t="shared" si="25"/>
        <v>0</v>
      </c>
      <c r="I558" s="29">
        <f t="shared" si="26"/>
        <v>38989</v>
      </c>
    </row>
    <row r="559" spans="1:9" ht="12.75" customHeight="1" x14ac:dyDescent="0.2">
      <c r="A559" s="28">
        <v>38990</v>
      </c>
      <c r="B559" s="26" t="s">
        <v>4810</v>
      </c>
      <c r="C559" s="26" t="s">
        <v>3218</v>
      </c>
      <c r="D559" s="26">
        <v>15000000</v>
      </c>
      <c r="E559" s="26">
        <v>56441711</v>
      </c>
      <c r="F559" s="26">
        <v>122840603</v>
      </c>
      <c r="G559" t="b">
        <f t="shared" si="24"/>
        <v>0</v>
      </c>
      <c r="H559" t="b">
        <f t="shared" si="25"/>
        <v>0</v>
      </c>
      <c r="I559" s="29">
        <f t="shared" si="26"/>
        <v>38990</v>
      </c>
    </row>
    <row r="560" spans="1:9" ht="12.75" customHeight="1" x14ac:dyDescent="0.2">
      <c r="A560" s="28">
        <v>38990</v>
      </c>
      <c r="B560" s="26" t="s">
        <v>4809</v>
      </c>
      <c r="C560" s="26" t="s">
        <v>9</v>
      </c>
      <c r="D560" s="26" t="s">
        <v>20</v>
      </c>
      <c r="E560" s="26" t="s">
        <v>20</v>
      </c>
      <c r="F560" s="26">
        <v>6402070</v>
      </c>
      <c r="G560" t="b">
        <f t="shared" si="24"/>
        <v>0</v>
      </c>
      <c r="H560" t="b">
        <f t="shared" si="25"/>
        <v>0</v>
      </c>
      <c r="I560" s="29">
        <f t="shared" si="26"/>
        <v>38990</v>
      </c>
    </row>
    <row r="561" spans="1:9" ht="12.75" customHeight="1" x14ac:dyDescent="0.2">
      <c r="A561" s="28">
        <v>38993</v>
      </c>
      <c r="B561" s="26" t="s">
        <v>4808</v>
      </c>
      <c r="C561" s="26" t="s">
        <v>1220</v>
      </c>
      <c r="D561" s="26" t="s">
        <v>20</v>
      </c>
      <c r="E561" s="26" t="s">
        <v>20</v>
      </c>
      <c r="F561" s="26" t="s">
        <v>20</v>
      </c>
      <c r="G561" t="b">
        <f t="shared" ref="G561:G623" si="27">ISBLANK(A561)</f>
        <v>0</v>
      </c>
      <c r="H561" t="b">
        <f t="shared" ref="H561:H623" si="28">ISTEXT(A561)</f>
        <v>0</v>
      </c>
      <c r="I561" s="29">
        <f t="shared" ref="I561:I623" si="29">DATE(2006,MONTH(A561), DAY(A561))</f>
        <v>38993</v>
      </c>
    </row>
    <row r="562" spans="1:9" ht="25.5" x14ac:dyDescent="0.2">
      <c r="A562" s="28">
        <v>38994</v>
      </c>
      <c r="B562" s="26" t="s">
        <v>4807</v>
      </c>
      <c r="C562" s="26" t="s">
        <v>9</v>
      </c>
      <c r="D562" s="26" t="s">
        <v>20</v>
      </c>
      <c r="E562" s="26">
        <v>10337</v>
      </c>
      <c r="F562" s="26" t="s">
        <v>20</v>
      </c>
      <c r="G562" t="b">
        <f t="shared" si="27"/>
        <v>0</v>
      </c>
      <c r="H562" t="b">
        <f t="shared" si="28"/>
        <v>0</v>
      </c>
      <c r="I562" s="29">
        <f t="shared" si="29"/>
        <v>38994</v>
      </c>
    </row>
    <row r="563" spans="1:9" ht="25.5" x14ac:dyDescent="0.2">
      <c r="A563" s="28">
        <v>38994</v>
      </c>
      <c r="B563" s="26" t="s">
        <v>4806</v>
      </c>
      <c r="C563" s="26" t="s">
        <v>9</v>
      </c>
      <c r="D563" s="26" t="s">
        <v>20</v>
      </c>
      <c r="E563" s="26">
        <v>24729</v>
      </c>
      <c r="F563" s="26" t="s">
        <v>20</v>
      </c>
      <c r="G563" t="b">
        <f t="shared" si="27"/>
        <v>0</v>
      </c>
      <c r="H563" t="b">
        <f t="shared" si="28"/>
        <v>0</v>
      </c>
      <c r="I563" s="29">
        <f t="shared" si="29"/>
        <v>38994</v>
      </c>
    </row>
    <row r="564" spans="1:9" ht="25.5" x14ac:dyDescent="0.2">
      <c r="A564" s="28">
        <v>38994</v>
      </c>
      <c r="B564" s="26" t="s">
        <v>4805</v>
      </c>
      <c r="C564" s="26" t="s">
        <v>9</v>
      </c>
      <c r="D564" s="26" t="s">
        <v>20</v>
      </c>
      <c r="E564" s="26" t="s">
        <v>20</v>
      </c>
      <c r="F564" s="26" t="s">
        <v>20</v>
      </c>
      <c r="G564" t="b">
        <f t="shared" si="27"/>
        <v>0</v>
      </c>
      <c r="H564" t="b">
        <f t="shared" si="28"/>
        <v>0</v>
      </c>
      <c r="I564" s="29">
        <f t="shared" si="29"/>
        <v>38994</v>
      </c>
    </row>
    <row r="565" spans="1:9" ht="12.75" customHeight="1" x14ac:dyDescent="0.2">
      <c r="A565" s="28">
        <v>38996</v>
      </c>
      <c r="B565" s="26" t="s">
        <v>4804</v>
      </c>
      <c r="C565" s="26" t="s">
        <v>9</v>
      </c>
      <c r="D565" s="26" t="s">
        <v>20</v>
      </c>
      <c r="E565" s="26">
        <v>252726</v>
      </c>
      <c r="F565" s="26" t="s">
        <v>20</v>
      </c>
      <c r="G565" t="b">
        <f t="shared" si="27"/>
        <v>0</v>
      </c>
      <c r="H565" t="b">
        <f t="shared" si="28"/>
        <v>0</v>
      </c>
      <c r="I565" s="29">
        <f t="shared" si="29"/>
        <v>38996</v>
      </c>
    </row>
    <row r="566" spans="1:9" ht="12.75" customHeight="1" x14ac:dyDescent="0.2">
      <c r="A566" s="28">
        <v>38996</v>
      </c>
      <c r="B566" s="26" t="s">
        <v>4803</v>
      </c>
      <c r="C566" s="26" t="s">
        <v>9</v>
      </c>
      <c r="D566" s="26" t="s">
        <v>20</v>
      </c>
      <c r="E566" s="26">
        <v>93477</v>
      </c>
      <c r="F566" s="26" t="s">
        <v>20</v>
      </c>
      <c r="G566" t="b">
        <f t="shared" si="27"/>
        <v>0</v>
      </c>
      <c r="H566" t="b">
        <f t="shared" si="28"/>
        <v>0</v>
      </c>
      <c r="I566" s="29">
        <f t="shared" si="29"/>
        <v>38996</v>
      </c>
    </row>
    <row r="567" spans="1:9" ht="12.75" customHeight="1" x14ac:dyDescent="0.2">
      <c r="A567" s="28">
        <v>38996</v>
      </c>
      <c r="B567" s="26" t="s">
        <v>4802</v>
      </c>
      <c r="C567" s="26" t="s">
        <v>9</v>
      </c>
      <c r="D567" s="26">
        <v>2000000</v>
      </c>
      <c r="E567" s="26">
        <v>1985292</v>
      </c>
      <c r="F567" s="26" t="s">
        <v>20</v>
      </c>
      <c r="G567" t="b">
        <f t="shared" si="27"/>
        <v>0</v>
      </c>
      <c r="H567" t="b">
        <f t="shared" si="28"/>
        <v>0</v>
      </c>
      <c r="I567" s="29">
        <f t="shared" si="29"/>
        <v>38996</v>
      </c>
    </row>
    <row r="568" spans="1:9" ht="12.75" customHeight="1" x14ac:dyDescent="0.2">
      <c r="A568" s="28">
        <v>38996</v>
      </c>
      <c r="B568" s="26" t="s">
        <v>4801</v>
      </c>
      <c r="C568" s="26" t="s">
        <v>9</v>
      </c>
      <c r="D568" s="26" t="s">
        <v>20</v>
      </c>
      <c r="E568" s="26" t="s">
        <v>20</v>
      </c>
      <c r="F568" s="26" t="s">
        <v>20</v>
      </c>
      <c r="G568" t="b">
        <f t="shared" si="27"/>
        <v>0</v>
      </c>
      <c r="H568" t="b">
        <f t="shared" si="28"/>
        <v>0</v>
      </c>
      <c r="I568" s="29">
        <f t="shared" si="29"/>
        <v>38996</v>
      </c>
    </row>
    <row r="569" spans="1:9" ht="12.75" customHeight="1" x14ac:dyDescent="0.2">
      <c r="A569" s="28">
        <v>38996</v>
      </c>
      <c r="B569" s="26" t="s">
        <v>4800</v>
      </c>
      <c r="C569" s="26" t="s">
        <v>9</v>
      </c>
      <c r="D569" s="26" t="s">
        <v>20</v>
      </c>
      <c r="E569" s="26">
        <v>10172</v>
      </c>
      <c r="F569" s="26" t="s">
        <v>20</v>
      </c>
      <c r="G569" t="b">
        <f t="shared" si="27"/>
        <v>0</v>
      </c>
      <c r="H569" t="b">
        <f t="shared" si="28"/>
        <v>0</v>
      </c>
      <c r="I569" s="29">
        <f t="shared" si="29"/>
        <v>38996</v>
      </c>
    </row>
    <row r="570" spans="1:9" ht="12.75" customHeight="1" x14ac:dyDescent="0.2">
      <c r="A570" s="28">
        <v>38996</v>
      </c>
      <c r="B570" s="26" t="s">
        <v>4799</v>
      </c>
      <c r="C570" s="26" t="s">
        <v>9</v>
      </c>
      <c r="D570" s="26" t="s">
        <v>20</v>
      </c>
      <c r="E570" s="26">
        <v>241772</v>
      </c>
      <c r="F570" s="26" t="s">
        <v>20</v>
      </c>
      <c r="G570" t="b">
        <f t="shared" si="27"/>
        <v>0</v>
      </c>
      <c r="H570" t="b">
        <f t="shared" si="28"/>
        <v>0</v>
      </c>
      <c r="I570" s="29">
        <f t="shared" si="29"/>
        <v>38996</v>
      </c>
    </row>
    <row r="571" spans="1:9" ht="25.5" x14ac:dyDescent="0.2">
      <c r="A571" s="28">
        <v>38996</v>
      </c>
      <c r="B571" s="26" t="s">
        <v>4798</v>
      </c>
      <c r="C571" s="26" t="s">
        <v>9</v>
      </c>
      <c r="D571" s="26" t="s">
        <v>20</v>
      </c>
      <c r="E571" s="26">
        <v>3833507</v>
      </c>
      <c r="F571" s="26" t="s">
        <v>20</v>
      </c>
      <c r="G571" t="b">
        <f t="shared" si="27"/>
        <v>0</v>
      </c>
      <c r="H571" t="b">
        <f t="shared" si="28"/>
        <v>0</v>
      </c>
      <c r="I571" s="29">
        <f t="shared" si="29"/>
        <v>38996</v>
      </c>
    </row>
    <row r="572" spans="1:9" ht="12.75" customHeight="1" x14ac:dyDescent="0.2">
      <c r="A572" s="28">
        <v>38996</v>
      </c>
      <c r="B572" s="26" t="s">
        <v>4797</v>
      </c>
      <c r="C572" s="26" t="s">
        <v>3209</v>
      </c>
      <c r="D572" s="26">
        <v>90000000</v>
      </c>
      <c r="E572" s="26">
        <v>133311000</v>
      </c>
      <c r="F572" s="26">
        <v>290539042</v>
      </c>
      <c r="G572" t="b">
        <f t="shared" si="27"/>
        <v>0</v>
      </c>
      <c r="H572" t="b">
        <f t="shared" si="28"/>
        <v>0</v>
      </c>
      <c r="I572" s="29">
        <f t="shared" si="29"/>
        <v>38996</v>
      </c>
    </row>
    <row r="573" spans="1:9" ht="12.75" customHeight="1" x14ac:dyDescent="0.2">
      <c r="A573" s="28">
        <v>38996</v>
      </c>
      <c r="B573" s="26" t="s">
        <v>4796</v>
      </c>
      <c r="C573" s="26" t="s">
        <v>9</v>
      </c>
      <c r="D573" s="26" t="s">
        <v>20</v>
      </c>
      <c r="E573" s="26">
        <v>783</v>
      </c>
      <c r="F573" s="26" t="s">
        <v>20</v>
      </c>
      <c r="G573" t="b">
        <f t="shared" si="27"/>
        <v>0</v>
      </c>
      <c r="H573" t="b">
        <f t="shared" si="28"/>
        <v>0</v>
      </c>
      <c r="I573" s="29">
        <f t="shared" si="29"/>
        <v>38996</v>
      </c>
    </row>
    <row r="574" spans="1:9" ht="12.75" customHeight="1" x14ac:dyDescent="0.2">
      <c r="A574" s="28">
        <v>38996</v>
      </c>
      <c r="B574" s="26" t="s">
        <v>4795</v>
      </c>
      <c r="C574" s="26" t="s">
        <v>9</v>
      </c>
      <c r="D574" s="26" t="s">
        <v>20</v>
      </c>
      <c r="E574" s="26">
        <v>53589</v>
      </c>
      <c r="F574" s="26" t="s">
        <v>20</v>
      </c>
      <c r="G574" t="b">
        <f t="shared" si="27"/>
        <v>0</v>
      </c>
      <c r="H574" t="b">
        <f t="shared" si="28"/>
        <v>0</v>
      </c>
      <c r="I574" s="29">
        <f t="shared" si="29"/>
        <v>38996</v>
      </c>
    </row>
    <row r="575" spans="1:9" ht="12.75" customHeight="1" x14ac:dyDescent="0.2">
      <c r="A575" s="28">
        <v>38996</v>
      </c>
      <c r="B575" s="26" t="s">
        <v>4794</v>
      </c>
      <c r="C575" s="26" t="s">
        <v>9</v>
      </c>
      <c r="D575" s="26" t="s">
        <v>20</v>
      </c>
      <c r="E575" s="26" t="s">
        <v>20</v>
      </c>
      <c r="F575" s="26" t="s">
        <v>20</v>
      </c>
      <c r="G575" t="b">
        <f t="shared" si="27"/>
        <v>0</v>
      </c>
      <c r="H575" t="b">
        <f t="shared" si="28"/>
        <v>0</v>
      </c>
      <c r="I575" s="29">
        <f t="shared" si="29"/>
        <v>38996</v>
      </c>
    </row>
    <row r="576" spans="1:9" ht="25.5" x14ac:dyDescent="0.2">
      <c r="A576" s="28">
        <v>38996</v>
      </c>
      <c r="B576" s="26" t="s">
        <v>4793</v>
      </c>
      <c r="C576" s="26" t="s">
        <v>9</v>
      </c>
      <c r="D576" s="26" t="s">
        <v>20</v>
      </c>
      <c r="E576" s="26" t="s">
        <v>20</v>
      </c>
      <c r="F576" s="26" t="s">
        <v>20</v>
      </c>
      <c r="G576" t="b">
        <f t="shared" si="27"/>
        <v>0</v>
      </c>
      <c r="H576" t="b">
        <f t="shared" si="28"/>
        <v>0</v>
      </c>
      <c r="I576" s="29">
        <f t="shared" si="29"/>
        <v>38996</v>
      </c>
    </row>
    <row r="577" spans="1:9" ht="25.5" x14ac:dyDescent="0.2">
      <c r="A577" s="28">
        <v>38996</v>
      </c>
      <c r="B577" s="26" t="s">
        <v>4792</v>
      </c>
      <c r="C577" s="26" t="s">
        <v>3419</v>
      </c>
      <c r="D577" s="26">
        <v>10000000</v>
      </c>
      <c r="E577" s="26">
        <v>28444855</v>
      </c>
      <c r="F577" s="26">
        <v>38117718</v>
      </c>
      <c r="G577" t="b">
        <f t="shared" si="27"/>
        <v>0</v>
      </c>
      <c r="H577" t="b">
        <f t="shared" si="28"/>
        <v>0</v>
      </c>
      <c r="I577" s="29">
        <f t="shared" si="29"/>
        <v>38996</v>
      </c>
    </row>
    <row r="578" spans="1:9" ht="25.5" x14ac:dyDescent="0.2">
      <c r="A578" s="28">
        <v>38996</v>
      </c>
      <c r="B578" s="26" t="s">
        <v>4791</v>
      </c>
      <c r="C578" s="26" t="s">
        <v>9</v>
      </c>
      <c r="D578" s="26" t="s">
        <v>20</v>
      </c>
      <c r="E578" s="26" t="s">
        <v>20</v>
      </c>
      <c r="F578" s="26">
        <v>14700000</v>
      </c>
      <c r="G578" t="b">
        <f t="shared" si="27"/>
        <v>0</v>
      </c>
      <c r="H578" t="b">
        <f t="shared" si="28"/>
        <v>0</v>
      </c>
      <c r="I578" s="29">
        <f t="shared" si="29"/>
        <v>38996</v>
      </c>
    </row>
    <row r="579" spans="1:9" ht="25.5" x14ac:dyDescent="0.2">
      <c r="A579" s="28">
        <v>38996</v>
      </c>
      <c r="B579" s="26" t="s">
        <v>4790</v>
      </c>
      <c r="C579" s="26" t="s">
        <v>9</v>
      </c>
      <c r="D579" s="26" t="s">
        <v>20</v>
      </c>
      <c r="E579" s="26" t="s">
        <v>20</v>
      </c>
      <c r="F579" s="26" t="s">
        <v>20</v>
      </c>
      <c r="G579" t="b">
        <f t="shared" si="27"/>
        <v>0</v>
      </c>
      <c r="H579" t="b">
        <f t="shared" si="28"/>
        <v>0</v>
      </c>
      <c r="I579" s="29">
        <f t="shared" si="29"/>
        <v>38996</v>
      </c>
    </row>
    <row r="580" spans="1:9" x14ac:dyDescent="0.2">
      <c r="A580" s="28">
        <v>38996</v>
      </c>
      <c r="B580" s="26" t="s">
        <v>4789</v>
      </c>
      <c r="C580" s="26" t="s">
        <v>9</v>
      </c>
      <c r="D580" s="26" t="s">
        <v>20</v>
      </c>
      <c r="E580" s="26" t="s">
        <v>20</v>
      </c>
      <c r="F580" s="26" t="s">
        <v>20</v>
      </c>
      <c r="G580" t="b">
        <f t="shared" si="27"/>
        <v>0</v>
      </c>
      <c r="H580" t="b">
        <f t="shared" si="28"/>
        <v>0</v>
      </c>
      <c r="I580" s="29">
        <f t="shared" si="29"/>
        <v>38996</v>
      </c>
    </row>
    <row r="581" spans="1:9" ht="12.75" customHeight="1" x14ac:dyDescent="0.2">
      <c r="A581" s="28">
        <v>38996</v>
      </c>
      <c r="B581" s="26" t="s">
        <v>4788</v>
      </c>
      <c r="C581" s="26" t="s">
        <v>9</v>
      </c>
      <c r="D581" s="26" t="s">
        <v>20</v>
      </c>
      <c r="E581" s="26" t="s">
        <v>20</v>
      </c>
      <c r="F581" s="26" t="s">
        <v>20</v>
      </c>
      <c r="G581" t="b">
        <f t="shared" si="27"/>
        <v>0</v>
      </c>
      <c r="H581" t="b">
        <f t="shared" si="28"/>
        <v>0</v>
      </c>
      <c r="I581" s="29">
        <f t="shared" si="29"/>
        <v>38996</v>
      </c>
    </row>
    <row r="582" spans="1:9" ht="12.75" customHeight="1" x14ac:dyDescent="0.2">
      <c r="A582" s="28">
        <v>38996</v>
      </c>
      <c r="B582" s="26" t="s">
        <v>4787</v>
      </c>
      <c r="C582" s="26" t="s">
        <v>2460</v>
      </c>
      <c r="D582" s="26">
        <v>14000000</v>
      </c>
      <c r="E582" s="26">
        <v>5463019</v>
      </c>
      <c r="F582" s="26">
        <v>14763019</v>
      </c>
      <c r="G582" t="b">
        <f t="shared" si="27"/>
        <v>0</v>
      </c>
      <c r="H582" t="b">
        <f t="shared" si="28"/>
        <v>0</v>
      </c>
      <c r="I582" s="29">
        <f t="shared" si="29"/>
        <v>38996</v>
      </c>
    </row>
    <row r="583" spans="1:9" ht="12.75" customHeight="1" x14ac:dyDescent="0.2">
      <c r="A583" s="28">
        <v>38996</v>
      </c>
      <c r="B583" s="26" t="s">
        <v>4786</v>
      </c>
      <c r="C583" s="26" t="s">
        <v>9</v>
      </c>
      <c r="D583" s="26" t="s">
        <v>20</v>
      </c>
      <c r="E583" s="26">
        <v>329972</v>
      </c>
      <c r="F583" s="26" t="s">
        <v>20</v>
      </c>
      <c r="G583" t="b">
        <f t="shared" si="27"/>
        <v>0</v>
      </c>
      <c r="H583" t="b">
        <f t="shared" si="28"/>
        <v>0</v>
      </c>
      <c r="I583" s="29">
        <f t="shared" si="29"/>
        <v>38996</v>
      </c>
    </row>
    <row r="584" spans="1:9" ht="51" x14ac:dyDescent="0.2">
      <c r="A584" s="28">
        <v>38996</v>
      </c>
      <c r="B584" s="26" t="s">
        <v>4785</v>
      </c>
      <c r="C584" s="26" t="s">
        <v>2460</v>
      </c>
      <c r="D584" s="26">
        <v>16000000</v>
      </c>
      <c r="E584" s="26">
        <v>39517763</v>
      </c>
      <c r="F584" s="26">
        <v>50517763</v>
      </c>
      <c r="G584" t="b">
        <f t="shared" si="27"/>
        <v>0</v>
      </c>
      <c r="H584" t="b">
        <f t="shared" si="28"/>
        <v>0</v>
      </c>
      <c r="I584" s="29">
        <f t="shared" si="29"/>
        <v>38996</v>
      </c>
    </row>
    <row r="585" spans="1:9" ht="51" x14ac:dyDescent="0.2">
      <c r="A585" s="28">
        <v>38997</v>
      </c>
      <c r="B585" s="26" t="s">
        <v>4784</v>
      </c>
      <c r="C585" s="26" t="s">
        <v>9</v>
      </c>
      <c r="D585" s="26" t="s">
        <v>20</v>
      </c>
      <c r="E585" s="26" t="s">
        <v>20</v>
      </c>
      <c r="F585" s="26" t="s">
        <v>20</v>
      </c>
      <c r="G585" t="b">
        <f t="shared" si="27"/>
        <v>0</v>
      </c>
      <c r="H585" t="b">
        <f t="shared" si="28"/>
        <v>0</v>
      </c>
      <c r="I585" s="29">
        <f t="shared" si="29"/>
        <v>38997</v>
      </c>
    </row>
    <row r="586" spans="1:9" ht="25.5" x14ac:dyDescent="0.2">
      <c r="A586" s="28">
        <v>39000</v>
      </c>
      <c r="B586" s="26" t="s">
        <v>4783</v>
      </c>
      <c r="C586" s="26" t="s">
        <v>9</v>
      </c>
      <c r="D586" s="26" t="s">
        <v>20</v>
      </c>
      <c r="E586" s="26" t="s">
        <v>20</v>
      </c>
      <c r="F586" s="26" t="s">
        <v>20</v>
      </c>
      <c r="G586" t="b">
        <f t="shared" si="27"/>
        <v>0</v>
      </c>
      <c r="H586" t="b">
        <f t="shared" si="28"/>
        <v>0</v>
      </c>
      <c r="I586" s="29">
        <f t="shared" si="29"/>
        <v>39000</v>
      </c>
    </row>
    <row r="587" spans="1:9" ht="12.75" customHeight="1" x14ac:dyDescent="0.2">
      <c r="A587" s="28">
        <v>39001</v>
      </c>
      <c r="B587" s="26" t="s">
        <v>4782</v>
      </c>
      <c r="C587" s="26" t="s">
        <v>1609</v>
      </c>
      <c r="D587" s="26" t="s">
        <v>20</v>
      </c>
      <c r="E587" s="26">
        <v>16411</v>
      </c>
      <c r="F587" s="26" t="s">
        <v>20</v>
      </c>
      <c r="G587" t="b">
        <f t="shared" si="27"/>
        <v>0</v>
      </c>
      <c r="H587" t="b">
        <f t="shared" si="28"/>
        <v>0</v>
      </c>
      <c r="I587" s="29">
        <f t="shared" si="29"/>
        <v>39001</v>
      </c>
    </row>
    <row r="588" spans="1:9" ht="12.75" customHeight="1" x14ac:dyDescent="0.2">
      <c r="A588" s="28">
        <v>39002</v>
      </c>
      <c r="B588" s="26" t="s">
        <v>4781</v>
      </c>
      <c r="C588" s="26" t="s">
        <v>9</v>
      </c>
      <c r="D588" s="26" t="s">
        <v>20</v>
      </c>
      <c r="E588" s="26" t="s">
        <v>20</v>
      </c>
      <c r="F588" s="26" t="s">
        <v>20</v>
      </c>
      <c r="G588" t="b">
        <f t="shared" si="27"/>
        <v>0</v>
      </c>
      <c r="H588" t="b">
        <f t="shared" si="28"/>
        <v>0</v>
      </c>
      <c r="I588" s="29">
        <f t="shared" si="29"/>
        <v>39002</v>
      </c>
    </row>
    <row r="589" spans="1:9" ht="12.75" customHeight="1" x14ac:dyDescent="0.2">
      <c r="A589" s="28">
        <v>39003</v>
      </c>
      <c r="B589" s="26" t="s">
        <v>4780</v>
      </c>
      <c r="C589" s="26" t="s">
        <v>9</v>
      </c>
      <c r="D589" s="26" t="s">
        <v>20</v>
      </c>
      <c r="E589" s="26" t="s">
        <v>20</v>
      </c>
      <c r="F589" s="26" t="s">
        <v>20</v>
      </c>
      <c r="G589" t="b">
        <f t="shared" si="27"/>
        <v>0</v>
      </c>
      <c r="H589" t="b">
        <f t="shared" si="28"/>
        <v>0</v>
      </c>
      <c r="I589" s="29">
        <f t="shared" si="29"/>
        <v>39003</v>
      </c>
    </row>
    <row r="590" spans="1:9" ht="25.5" x14ac:dyDescent="0.2">
      <c r="A590" s="28">
        <v>39003</v>
      </c>
      <c r="B590" s="26" t="s">
        <v>4779</v>
      </c>
      <c r="C590" s="26" t="s">
        <v>9</v>
      </c>
      <c r="D590" s="26">
        <v>20000000</v>
      </c>
      <c r="E590" s="26">
        <v>13395961</v>
      </c>
      <c r="F590" s="26" t="s">
        <v>20</v>
      </c>
      <c r="G590" t="b">
        <f t="shared" si="27"/>
        <v>0</v>
      </c>
      <c r="H590" t="b">
        <f t="shared" si="28"/>
        <v>0</v>
      </c>
      <c r="I590" s="29">
        <f t="shared" si="29"/>
        <v>39003</v>
      </c>
    </row>
    <row r="591" spans="1:9" ht="12.75" customHeight="1" x14ac:dyDescent="0.2">
      <c r="A591" s="28">
        <v>39003</v>
      </c>
      <c r="B591" s="26" t="s">
        <v>4778</v>
      </c>
      <c r="C591" s="26" t="s">
        <v>9</v>
      </c>
      <c r="D591" s="26" t="s">
        <v>20</v>
      </c>
      <c r="E591" s="26">
        <v>1706325</v>
      </c>
      <c r="F591" s="26" t="s">
        <v>20</v>
      </c>
      <c r="G591" t="b">
        <f t="shared" si="27"/>
        <v>0</v>
      </c>
      <c r="H591" t="b">
        <f t="shared" si="28"/>
        <v>0</v>
      </c>
      <c r="I591" s="29">
        <f t="shared" si="29"/>
        <v>39003</v>
      </c>
    </row>
    <row r="592" spans="1:9" ht="25.5" x14ac:dyDescent="0.2">
      <c r="A592" s="28">
        <v>39003</v>
      </c>
      <c r="B592" s="26" t="s">
        <v>4777</v>
      </c>
      <c r="C592" s="26" t="s">
        <v>3419</v>
      </c>
      <c r="D592" s="26" t="s">
        <v>20</v>
      </c>
      <c r="E592" s="26">
        <v>201275</v>
      </c>
      <c r="F592" s="26" t="s">
        <v>20</v>
      </c>
      <c r="G592" t="b">
        <f t="shared" si="27"/>
        <v>0</v>
      </c>
      <c r="H592" t="b">
        <f t="shared" si="28"/>
        <v>0</v>
      </c>
      <c r="I592" s="29">
        <f t="shared" si="29"/>
        <v>39003</v>
      </c>
    </row>
    <row r="593" spans="1:9" ht="12.75" customHeight="1" x14ac:dyDescent="0.2">
      <c r="A593" s="28">
        <v>39003</v>
      </c>
      <c r="B593" s="26" t="s">
        <v>4776</v>
      </c>
      <c r="C593" s="26" t="s">
        <v>9</v>
      </c>
      <c r="D593" s="26" t="s">
        <v>20</v>
      </c>
      <c r="E593" s="26">
        <v>7763</v>
      </c>
      <c r="F593" s="26" t="s">
        <v>20</v>
      </c>
      <c r="G593" t="b">
        <f t="shared" si="27"/>
        <v>0</v>
      </c>
      <c r="H593" t="b">
        <f t="shared" si="28"/>
        <v>0</v>
      </c>
      <c r="I593" s="29">
        <f t="shared" si="29"/>
        <v>39003</v>
      </c>
    </row>
    <row r="594" spans="1:9" ht="12.75" customHeight="1" x14ac:dyDescent="0.2">
      <c r="A594" s="28">
        <v>39003</v>
      </c>
      <c r="B594" s="26" t="s">
        <v>4775</v>
      </c>
      <c r="C594" s="26" t="s">
        <v>9</v>
      </c>
      <c r="D594" s="26" t="s">
        <v>20</v>
      </c>
      <c r="E594" s="26" t="s">
        <v>20</v>
      </c>
      <c r="F594" s="26" t="s">
        <v>20</v>
      </c>
      <c r="G594" t="b">
        <f t="shared" si="27"/>
        <v>0</v>
      </c>
      <c r="H594" t="b">
        <f t="shared" si="28"/>
        <v>0</v>
      </c>
      <c r="I594" s="29">
        <f t="shared" si="29"/>
        <v>39003</v>
      </c>
    </row>
    <row r="595" spans="1:9" ht="38.25" x14ac:dyDescent="0.2">
      <c r="A595" s="28">
        <v>39003</v>
      </c>
      <c r="B595" s="26" t="s">
        <v>4774</v>
      </c>
      <c r="C595" s="26" t="s">
        <v>49</v>
      </c>
      <c r="D595" s="26">
        <v>40000000</v>
      </c>
      <c r="E595" s="26">
        <v>659210</v>
      </c>
      <c r="F595" s="26">
        <v>9351567</v>
      </c>
      <c r="G595" t="b">
        <f t="shared" si="27"/>
        <v>0</v>
      </c>
      <c r="H595" t="b">
        <f t="shared" si="28"/>
        <v>0</v>
      </c>
      <c r="I595" s="29">
        <f t="shared" si="29"/>
        <v>39003</v>
      </c>
    </row>
    <row r="596" spans="1:9" ht="12.75" customHeight="1" x14ac:dyDescent="0.2">
      <c r="A596" s="28">
        <v>39003</v>
      </c>
      <c r="B596" s="26" t="s">
        <v>4773</v>
      </c>
      <c r="C596" s="26" t="s">
        <v>2160</v>
      </c>
      <c r="D596" s="26">
        <v>20000000</v>
      </c>
      <c r="E596" s="26">
        <v>39143839</v>
      </c>
      <c r="F596" s="26">
        <v>68643839</v>
      </c>
      <c r="G596" t="b">
        <f t="shared" si="27"/>
        <v>0</v>
      </c>
      <c r="H596" t="b">
        <f t="shared" si="28"/>
        <v>0</v>
      </c>
      <c r="I596" s="29">
        <f t="shared" si="29"/>
        <v>39003</v>
      </c>
    </row>
    <row r="597" spans="1:9" ht="38.25" x14ac:dyDescent="0.2">
      <c r="A597" s="28">
        <v>39003</v>
      </c>
      <c r="B597" s="26" t="s">
        <v>4772</v>
      </c>
      <c r="C597" s="26" t="s">
        <v>9</v>
      </c>
      <c r="D597" s="26" t="s">
        <v>20</v>
      </c>
      <c r="E597" s="26">
        <v>3897</v>
      </c>
      <c r="F597" s="26" t="s">
        <v>20</v>
      </c>
      <c r="G597" t="b">
        <f t="shared" si="27"/>
        <v>0</v>
      </c>
      <c r="H597" t="b">
        <f t="shared" si="28"/>
        <v>0</v>
      </c>
      <c r="I597" s="29">
        <f t="shared" si="29"/>
        <v>39003</v>
      </c>
    </row>
    <row r="598" spans="1:9" ht="12.75" customHeight="1" x14ac:dyDescent="0.2">
      <c r="A598" s="28">
        <v>39003</v>
      </c>
      <c r="B598" s="26" t="s">
        <v>4771</v>
      </c>
      <c r="C598" s="26" t="s">
        <v>9</v>
      </c>
      <c r="D598" s="26" t="s">
        <v>20</v>
      </c>
      <c r="E598" s="26">
        <v>37442180</v>
      </c>
      <c r="F598" s="26" t="s">
        <v>20</v>
      </c>
      <c r="G598" t="b">
        <f t="shared" si="27"/>
        <v>0</v>
      </c>
      <c r="H598" t="b">
        <f t="shared" si="28"/>
        <v>0</v>
      </c>
      <c r="I598" s="29">
        <f t="shared" si="29"/>
        <v>39003</v>
      </c>
    </row>
    <row r="599" spans="1:9" ht="12.75" customHeight="1" x14ac:dyDescent="0.2">
      <c r="A599" s="28">
        <v>39003</v>
      </c>
      <c r="B599" s="26" t="s">
        <v>774</v>
      </c>
      <c r="C599" s="26" t="s">
        <v>9</v>
      </c>
      <c r="D599" s="26">
        <v>4700000</v>
      </c>
      <c r="E599" s="26">
        <v>239962</v>
      </c>
      <c r="F599" s="26" t="s">
        <v>20</v>
      </c>
      <c r="G599" t="b">
        <f t="shared" si="27"/>
        <v>0</v>
      </c>
      <c r="H599" t="b">
        <f t="shared" si="28"/>
        <v>0</v>
      </c>
      <c r="I599" s="29">
        <f t="shared" si="29"/>
        <v>39003</v>
      </c>
    </row>
    <row r="600" spans="1:9" ht="38.25" x14ac:dyDescent="0.2">
      <c r="A600" s="28">
        <v>39003</v>
      </c>
      <c r="B600" s="26" t="s">
        <v>4770</v>
      </c>
      <c r="C600" s="26" t="s">
        <v>2837</v>
      </c>
      <c r="D600" s="26">
        <v>13000000</v>
      </c>
      <c r="E600" s="26">
        <v>1151330</v>
      </c>
      <c r="F600" s="26">
        <v>2613717</v>
      </c>
      <c r="G600" t="b">
        <f t="shared" si="27"/>
        <v>0</v>
      </c>
      <c r="H600" t="b">
        <f t="shared" si="28"/>
        <v>0</v>
      </c>
      <c r="I600" s="29">
        <f t="shared" si="29"/>
        <v>39003</v>
      </c>
    </row>
    <row r="601" spans="1:9" ht="12.75" customHeight="1" x14ac:dyDescent="0.2">
      <c r="A601" s="28">
        <v>39003</v>
      </c>
      <c r="B601" s="26" t="s">
        <v>4769</v>
      </c>
      <c r="C601" s="26" t="s">
        <v>9</v>
      </c>
      <c r="D601" s="26" t="s">
        <v>20</v>
      </c>
      <c r="E601" s="26">
        <v>66453</v>
      </c>
      <c r="F601" s="26" t="s">
        <v>20</v>
      </c>
      <c r="G601" t="b">
        <f t="shared" si="27"/>
        <v>0</v>
      </c>
      <c r="H601" t="b">
        <f t="shared" si="28"/>
        <v>0</v>
      </c>
      <c r="I601" s="29">
        <f t="shared" si="29"/>
        <v>39003</v>
      </c>
    </row>
    <row r="602" spans="1:9" ht="12.75" customHeight="1" x14ac:dyDescent="0.2">
      <c r="A602" s="28">
        <v>39003</v>
      </c>
      <c r="B602" s="26" t="s">
        <v>4768</v>
      </c>
      <c r="C602" s="26" t="s">
        <v>384</v>
      </c>
      <c r="D602" s="26">
        <v>15000000</v>
      </c>
      <c r="E602" s="26">
        <v>18844784</v>
      </c>
      <c r="F602" s="26">
        <v>22165608</v>
      </c>
      <c r="G602" t="b">
        <f t="shared" si="27"/>
        <v>0</v>
      </c>
      <c r="H602" t="b">
        <f t="shared" si="28"/>
        <v>0</v>
      </c>
      <c r="I602" s="29">
        <f t="shared" si="29"/>
        <v>39003</v>
      </c>
    </row>
    <row r="603" spans="1:9" ht="12.75" customHeight="1" x14ac:dyDescent="0.2">
      <c r="A603" s="28">
        <v>39007</v>
      </c>
      <c r="B603" s="26" t="s">
        <v>4767</v>
      </c>
      <c r="C603" s="26" t="s">
        <v>9</v>
      </c>
      <c r="D603" s="26" t="s">
        <v>20</v>
      </c>
      <c r="E603" s="26" t="s">
        <v>20</v>
      </c>
      <c r="F603" s="26" t="s">
        <v>20</v>
      </c>
      <c r="G603" t="b">
        <f t="shared" si="27"/>
        <v>0</v>
      </c>
      <c r="H603" t="b">
        <f t="shared" si="28"/>
        <v>0</v>
      </c>
      <c r="I603" s="29">
        <f t="shared" si="29"/>
        <v>39007</v>
      </c>
    </row>
    <row r="604" spans="1:9" ht="38.25" x14ac:dyDescent="0.2">
      <c r="A604" s="28">
        <v>39007</v>
      </c>
      <c r="B604" s="26" t="s">
        <v>4766</v>
      </c>
      <c r="C604" s="26" t="s">
        <v>9</v>
      </c>
      <c r="D604" s="26" t="s">
        <v>20</v>
      </c>
      <c r="E604" s="26" t="s">
        <v>20</v>
      </c>
      <c r="F604" s="26" t="s">
        <v>20</v>
      </c>
      <c r="G604" t="b">
        <f t="shared" si="27"/>
        <v>0</v>
      </c>
      <c r="H604" t="b">
        <f t="shared" si="28"/>
        <v>0</v>
      </c>
      <c r="I604" s="29">
        <f t="shared" si="29"/>
        <v>39007</v>
      </c>
    </row>
    <row r="605" spans="1:9" ht="12.75" customHeight="1" x14ac:dyDescent="0.2">
      <c r="A605" s="28">
        <v>39008</v>
      </c>
      <c r="B605" s="26" t="s">
        <v>4765</v>
      </c>
      <c r="C605" s="26" t="s">
        <v>9</v>
      </c>
      <c r="D605" s="26">
        <v>350000</v>
      </c>
      <c r="E605" s="26">
        <v>84689</v>
      </c>
      <c r="F605" s="26" t="s">
        <v>20</v>
      </c>
      <c r="G605" t="b">
        <f t="shared" si="27"/>
        <v>0</v>
      </c>
      <c r="H605" t="b">
        <f t="shared" si="28"/>
        <v>0</v>
      </c>
      <c r="I605" s="29">
        <f t="shared" si="29"/>
        <v>39008</v>
      </c>
    </row>
    <row r="606" spans="1:9" ht="12.75" customHeight="1" x14ac:dyDescent="0.2">
      <c r="A606" s="28">
        <v>39009</v>
      </c>
      <c r="B606" s="26" t="s">
        <v>4764</v>
      </c>
      <c r="C606" s="26" t="s">
        <v>9</v>
      </c>
      <c r="D606" s="26" t="s">
        <v>20</v>
      </c>
      <c r="E606" s="26" t="s">
        <v>20</v>
      </c>
      <c r="F606" s="26" t="s">
        <v>20</v>
      </c>
      <c r="G606" t="b">
        <f t="shared" si="27"/>
        <v>0</v>
      </c>
      <c r="H606" t="b">
        <f t="shared" si="28"/>
        <v>0</v>
      </c>
      <c r="I606" s="29">
        <f t="shared" si="29"/>
        <v>39009</v>
      </c>
    </row>
    <row r="607" spans="1:9" ht="25.5" x14ac:dyDescent="0.2">
      <c r="A607" s="28">
        <v>39010</v>
      </c>
      <c r="B607" s="26" t="s">
        <v>4763</v>
      </c>
      <c r="C607" s="26" t="s">
        <v>3240</v>
      </c>
      <c r="D607" s="26">
        <v>53000000</v>
      </c>
      <c r="E607" s="26">
        <v>33602376</v>
      </c>
      <c r="F607" s="26">
        <v>61902376</v>
      </c>
      <c r="G607" t="b">
        <f t="shared" si="27"/>
        <v>0</v>
      </c>
      <c r="H607" t="b">
        <f t="shared" si="28"/>
        <v>0</v>
      </c>
      <c r="I607" s="29">
        <f t="shared" si="29"/>
        <v>39010</v>
      </c>
    </row>
    <row r="608" spans="1:9" ht="12.75" customHeight="1" x14ac:dyDescent="0.2">
      <c r="A608" s="28">
        <v>39010</v>
      </c>
      <c r="B608" s="26" t="s">
        <v>4762</v>
      </c>
      <c r="C608" s="26" t="s">
        <v>9</v>
      </c>
      <c r="D608" s="26" t="s">
        <v>20</v>
      </c>
      <c r="E608" s="26">
        <v>650000</v>
      </c>
      <c r="F608" s="26" t="s">
        <v>20</v>
      </c>
      <c r="G608" t="b">
        <f t="shared" si="27"/>
        <v>0</v>
      </c>
      <c r="H608" t="b">
        <f t="shared" si="28"/>
        <v>0</v>
      </c>
      <c r="I608" s="29">
        <f t="shared" si="29"/>
        <v>39010</v>
      </c>
    </row>
    <row r="609" spans="1:9" ht="12.75" customHeight="1" x14ac:dyDescent="0.2">
      <c r="A609" s="28">
        <v>39010</v>
      </c>
      <c r="B609" s="26" t="s">
        <v>4761</v>
      </c>
      <c r="C609" s="26" t="s">
        <v>9</v>
      </c>
      <c r="D609" s="26" t="s">
        <v>20</v>
      </c>
      <c r="E609" s="26">
        <v>9600</v>
      </c>
      <c r="F609" s="26" t="s">
        <v>20</v>
      </c>
      <c r="G609" t="b">
        <f t="shared" si="27"/>
        <v>0</v>
      </c>
      <c r="H609" t="b">
        <f t="shared" si="28"/>
        <v>0</v>
      </c>
      <c r="I609" s="29">
        <f t="shared" si="29"/>
        <v>39010</v>
      </c>
    </row>
    <row r="610" spans="1:9" ht="12.75" customHeight="1" x14ac:dyDescent="0.2">
      <c r="A610" s="28">
        <v>39010</v>
      </c>
      <c r="B610" s="26" t="s">
        <v>4760</v>
      </c>
      <c r="C610" s="26" t="s">
        <v>9</v>
      </c>
      <c r="D610" s="26" t="s">
        <v>20</v>
      </c>
      <c r="E610" s="26" t="s">
        <v>20</v>
      </c>
      <c r="F610" s="26" t="s">
        <v>20</v>
      </c>
      <c r="G610" t="b">
        <f t="shared" si="27"/>
        <v>0</v>
      </c>
      <c r="H610" t="b">
        <f t="shared" si="28"/>
        <v>0</v>
      </c>
      <c r="I610" s="29">
        <f t="shared" si="29"/>
        <v>39010</v>
      </c>
    </row>
    <row r="611" spans="1:9" ht="38.25" x14ac:dyDescent="0.2">
      <c r="A611" s="28">
        <v>39010</v>
      </c>
      <c r="B611" s="26" t="s">
        <v>4759</v>
      </c>
      <c r="C611" s="26" t="s">
        <v>9</v>
      </c>
      <c r="D611" s="26" t="s">
        <v>20</v>
      </c>
      <c r="E611" s="26">
        <v>148291</v>
      </c>
      <c r="F611" s="26" t="s">
        <v>20</v>
      </c>
      <c r="G611" t="b">
        <f t="shared" si="27"/>
        <v>0</v>
      </c>
      <c r="H611" t="b">
        <f t="shared" si="28"/>
        <v>0</v>
      </c>
      <c r="I611" s="29">
        <f t="shared" si="29"/>
        <v>39010</v>
      </c>
    </row>
    <row r="612" spans="1:9" ht="12.75" customHeight="1" x14ac:dyDescent="0.2">
      <c r="A612" s="28">
        <v>39010</v>
      </c>
      <c r="B612" s="26" t="s">
        <v>4758</v>
      </c>
      <c r="C612" s="26" t="s">
        <v>9</v>
      </c>
      <c r="D612" s="26" t="s">
        <v>20</v>
      </c>
      <c r="E612" s="26">
        <v>2223961</v>
      </c>
      <c r="F612" s="26" t="s">
        <v>20</v>
      </c>
      <c r="G612" t="b">
        <f t="shared" si="27"/>
        <v>0</v>
      </c>
      <c r="H612" t="b">
        <f t="shared" si="28"/>
        <v>0</v>
      </c>
      <c r="I612" s="29">
        <f t="shared" si="29"/>
        <v>39010</v>
      </c>
    </row>
    <row r="613" spans="1:9" ht="12.75" customHeight="1" x14ac:dyDescent="0.2">
      <c r="A613" s="28">
        <v>39010</v>
      </c>
      <c r="B613" s="26" t="s">
        <v>4757</v>
      </c>
      <c r="C613" s="26" t="s">
        <v>3209</v>
      </c>
      <c r="D613" s="26">
        <v>40000000</v>
      </c>
      <c r="E613" s="26">
        <v>53089891</v>
      </c>
      <c r="F613" s="26">
        <v>107896006</v>
      </c>
      <c r="G613" t="b">
        <f t="shared" si="27"/>
        <v>0</v>
      </c>
      <c r="H613" t="b">
        <f t="shared" si="28"/>
        <v>0</v>
      </c>
      <c r="I613" s="29">
        <f t="shared" si="29"/>
        <v>39010</v>
      </c>
    </row>
    <row r="614" spans="1:9" ht="12.75" customHeight="1" x14ac:dyDescent="0.2">
      <c r="A614" s="28">
        <v>39010</v>
      </c>
      <c r="B614" s="26" t="s">
        <v>4756</v>
      </c>
      <c r="C614" s="26" t="s">
        <v>2160</v>
      </c>
      <c r="D614" s="26">
        <v>40000000</v>
      </c>
      <c r="E614" s="26">
        <v>15962471</v>
      </c>
      <c r="F614" s="26">
        <v>60862471</v>
      </c>
      <c r="G614" t="b">
        <f t="shared" si="27"/>
        <v>0</v>
      </c>
      <c r="H614" t="b">
        <f t="shared" si="28"/>
        <v>0</v>
      </c>
      <c r="I614" s="29">
        <f t="shared" si="29"/>
        <v>39010</v>
      </c>
    </row>
    <row r="615" spans="1:9" ht="25.5" x14ac:dyDescent="0.2">
      <c r="A615" s="28">
        <v>39010</v>
      </c>
      <c r="B615" s="26" t="s">
        <v>4755</v>
      </c>
      <c r="C615" s="26" t="s">
        <v>9</v>
      </c>
      <c r="D615" s="26" t="s">
        <v>20</v>
      </c>
      <c r="E615" s="26">
        <v>7650</v>
      </c>
      <c r="F615" s="26" t="s">
        <v>20</v>
      </c>
      <c r="G615" t="b">
        <f t="shared" si="27"/>
        <v>0</v>
      </c>
      <c r="H615" t="b">
        <f t="shared" si="28"/>
        <v>0</v>
      </c>
      <c r="I615" s="29">
        <f t="shared" si="29"/>
        <v>39010</v>
      </c>
    </row>
    <row r="616" spans="1:9" ht="12.75" customHeight="1" x14ac:dyDescent="0.2">
      <c r="A616" s="28">
        <v>39010</v>
      </c>
      <c r="B616" s="26" t="s">
        <v>4754</v>
      </c>
      <c r="C616" s="26" t="s">
        <v>1074</v>
      </c>
      <c r="D616" s="26" t="s">
        <v>20</v>
      </c>
      <c r="E616" s="26" t="s">
        <v>20</v>
      </c>
      <c r="F616" s="26" t="s">
        <v>20</v>
      </c>
      <c r="G616" t="b">
        <f t="shared" si="27"/>
        <v>0</v>
      </c>
      <c r="H616" t="b">
        <f t="shared" si="28"/>
        <v>0</v>
      </c>
      <c r="I616" s="29">
        <f t="shared" si="29"/>
        <v>39010</v>
      </c>
    </row>
    <row r="617" spans="1:9" ht="12.75" customHeight="1" x14ac:dyDescent="0.2">
      <c r="A617" s="28">
        <v>39010</v>
      </c>
      <c r="B617" s="26" t="s">
        <v>4753</v>
      </c>
      <c r="C617" s="26" t="s">
        <v>1319</v>
      </c>
      <c r="D617" s="26" t="s">
        <v>20</v>
      </c>
      <c r="E617" s="26">
        <v>15745</v>
      </c>
      <c r="F617" s="26">
        <v>4342159</v>
      </c>
      <c r="G617" t="b">
        <f t="shared" si="27"/>
        <v>0</v>
      </c>
      <c r="H617" t="b">
        <f t="shared" si="28"/>
        <v>0</v>
      </c>
      <c r="I617" s="29">
        <f t="shared" si="29"/>
        <v>39010</v>
      </c>
    </row>
    <row r="618" spans="1:9" ht="12.75" customHeight="1" x14ac:dyDescent="0.2">
      <c r="A618" s="28">
        <v>39010</v>
      </c>
      <c r="B618" s="26" t="s">
        <v>4752</v>
      </c>
      <c r="C618" s="26" t="s">
        <v>9</v>
      </c>
      <c r="D618" s="26" t="s">
        <v>20</v>
      </c>
      <c r="E618" s="26" t="s">
        <v>20</v>
      </c>
      <c r="F618" s="26" t="s">
        <v>20</v>
      </c>
      <c r="G618" t="b">
        <f t="shared" si="27"/>
        <v>0</v>
      </c>
      <c r="H618" t="b">
        <f t="shared" si="28"/>
        <v>0</v>
      </c>
      <c r="I618" s="29">
        <f t="shared" si="29"/>
        <v>39010</v>
      </c>
    </row>
    <row r="619" spans="1:9" ht="25.5" x14ac:dyDescent="0.2">
      <c r="A619" s="28">
        <v>39010</v>
      </c>
      <c r="B619" s="26" t="s">
        <v>4751</v>
      </c>
      <c r="C619" s="26" t="s">
        <v>9</v>
      </c>
      <c r="D619" s="26">
        <v>12000000</v>
      </c>
      <c r="E619" s="26">
        <v>6775659</v>
      </c>
      <c r="F619" s="26">
        <v>7213629</v>
      </c>
      <c r="G619" t="b">
        <f t="shared" si="27"/>
        <v>0</v>
      </c>
      <c r="H619" t="b">
        <f t="shared" si="28"/>
        <v>0</v>
      </c>
      <c r="I619" s="29">
        <f t="shared" si="29"/>
        <v>39010</v>
      </c>
    </row>
    <row r="620" spans="1:9" ht="38.25" x14ac:dyDescent="0.2">
      <c r="A620" s="28">
        <v>39010</v>
      </c>
      <c r="B620" s="26" t="s">
        <v>4750</v>
      </c>
      <c r="C620" s="26" t="s">
        <v>9</v>
      </c>
      <c r="D620" s="26" t="s">
        <v>20</v>
      </c>
      <c r="E620" s="26">
        <v>24702904</v>
      </c>
      <c r="F620" s="26">
        <v>26502904</v>
      </c>
      <c r="G620" t="b">
        <f t="shared" si="27"/>
        <v>0</v>
      </c>
      <c r="H620" t="b">
        <f t="shared" si="28"/>
        <v>0</v>
      </c>
      <c r="I620" s="29">
        <f t="shared" si="29"/>
        <v>39010</v>
      </c>
    </row>
    <row r="621" spans="1:9" ht="25.5" x14ac:dyDescent="0.2">
      <c r="A621" s="28">
        <v>39010</v>
      </c>
      <c r="B621" s="26" t="s">
        <v>4749</v>
      </c>
      <c r="C621" s="26" t="s">
        <v>9</v>
      </c>
      <c r="D621" s="26" t="s">
        <v>20</v>
      </c>
      <c r="E621" s="26">
        <v>12609</v>
      </c>
      <c r="F621" s="26" t="s">
        <v>20</v>
      </c>
      <c r="G621" t="b">
        <f t="shared" si="27"/>
        <v>0</v>
      </c>
      <c r="H621" t="b">
        <f t="shared" si="28"/>
        <v>0</v>
      </c>
      <c r="I621" s="29">
        <f t="shared" si="29"/>
        <v>39010</v>
      </c>
    </row>
    <row r="622" spans="1:9" ht="12.75" customHeight="1" x14ac:dyDescent="0.2">
      <c r="A622" s="28">
        <v>39010</v>
      </c>
      <c r="B622" s="26" t="s">
        <v>4748</v>
      </c>
      <c r="C622" s="26" t="s">
        <v>384</v>
      </c>
      <c r="D622" s="26">
        <v>15000000</v>
      </c>
      <c r="E622" s="26">
        <v>21000147</v>
      </c>
      <c r="F622" s="26">
        <v>21893591</v>
      </c>
      <c r="G622" t="b">
        <f t="shared" si="27"/>
        <v>0</v>
      </c>
      <c r="H622" t="b">
        <f t="shared" si="28"/>
        <v>0</v>
      </c>
      <c r="I622" s="29">
        <f t="shared" si="29"/>
        <v>39010</v>
      </c>
    </row>
    <row r="623" spans="1:9" ht="12.75" customHeight="1" x14ac:dyDescent="0.2">
      <c r="A623" s="28">
        <v>39016</v>
      </c>
      <c r="B623" s="26" t="s">
        <v>4747</v>
      </c>
      <c r="C623" s="26" t="s">
        <v>9</v>
      </c>
      <c r="D623" s="26" t="s">
        <v>20</v>
      </c>
      <c r="E623" s="26" t="s">
        <v>20</v>
      </c>
      <c r="F623" s="26" t="s">
        <v>20</v>
      </c>
      <c r="G623" t="b">
        <f t="shared" si="27"/>
        <v>0</v>
      </c>
      <c r="H623" t="b">
        <f t="shared" si="28"/>
        <v>0</v>
      </c>
      <c r="I623" s="29">
        <f t="shared" si="29"/>
        <v>39016</v>
      </c>
    </row>
    <row r="624" spans="1:9" ht="12.75" customHeight="1" x14ac:dyDescent="0.2">
      <c r="A624" s="28">
        <v>39016</v>
      </c>
      <c r="B624" s="26" t="s">
        <v>4746</v>
      </c>
      <c r="C624" s="26" t="s">
        <v>9</v>
      </c>
      <c r="D624" s="26" t="s">
        <v>20</v>
      </c>
      <c r="E624" s="26" t="s">
        <v>20</v>
      </c>
      <c r="F624" s="26" t="s">
        <v>20</v>
      </c>
      <c r="G624" t="b">
        <f t="shared" ref="G624:G685" si="30">ISBLANK(A624)</f>
        <v>0</v>
      </c>
      <c r="H624" t="b">
        <f t="shared" ref="H624:H685" si="31">ISTEXT(A624)</f>
        <v>0</v>
      </c>
      <c r="I624" s="29">
        <f t="shared" ref="I624:I685" si="32">DATE(2006,MONTH(A624), DAY(A624))</f>
        <v>39016</v>
      </c>
    </row>
    <row r="625" spans="1:9" ht="25.5" x14ac:dyDescent="0.2">
      <c r="A625" s="28">
        <v>39016</v>
      </c>
      <c r="B625" s="26" t="s">
        <v>4745</v>
      </c>
      <c r="C625" s="26" t="s">
        <v>9</v>
      </c>
      <c r="D625" s="26" t="s">
        <v>20</v>
      </c>
      <c r="E625" s="26" t="s">
        <v>20</v>
      </c>
      <c r="F625" s="26" t="s">
        <v>20</v>
      </c>
      <c r="G625" t="b">
        <f t="shared" si="30"/>
        <v>0</v>
      </c>
      <c r="H625" t="b">
        <f t="shared" si="31"/>
        <v>0</v>
      </c>
      <c r="I625" s="29">
        <f t="shared" si="32"/>
        <v>39016</v>
      </c>
    </row>
    <row r="626" spans="1:9" ht="12.75" customHeight="1" x14ac:dyDescent="0.2">
      <c r="A626" s="28">
        <v>39017</v>
      </c>
      <c r="B626" s="26" t="s">
        <v>4744</v>
      </c>
      <c r="C626" s="26" t="s">
        <v>9</v>
      </c>
      <c r="D626" s="26" t="s">
        <v>20</v>
      </c>
      <c r="E626" s="26" t="s">
        <v>20</v>
      </c>
      <c r="F626" s="26" t="s">
        <v>20</v>
      </c>
      <c r="G626" t="b">
        <f t="shared" si="30"/>
        <v>0</v>
      </c>
      <c r="H626" t="b">
        <f t="shared" si="31"/>
        <v>0</v>
      </c>
      <c r="I626" s="29">
        <f t="shared" si="32"/>
        <v>39017</v>
      </c>
    </row>
    <row r="627" spans="1:9" ht="12.75" customHeight="1" x14ac:dyDescent="0.2">
      <c r="A627" s="28">
        <v>39017</v>
      </c>
      <c r="B627" s="26" t="s">
        <v>4743</v>
      </c>
      <c r="C627" s="26" t="s">
        <v>9</v>
      </c>
      <c r="D627" s="26" t="s">
        <v>20</v>
      </c>
      <c r="E627" s="26" t="s">
        <v>20</v>
      </c>
      <c r="F627" s="26" t="s">
        <v>20</v>
      </c>
      <c r="G627" t="b">
        <f t="shared" si="30"/>
        <v>0</v>
      </c>
      <c r="H627" t="b">
        <f t="shared" si="31"/>
        <v>0</v>
      </c>
      <c r="I627" s="29">
        <f t="shared" si="32"/>
        <v>39017</v>
      </c>
    </row>
    <row r="628" spans="1:9" x14ac:dyDescent="0.2">
      <c r="A628" s="28">
        <v>39017</v>
      </c>
      <c r="B628" s="26" t="s">
        <v>4742</v>
      </c>
      <c r="C628" s="26" t="s">
        <v>9</v>
      </c>
      <c r="D628" s="26" t="s">
        <v>20</v>
      </c>
      <c r="E628" s="26">
        <v>272256</v>
      </c>
      <c r="F628" s="26" t="s">
        <v>20</v>
      </c>
      <c r="G628" t="b">
        <f t="shared" si="30"/>
        <v>0</v>
      </c>
      <c r="H628" t="b">
        <f t="shared" si="31"/>
        <v>0</v>
      </c>
      <c r="I628" s="29">
        <f t="shared" si="32"/>
        <v>39017</v>
      </c>
    </row>
    <row r="629" spans="1:9" ht="12.75" customHeight="1" x14ac:dyDescent="0.2">
      <c r="A629" s="28">
        <v>39017</v>
      </c>
      <c r="B629" s="26" t="s">
        <v>4741</v>
      </c>
      <c r="C629" s="26" t="s">
        <v>746</v>
      </c>
      <c r="D629" s="26" t="s">
        <v>20</v>
      </c>
      <c r="E629" s="26">
        <v>163000</v>
      </c>
      <c r="F629" s="26" t="s">
        <v>20</v>
      </c>
      <c r="G629" t="b">
        <f t="shared" si="30"/>
        <v>0</v>
      </c>
      <c r="H629" t="b">
        <f t="shared" si="31"/>
        <v>0</v>
      </c>
      <c r="I629" s="29">
        <f t="shared" si="32"/>
        <v>39017</v>
      </c>
    </row>
    <row r="630" spans="1:9" ht="12.75" customHeight="1" x14ac:dyDescent="0.2">
      <c r="A630" s="28">
        <v>39017</v>
      </c>
      <c r="B630" s="26" t="s">
        <v>4740</v>
      </c>
      <c r="C630" s="26" t="s">
        <v>49</v>
      </c>
      <c r="D630" s="26" t="s">
        <v>20</v>
      </c>
      <c r="E630" s="26">
        <v>1215045</v>
      </c>
      <c r="F630" s="26">
        <v>1902212</v>
      </c>
      <c r="G630" t="b">
        <f t="shared" si="30"/>
        <v>0</v>
      </c>
      <c r="H630" t="b">
        <f t="shared" si="31"/>
        <v>0</v>
      </c>
      <c r="I630" s="29">
        <f t="shared" si="32"/>
        <v>39017</v>
      </c>
    </row>
    <row r="631" spans="1:9" ht="12.75" customHeight="1" x14ac:dyDescent="0.2">
      <c r="A631" s="28">
        <v>39017</v>
      </c>
      <c r="B631" s="26" t="s">
        <v>4739</v>
      </c>
      <c r="C631" s="26" t="s">
        <v>571</v>
      </c>
      <c r="D631" s="26" t="s">
        <v>20</v>
      </c>
      <c r="E631" s="26">
        <v>17986</v>
      </c>
      <c r="F631" s="26" t="s">
        <v>20</v>
      </c>
      <c r="G631" t="b">
        <f t="shared" si="30"/>
        <v>0</v>
      </c>
      <c r="H631" t="b">
        <f t="shared" si="31"/>
        <v>0</v>
      </c>
      <c r="I631" s="29">
        <f t="shared" si="32"/>
        <v>39017</v>
      </c>
    </row>
    <row r="632" spans="1:9" ht="12.75" customHeight="1" x14ac:dyDescent="0.2">
      <c r="A632" s="28">
        <v>39017</v>
      </c>
      <c r="B632" s="26" t="s">
        <v>4738</v>
      </c>
      <c r="C632" s="26" t="s">
        <v>9</v>
      </c>
      <c r="D632" s="26">
        <v>20000000</v>
      </c>
      <c r="E632" s="26">
        <v>34302837</v>
      </c>
      <c r="F632" s="26">
        <v>135302837</v>
      </c>
      <c r="G632" t="b">
        <f t="shared" si="30"/>
        <v>0</v>
      </c>
      <c r="H632" t="b">
        <f t="shared" si="31"/>
        <v>0</v>
      </c>
      <c r="I632" s="29">
        <f t="shared" si="32"/>
        <v>39017</v>
      </c>
    </row>
    <row r="633" spans="1:9" ht="25.5" x14ac:dyDescent="0.2">
      <c r="A633" s="28">
        <v>39017</v>
      </c>
      <c r="B633" s="26" t="s">
        <v>4737</v>
      </c>
      <c r="C633" s="26" t="s">
        <v>1053</v>
      </c>
      <c r="D633" s="26" t="s">
        <v>20</v>
      </c>
      <c r="E633" s="26">
        <v>519086</v>
      </c>
      <c r="F633" s="26" t="s">
        <v>20</v>
      </c>
      <c r="G633" t="b">
        <f t="shared" si="30"/>
        <v>0</v>
      </c>
      <c r="H633" t="b">
        <f t="shared" si="31"/>
        <v>0</v>
      </c>
      <c r="I633" s="29">
        <f t="shared" si="32"/>
        <v>39017</v>
      </c>
    </row>
    <row r="634" spans="1:9" ht="12.75" customHeight="1" x14ac:dyDescent="0.2">
      <c r="A634" s="28">
        <v>39017</v>
      </c>
      <c r="B634" s="26" t="s">
        <v>4736</v>
      </c>
      <c r="C634" s="26" t="s">
        <v>9</v>
      </c>
      <c r="D634" s="26" t="s">
        <v>20</v>
      </c>
      <c r="E634" s="26">
        <v>4164</v>
      </c>
      <c r="F634" s="26" t="s">
        <v>20</v>
      </c>
      <c r="G634" t="b">
        <f t="shared" si="30"/>
        <v>0</v>
      </c>
      <c r="H634" t="b">
        <f t="shared" si="31"/>
        <v>0</v>
      </c>
      <c r="I634" s="29">
        <f t="shared" si="32"/>
        <v>39017</v>
      </c>
    </row>
    <row r="635" spans="1:9" ht="25.5" x14ac:dyDescent="0.2">
      <c r="A635" s="28">
        <v>39017</v>
      </c>
      <c r="B635" s="26" t="s">
        <v>4735</v>
      </c>
      <c r="C635" s="26" t="s">
        <v>9</v>
      </c>
      <c r="D635" s="26" t="s">
        <v>20</v>
      </c>
      <c r="E635" s="26">
        <v>8370</v>
      </c>
      <c r="F635" s="26" t="s">
        <v>20</v>
      </c>
      <c r="G635" t="b">
        <f t="shared" si="30"/>
        <v>0</v>
      </c>
      <c r="H635" t="b">
        <f t="shared" si="31"/>
        <v>0</v>
      </c>
      <c r="I635" s="29">
        <f t="shared" si="32"/>
        <v>39017</v>
      </c>
    </row>
    <row r="636" spans="1:9" ht="12.75" customHeight="1" x14ac:dyDescent="0.2">
      <c r="A636" s="28">
        <v>39017</v>
      </c>
      <c r="B636" s="26" t="s">
        <v>4734</v>
      </c>
      <c r="C636" s="26" t="s">
        <v>9</v>
      </c>
      <c r="D636" s="26" t="s">
        <v>20</v>
      </c>
      <c r="E636" s="26">
        <v>119958</v>
      </c>
      <c r="F636" s="26" t="s">
        <v>20</v>
      </c>
      <c r="G636" t="b">
        <f t="shared" si="30"/>
        <v>0</v>
      </c>
      <c r="H636" t="b">
        <f t="shared" si="31"/>
        <v>0</v>
      </c>
      <c r="I636" s="29">
        <f t="shared" si="32"/>
        <v>39017</v>
      </c>
    </row>
    <row r="637" spans="1:9" ht="12.75" customHeight="1" x14ac:dyDescent="0.2">
      <c r="A637" s="28">
        <v>39017</v>
      </c>
      <c r="B637" s="26" t="s">
        <v>4733</v>
      </c>
      <c r="C637" s="26" t="s">
        <v>9</v>
      </c>
      <c r="D637" s="26" t="s">
        <v>20</v>
      </c>
      <c r="E637" s="26">
        <v>6635</v>
      </c>
      <c r="F637" s="26" t="s">
        <v>20</v>
      </c>
      <c r="G637" t="b">
        <f t="shared" si="30"/>
        <v>0</v>
      </c>
      <c r="H637" t="b">
        <f t="shared" si="31"/>
        <v>0</v>
      </c>
      <c r="I637" s="29">
        <f t="shared" si="32"/>
        <v>39017</v>
      </c>
    </row>
    <row r="638" spans="1:9" ht="12.75" customHeight="1" x14ac:dyDescent="0.2">
      <c r="A638" s="28">
        <v>39017</v>
      </c>
      <c r="B638" s="26" t="s">
        <v>4732</v>
      </c>
      <c r="C638" s="26" t="s">
        <v>9</v>
      </c>
      <c r="D638" s="26" t="s">
        <v>20</v>
      </c>
      <c r="E638" s="26" t="s">
        <v>20</v>
      </c>
      <c r="F638" s="26" t="s">
        <v>20</v>
      </c>
      <c r="G638" t="b">
        <f t="shared" si="30"/>
        <v>0</v>
      </c>
      <c r="H638" t="b">
        <f t="shared" si="31"/>
        <v>0</v>
      </c>
      <c r="I638" s="29">
        <f t="shared" si="32"/>
        <v>39017</v>
      </c>
    </row>
    <row r="639" spans="1:9" ht="25.5" x14ac:dyDescent="0.2">
      <c r="A639" s="28">
        <v>39017</v>
      </c>
      <c r="B639" s="26" t="s">
        <v>4731</v>
      </c>
      <c r="C639" s="26" t="s">
        <v>9</v>
      </c>
      <c r="D639" s="26" t="s">
        <v>20</v>
      </c>
      <c r="E639" s="26">
        <v>463002</v>
      </c>
      <c r="F639" s="26" t="s">
        <v>20</v>
      </c>
      <c r="G639" t="b">
        <f t="shared" si="30"/>
        <v>0</v>
      </c>
      <c r="H639" t="b">
        <f t="shared" si="31"/>
        <v>0</v>
      </c>
      <c r="I639" s="29">
        <f t="shared" si="32"/>
        <v>39017</v>
      </c>
    </row>
    <row r="640" spans="1:9" ht="38.25" x14ac:dyDescent="0.2">
      <c r="A640" s="28">
        <v>39017</v>
      </c>
      <c r="B640" s="26" t="s">
        <v>4730</v>
      </c>
      <c r="C640" s="26" t="s">
        <v>9</v>
      </c>
      <c r="D640" s="26" t="s">
        <v>20</v>
      </c>
      <c r="E640" s="26" t="s">
        <v>20</v>
      </c>
      <c r="F640" s="26">
        <v>29900000</v>
      </c>
      <c r="G640" t="b">
        <f t="shared" si="30"/>
        <v>0</v>
      </c>
      <c r="H640" t="b">
        <f t="shared" si="31"/>
        <v>0</v>
      </c>
      <c r="I640" s="29">
        <f t="shared" si="32"/>
        <v>39017</v>
      </c>
    </row>
    <row r="641" spans="1:9" ht="12.75" customHeight="1" x14ac:dyDescent="0.2">
      <c r="A641" s="28">
        <v>39017</v>
      </c>
      <c r="B641" s="26" t="s">
        <v>4729</v>
      </c>
      <c r="C641" s="26" t="s">
        <v>3419</v>
      </c>
      <c r="D641" s="26">
        <v>10000000</v>
      </c>
      <c r="E641" s="26">
        <v>80238724</v>
      </c>
      <c r="F641" s="26">
        <v>163876815</v>
      </c>
      <c r="G641" t="b">
        <f t="shared" si="30"/>
        <v>0</v>
      </c>
      <c r="H641" t="b">
        <f t="shared" si="31"/>
        <v>0</v>
      </c>
      <c r="I641" s="29">
        <f t="shared" si="32"/>
        <v>39017</v>
      </c>
    </row>
    <row r="642" spans="1:9" ht="12.75" customHeight="1" x14ac:dyDescent="0.2">
      <c r="A642" s="28">
        <v>39017</v>
      </c>
      <c r="B642" s="26" t="s">
        <v>4728</v>
      </c>
      <c r="C642" s="26" t="s">
        <v>9</v>
      </c>
      <c r="D642" s="26" t="s">
        <v>20</v>
      </c>
      <c r="E642" s="26">
        <v>66217</v>
      </c>
      <c r="F642" s="26" t="s">
        <v>20</v>
      </c>
      <c r="G642" t="b">
        <f t="shared" si="30"/>
        <v>0</v>
      </c>
      <c r="H642" t="b">
        <f t="shared" si="31"/>
        <v>0</v>
      </c>
      <c r="I642" s="29">
        <f t="shared" si="32"/>
        <v>39017</v>
      </c>
    </row>
    <row r="643" spans="1:9" ht="25.5" x14ac:dyDescent="0.2">
      <c r="A643" s="28">
        <v>39017</v>
      </c>
      <c r="B643" s="26" t="s">
        <v>4727</v>
      </c>
      <c r="C643" s="26" t="s">
        <v>1319</v>
      </c>
      <c r="D643" s="26" t="s">
        <v>20</v>
      </c>
      <c r="E643" s="26">
        <v>425045</v>
      </c>
      <c r="F643" s="26" t="s">
        <v>20</v>
      </c>
      <c r="G643" t="b">
        <f t="shared" si="30"/>
        <v>0</v>
      </c>
      <c r="H643" t="b">
        <f t="shared" si="31"/>
        <v>0</v>
      </c>
      <c r="I643" s="29">
        <f t="shared" si="32"/>
        <v>39017</v>
      </c>
    </row>
    <row r="644" spans="1:9" x14ac:dyDescent="0.2">
      <c r="A644" s="28">
        <v>39017</v>
      </c>
      <c r="B644" s="26" t="s">
        <v>4726</v>
      </c>
      <c r="C644" s="26" t="s">
        <v>9</v>
      </c>
      <c r="D644" s="26" t="s">
        <v>20</v>
      </c>
      <c r="E644" s="26">
        <v>85802</v>
      </c>
      <c r="F644" s="26" t="s">
        <v>20</v>
      </c>
      <c r="G644" t="b">
        <f t="shared" si="30"/>
        <v>0</v>
      </c>
      <c r="H644" t="b">
        <f t="shared" si="31"/>
        <v>0</v>
      </c>
      <c r="I644" s="29">
        <f t="shared" si="32"/>
        <v>39017</v>
      </c>
    </row>
    <row r="645" spans="1:9" ht="12.75" customHeight="1" x14ac:dyDescent="0.2">
      <c r="A645" s="28">
        <v>39017</v>
      </c>
      <c r="B645" s="26" t="s">
        <v>4725</v>
      </c>
      <c r="C645" s="26" t="s">
        <v>9</v>
      </c>
      <c r="D645" s="26" t="s">
        <v>20</v>
      </c>
      <c r="E645" s="26" t="s">
        <v>20</v>
      </c>
      <c r="F645" s="26" t="s">
        <v>20</v>
      </c>
      <c r="G645" t="b">
        <f t="shared" si="30"/>
        <v>0</v>
      </c>
      <c r="H645" t="b">
        <f t="shared" si="31"/>
        <v>0</v>
      </c>
      <c r="I645" s="29">
        <f t="shared" si="32"/>
        <v>39017</v>
      </c>
    </row>
    <row r="646" spans="1:9" ht="12.75" customHeight="1" x14ac:dyDescent="0.2">
      <c r="A646" s="28">
        <v>39017</v>
      </c>
      <c r="B646" s="26" t="s">
        <v>4724</v>
      </c>
      <c r="C646" s="26" t="s">
        <v>698</v>
      </c>
      <c r="D646" s="26">
        <v>14000000</v>
      </c>
      <c r="E646" s="26">
        <v>4299773</v>
      </c>
      <c r="F646" s="26">
        <v>5699773</v>
      </c>
      <c r="G646" t="b">
        <f t="shared" si="30"/>
        <v>0</v>
      </c>
      <c r="H646" t="b">
        <f t="shared" si="31"/>
        <v>0</v>
      </c>
      <c r="I646" s="29">
        <f t="shared" si="32"/>
        <v>39017</v>
      </c>
    </row>
    <row r="647" spans="1:9" ht="12.75" customHeight="1" x14ac:dyDescent="0.2">
      <c r="A647" s="28">
        <v>39017</v>
      </c>
      <c r="B647" s="26" t="s">
        <v>4723</v>
      </c>
      <c r="C647" s="26" t="s">
        <v>9</v>
      </c>
      <c r="D647" s="26" t="s">
        <v>20</v>
      </c>
      <c r="E647" s="26">
        <v>179780</v>
      </c>
      <c r="F647" s="26" t="s">
        <v>20</v>
      </c>
      <c r="G647" t="b">
        <f t="shared" si="30"/>
        <v>0</v>
      </c>
      <c r="H647" t="b">
        <f t="shared" si="31"/>
        <v>0</v>
      </c>
      <c r="I647" s="29">
        <f t="shared" si="32"/>
        <v>39017</v>
      </c>
    </row>
    <row r="648" spans="1:9" ht="25.5" x14ac:dyDescent="0.2">
      <c r="A648" s="28">
        <v>39018</v>
      </c>
      <c r="B648" s="26" t="s">
        <v>4722</v>
      </c>
      <c r="C648" s="26" t="s">
        <v>9</v>
      </c>
      <c r="D648" s="26" t="s">
        <v>20</v>
      </c>
      <c r="E648" s="26" t="s">
        <v>20</v>
      </c>
      <c r="F648" s="26" t="s">
        <v>20</v>
      </c>
      <c r="G648" t="b">
        <f t="shared" si="30"/>
        <v>0</v>
      </c>
      <c r="H648" t="b">
        <f t="shared" si="31"/>
        <v>0</v>
      </c>
      <c r="I648" s="29">
        <f t="shared" si="32"/>
        <v>39018</v>
      </c>
    </row>
    <row r="649" spans="1:9" ht="25.5" x14ac:dyDescent="0.2">
      <c r="A649" s="28">
        <v>39020</v>
      </c>
      <c r="B649" s="26" t="s">
        <v>4721</v>
      </c>
      <c r="C649" s="26" t="s">
        <v>9</v>
      </c>
      <c r="D649" s="26" t="s">
        <v>20</v>
      </c>
      <c r="E649" s="26" t="s">
        <v>20</v>
      </c>
      <c r="F649" s="26" t="s">
        <v>20</v>
      </c>
      <c r="G649" t="b">
        <f t="shared" si="30"/>
        <v>0</v>
      </c>
      <c r="H649" t="b">
        <f t="shared" si="31"/>
        <v>0</v>
      </c>
      <c r="I649" s="29">
        <f t="shared" si="32"/>
        <v>39020</v>
      </c>
    </row>
    <row r="650" spans="1:9" ht="12.75" customHeight="1" x14ac:dyDescent="0.2">
      <c r="A650" s="28">
        <v>39021</v>
      </c>
      <c r="B650" s="26" t="s">
        <v>4720</v>
      </c>
      <c r="C650" s="26" t="s">
        <v>9</v>
      </c>
      <c r="D650" s="26" t="s">
        <v>20</v>
      </c>
      <c r="E650" s="26" t="s">
        <v>20</v>
      </c>
      <c r="F650" s="26" t="s">
        <v>20</v>
      </c>
      <c r="G650" t="b">
        <f t="shared" si="30"/>
        <v>0</v>
      </c>
      <c r="H650" t="b">
        <f t="shared" si="31"/>
        <v>0</v>
      </c>
      <c r="I650" s="29">
        <f t="shared" si="32"/>
        <v>39021</v>
      </c>
    </row>
    <row r="651" spans="1:9" ht="63.75" x14ac:dyDescent="0.2">
      <c r="A651" s="28">
        <v>39021</v>
      </c>
      <c r="B651" s="26" t="s">
        <v>4719</v>
      </c>
      <c r="C651" s="26" t="s">
        <v>9</v>
      </c>
      <c r="D651" s="26" t="s">
        <v>20</v>
      </c>
      <c r="E651" s="26" t="s">
        <v>20</v>
      </c>
      <c r="F651" s="26" t="s">
        <v>20</v>
      </c>
      <c r="G651" t="b">
        <f t="shared" si="30"/>
        <v>0</v>
      </c>
      <c r="H651" t="b">
        <f t="shared" si="31"/>
        <v>0</v>
      </c>
      <c r="I651" s="29">
        <f t="shared" si="32"/>
        <v>39021</v>
      </c>
    </row>
    <row r="652" spans="1:9" ht="38.25" x14ac:dyDescent="0.2">
      <c r="A652" s="28">
        <v>39021</v>
      </c>
      <c r="B652" s="26" t="s">
        <v>4718</v>
      </c>
      <c r="C652" s="26" t="s">
        <v>9</v>
      </c>
      <c r="D652" s="26" t="s">
        <v>20</v>
      </c>
      <c r="E652" s="26" t="s">
        <v>20</v>
      </c>
      <c r="F652" s="26" t="s">
        <v>20</v>
      </c>
      <c r="G652" t="b">
        <f t="shared" si="30"/>
        <v>0</v>
      </c>
      <c r="H652" t="b">
        <f t="shared" si="31"/>
        <v>0</v>
      </c>
      <c r="I652" s="29">
        <f t="shared" si="32"/>
        <v>39021</v>
      </c>
    </row>
    <row r="653" spans="1:9" ht="38.25" x14ac:dyDescent="0.2">
      <c r="A653" s="28">
        <v>39021</v>
      </c>
      <c r="B653" s="26" t="s">
        <v>4717</v>
      </c>
      <c r="C653" s="26" t="s">
        <v>9</v>
      </c>
      <c r="D653" s="26" t="s">
        <v>20</v>
      </c>
      <c r="E653" s="26" t="s">
        <v>20</v>
      </c>
      <c r="F653" s="26" t="s">
        <v>20</v>
      </c>
      <c r="G653" t="b">
        <f t="shared" si="30"/>
        <v>0</v>
      </c>
      <c r="H653" t="b">
        <f t="shared" si="31"/>
        <v>0</v>
      </c>
      <c r="I653" s="29">
        <f t="shared" si="32"/>
        <v>39021</v>
      </c>
    </row>
    <row r="654" spans="1:9" ht="12.75" customHeight="1" x14ac:dyDescent="0.2">
      <c r="A654" s="28">
        <v>39022</v>
      </c>
      <c r="B654" s="26" t="s">
        <v>4716</v>
      </c>
      <c r="C654" s="26" t="s">
        <v>9</v>
      </c>
      <c r="D654" s="26" t="s">
        <v>20</v>
      </c>
      <c r="E654" s="26">
        <v>29460</v>
      </c>
      <c r="F654" s="26" t="s">
        <v>20</v>
      </c>
      <c r="G654" t="b">
        <f t="shared" si="30"/>
        <v>0</v>
      </c>
      <c r="H654" t="b">
        <f t="shared" si="31"/>
        <v>0</v>
      </c>
      <c r="I654" s="29">
        <f t="shared" si="32"/>
        <v>39022</v>
      </c>
    </row>
    <row r="655" spans="1:9" ht="12.75" customHeight="1" x14ac:dyDescent="0.2">
      <c r="A655" s="28">
        <v>39024</v>
      </c>
      <c r="B655" s="26" t="s">
        <v>4715</v>
      </c>
      <c r="C655" s="26" t="s">
        <v>384</v>
      </c>
      <c r="D655" s="26">
        <v>18000000</v>
      </c>
      <c r="E655" s="26">
        <v>128505958</v>
      </c>
      <c r="F655" s="26">
        <v>261572744</v>
      </c>
      <c r="G655" t="b">
        <f t="shared" si="30"/>
        <v>0</v>
      </c>
      <c r="H655" t="b">
        <f t="shared" si="31"/>
        <v>0</v>
      </c>
      <c r="I655" s="29">
        <f t="shared" si="32"/>
        <v>39024</v>
      </c>
    </row>
    <row r="656" spans="1:9" ht="12.75" customHeight="1" x14ac:dyDescent="0.2">
      <c r="A656" s="28">
        <v>39024</v>
      </c>
      <c r="B656" s="26" t="s">
        <v>4714</v>
      </c>
      <c r="C656" s="26" t="s">
        <v>9</v>
      </c>
      <c r="D656" s="26" t="s">
        <v>20</v>
      </c>
      <c r="E656" s="26" t="s">
        <v>20</v>
      </c>
      <c r="F656" s="26">
        <v>47000000</v>
      </c>
      <c r="G656" t="b">
        <f t="shared" si="30"/>
        <v>0</v>
      </c>
      <c r="H656" t="b">
        <f t="shared" si="31"/>
        <v>0</v>
      </c>
      <c r="I656" s="29">
        <f t="shared" si="32"/>
        <v>39024</v>
      </c>
    </row>
    <row r="657" spans="1:9" ht="12.75" customHeight="1" x14ac:dyDescent="0.2">
      <c r="A657" s="28">
        <v>39024</v>
      </c>
      <c r="B657" s="26" t="s">
        <v>4713</v>
      </c>
      <c r="C657" s="26" t="s">
        <v>612</v>
      </c>
      <c r="D657" s="26">
        <v>9400000</v>
      </c>
      <c r="E657" s="26">
        <v>12899867</v>
      </c>
      <c r="F657" s="26">
        <v>85599867</v>
      </c>
      <c r="G657" t="b">
        <f t="shared" si="30"/>
        <v>0</v>
      </c>
      <c r="H657" t="b">
        <f t="shared" si="31"/>
        <v>0</v>
      </c>
      <c r="I657" s="29">
        <f t="shared" si="32"/>
        <v>39024</v>
      </c>
    </row>
    <row r="658" spans="1:9" ht="12.75" customHeight="1" x14ac:dyDescent="0.2">
      <c r="A658" s="28">
        <v>39024</v>
      </c>
      <c r="B658" s="26" t="s">
        <v>4712</v>
      </c>
      <c r="C658" s="26" t="s">
        <v>3240</v>
      </c>
      <c r="D658" s="26">
        <v>149000000</v>
      </c>
      <c r="E658" s="26">
        <v>64665672</v>
      </c>
      <c r="F658" s="26">
        <v>177665672</v>
      </c>
      <c r="G658" t="b">
        <f t="shared" si="30"/>
        <v>0</v>
      </c>
      <c r="H658" t="b">
        <f t="shared" si="31"/>
        <v>0</v>
      </c>
      <c r="I658" s="29">
        <f t="shared" si="32"/>
        <v>39024</v>
      </c>
    </row>
    <row r="659" spans="1:9" ht="12.75" customHeight="1" x14ac:dyDescent="0.2">
      <c r="A659" s="28">
        <v>39024</v>
      </c>
      <c r="B659" s="26" t="s">
        <v>4711</v>
      </c>
      <c r="C659" s="26" t="s">
        <v>49</v>
      </c>
      <c r="D659" s="26">
        <v>3700000</v>
      </c>
      <c r="E659" s="26">
        <v>26403</v>
      </c>
      <c r="F659" s="26">
        <v>3080493</v>
      </c>
      <c r="G659" t="b">
        <f t="shared" si="30"/>
        <v>0</v>
      </c>
      <c r="H659" t="b">
        <f t="shared" si="31"/>
        <v>0</v>
      </c>
      <c r="I659" s="29">
        <f t="shared" si="32"/>
        <v>39024</v>
      </c>
    </row>
    <row r="660" spans="1:9" ht="38.25" x14ac:dyDescent="0.2">
      <c r="A660" s="28">
        <v>39024</v>
      </c>
      <c r="B660" s="26" t="s">
        <v>4710</v>
      </c>
      <c r="C660" s="26" t="s">
        <v>3390</v>
      </c>
      <c r="D660" s="26" t="s">
        <v>20</v>
      </c>
      <c r="E660" s="26">
        <v>84500122</v>
      </c>
      <c r="F660" s="26">
        <v>107500122</v>
      </c>
      <c r="G660" t="b">
        <f t="shared" si="30"/>
        <v>0</v>
      </c>
      <c r="H660" t="b">
        <f t="shared" si="31"/>
        <v>0</v>
      </c>
      <c r="I660" s="29">
        <f t="shared" si="32"/>
        <v>39024</v>
      </c>
    </row>
    <row r="661" spans="1:9" ht="12.75" customHeight="1" x14ac:dyDescent="0.2">
      <c r="A661" s="28">
        <v>39024</v>
      </c>
      <c r="B661" s="26" t="s">
        <v>4709</v>
      </c>
      <c r="C661" s="26" t="s">
        <v>9</v>
      </c>
      <c r="D661" s="26" t="s">
        <v>20</v>
      </c>
      <c r="E661" s="26">
        <v>485000</v>
      </c>
      <c r="F661" s="26" t="s">
        <v>20</v>
      </c>
      <c r="G661" t="b">
        <f t="shared" si="30"/>
        <v>0</v>
      </c>
      <c r="H661" t="b">
        <f t="shared" si="31"/>
        <v>0</v>
      </c>
      <c r="I661" s="29">
        <f t="shared" si="32"/>
        <v>39024</v>
      </c>
    </row>
    <row r="662" spans="1:9" ht="12.75" customHeight="1" x14ac:dyDescent="0.2">
      <c r="A662" s="28">
        <v>39024</v>
      </c>
      <c r="B662" s="26" t="s">
        <v>4708</v>
      </c>
      <c r="C662" s="26" t="s">
        <v>9</v>
      </c>
      <c r="D662" s="26" t="s">
        <v>20</v>
      </c>
      <c r="E662" s="26" t="s">
        <v>20</v>
      </c>
      <c r="F662" s="26" t="s">
        <v>20</v>
      </c>
      <c r="G662" t="b">
        <f t="shared" si="30"/>
        <v>0</v>
      </c>
      <c r="H662" t="b">
        <f t="shared" si="31"/>
        <v>0</v>
      </c>
      <c r="I662" s="29">
        <f t="shared" si="32"/>
        <v>39024</v>
      </c>
    </row>
    <row r="663" spans="1:9" x14ac:dyDescent="0.2">
      <c r="A663" s="28">
        <v>39024</v>
      </c>
      <c r="B663" s="26" t="s">
        <v>4707</v>
      </c>
      <c r="C663" s="26" t="s">
        <v>9</v>
      </c>
      <c r="D663" s="26" t="s">
        <v>20</v>
      </c>
      <c r="E663" s="26" t="s">
        <v>20</v>
      </c>
      <c r="F663" s="26" t="s">
        <v>20</v>
      </c>
      <c r="G663" t="b">
        <f t="shared" si="30"/>
        <v>0</v>
      </c>
      <c r="H663" t="b">
        <f t="shared" si="31"/>
        <v>0</v>
      </c>
      <c r="I663" s="29">
        <f t="shared" si="32"/>
        <v>39024</v>
      </c>
    </row>
    <row r="664" spans="1:9" x14ac:dyDescent="0.2">
      <c r="A664" s="28">
        <v>39025</v>
      </c>
      <c r="B664" s="26" t="s">
        <v>4706</v>
      </c>
      <c r="C664" s="26" t="s">
        <v>9</v>
      </c>
      <c r="D664" s="26" t="s">
        <v>20</v>
      </c>
      <c r="E664" s="26" t="s">
        <v>20</v>
      </c>
      <c r="F664" s="26" t="s">
        <v>20</v>
      </c>
      <c r="G664" t="b">
        <f t="shared" si="30"/>
        <v>0</v>
      </c>
      <c r="H664" t="b">
        <f t="shared" si="31"/>
        <v>0</v>
      </c>
      <c r="I664" s="29">
        <f t="shared" si="32"/>
        <v>39025</v>
      </c>
    </row>
    <row r="665" spans="1:9" ht="12.75" customHeight="1" x14ac:dyDescent="0.2">
      <c r="A665" s="28">
        <v>39028</v>
      </c>
      <c r="B665" s="26" t="s">
        <v>4705</v>
      </c>
      <c r="C665" s="26" t="s">
        <v>9</v>
      </c>
      <c r="D665" s="26">
        <v>3500000</v>
      </c>
      <c r="E665" s="26" t="s">
        <v>20</v>
      </c>
      <c r="F665" s="26" t="s">
        <v>20</v>
      </c>
      <c r="G665" t="b">
        <f t="shared" si="30"/>
        <v>0</v>
      </c>
      <c r="H665" t="b">
        <f t="shared" si="31"/>
        <v>0</v>
      </c>
      <c r="I665" s="29">
        <f t="shared" si="32"/>
        <v>39028</v>
      </c>
    </row>
    <row r="666" spans="1:9" ht="12.75" customHeight="1" x14ac:dyDescent="0.2">
      <c r="A666" s="28">
        <v>39029</v>
      </c>
      <c r="B666" s="26" t="s">
        <v>4704</v>
      </c>
      <c r="C666" s="26" t="s">
        <v>4703</v>
      </c>
      <c r="D666" s="26" t="s">
        <v>20</v>
      </c>
      <c r="E666" s="26">
        <v>204462</v>
      </c>
      <c r="F666" s="26" t="s">
        <v>20</v>
      </c>
      <c r="G666" t="b">
        <f t="shared" si="30"/>
        <v>0</v>
      </c>
      <c r="H666" t="b">
        <f t="shared" si="31"/>
        <v>0</v>
      </c>
      <c r="I666" s="29">
        <f t="shared" si="32"/>
        <v>39029</v>
      </c>
    </row>
    <row r="667" spans="1:9" ht="12.75" customHeight="1" x14ac:dyDescent="0.2">
      <c r="A667" s="28">
        <v>39030</v>
      </c>
      <c r="B667" s="26" t="s">
        <v>4702</v>
      </c>
      <c r="C667" s="26" t="s">
        <v>9</v>
      </c>
      <c r="D667" s="26" t="s">
        <v>20</v>
      </c>
      <c r="E667" s="26" t="s">
        <v>20</v>
      </c>
      <c r="F667" s="26" t="s">
        <v>20</v>
      </c>
      <c r="G667" t="b">
        <f t="shared" si="30"/>
        <v>0</v>
      </c>
      <c r="H667" t="b">
        <f t="shared" si="31"/>
        <v>0</v>
      </c>
      <c r="I667" s="29">
        <f t="shared" si="32"/>
        <v>39030</v>
      </c>
    </row>
    <row r="668" spans="1:9" ht="25.5" x14ac:dyDescent="0.2">
      <c r="A668" s="28">
        <v>39030</v>
      </c>
      <c r="B668" s="26" t="s">
        <v>4701</v>
      </c>
      <c r="C668" s="26" t="s">
        <v>9</v>
      </c>
      <c r="D668" s="26" t="s">
        <v>20</v>
      </c>
      <c r="E668" s="26" t="s">
        <v>20</v>
      </c>
      <c r="F668" s="26" t="s">
        <v>20</v>
      </c>
      <c r="G668" t="b">
        <f t="shared" si="30"/>
        <v>0</v>
      </c>
      <c r="H668" t="b">
        <f t="shared" si="31"/>
        <v>0</v>
      </c>
      <c r="I668" s="29">
        <f t="shared" si="32"/>
        <v>39030</v>
      </c>
    </row>
    <row r="669" spans="1:9" ht="25.5" x14ac:dyDescent="0.2">
      <c r="A669" s="28">
        <v>39031</v>
      </c>
      <c r="B669" s="26" t="s">
        <v>4700</v>
      </c>
      <c r="C669" s="26" t="s">
        <v>9</v>
      </c>
      <c r="D669" s="26" t="s">
        <v>20</v>
      </c>
      <c r="E669" s="26">
        <v>275000</v>
      </c>
      <c r="F669" s="26" t="s">
        <v>20</v>
      </c>
      <c r="G669" t="b">
        <f t="shared" si="30"/>
        <v>0</v>
      </c>
      <c r="H669" t="b">
        <f t="shared" si="31"/>
        <v>0</v>
      </c>
      <c r="I669" s="29">
        <f t="shared" si="32"/>
        <v>39031</v>
      </c>
    </row>
    <row r="670" spans="1:9" ht="25.5" x14ac:dyDescent="0.2">
      <c r="A670" s="28">
        <v>39031</v>
      </c>
      <c r="B670" s="26" t="s">
        <v>4699</v>
      </c>
      <c r="C670" s="26" t="s">
        <v>9</v>
      </c>
      <c r="D670" s="26">
        <v>6000000</v>
      </c>
      <c r="E670" s="26">
        <v>119452</v>
      </c>
      <c r="F670" s="26" t="s">
        <v>20</v>
      </c>
      <c r="G670" t="b">
        <f t="shared" si="30"/>
        <v>0</v>
      </c>
      <c r="H670" t="b">
        <f t="shared" si="31"/>
        <v>0</v>
      </c>
      <c r="I670" s="29">
        <f t="shared" si="32"/>
        <v>39031</v>
      </c>
    </row>
    <row r="671" spans="1:9" ht="12.75" customHeight="1" x14ac:dyDescent="0.2">
      <c r="A671" s="28">
        <v>39031</v>
      </c>
      <c r="B671" s="26" t="s">
        <v>3857</v>
      </c>
      <c r="C671" s="26" t="s">
        <v>698</v>
      </c>
      <c r="D671" s="26" t="s">
        <v>20</v>
      </c>
      <c r="E671" s="26">
        <v>7744785</v>
      </c>
      <c r="F671" s="26">
        <v>8844785</v>
      </c>
      <c r="G671" t="b">
        <f t="shared" si="30"/>
        <v>0</v>
      </c>
      <c r="H671" t="b">
        <f t="shared" si="31"/>
        <v>0</v>
      </c>
      <c r="I671" s="29">
        <f t="shared" si="32"/>
        <v>39031</v>
      </c>
    </row>
    <row r="672" spans="1:9" ht="25.5" x14ac:dyDescent="0.2">
      <c r="A672" s="28">
        <v>39031</v>
      </c>
      <c r="B672" s="26" t="s">
        <v>4698</v>
      </c>
      <c r="C672" s="26" t="s">
        <v>9</v>
      </c>
      <c r="D672" s="26">
        <v>30000000</v>
      </c>
      <c r="E672" s="26">
        <v>40435190</v>
      </c>
      <c r="F672" s="26">
        <v>45235190</v>
      </c>
      <c r="G672" t="b">
        <f t="shared" si="30"/>
        <v>0</v>
      </c>
      <c r="H672" t="b">
        <f t="shared" si="31"/>
        <v>0</v>
      </c>
      <c r="I672" s="29">
        <f t="shared" si="32"/>
        <v>39031</v>
      </c>
    </row>
    <row r="673" spans="1:9" ht="12.75" customHeight="1" x14ac:dyDescent="0.2">
      <c r="A673" s="28">
        <v>39031</v>
      </c>
      <c r="B673" s="26" t="s">
        <v>4697</v>
      </c>
      <c r="C673" s="26" t="s">
        <v>384</v>
      </c>
      <c r="D673" s="26">
        <v>35000000</v>
      </c>
      <c r="E673" s="26">
        <v>7459300</v>
      </c>
      <c r="F673" s="26">
        <v>42064105</v>
      </c>
      <c r="G673" t="b">
        <f t="shared" si="30"/>
        <v>0</v>
      </c>
      <c r="H673" t="b">
        <f t="shared" si="31"/>
        <v>0</v>
      </c>
      <c r="I673" s="29">
        <f t="shared" si="32"/>
        <v>39031</v>
      </c>
    </row>
    <row r="674" spans="1:9" ht="12.75" customHeight="1" x14ac:dyDescent="0.2">
      <c r="A674" s="28">
        <v>39031</v>
      </c>
      <c r="B674" s="26" t="s">
        <v>4696</v>
      </c>
      <c r="C674" s="26" t="s">
        <v>9</v>
      </c>
      <c r="D674" s="26" t="s">
        <v>20</v>
      </c>
      <c r="E674" s="26">
        <v>72244</v>
      </c>
      <c r="F674" s="26" t="s">
        <v>20</v>
      </c>
      <c r="G674" t="b">
        <f t="shared" si="30"/>
        <v>0</v>
      </c>
      <c r="H674" t="b">
        <f t="shared" si="31"/>
        <v>0</v>
      </c>
      <c r="I674" s="29">
        <f t="shared" si="32"/>
        <v>39031</v>
      </c>
    </row>
    <row r="675" spans="1:9" ht="25.5" x14ac:dyDescent="0.2">
      <c r="A675" s="28">
        <v>39031</v>
      </c>
      <c r="B675" s="26" t="s">
        <v>4695</v>
      </c>
      <c r="C675" s="26" t="s">
        <v>9</v>
      </c>
      <c r="D675" s="26">
        <v>11000000</v>
      </c>
      <c r="E675" s="26">
        <v>355968</v>
      </c>
      <c r="F675" s="26" t="s">
        <v>20</v>
      </c>
      <c r="G675" t="b">
        <f t="shared" si="30"/>
        <v>0</v>
      </c>
      <c r="H675" t="b">
        <f t="shared" si="31"/>
        <v>0</v>
      </c>
      <c r="I675" s="29">
        <f t="shared" si="32"/>
        <v>39031</v>
      </c>
    </row>
    <row r="676" spans="1:9" ht="12.75" customHeight="1" x14ac:dyDescent="0.2">
      <c r="A676" s="28">
        <v>39031</v>
      </c>
      <c r="B676" s="26" t="s">
        <v>4694</v>
      </c>
      <c r="C676" s="26" t="s">
        <v>849</v>
      </c>
      <c r="D676" s="26">
        <v>16800000</v>
      </c>
      <c r="E676" s="26">
        <v>223202</v>
      </c>
      <c r="F676" s="26">
        <v>2281089</v>
      </c>
      <c r="G676" t="b">
        <f t="shared" si="30"/>
        <v>0</v>
      </c>
      <c r="H676" t="b">
        <f t="shared" si="31"/>
        <v>0</v>
      </c>
      <c r="I676" s="29">
        <f t="shared" si="32"/>
        <v>39031</v>
      </c>
    </row>
    <row r="677" spans="1:9" ht="12.75" customHeight="1" x14ac:dyDescent="0.2">
      <c r="A677" s="28">
        <v>39031</v>
      </c>
      <c r="B677" s="26" t="s">
        <v>4693</v>
      </c>
      <c r="C677" s="26" t="s">
        <v>9</v>
      </c>
      <c r="D677" s="26" t="s">
        <v>20</v>
      </c>
      <c r="E677" s="26" t="s">
        <v>20</v>
      </c>
      <c r="F677" s="26" t="s">
        <v>20</v>
      </c>
      <c r="G677" t="b">
        <f t="shared" si="30"/>
        <v>0</v>
      </c>
      <c r="H677" t="b">
        <f t="shared" si="31"/>
        <v>0</v>
      </c>
      <c r="I677" s="29">
        <f t="shared" si="32"/>
        <v>39031</v>
      </c>
    </row>
    <row r="678" spans="1:9" ht="12.75" customHeight="1" x14ac:dyDescent="0.2">
      <c r="A678" s="28">
        <v>39031</v>
      </c>
      <c r="B678" s="26" t="s">
        <v>4692</v>
      </c>
      <c r="C678" s="26" t="s">
        <v>9</v>
      </c>
      <c r="D678" s="26" t="s">
        <v>20</v>
      </c>
      <c r="E678" s="26">
        <v>4412</v>
      </c>
      <c r="F678" s="26" t="s">
        <v>20</v>
      </c>
      <c r="G678" t="b">
        <f t="shared" si="30"/>
        <v>0</v>
      </c>
      <c r="H678" t="b">
        <f t="shared" si="31"/>
        <v>0</v>
      </c>
      <c r="I678" s="29">
        <f t="shared" si="32"/>
        <v>39031</v>
      </c>
    </row>
    <row r="679" spans="1:9" ht="12.75" customHeight="1" x14ac:dyDescent="0.2">
      <c r="A679" s="28">
        <v>39031</v>
      </c>
      <c r="B679" s="26" t="s">
        <v>4691</v>
      </c>
      <c r="C679" s="26" t="s">
        <v>2256</v>
      </c>
      <c r="D679" s="26">
        <v>2000000</v>
      </c>
      <c r="E679" s="26">
        <v>3337931</v>
      </c>
      <c r="F679" s="26">
        <v>5963961</v>
      </c>
      <c r="G679" t="b">
        <f t="shared" si="30"/>
        <v>0</v>
      </c>
      <c r="H679" t="b">
        <f t="shared" si="31"/>
        <v>0</v>
      </c>
      <c r="I679" s="29">
        <f t="shared" si="32"/>
        <v>39031</v>
      </c>
    </row>
    <row r="680" spans="1:9" ht="25.5" x14ac:dyDescent="0.2">
      <c r="A680" s="28">
        <v>39031</v>
      </c>
      <c r="B680" s="26" t="s">
        <v>4690</v>
      </c>
      <c r="C680" s="26" t="s">
        <v>9</v>
      </c>
      <c r="D680" s="26" t="s">
        <v>20</v>
      </c>
      <c r="E680" s="26">
        <v>141803</v>
      </c>
      <c r="F680" s="26" t="s">
        <v>20</v>
      </c>
      <c r="G680" t="b">
        <f t="shared" si="30"/>
        <v>0</v>
      </c>
      <c r="H680" t="b">
        <f t="shared" si="31"/>
        <v>0</v>
      </c>
      <c r="I680" s="29">
        <f t="shared" si="32"/>
        <v>39031</v>
      </c>
    </row>
    <row r="681" spans="1:9" ht="12.75" customHeight="1" x14ac:dyDescent="0.2">
      <c r="A681" s="28">
        <v>39031</v>
      </c>
      <c r="B681" s="26" t="s">
        <v>4689</v>
      </c>
      <c r="C681" s="26" t="s">
        <v>9</v>
      </c>
      <c r="D681" s="26" t="s">
        <v>20</v>
      </c>
      <c r="E681" s="26">
        <v>16259</v>
      </c>
      <c r="F681" s="26" t="s">
        <v>20</v>
      </c>
      <c r="G681" t="b">
        <f t="shared" si="30"/>
        <v>0</v>
      </c>
      <c r="H681" t="b">
        <f t="shared" si="31"/>
        <v>0</v>
      </c>
      <c r="I681" s="29">
        <f t="shared" si="32"/>
        <v>39031</v>
      </c>
    </row>
    <row r="682" spans="1:9" ht="12.75" customHeight="1" x14ac:dyDescent="0.2">
      <c r="A682" s="28">
        <v>39031</v>
      </c>
      <c r="B682" s="26" t="s">
        <v>4688</v>
      </c>
      <c r="C682" s="26" t="s">
        <v>3233</v>
      </c>
      <c r="D682" s="26" t="s">
        <v>20</v>
      </c>
      <c r="E682" s="26">
        <v>22359</v>
      </c>
      <c r="F682" s="26" t="s">
        <v>20</v>
      </c>
      <c r="G682" t="b">
        <f t="shared" si="30"/>
        <v>0</v>
      </c>
      <c r="H682" t="b">
        <f t="shared" si="31"/>
        <v>0</v>
      </c>
      <c r="I682" s="29">
        <f t="shared" si="32"/>
        <v>39031</v>
      </c>
    </row>
    <row r="683" spans="1:9" ht="25.5" x14ac:dyDescent="0.2">
      <c r="A683" s="28">
        <v>39031</v>
      </c>
      <c r="B683" s="26" t="s">
        <v>4687</v>
      </c>
      <c r="C683" s="26" t="s">
        <v>4686</v>
      </c>
      <c r="D683" s="26" t="s">
        <v>20</v>
      </c>
      <c r="E683" s="26">
        <v>737</v>
      </c>
      <c r="F683" s="26" t="s">
        <v>20</v>
      </c>
      <c r="G683" t="b">
        <f t="shared" si="30"/>
        <v>0</v>
      </c>
      <c r="H683" t="b">
        <f t="shared" si="31"/>
        <v>0</v>
      </c>
      <c r="I683" s="29">
        <f t="shared" si="32"/>
        <v>39031</v>
      </c>
    </row>
    <row r="684" spans="1:9" x14ac:dyDescent="0.2">
      <c r="A684" s="28">
        <v>39035</v>
      </c>
      <c r="B684" s="26" t="s">
        <v>4685</v>
      </c>
      <c r="C684" s="26" t="s">
        <v>9</v>
      </c>
      <c r="D684" s="26" t="s">
        <v>20</v>
      </c>
      <c r="E684" s="26" t="s">
        <v>20</v>
      </c>
      <c r="F684" s="26" t="s">
        <v>20</v>
      </c>
      <c r="G684" t="b">
        <f t="shared" si="30"/>
        <v>0</v>
      </c>
      <c r="H684" t="b">
        <f t="shared" si="31"/>
        <v>0</v>
      </c>
      <c r="I684" s="29">
        <f t="shared" si="32"/>
        <v>39035</v>
      </c>
    </row>
    <row r="685" spans="1:9" ht="12.75" customHeight="1" x14ac:dyDescent="0.2">
      <c r="A685" s="28">
        <v>39035</v>
      </c>
      <c r="B685" s="26" t="s">
        <v>4684</v>
      </c>
      <c r="C685" s="26" t="s">
        <v>9</v>
      </c>
      <c r="D685" s="26" t="s">
        <v>20</v>
      </c>
      <c r="E685" s="26" t="s">
        <v>20</v>
      </c>
      <c r="F685" s="26" t="s">
        <v>20</v>
      </c>
      <c r="G685" t="b">
        <f t="shared" si="30"/>
        <v>0</v>
      </c>
      <c r="H685" t="b">
        <f t="shared" si="31"/>
        <v>0</v>
      </c>
      <c r="I685" s="29">
        <f t="shared" si="32"/>
        <v>39035</v>
      </c>
    </row>
    <row r="686" spans="1:9" ht="51" x14ac:dyDescent="0.2">
      <c r="A686" s="28">
        <v>39035</v>
      </c>
      <c r="B686" s="26" t="s">
        <v>4683</v>
      </c>
      <c r="C686" s="26" t="s">
        <v>9</v>
      </c>
      <c r="D686" s="26" t="s">
        <v>20</v>
      </c>
      <c r="E686" s="26" t="s">
        <v>20</v>
      </c>
      <c r="F686" s="26" t="s">
        <v>20</v>
      </c>
      <c r="G686" t="b">
        <f t="shared" ref="G686:G747" si="33">ISBLANK(A686)</f>
        <v>0</v>
      </c>
      <c r="H686" t="b">
        <f t="shared" ref="H686:H747" si="34">ISTEXT(A686)</f>
        <v>0</v>
      </c>
      <c r="I686" s="29">
        <f t="shared" ref="I686:I747" si="35">DATE(2006,MONTH(A686), DAY(A686))</f>
        <v>39035</v>
      </c>
    </row>
    <row r="687" spans="1:9" ht="38.25" x14ac:dyDescent="0.2">
      <c r="A687" s="28">
        <v>39035</v>
      </c>
      <c r="B687" s="26" t="s">
        <v>4682</v>
      </c>
      <c r="C687" s="26" t="s">
        <v>9</v>
      </c>
      <c r="D687" s="26" t="s">
        <v>20</v>
      </c>
      <c r="E687" s="26" t="s">
        <v>20</v>
      </c>
      <c r="F687" s="26" t="s">
        <v>20</v>
      </c>
      <c r="G687" t="b">
        <f t="shared" si="33"/>
        <v>0</v>
      </c>
      <c r="H687" t="b">
        <f t="shared" si="34"/>
        <v>0</v>
      </c>
      <c r="I687" s="29">
        <f t="shared" si="35"/>
        <v>39035</v>
      </c>
    </row>
    <row r="688" spans="1:9" ht="12.75" customHeight="1" x14ac:dyDescent="0.2">
      <c r="A688" s="28">
        <v>39036</v>
      </c>
      <c r="B688" s="26" t="s">
        <v>4681</v>
      </c>
      <c r="C688" s="26" t="s">
        <v>9</v>
      </c>
      <c r="D688" s="26" t="s">
        <v>20</v>
      </c>
      <c r="E688" s="26">
        <v>123301</v>
      </c>
      <c r="F688" s="26" t="s">
        <v>20</v>
      </c>
      <c r="G688" t="b">
        <f t="shared" si="33"/>
        <v>0</v>
      </c>
      <c r="H688" t="b">
        <f t="shared" si="34"/>
        <v>0</v>
      </c>
      <c r="I688" s="29">
        <f t="shared" si="35"/>
        <v>39036</v>
      </c>
    </row>
    <row r="689" spans="1:9" ht="25.5" x14ac:dyDescent="0.2">
      <c r="A689" s="28">
        <v>39036</v>
      </c>
      <c r="B689" s="26" t="s">
        <v>4680</v>
      </c>
      <c r="C689" s="26" t="s">
        <v>9</v>
      </c>
      <c r="D689" s="26" t="s">
        <v>20</v>
      </c>
      <c r="E689" s="26">
        <v>13710</v>
      </c>
      <c r="F689" s="26" t="s">
        <v>20</v>
      </c>
      <c r="G689" t="b">
        <f t="shared" si="33"/>
        <v>0</v>
      </c>
      <c r="H689" t="b">
        <f t="shared" si="34"/>
        <v>0</v>
      </c>
      <c r="I689" s="29">
        <f t="shared" si="35"/>
        <v>39036</v>
      </c>
    </row>
    <row r="690" spans="1:9" ht="38.25" x14ac:dyDescent="0.2">
      <c r="A690" s="28">
        <v>39037</v>
      </c>
      <c r="B690" s="26" t="s">
        <v>4679</v>
      </c>
      <c r="C690" s="26" t="s">
        <v>9</v>
      </c>
      <c r="D690" s="26" t="s">
        <v>20</v>
      </c>
      <c r="E690" s="26" t="s">
        <v>20</v>
      </c>
      <c r="F690" s="26" t="s">
        <v>20</v>
      </c>
      <c r="G690" t="b">
        <f t="shared" si="33"/>
        <v>0</v>
      </c>
      <c r="H690" t="b">
        <f t="shared" si="34"/>
        <v>0</v>
      </c>
      <c r="I690" s="29">
        <f t="shared" si="35"/>
        <v>39037</v>
      </c>
    </row>
    <row r="691" spans="1:9" ht="12.75" customHeight="1" x14ac:dyDescent="0.2">
      <c r="A691" s="28">
        <v>39037</v>
      </c>
      <c r="B691" s="26" t="s">
        <v>4678</v>
      </c>
      <c r="C691" s="26" t="s">
        <v>2775</v>
      </c>
      <c r="D691" s="26" t="s">
        <v>20</v>
      </c>
      <c r="E691" s="26">
        <v>15347</v>
      </c>
      <c r="F691" s="26" t="s">
        <v>20</v>
      </c>
      <c r="G691" t="b">
        <f t="shared" si="33"/>
        <v>0</v>
      </c>
      <c r="H691" t="b">
        <f t="shared" si="34"/>
        <v>0</v>
      </c>
      <c r="I691" s="29">
        <f t="shared" si="35"/>
        <v>39037</v>
      </c>
    </row>
    <row r="692" spans="1:9" ht="12.75" customHeight="1" x14ac:dyDescent="0.2">
      <c r="A692" s="28">
        <v>39037</v>
      </c>
      <c r="B692" s="26" t="s">
        <v>4677</v>
      </c>
      <c r="C692" s="26" t="s">
        <v>9</v>
      </c>
      <c r="D692" s="26" t="s">
        <v>20</v>
      </c>
      <c r="E692" s="26" t="s">
        <v>20</v>
      </c>
      <c r="F692" s="26" t="s">
        <v>20</v>
      </c>
      <c r="G692" t="b">
        <f t="shared" si="33"/>
        <v>0</v>
      </c>
      <c r="H692" t="b">
        <f t="shared" si="34"/>
        <v>0</v>
      </c>
      <c r="I692" s="29">
        <f t="shared" si="35"/>
        <v>39037</v>
      </c>
    </row>
    <row r="693" spans="1:9" ht="25.5" x14ac:dyDescent="0.2">
      <c r="A693" s="28">
        <v>39038</v>
      </c>
      <c r="B693" s="26" t="s">
        <v>4676</v>
      </c>
      <c r="C693" s="26" t="s">
        <v>9</v>
      </c>
      <c r="D693" s="26" t="s">
        <v>20</v>
      </c>
      <c r="E693" s="26">
        <v>104038</v>
      </c>
      <c r="F693" s="26" t="s">
        <v>20</v>
      </c>
      <c r="G693" t="b">
        <f t="shared" si="33"/>
        <v>0</v>
      </c>
      <c r="H693" t="b">
        <f t="shared" si="34"/>
        <v>0</v>
      </c>
      <c r="I693" s="29">
        <f t="shared" si="35"/>
        <v>39038</v>
      </c>
    </row>
    <row r="694" spans="1:9" ht="12.75" customHeight="1" x14ac:dyDescent="0.2">
      <c r="A694" s="28">
        <v>39038</v>
      </c>
      <c r="B694" s="26" t="s">
        <v>4675</v>
      </c>
      <c r="C694" s="26" t="s">
        <v>3233</v>
      </c>
      <c r="D694" s="26" t="s">
        <v>20</v>
      </c>
      <c r="E694" s="26">
        <v>45128</v>
      </c>
      <c r="F694" s="26" t="s">
        <v>20</v>
      </c>
      <c r="G694" t="b">
        <f t="shared" si="33"/>
        <v>0</v>
      </c>
      <c r="H694" t="b">
        <f t="shared" si="34"/>
        <v>0</v>
      </c>
      <c r="I694" s="29">
        <f t="shared" si="35"/>
        <v>39038</v>
      </c>
    </row>
    <row r="695" spans="1:9" ht="12.75" customHeight="1" x14ac:dyDescent="0.2">
      <c r="A695" s="28">
        <v>39038</v>
      </c>
      <c r="B695" s="26" t="s">
        <v>4674</v>
      </c>
      <c r="C695" s="26" t="s">
        <v>9</v>
      </c>
      <c r="D695" s="26" t="s">
        <v>20</v>
      </c>
      <c r="E695" s="26" t="s">
        <v>20</v>
      </c>
      <c r="F695" s="26" t="s">
        <v>20</v>
      </c>
      <c r="G695" t="b">
        <f t="shared" si="33"/>
        <v>0</v>
      </c>
      <c r="H695" t="b">
        <f t="shared" si="34"/>
        <v>0</v>
      </c>
      <c r="I695" s="29">
        <f t="shared" si="35"/>
        <v>39038</v>
      </c>
    </row>
    <row r="696" spans="1:9" ht="12.75" customHeight="1" x14ac:dyDescent="0.2">
      <c r="A696" s="28">
        <v>39038</v>
      </c>
      <c r="B696" s="26" t="s">
        <v>4673</v>
      </c>
      <c r="C696" s="26" t="s">
        <v>49</v>
      </c>
      <c r="D696" s="26">
        <v>14000000</v>
      </c>
      <c r="E696" s="26">
        <v>11242801</v>
      </c>
      <c r="F696" s="26">
        <v>20597806</v>
      </c>
      <c r="G696" t="b">
        <f t="shared" si="33"/>
        <v>0</v>
      </c>
      <c r="H696" t="b">
        <f t="shared" si="34"/>
        <v>0</v>
      </c>
      <c r="I696" s="29">
        <f t="shared" si="35"/>
        <v>39038</v>
      </c>
    </row>
    <row r="697" spans="1:9" ht="38.25" x14ac:dyDescent="0.2">
      <c r="A697" s="28">
        <v>39038</v>
      </c>
      <c r="B697" s="26" t="s">
        <v>4672</v>
      </c>
      <c r="C697" s="26" t="s">
        <v>2837</v>
      </c>
      <c r="D697" s="26">
        <v>12000000</v>
      </c>
      <c r="E697" s="26">
        <v>5549923</v>
      </c>
      <c r="F697" s="26" t="s">
        <v>20</v>
      </c>
      <c r="G697" t="b">
        <f t="shared" si="33"/>
        <v>0</v>
      </c>
      <c r="H697" t="b">
        <f t="shared" si="34"/>
        <v>0</v>
      </c>
      <c r="I697" s="29">
        <f t="shared" si="35"/>
        <v>39038</v>
      </c>
    </row>
    <row r="698" spans="1:9" ht="12.75" customHeight="1" x14ac:dyDescent="0.2">
      <c r="A698" s="28">
        <v>39038</v>
      </c>
      <c r="B698" s="26" t="s">
        <v>4671</v>
      </c>
      <c r="C698" s="26" t="s">
        <v>155</v>
      </c>
      <c r="D698" s="26" t="s">
        <v>20</v>
      </c>
      <c r="E698" s="26">
        <v>1005539</v>
      </c>
      <c r="F698" s="26" t="s">
        <v>20</v>
      </c>
      <c r="G698" t="b">
        <f t="shared" si="33"/>
        <v>0</v>
      </c>
      <c r="H698" t="b">
        <f t="shared" si="34"/>
        <v>0</v>
      </c>
      <c r="I698" s="29">
        <f t="shared" si="35"/>
        <v>39038</v>
      </c>
    </row>
    <row r="699" spans="1:9" ht="12.75" customHeight="1" x14ac:dyDescent="0.2">
      <c r="A699" s="28">
        <v>39038</v>
      </c>
      <c r="B699" s="26" t="s">
        <v>4670</v>
      </c>
      <c r="C699" s="26" t="s">
        <v>9</v>
      </c>
      <c r="D699" s="26" t="s">
        <v>20</v>
      </c>
      <c r="E699" s="26">
        <v>26000</v>
      </c>
      <c r="F699" s="26" t="s">
        <v>20</v>
      </c>
      <c r="G699" t="b">
        <f t="shared" si="33"/>
        <v>0</v>
      </c>
      <c r="H699" t="b">
        <f t="shared" si="34"/>
        <v>0</v>
      </c>
      <c r="I699" s="29">
        <f t="shared" si="35"/>
        <v>39038</v>
      </c>
    </row>
    <row r="700" spans="1:9" ht="12.75" customHeight="1" x14ac:dyDescent="0.2">
      <c r="A700" s="28">
        <v>39038</v>
      </c>
      <c r="B700" s="26" t="s">
        <v>4669</v>
      </c>
      <c r="C700" s="26" t="s">
        <v>3209</v>
      </c>
      <c r="D700" s="26">
        <v>85000000</v>
      </c>
      <c r="E700" s="26">
        <v>198000317</v>
      </c>
      <c r="F700" s="26">
        <v>385000317</v>
      </c>
      <c r="G700" t="b">
        <f t="shared" si="33"/>
        <v>0</v>
      </c>
      <c r="H700" t="b">
        <f t="shared" si="34"/>
        <v>0</v>
      </c>
      <c r="I700" s="29">
        <f t="shared" si="35"/>
        <v>39038</v>
      </c>
    </row>
    <row r="701" spans="1:9" ht="12.75" customHeight="1" x14ac:dyDescent="0.2">
      <c r="A701" s="28">
        <v>39038</v>
      </c>
      <c r="B701" s="26" t="s">
        <v>4668</v>
      </c>
      <c r="C701" s="26" t="s">
        <v>9</v>
      </c>
      <c r="D701" s="26" t="s">
        <v>20</v>
      </c>
      <c r="E701" s="26">
        <v>5525320</v>
      </c>
      <c r="F701" s="26" t="s">
        <v>20</v>
      </c>
      <c r="G701" t="b">
        <f t="shared" si="33"/>
        <v>0</v>
      </c>
      <c r="H701" t="b">
        <f t="shared" si="34"/>
        <v>0</v>
      </c>
      <c r="I701" s="29">
        <f t="shared" si="35"/>
        <v>39038</v>
      </c>
    </row>
    <row r="702" spans="1:9" ht="12.75" customHeight="1" x14ac:dyDescent="0.2">
      <c r="A702" s="28">
        <v>39038</v>
      </c>
      <c r="B702" s="26" t="s">
        <v>4667</v>
      </c>
      <c r="C702" s="26" t="s">
        <v>9</v>
      </c>
      <c r="D702" s="26" t="s">
        <v>20</v>
      </c>
      <c r="E702" s="26">
        <v>2310680</v>
      </c>
      <c r="F702" s="26" t="s">
        <v>20</v>
      </c>
      <c r="G702" t="b">
        <f t="shared" si="33"/>
        <v>0</v>
      </c>
      <c r="H702" t="b">
        <f t="shared" si="34"/>
        <v>0</v>
      </c>
      <c r="I702" s="29">
        <f t="shared" si="35"/>
        <v>39038</v>
      </c>
    </row>
    <row r="703" spans="1:9" ht="25.5" x14ac:dyDescent="0.2">
      <c r="A703" s="28">
        <v>39038</v>
      </c>
      <c r="B703" s="26" t="s">
        <v>4666</v>
      </c>
      <c r="C703" s="26" t="s">
        <v>9</v>
      </c>
      <c r="D703" s="26" t="s">
        <v>20</v>
      </c>
      <c r="E703" s="26" t="s">
        <v>20</v>
      </c>
      <c r="F703" s="26" t="s">
        <v>20</v>
      </c>
      <c r="G703" t="b">
        <f t="shared" si="33"/>
        <v>0</v>
      </c>
      <c r="H703" t="b">
        <f t="shared" si="34"/>
        <v>0</v>
      </c>
      <c r="I703" s="29">
        <f t="shared" si="35"/>
        <v>39038</v>
      </c>
    </row>
    <row r="704" spans="1:9" ht="12.75" customHeight="1" x14ac:dyDescent="0.2">
      <c r="A704" s="28">
        <v>39038</v>
      </c>
      <c r="B704" s="26" t="s">
        <v>4665</v>
      </c>
      <c r="C704" s="26" t="s">
        <v>2256</v>
      </c>
      <c r="D704" s="26">
        <v>102000000</v>
      </c>
      <c r="E704" s="26">
        <v>167365000</v>
      </c>
      <c r="F704" s="26">
        <v>596365000</v>
      </c>
      <c r="G704" t="b">
        <f t="shared" si="33"/>
        <v>0</v>
      </c>
      <c r="H704" t="b">
        <f t="shared" si="34"/>
        <v>0</v>
      </c>
      <c r="I704" s="29">
        <f t="shared" si="35"/>
        <v>39038</v>
      </c>
    </row>
    <row r="705" spans="1:9" ht="25.5" x14ac:dyDescent="0.2">
      <c r="A705" s="28">
        <v>39038</v>
      </c>
      <c r="B705" s="26" t="s">
        <v>4664</v>
      </c>
      <c r="C705" s="26" t="s">
        <v>9</v>
      </c>
      <c r="D705" s="26" t="s">
        <v>20</v>
      </c>
      <c r="E705" s="26">
        <v>29121</v>
      </c>
      <c r="F705" s="26" t="s">
        <v>20</v>
      </c>
      <c r="G705" t="b">
        <f t="shared" si="33"/>
        <v>0</v>
      </c>
      <c r="H705" t="b">
        <f t="shared" si="34"/>
        <v>0</v>
      </c>
      <c r="I705" s="29">
        <f t="shared" si="35"/>
        <v>39038</v>
      </c>
    </row>
    <row r="706" spans="1:9" ht="12.75" customHeight="1" x14ac:dyDescent="0.2">
      <c r="A706" s="28">
        <v>39038</v>
      </c>
      <c r="B706" s="26" t="s">
        <v>4663</v>
      </c>
      <c r="C706" s="26" t="s">
        <v>9</v>
      </c>
      <c r="D706" s="26" t="s">
        <v>20</v>
      </c>
      <c r="E706" s="26" t="s">
        <v>20</v>
      </c>
      <c r="F706" s="26" t="s">
        <v>20</v>
      </c>
      <c r="G706" t="b">
        <f t="shared" si="33"/>
        <v>0</v>
      </c>
      <c r="H706" t="b">
        <f t="shared" si="34"/>
        <v>0</v>
      </c>
      <c r="I706" s="29">
        <f t="shared" si="35"/>
        <v>39038</v>
      </c>
    </row>
    <row r="707" spans="1:9" ht="12.75" customHeight="1" x14ac:dyDescent="0.2">
      <c r="A707" s="28">
        <v>39038</v>
      </c>
      <c r="B707" s="26" t="s">
        <v>4662</v>
      </c>
      <c r="C707" s="26" t="s">
        <v>3466</v>
      </c>
      <c r="D707" s="26" t="s">
        <v>20</v>
      </c>
      <c r="E707" s="26">
        <v>58804</v>
      </c>
      <c r="F707" s="26" t="s">
        <v>20</v>
      </c>
      <c r="G707" t="b">
        <f t="shared" si="33"/>
        <v>0</v>
      </c>
      <c r="H707" t="b">
        <f t="shared" si="34"/>
        <v>0</v>
      </c>
      <c r="I707" s="29">
        <f t="shared" si="35"/>
        <v>39038</v>
      </c>
    </row>
    <row r="708" spans="1:9" ht="12.75" customHeight="1" x14ac:dyDescent="0.2">
      <c r="A708" s="28">
        <v>39042</v>
      </c>
      <c r="B708" s="26" t="s">
        <v>4661</v>
      </c>
      <c r="C708" s="26" t="s">
        <v>155</v>
      </c>
      <c r="D708" s="26">
        <v>3700000</v>
      </c>
      <c r="E708" s="26">
        <v>2730296</v>
      </c>
      <c r="F708" s="26">
        <v>13425589</v>
      </c>
      <c r="G708" t="b">
        <f t="shared" si="33"/>
        <v>0</v>
      </c>
      <c r="H708" t="b">
        <f t="shared" si="34"/>
        <v>0</v>
      </c>
      <c r="I708" s="29">
        <f t="shared" si="35"/>
        <v>39042</v>
      </c>
    </row>
    <row r="709" spans="1:9" ht="25.5" x14ac:dyDescent="0.2">
      <c r="A709" s="28">
        <v>39043</v>
      </c>
      <c r="B709" s="26" t="s">
        <v>4660</v>
      </c>
      <c r="C709" s="26" t="s">
        <v>9</v>
      </c>
      <c r="D709" s="26" t="s">
        <v>20</v>
      </c>
      <c r="E709" s="26">
        <v>37072</v>
      </c>
      <c r="F709" s="26" t="s">
        <v>20</v>
      </c>
      <c r="G709" t="b">
        <f t="shared" si="33"/>
        <v>0</v>
      </c>
      <c r="H709" t="b">
        <f t="shared" si="34"/>
        <v>0</v>
      </c>
      <c r="I709" s="29">
        <f t="shared" si="35"/>
        <v>39043</v>
      </c>
    </row>
    <row r="710" spans="1:9" ht="12.75" customHeight="1" x14ac:dyDescent="0.2">
      <c r="A710" s="28">
        <v>39043</v>
      </c>
      <c r="B710" s="26" t="s">
        <v>4659</v>
      </c>
      <c r="C710" s="26" t="s">
        <v>9</v>
      </c>
      <c r="D710" s="26" t="s">
        <v>20</v>
      </c>
      <c r="E710" s="26">
        <v>12663</v>
      </c>
      <c r="F710" s="26" t="s">
        <v>20</v>
      </c>
      <c r="G710" t="b">
        <f t="shared" si="33"/>
        <v>0</v>
      </c>
      <c r="H710" t="b">
        <f t="shared" si="34"/>
        <v>0</v>
      </c>
      <c r="I710" s="29">
        <f t="shared" si="35"/>
        <v>39043</v>
      </c>
    </row>
    <row r="711" spans="1:9" ht="12.75" customHeight="1" x14ac:dyDescent="0.2">
      <c r="A711" s="28">
        <v>39043</v>
      </c>
      <c r="B711" s="26" t="s">
        <v>4658</v>
      </c>
      <c r="C711" s="26" t="s">
        <v>3209</v>
      </c>
      <c r="D711" s="26">
        <v>35000000</v>
      </c>
      <c r="E711" s="26">
        <v>10144010</v>
      </c>
      <c r="F711" s="26">
        <v>15461638</v>
      </c>
      <c r="G711" t="b">
        <f t="shared" si="33"/>
        <v>0</v>
      </c>
      <c r="H711" t="b">
        <f t="shared" si="34"/>
        <v>0</v>
      </c>
      <c r="I711" s="29">
        <f t="shared" si="35"/>
        <v>39043</v>
      </c>
    </row>
    <row r="712" spans="1:9" ht="38.25" x14ac:dyDescent="0.2">
      <c r="A712" s="28">
        <v>39043</v>
      </c>
      <c r="B712" s="26" t="s">
        <v>4657</v>
      </c>
      <c r="C712" s="26" t="s">
        <v>2460</v>
      </c>
      <c r="D712" s="26" t="s">
        <v>20</v>
      </c>
      <c r="E712" s="26">
        <v>8334575</v>
      </c>
      <c r="F712" s="26">
        <v>13434575</v>
      </c>
      <c r="G712" t="b">
        <f t="shared" si="33"/>
        <v>0</v>
      </c>
      <c r="H712" t="b">
        <f t="shared" si="34"/>
        <v>0</v>
      </c>
      <c r="I712" s="29">
        <f t="shared" si="35"/>
        <v>39043</v>
      </c>
    </row>
    <row r="713" spans="1:9" ht="38.25" x14ac:dyDescent="0.2">
      <c r="A713" s="28">
        <v>39043</v>
      </c>
      <c r="B713" s="26" t="s">
        <v>4656</v>
      </c>
      <c r="C713" s="26" t="s">
        <v>9</v>
      </c>
      <c r="D713" s="26" t="s">
        <v>20</v>
      </c>
      <c r="E713" s="26">
        <v>1325092</v>
      </c>
      <c r="F713" s="26" t="s">
        <v>20</v>
      </c>
      <c r="G713" t="b">
        <f t="shared" si="33"/>
        <v>0</v>
      </c>
      <c r="H713" t="b">
        <f t="shared" si="34"/>
        <v>0</v>
      </c>
      <c r="I713" s="29">
        <f t="shared" si="35"/>
        <v>39043</v>
      </c>
    </row>
    <row r="714" spans="1:9" ht="12.75" customHeight="1" x14ac:dyDescent="0.2">
      <c r="A714" s="28">
        <v>39043</v>
      </c>
      <c r="B714" s="26" t="s">
        <v>4655</v>
      </c>
      <c r="C714" s="26" t="s">
        <v>3390</v>
      </c>
      <c r="D714" s="26">
        <v>80000000</v>
      </c>
      <c r="E714" s="26">
        <v>64038616</v>
      </c>
      <c r="F714" s="26">
        <v>181038616</v>
      </c>
      <c r="G714" t="b">
        <f t="shared" si="33"/>
        <v>0</v>
      </c>
      <c r="H714" t="b">
        <f t="shared" si="34"/>
        <v>0</v>
      </c>
      <c r="I714" s="29">
        <f t="shared" si="35"/>
        <v>39043</v>
      </c>
    </row>
    <row r="715" spans="1:9" ht="12.75" customHeight="1" x14ac:dyDescent="0.2">
      <c r="A715" s="28">
        <v>39043</v>
      </c>
      <c r="B715" s="26" t="s">
        <v>4654</v>
      </c>
      <c r="C715" s="26" t="s">
        <v>1228</v>
      </c>
      <c r="D715" s="26">
        <v>9000000</v>
      </c>
      <c r="E715" s="26">
        <v>14443</v>
      </c>
      <c r="F715" s="26" t="s">
        <v>20</v>
      </c>
      <c r="G715" t="b">
        <f t="shared" si="33"/>
        <v>0</v>
      </c>
      <c r="H715" t="b">
        <f t="shared" si="34"/>
        <v>0</v>
      </c>
      <c r="I715" s="29">
        <f t="shared" si="35"/>
        <v>39043</v>
      </c>
    </row>
    <row r="716" spans="1:9" ht="12.75" customHeight="1" x14ac:dyDescent="0.2">
      <c r="A716" s="28">
        <v>39043</v>
      </c>
      <c r="B716" s="26" t="s">
        <v>4653</v>
      </c>
      <c r="C716" s="26" t="s">
        <v>384</v>
      </c>
      <c r="D716" s="26" t="s">
        <v>20</v>
      </c>
      <c r="E716" s="26">
        <v>35093569</v>
      </c>
      <c r="F716" s="26">
        <v>47231070</v>
      </c>
      <c r="G716" t="b">
        <f t="shared" si="33"/>
        <v>0</v>
      </c>
      <c r="H716" t="b">
        <f t="shared" si="34"/>
        <v>0</v>
      </c>
      <c r="I716" s="29">
        <f t="shared" si="35"/>
        <v>39043</v>
      </c>
    </row>
    <row r="717" spans="1:9" ht="12.75" customHeight="1" x14ac:dyDescent="0.2">
      <c r="A717" s="28">
        <v>39044</v>
      </c>
      <c r="B717" s="26" t="s">
        <v>4652</v>
      </c>
      <c r="C717" s="26" t="s">
        <v>9</v>
      </c>
      <c r="D717" s="26" t="s">
        <v>20</v>
      </c>
      <c r="E717" s="26">
        <v>2643586</v>
      </c>
      <c r="F717" s="26">
        <v>39643586</v>
      </c>
      <c r="G717" t="b">
        <f t="shared" si="33"/>
        <v>0</v>
      </c>
      <c r="H717" t="b">
        <f t="shared" si="34"/>
        <v>0</v>
      </c>
      <c r="I717" s="29">
        <f t="shared" si="35"/>
        <v>39044</v>
      </c>
    </row>
    <row r="718" spans="1:9" ht="12.75" customHeight="1" x14ac:dyDescent="0.2">
      <c r="A718" s="28">
        <v>39044</v>
      </c>
      <c r="B718" s="26" t="s">
        <v>4651</v>
      </c>
      <c r="C718" s="26" t="s">
        <v>9</v>
      </c>
      <c r="D718" s="26" t="s">
        <v>20</v>
      </c>
      <c r="E718" s="26" t="s">
        <v>20</v>
      </c>
      <c r="F718" s="26" t="s">
        <v>20</v>
      </c>
      <c r="G718" t="b">
        <f t="shared" si="33"/>
        <v>0</v>
      </c>
      <c r="H718" t="b">
        <f t="shared" si="34"/>
        <v>0</v>
      </c>
      <c r="I718" s="29">
        <f t="shared" si="35"/>
        <v>39044</v>
      </c>
    </row>
    <row r="719" spans="1:9" ht="38.25" x14ac:dyDescent="0.2">
      <c r="A719" s="28">
        <v>39045</v>
      </c>
      <c r="B719" s="26" t="s">
        <v>4650</v>
      </c>
      <c r="C719" s="26" t="s">
        <v>9</v>
      </c>
      <c r="D719" s="26" t="s">
        <v>20</v>
      </c>
      <c r="E719" s="26">
        <v>26859</v>
      </c>
      <c r="F719" s="26" t="s">
        <v>20</v>
      </c>
      <c r="G719" t="b">
        <f t="shared" si="33"/>
        <v>0</v>
      </c>
      <c r="H719" t="b">
        <f t="shared" si="34"/>
        <v>0</v>
      </c>
      <c r="I719" s="29">
        <f t="shared" si="35"/>
        <v>39045</v>
      </c>
    </row>
    <row r="720" spans="1:9" x14ac:dyDescent="0.2">
      <c r="A720" s="28">
        <v>39045</v>
      </c>
      <c r="B720" s="26" t="s">
        <v>4649</v>
      </c>
      <c r="C720" s="26" t="s">
        <v>9</v>
      </c>
      <c r="D720" s="26" t="s">
        <v>20</v>
      </c>
      <c r="E720" s="26" t="s">
        <v>20</v>
      </c>
      <c r="F720" s="26" t="s">
        <v>20</v>
      </c>
      <c r="G720" t="b">
        <f t="shared" si="33"/>
        <v>0</v>
      </c>
      <c r="H720" t="b">
        <f t="shared" si="34"/>
        <v>0</v>
      </c>
      <c r="I720" s="29">
        <f t="shared" si="35"/>
        <v>39045</v>
      </c>
    </row>
    <row r="721" spans="1:9" x14ac:dyDescent="0.2">
      <c r="A721" s="28">
        <v>39045</v>
      </c>
      <c r="B721" s="26" t="s">
        <v>4648</v>
      </c>
      <c r="C721" s="26" t="s">
        <v>9</v>
      </c>
      <c r="D721" s="26">
        <v>8300000</v>
      </c>
      <c r="E721" s="26" t="s">
        <v>20</v>
      </c>
      <c r="F721" s="26">
        <v>24906717</v>
      </c>
      <c r="G721" t="b">
        <f t="shared" si="33"/>
        <v>0</v>
      </c>
      <c r="H721" t="b">
        <f t="shared" si="34"/>
        <v>0</v>
      </c>
      <c r="I721" s="29">
        <f t="shared" si="35"/>
        <v>39045</v>
      </c>
    </row>
    <row r="722" spans="1:9" ht="25.5" x14ac:dyDescent="0.2">
      <c r="A722" s="28">
        <v>39045</v>
      </c>
      <c r="B722" s="26" t="s">
        <v>4647</v>
      </c>
      <c r="C722" s="26" t="s">
        <v>9</v>
      </c>
      <c r="D722" s="26" t="s">
        <v>20</v>
      </c>
      <c r="E722" s="26" t="s">
        <v>20</v>
      </c>
      <c r="F722" s="26" t="s">
        <v>20</v>
      </c>
      <c r="G722" t="b">
        <f t="shared" si="33"/>
        <v>0</v>
      </c>
      <c r="H722" t="b">
        <f t="shared" si="34"/>
        <v>0</v>
      </c>
      <c r="I722" s="29">
        <f t="shared" si="35"/>
        <v>39045</v>
      </c>
    </row>
    <row r="723" spans="1:9" ht="25.5" x14ac:dyDescent="0.2">
      <c r="A723" s="28">
        <v>39045</v>
      </c>
      <c r="B723" s="26" t="s">
        <v>4646</v>
      </c>
      <c r="C723" s="26" t="s">
        <v>9</v>
      </c>
      <c r="D723" s="26" t="s">
        <v>20</v>
      </c>
      <c r="E723" s="26" t="s">
        <v>20</v>
      </c>
      <c r="F723" s="26" t="s">
        <v>20</v>
      </c>
      <c r="G723" t="b">
        <f t="shared" si="33"/>
        <v>0</v>
      </c>
      <c r="H723" t="b">
        <f t="shared" si="34"/>
        <v>0</v>
      </c>
      <c r="I723" s="29">
        <f t="shared" si="35"/>
        <v>39045</v>
      </c>
    </row>
    <row r="724" spans="1:9" ht="12.75" customHeight="1" x14ac:dyDescent="0.2">
      <c r="A724" s="28">
        <v>39045</v>
      </c>
      <c r="B724" s="26" t="s">
        <v>4645</v>
      </c>
      <c r="C724" s="26" t="s">
        <v>9</v>
      </c>
      <c r="D724" s="26" t="s">
        <v>20</v>
      </c>
      <c r="E724" s="26" t="s">
        <v>20</v>
      </c>
      <c r="F724" s="26" t="s">
        <v>20</v>
      </c>
      <c r="G724" t="b">
        <f t="shared" si="33"/>
        <v>0</v>
      </c>
      <c r="H724" t="b">
        <f t="shared" si="34"/>
        <v>0</v>
      </c>
      <c r="I724" s="29">
        <f t="shared" si="35"/>
        <v>39045</v>
      </c>
    </row>
    <row r="725" spans="1:9" ht="38.25" x14ac:dyDescent="0.2">
      <c r="A725" s="28">
        <v>39047</v>
      </c>
      <c r="B725" s="26" t="s">
        <v>4644</v>
      </c>
      <c r="C725" s="26" t="s">
        <v>9</v>
      </c>
      <c r="D725" s="26" t="s">
        <v>20</v>
      </c>
      <c r="E725" s="26" t="s">
        <v>20</v>
      </c>
      <c r="F725" s="26" t="s">
        <v>20</v>
      </c>
      <c r="G725" t="b">
        <f t="shared" si="33"/>
        <v>0</v>
      </c>
      <c r="H725" t="b">
        <f t="shared" si="34"/>
        <v>0</v>
      </c>
      <c r="I725" s="29">
        <f t="shared" si="35"/>
        <v>39047</v>
      </c>
    </row>
    <row r="726" spans="1:9" ht="12.75" customHeight="1" x14ac:dyDescent="0.2">
      <c r="A726" s="28">
        <v>39049</v>
      </c>
      <c r="B726" s="26" t="s">
        <v>4643</v>
      </c>
      <c r="C726" s="26" t="s">
        <v>9</v>
      </c>
      <c r="D726" s="26" t="s">
        <v>20</v>
      </c>
      <c r="E726" s="26" t="s">
        <v>20</v>
      </c>
      <c r="F726" s="26" t="s">
        <v>20</v>
      </c>
      <c r="G726" t="b">
        <f t="shared" si="33"/>
        <v>0</v>
      </c>
      <c r="H726" t="b">
        <f t="shared" si="34"/>
        <v>0</v>
      </c>
      <c r="I726" s="29">
        <f t="shared" si="35"/>
        <v>39049</v>
      </c>
    </row>
    <row r="727" spans="1:9" ht="25.5" x14ac:dyDescent="0.2">
      <c r="A727" s="28">
        <v>39049</v>
      </c>
      <c r="B727" s="26" t="s">
        <v>4642</v>
      </c>
      <c r="C727" s="26" t="s">
        <v>9</v>
      </c>
      <c r="D727" s="26" t="s">
        <v>20</v>
      </c>
      <c r="E727" s="26" t="s">
        <v>20</v>
      </c>
      <c r="F727" s="26" t="s">
        <v>20</v>
      </c>
      <c r="G727" t="b">
        <f t="shared" si="33"/>
        <v>0</v>
      </c>
      <c r="H727" t="b">
        <f t="shared" si="34"/>
        <v>0</v>
      </c>
      <c r="I727" s="29">
        <f t="shared" si="35"/>
        <v>39049</v>
      </c>
    </row>
    <row r="728" spans="1:9" ht="12.75" customHeight="1" x14ac:dyDescent="0.2">
      <c r="A728" s="28">
        <v>39052</v>
      </c>
      <c r="B728" s="26" t="s">
        <v>4641</v>
      </c>
      <c r="C728" s="26" t="s">
        <v>9</v>
      </c>
      <c r="D728" s="26" t="s">
        <v>20</v>
      </c>
      <c r="E728" s="26" t="s">
        <v>20</v>
      </c>
      <c r="F728" s="26" t="s">
        <v>20</v>
      </c>
      <c r="G728" t="b">
        <f t="shared" si="33"/>
        <v>0</v>
      </c>
      <c r="H728" t="b">
        <f t="shared" si="34"/>
        <v>0</v>
      </c>
      <c r="I728" s="29">
        <f t="shared" si="35"/>
        <v>39052</v>
      </c>
    </row>
    <row r="729" spans="1:9" ht="12.75" customHeight="1" x14ac:dyDescent="0.2">
      <c r="A729" s="28">
        <v>39052</v>
      </c>
      <c r="B729" s="26" t="s">
        <v>4640</v>
      </c>
      <c r="C729" s="26" t="s">
        <v>9</v>
      </c>
      <c r="D729" s="26" t="s">
        <v>20</v>
      </c>
      <c r="E729" s="26">
        <v>6383</v>
      </c>
      <c r="F729" s="26" t="s">
        <v>20</v>
      </c>
      <c r="G729" t="b">
        <f t="shared" si="33"/>
        <v>0</v>
      </c>
      <c r="H729" t="b">
        <f t="shared" si="34"/>
        <v>0</v>
      </c>
      <c r="I729" s="29">
        <f t="shared" si="35"/>
        <v>39052</v>
      </c>
    </row>
    <row r="730" spans="1:9" ht="12.75" customHeight="1" x14ac:dyDescent="0.2">
      <c r="A730" s="28">
        <v>39052</v>
      </c>
      <c r="B730" s="26" t="s">
        <v>4639</v>
      </c>
      <c r="C730" s="26" t="s">
        <v>746</v>
      </c>
      <c r="D730" s="26" t="s">
        <v>20</v>
      </c>
      <c r="E730" s="26">
        <v>13737</v>
      </c>
      <c r="F730" s="26" t="s">
        <v>20</v>
      </c>
      <c r="G730" t="b">
        <f t="shared" si="33"/>
        <v>0</v>
      </c>
      <c r="H730" t="b">
        <f t="shared" si="34"/>
        <v>0</v>
      </c>
      <c r="I730" s="29">
        <f t="shared" si="35"/>
        <v>39052</v>
      </c>
    </row>
    <row r="731" spans="1:9" ht="25.5" x14ac:dyDescent="0.2">
      <c r="A731" s="28">
        <v>39052</v>
      </c>
      <c r="B731" s="26" t="s">
        <v>4638</v>
      </c>
      <c r="C731" s="26" t="s">
        <v>2748</v>
      </c>
      <c r="D731" s="26" t="s">
        <v>20</v>
      </c>
      <c r="E731" s="26">
        <v>4261350</v>
      </c>
      <c r="F731" s="26" t="s">
        <v>20</v>
      </c>
      <c r="G731" t="b">
        <f t="shared" si="33"/>
        <v>0</v>
      </c>
      <c r="H731" t="b">
        <f t="shared" si="34"/>
        <v>0</v>
      </c>
      <c r="I731" s="29">
        <f t="shared" si="35"/>
        <v>39052</v>
      </c>
    </row>
    <row r="732" spans="1:9" ht="25.5" x14ac:dyDescent="0.2">
      <c r="A732" s="28">
        <v>39052</v>
      </c>
      <c r="B732" s="26" t="s">
        <v>4637</v>
      </c>
      <c r="C732" s="26" t="s">
        <v>9</v>
      </c>
      <c r="D732" s="26" t="s">
        <v>20</v>
      </c>
      <c r="E732" s="26">
        <v>13523</v>
      </c>
      <c r="F732" s="26" t="s">
        <v>20</v>
      </c>
      <c r="G732" t="b">
        <f t="shared" si="33"/>
        <v>0</v>
      </c>
      <c r="H732" t="b">
        <f t="shared" si="34"/>
        <v>0</v>
      </c>
      <c r="I732" s="29">
        <f t="shared" si="35"/>
        <v>39052</v>
      </c>
    </row>
    <row r="733" spans="1:9" ht="12.75" customHeight="1" x14ac:dyDescent="0.2">
      <c r="A733" s="28">
        <v>39052</v>
      </c>
      <c r="B733" s="26" t="s">
        <v>4636</v>
      </c>
      <c r="C733" s="26" t="s">
        <v>3233</v>
      </c>
      <c r="D733" s="26" t="s">
        <v>20</v>
      </c>
      <c r="E733" s="26">
        <v>83291</v>
      </c>
      <c r="F733" s="26" t="s">
        <v>20</v>
      </c>
      <c r="G733" t="b">
        <f t="shared" si="33"/>
        <v>0</v>
      </c>
      <c r="H733" t="b">
        <f t="shared" si="34"/>
        <v>0</v>
      </c>
      <c r="I733" s="29">
        <f t="shared" si="35"/>
        <v>39052</v>
      </c>
    </row>
    <row r="734" spans="1:9" ht="12.75" customHeight="1" x14ac:dyDescent="0.2">
      <c r="A734" s="28">
        <v>39052</v>
      </c>
      <c r="B734" s="26" t="s">
        <v>4635</v>
      </c>
      <c r="C734" s="26" t="s">
        <v>9</v>
      </c>
      <c r="D734" s="26" t="s">
        <v>20</v>
      </c>
      <c r="E734" s="26" t="s">
        <v>20</v>
      </c>
      <c r="F734" s="26" t="s">
        <v>20</v>
      </c>
      <c r="G734" t="b">
        <f t="shared" si="33"/>
        <v>0</v>
      </c>
      <c r="H734" t="b">
        <f t="shared" si="34"/>
        <v>0</v>
      </c>
      <c r="I734" s="29">
        <f t="shared" si="35"/>
        <v>39052</v>
      </c>
    </row>
    <row r="735" spans="1:9" ht="25.5" x14ac:dyDescent="0.2">
      <c r="A735" s="28">
        <v>39052</v>
      </c>
      <c r="B735" s="26" t="s">
        <v>4634</v>
      </c>
      <c r="C735" s="26" t="s">
        <v>9</v>
      </c>
      <c r="D735" s="26" t="s">
        <v>20</v>
      </c>
      <c r="E735" s="26">
        <v>3348</v>
      </c>
      <c r="F735" s="26" t="s">
        <v>20</v>
      </c>
      <c r="G735" t="b">
        <f t="shared" si="33"/>
        <v>0</v>
      </c>
      <c r="H735" t="b">
        <f t="shared" si="34"/>
        <v>0</v>
      </c>
      <c r="I735" s="29">
        <f t="shared" si="35"/>
        <v>39052</v>
      </c>
    </row>
    <row r="736" spans="1:9" ht="12.75" customHeight="1" x14ac:dyDescent="0.2">
      <c r="A736" s="28">
        <v>39052</v>
      </c>
      <c r="B736" s="26" t="s">
        <v>4633</v>
      </c>
      <c r="C736" s="26" t="s">
        <v>384</v>
      </c>
      <c r="D736" s="26">
        <v>10000000</v>
      </c>
      <c r="E736" s="26">
        <v>7027762</v>
      </c>
      <c r="F736" s="26">
        <v>14321070</v>
      </c>
      <c r="G736" t="b">
        <f t="shared" si="33"/>
        <v>0</v>
      </c>
      <c r="H736" t="b">
        <f t="shared" si="34"/>
        <v>0</v>
      </c>
      <c r="I736" s="29">
        <f t="shared" si="35"/>
        <v>39052</v>
      </c>
    </row>
    <row r="737" spans="1:9" ht="12.75" customHeight="1" x14ac:dyDescent="0.2">
      <c r="A737" s="28">
        <v>39052</v>
      </c>
      <c r="B737" s="26" t="s">
        <v>4632</v>
      </c>
      <c r="C737" s="26" t="s">
        <v>2460</v>
      </c>
      <c r="D737" s="26">
        <v>35000000</v>
      </c>
      <c r="E737" s="26">
        <v>37629831</v>
      </c>
      <c r="F737" s="26">
        <v>46432264</v>
      </c>
      <c r="G737" t="b">
        <f t="shared" si="33"/>
        <v>0</v>
      </c>
      <c r="H737" t="b">
        <f t="shared" si="34"/>
        <v>0</v>
      </c>
      <c r="I737" s="29">
        <f t="shared" si="35"/>
        <v>39052</v>
      </c>
    </row>
    <row r="738" spans="1:9" ht="12.75" customHeight="1" x14ac:dyDescent="0.2">
      <c r="A738" s="28">
        <v>39057</v>
      </c>
      <c r="B738" s="26" t="s">
        <v>4631</v>
      </c>
      <c r="C738" s="26" t="s">
        <v>9</v>
      </c>
      <c r="D738" s="26" t="s">
        <v>20</v>
      </c>
      <c r="E738" s="26" t="s">
        <v>20</v>
      </c>
      <c r="F738" s="26" t="s">
        <v>20</v>
      </c>
      <c r="G738" t="b">
        <f t="shared" si="33"/>
        <v>0</v>
      </c>
      <c r="H738" t="b">
        <f t="shared" si="34"/>
        <v>0</v>
      </c>
      <c r="I738" s="29">
        <f t="shared" si="35"/>
        <v>39057</v>
      </c>
    </row>
    <row r="739" spans="1:9" ht="12.75" customHeight="1" x14ac:dyDescent="0.2">
      <c r="A739" s="28">
        <v>39057</v>
      </c>
      <c r="B739" s="26" t="s">
        <v>4630</v>
      </c>
      <c r="C739" s="26" t="s">
        <v>9</v>
      </c>
      <c r="D739" s="26" t="s">
        <v>20</v>
      </c>
      <c r="E739" s="26">
        <v>849055</v>
      </c>
      <c r="F739" s="26" t="s">
        <v>20</v>
      </c>
      <c r="G739" t="b">
        <f t="shared" si="33"/>
        <v>0</v>
      </c>
      <c r="H739" t="b">
        <f t="shared" si="34"/>
        <v>0</v>
      </c>
      <c r="I739" s="29">
        <f t="shared" si="35"/>
        <v>39057</v>
      </c>
    </row>
    <row r="740" spans="1:9" ht="12.75" customHeight="1" x14ac:dyDescent="0.2">
      <c r="A740" s="28">
        <v>39057</v>
      </c>
      <c r="B740" s="26" t="s">
        <v>4629</v>
      </c>
      <c r="C740" s="26" t="s">
        <v>9</v>
      </c>
      <c r="D740" s="26" t="s">
        <v>20</v>
      </c>
      <c r="E740" s="26">
        <v>38605</v>
      </c>
      <c r="F740" s="26" t="s">
        <v>20</v>
      </c>
      <c r="G740" t="b">
        <f t="shared" si="33"/>
        <v>0</v>
      </c>
      <c r="H740" t="b">
        <f t="shared" si="34"/>
        <v>0</v>
      </c>
      <c r="I740" s="29">
        <f t="shared" si="35"/>
        <v>39057</v>
      </c>
    </row>
    <row r="741" spans="1:9" ht="25.5" x14ac:dyDescent="0.2">
      <c r="A741" s="28">
        <v>39058</v>
      </c>
      <c r="B741" s="26" t="s">
        <v>4628</v>
      </c>
      <c r="C741" s="26" t="s">
        <v>9</v>
      </c>
      <c r="D741" s="26" t="s">
        <v>20</v>
      </c>
      <c r="E741" s="26" t="s">
        <v>20</v>
      </c>
      <c r="F741" s="26" t="s">
        <v>20</v>
      </c>
      <c r="G741" t="b">
        <f t="shared" si="33"/>
        <v>0</v>
      </c>
      <c r="H741" t="b">
        <f t="shared" si="34"/>
        <v>0</v>
      </c>
      <c r="I741" s="29">
        <f t="shared" si="35"/>
        <v>39058</v>
      </c>
    </row>
    <row r="742" spans="1:9" ht="25.5" x14ac:dyDescent="0.2">
      <c r="A742" s="28">
        <v>39058</v>
      </c>
      <c r="B742" s="26" t="s">
        <v>4627</v>
      </c>
      <c r="C742" s="26" t="s">
        <v>9</v>
      </c>
      <c r="D742" s="26" t="s">
        <v>20</v>
      </c>
      <c r="E742" s="26" t="s">
        <v>20</v>
      </c>
      <c r="F742" s="26" t="s">
        <v>20</v>
      </c>
      <c r="G742" t="b">
        <f t="shared" si="33"/>
        <v>0</v>
      </c>
      <c r="H742" t="b">
        <f t="shared" si="34"/>
        <v>0</v>
      </c>
      <c r="I742" s="29">
        <f t="shared" si="35"/>
        <v>39058</v>
      </c>
    </row>
    <row r="743" spans="1:9" ht="12.75" customHeight="1" x14ac:dyDescent="0.2">
      <c r="A743" s="28">
        <v>39059</v>
      </c>
      <c r="B743" s="26" t="s">
        <v>4626</v>
      </c>
      <c r="C743" s="26" t="s">
        <v>9</v>
      </c>
      <c r="D743" s="26" t="s">
        <v>20</v>
      </c>
      <c r="E743" s="26">
        <v>52034</v>
      </c>
      <c r="F743" s="26" t="s">
        <v>20</v>
      </c>
      <c r="G743" t="b">
        <f t="shared" si="33"/>
        <v>0</v>
      </c>
      <c r="H743" t="b">
        <f t="shared" si="34"/>
        <v>0</v>
      </c>
      <c r="I743" s="29">
        <f t="shared" si="35"/>
        <v>39059</v>
      </c>
    </row>
    <row r="744" spans="1:9" ht="25.5" x14ac:dyDescent="0.2">
      <c r="A744" s="28">
        <v>39059</v>
      </c>
      <c r="B744" s="26" t="s">
        <v>4625</v>
      </c>
      <c r="C744" s="26" t="s">
        <v>9</v>
      </c>
      <c r="D744" s="26" t="s">
        <v>20</v>
      </c>
      <c r="E744" s="26">
        <v>1088</v>
      </c>
      <c r="F744" s="26" t="s">
        <v>20</v>
      </c>
      <c r="G744" t="b">
        <f t="shared" si="33"/>
        <v>0</v>
      </c>
      <c r="H744" t="b">
        <f t="shared" si="34"/>
        <v>0</v>
      </c>
      <c r="I744" s="29">
        <f t="shared" si="35"/>
        <v>39059</v>
      </c>
    </row>
    <row r="745" spans="1:9" ht="12.75" customHeight="1" x14ac:dyDescent="0.2">
      <c r="A745" s="28">
        <v>39059</v>
      </c>
      <c r="B745" s="26" t="s">
        <v>4624</v>
      </c>
      <c r="C745" s="26" t="s">
        <v>9</v>
      </c>
      <c r="D745" s="26" t="s">
        <v>20</v>
      </c>
      <c r="E745" s="26">
        <v>848139</v>
      </c>
      <c r="F745" s="26" t="s">
        <v>20</v>
      </c>
      <c r="G745" t="b">
        <f t="shared" si="33"/>
        <v>0</v>
      </c>
      <c r="H745" t="b">
        <f t="shared" si="34"/>
        <v>0</v>
      </c>
      <c r="I745" s="29">
        <f t="shared" si="35"/>
        <v>39059</v>
      </c>
    </row>
    <row r="746" spans="1:9" ht="12.75" customHeight="1" x14ac:dyDescent="0.2">
      <c r="A746" s="28">
        <v>39059</v>
      </c>
      <c r="B746" s="26" t="s">
        <v>4623</v>
      </c>
      <c r="C746" s="26" t="s">
        <v>9</v>
      </c>
      <c r="D746" s="26" t="s">
        <v>20</v>
      </c>
      <c r="E746" s="26" t="s">
        <v>20</v>
      </c>
      <c r="F746" s="26" t="s">
        <v>20</v>
      </c>
      <c r="G746" t="b">
        <f t="shared" si="33"/>
        <v>0</v>
      </c>
      <c r="H746" t="b">
        <f t="shared" si="34"/>
        <v>0</v>
      </c>
      <c r="I746" s="29">
        <f t="shared" si="35"/>
        <v>39059</v>
      </c>
    </row>
    <row r="747" spans="1:9" ht="25.5" x14ac:dyDescent="0.2">
      <c r="A747" s="28">
        <v>39059</v>
      </c>
      <c r="B747" s="26" t="s">
        <v>4622</v>
      </c>
      <c r="C747" s="26" t="s">
        <v>3209</v>
      </c>
      <c r="D747" s="26">
        <v>25000000</v>
      </c>
      <c r="E747" s="26">
        <v>16655224</v>
      </c>
      <c r="F747" s="26">
        <v>21949214</v>
      </c>
      <c r="G747" t="b">
        <f t="shared" si="33"/>
        <v>0</v>
      </c>
      <c r="H747" t="b">
        <f t="shared" si="34"/>
        <v>0</v>
      </c>
      <c r="I747" s="29">
        <f t="shared" si="35"/>
        <v>39059</v>
      </c>
    </row>
    <row r="748" spans="1:9" ht="12.75" customHeight="1" x14ac:dyDescent="0.2">
      <c r="A748" s="28">
        <v>39059</v>
      </c>
      <c r="B748" s="26" t="s">
        <v>4621</v>
      </c>
      <c r="C748" s="26" t="s">
        <v>4620</v>
      </c>
      <c r="D748" s="26" t="s">
        <v>20</v>
      </c>
      <c r="E748" s="26">
        <v>36875</v>
      </c>
      <c r="F748" s="26" t="s">
        <v>20</v>
      </c>
      <c r="G748" t="b">
        <f t="shared" ref="G748:G809" si="36">ISBLANK(A748)</f>
        <v>0</v>
      </c>
      <c r="H748" t="b">
        <f t="shared" ref="H748:H809" si="37">ISTEXT(A748)</f>
        <v>0</v>
      </c>
      <c r="I748" s="29">
        <f t="shared" ref="I748:I809" si="38">DATE(2006,MONTH(A748), DAY(A748))</f>
        <v>39059</v>
      </c>
    </row>
    <row r="749" spans="1:9" ht="12.75" customHeight="1" x14ac:dyDescent="0.2">
      <c r="A749" s="28">
        <v>39059</v>
      </c>
      <c r="B749" s="26" t="s">
        <v>4619</v>
      </c>
      <c r="C749" s="26" t="s">
        <v>3233</v>
      </c>
      <c r="D749" s="26" t="s">
        <v>20</v>
      </c>
      <c r="E749" s="26">
        <v>148872</v>
      </c>
      <c r="F749" s="26" t="s">
        <v>20</v>
      </c>
      <c r="G749" t="b">
        <f t="shared" si="36"/>
        <v>0</v>
      </c>
      <c r="H749" t="b">
        <f t="shared" si="37"/>
        <v>0</v>
      </c>
      <c r="I749" s="29">
        <f t="shared" si="38"/>
        <v>39059</v>
      </c>
    </row>
    <row r="750" spans="1:9" ht="12.75" customHeight="1" x14ac:dyDescent="0.2">
      <c r="A750" s="28">
        <v>39059</v>
      </c>
      <c r="B750" s="26" t="s">
        <v>4618</v>
      </c>
      <c r="C750" s="26" t="s">
        <v>3390</v>
      </c>
      <c r="D750" s="26">
        <v>40000000</v>
      </c>
      <c r="E750" s="26">
        <v>50866635</v>
      </c>
      <c r="F750" s="26">
        <v>117785051</v>
      </c>
      <c r="G750" t="b">
        <f t="shared" si="36"/>
        <v>0</v>
      </c>
      <c r="H750" t="b">
        <f t="shared" si="37"/>
        <v>0</v>
      </c>
      <c r="I750" s="29">
        <f t="shared" si="38"/>
        <v>39059</v>
      </c>
    </row>
    <row r="751" spans="1:9" ht="12.75" customHeight="1" x14ac:dyDescent="0.2">
      <c r="A751" s="28">
        <v>39059</v>
      </c>
      <c r="B751" s="26" t="s">
        <v>4617</v>
      </c>
      <c r="C751" s="26" t="s">
        <v>9</v>
      </c>
      <c r="D751" s="26" t="s">
        <v>20</v>
      </c>
      <c r="E751" s="26" t="s">
        <v>20</v>
      </c>
      <c r="F751" s="26" t="s">
        <v>20</v>
      </c>
      <c r="G751" t="b">
        <f t="shared" si="36"/>
        <v>0</v>
      </c>
      <c r="H751" t="b">
        <f t="shared" si="37"/>
        <v>0</v>
      </c>
      <c r="I751" s="29">
        <f t="shared" si="38"/>
        <v>39059</v>
      </c>
    </row>
    <row r="752" spans="1:9" ht="12.75" customHeight="1" x14ac:dyDescent="0.2">
      <c r="A752" s="28">
        <v>39059</v>
      </c>
      <c r="B752" s="26" t="s">
        <v>4616</v>
      </c>
      <c r="C752" s="26" t="s">
        <v>3209</v>
      </c>
      <c r="D752" s="26">
        <v>100000000</v>
      </c>
      <c r="E752" s="26">
        <v>57377916</v>
      </c>
      <c r="F752" s="26">
        <v>171377916</v>
      </c>
      <c r="G752" t="b">
        <f t="shared" si="36"/>
        <v>0</v>
      </c>
      <c r="H752" t="b">
        <f t="shared" si="37"/>
        <v>0</v>
      </c>
      <c r="I752" s="29">
        <f t="shared" si="38"/>
        <v>39059</v>
      </c>
    </row>
    <row r="753" spans="1:9" ht="12.75" customHeight="1" x14ac:dyDescent="0.2">
      <c r="A753" s="28">
        <v>39059</v>
      </c>
      <c r="B753" s="26" t="s">
        <v>4615</v>
      </c>
      <c r="C753" s="26" t="s">
        <v>9</v>
      </c>
      <c r="D753" s="26" t="s">
        <v>20</v>
      </c>
      <c r="E753" s="26" t="s">
        <v>20</v>
      </c>
      <c r="F753" s="26" t="s">
        <v>20</v>
      </c>
      <c r="G753" t="b">
        <f t="shared" si="36"/>
        <v>0</v>
      </c>
      <c r="H753" t="b">
        <f t="shared" si="37"/>
        <v>0</v>
      </c>
      <c r="I753" s="29">
        <f t="shared" si="38"/>
        <v>39059</v>
      </c>
    </row>
    <row r="754" spans="1:9" ht="12.75" customHeight="1" x14ac:dyDescent="0.2">
      <c r="A754" s="28">
        <v>39059</v>
      </c>
      <c r="B754" s="26" t="s">
        <v>4614</v>
      </c>
      <c r="C754" s="26" t="s">
        <v>9</v>
      </c>
      <c r="D754" s="26" t="s">
        <v>20</v>
      </c>
      <c r="E754" s="26">
        <v>17304</v>
      </c>
      <c r="F754" s="26" t="s">
        <v>20</v>
      </c>
      <c r="G754" t="b">
        <f t="shared" si="36"/>
        <v>0</v>
      </c>
      <c r="H754" t="b">
        <f t="shared" si="37"/>
        <v>0</v>
      </c>
      <c r="I754" s="29">
        <f t="shared" si="38"/>
        <v>39059</v>
      </c>
    </row>
    <row r="755" spans="1:9" ht="12.75" customHeight="1" x14ac:dyDescent="0.2">
      <c r="A755" s="28">
        <v>39059</v>
      </c>
      <c r="B755" s="26" t="s">
        <v>4613</v>
      </c>
      <c r="C755" s="26" t="s">
        <v>2160</v>
      </c>
      <c r="D755" s="26">
        <v>85000000</v>
      </c>
      <c r="E755" s="26">
        <v>63280000</v>
      </c>
      <c r="F755" s="26">
        <v>205190324</v>
      </c>
      <c r="G755" t="b">
        <f t="shared" si="36"/>
        <v>0</v>
      </c>
      <c r="H755" t="b">
        <f t="shared" si="37"/>
        <v>0</v>
      </c>
      <c r="I755" s="29">
        <f t="shared" si="38"/>
        <v>39059</v>
      </c>
    </row>
    <row r="756" spans="1:9" ht="12.75" customHeight="1" x14ac:dyDescent="0.2">
      <c r="A756" s="28">
        <v>39060</v>
      </c>
      <c r="B756" s="26" t="s">
        <v>4612</v>
      </c>
      <c r="C756" s="26" t="s">
        <v>9</v>
      </c>
      <c r="D756" s="26" t="s">
        <v>20</v>
      </c>
      <c r="E756" s="26" t="s">
        <v>20</v>
      </c>
      <c r="F756" s="26" t="s">
        <v>20</v>
      </c>
      <c r="G756" t="b">
        <f t="shared" si="36"/>
        <v>0</v>
      </c>
      <c r="H756" t="b">
        <f t="shared" si="37"/>
        <v>0</v>
      </c>
      <c r="I756" s="29">
        <f t="shared" si="38"/>
        <v>39060</v>
      </c>
    </row>
    <row r="757" spans="1:9" ht="12.75" customHeight="1" x14ac:dyDescent="0.2">
      <c r="A757" s="28">
        <v>39063</v>
      </c>
      <c r="B757" s="26" t="s">
        <v>4611</v>
      </c>
      <c r="C757" s="26" t="s">
        <v>9</v>
      </c>
      <c r="D757" s="26" t="s">
        <v>20</v>
      </c>
      <c r="E757" s="26" t="s">
        <v>20</v>
      </c>
      <c r="F757" s="26" t="s">
        <v>20</v>
      </c>
      <c r="G757" t="b">
        <f t="shared" si="36"/>
        <v>0</v>
      </c>
      <c r="H757" t="b">
        <f t="shared" si="37"/>
        <v>0</v>
      </c>
      <c r="I757" s="29">
        <f t="shared" si="38"/>
        <v>39063</v>
      </c>
    </row>
    <row r="758" spans="1:9" ht="25.5" x14ac:dyDescent="0.2">
      <c r="A758" s="28">
        <v>39063</v>
      </c>
      <c r="B758" s="26" t="s">
        <v>4610</v>
      </c>
      <c r="C758" s="26" t="s">
        <v>9</v>
      </c>
      <c r="D758" s="26" t="s">
        <v>20</v>
      </c>
      <c r="E758" s="26" t="s">
        <v>20</v>
      </c>
      <c r="F758" s="26" t="s">
        <v>20</v>
      </c>
      <c r="G758" t="b">
        <f t="shared" si="36"/>
        <v>0</v>
      </c>
      <c r="H758" t="b">
        <f t="shared" si="37"/>
        <v>0</v>
      </c>
      <c r="I758" s="29">
        <f t="shared" si="38"/>
        <v>39063</v>
      </c>
    </row>
    <row r="759" spans="1:9" ht="12.75" customHeight="1" x14ac:dyDescent="0.2">
      <c r="A759" s="28">
        <v>39064</v>
      </c>
      <c r="B759" s="26" t="s">
        <v>4609</v>
      </c>
      <c r="C759" s="26" t="s">
        <v>9</v>
      </c>
      <c r="D759" s="26" t="s">
        <v>20</v>
      </c>
      <c r="E759" s="26">
        <v>78037</v>
      </c>
      <c r="F759" s="26" t="s">
        <v>20</v>
      </c>
      <c r="G759" t="b">
        <f t="shared" si="36"/>
        <v>0</v>
      </c>
      <c r="H759" t="b">
        <f t="shared" si="37"/>
        <v>0</v>
      </c>
      <c r="I759" s="29">
        <f t="shared" si="38"/>
        <v>39064</v>
      </c>
    </row>
    <row r="760" spans="1:9" ht="25.5" x14ac:dyDescent="0.2">
      <c r="A760" s="28">
        <v>39065</v>
      </c>
      <c r="B760" s="26" t="s">
        <v>4608</v>
      </c>
      <c r="C760" s="26" t="s">
        <v>9</v>
      </c>
      <c r="D760" s="26" t="s">
        <v>20</v>
      </c>
      <c r="E760" s="26" t="s">
        <v>20</v>
      </c>
      <c r="F760" s="26" t="s">
        <v>20</v>
      </c>
      <c r="G760" t="b">
        <f t="shared" si="36"/>
        <v>0</v>
      </c>
      <c r="H760" t="b">
        <f t="shared" si="37"/>
        <v>0</v>
      </c>
      <c r="I760" s="29">
        <f t="shared" si="38"/>
        <v>39065</v>
      </c>
    </row>
    <row r="761" spans="1:9" x14ac:dyDescent="0.2">
      <c r="A761" s="28">
        <v>39066</v>
      </c>
      <c r="B761" s="26" t="s">
        <v>4607</v>
      </c>
      <c r="C761" s="26" t="s">
        <v>3209</v>
      </c>
      <c r="D761" s="26">
        <v>32000000</v>
      </c>
      <c r="E761" s="26">
        <v>1308696</v>
      </c>
      <c r="F761" s="26" t="s">
        <v>20</v>
      </c>
      <c r="G761" t="b">
        <f t="shared" si="36"/>
        <v>0</v>
      </c>
      <c r="H761" t="b">
        <f t="shared" si="37"/>
        <v>0</v>
      </c>
      <c r="I761" s="29">
        <f t="shared" si="38"/>
        <v>39066</v>
      </c>
    </row>
    <row r="762" spans="1:9" x14ac:dyDescent="0.2">
      <c r="A762" s="28">
        <v>39066</v>
      </c>
      <c r="B762" s="26" t="s">
        <v>4606</v>
      </c>
      <c r="C762" s="26" t="s">
        <v>9</v>
      </c>
      <c r="D762" s="26" t="s">
        <v>20</v>
      </c>
      <c r="E762" s="26" t="s">
        <v>20</v>
      </c>
      <c r="F762" s="26" t="s">
        <v>20</v>
      </c>
      <c r="G762" t="b">
        <f t="shared" si="36"/>
        <v>0</v>
      </c>
      <c r="H762" t="b">
        <f t="shared" si="37"/>
        <v>0</v>
      </c>
      <c r="I762" s="29">
        <f t="shared" si="38"/>
        <v>39066</v>
      </c>
    </row>
    <row r="763" spans="1:9" ht="12.75" customHeight="1" x14ac:dyDescent="0.2">
      <c r="A763" s="28">
        <v>39066</v>
      </c>
      <c r="B763" s="26" t="s">
        <v>4605</v>
      </c>
      <c r="C763" s="26" t="s">
        <v>9</v>
      </c>
      <c r="D763" s="26" t="s">
        <v>20</v>
      </c>
      <c r="E763" s="26" t="s">
        <v>20</v>
      </c>
      <c r="F763" s="26" t="s">
        <v>20</v>
      </c>
      <c r="G763" t="b">
        <f t="shared" si="36"/>
        <v>0</v>
      </c>
      <c r="H763" t="b">
        <f t="shared" si="37"/>
        <v>0</v>
      </c>
      <c r="I763" s="29">
        <f t="shared" si="38"/>
        <v>39066</v>
      </c>
    </row>
    <row r="764" spans="1:9" ht="25.5" x14ac:dyDescent="0.2">
      <c r="A764" s="28">
        <v>39066</v>
      </c>
      <c r="B764" s="26" t="s">
        <v>4604</v>
      </c>
      <c r="C764" s="26" t="s">
        <v>49</v>
      </c>
      <c r="D764" s="26" t="s">
        <v>20</v>
      </c>
      <c r="E764" s="26">
        <v>930469</v>
      </c>
      <c r="F764" s="26" t="s">
        <v>20</v>
      </c>
      <c r="G764" t="b">
        <f t="shared" si="36"/>
        <v>0</v>
      </c>
      <c r="H764" t="b">
        <f t="shared" si="37"/>
        <v>0</v>
      </c>
      <c r="I764" s="29">
        <f t="shared" si="38"/>
        <v>39066</v>
      </c>
    </row>
    <row r="765" spans="1:9" ht="25.5" x14ac:dyDescent="0.2">
      <c r="A765" s="28">
        <v>39066</v>
      </c>
      <c r="B765" s="26" t="s">
        <v>4603</v>
      </c>
      <c r="C765" s="26" t="s">
        <v>9</v>
      </c>
      <c r="D765" s="26" t="s">
        <v>20</v>
      </c>
      <c r="E765" s="26">
        <v>20678</v>
      </c>
      <c r="F765" s="26">
        <v>6076115</v>
      </c>
      <c r="G765" t="b">
        <f t="shared" si="36"/>
        <v>0</v>
      </c>
      <c r="H765" t="b">
        <f t="shared" si="37"/>
        <v>0</v>
      </c>
      <c r="I765" s="29">
        <f t="shared" si="38"/>
        <v>39066</v>
      </c>
    </row>
    <row r="766" spans="1:9" ht="25.5" x14ac:dyDescent="0.2">
      <c r="A766" s="28">
        <v>39066</v>
      </c>
      <c r="B766" s="26" t="s">
        <v>4602</v>
      </c>
      <c r="C766" s="26" t="s">
        <v>2160</v>
      </c>
      <c r="D766" s="26">
        <v>55000000</v>
      </c>
      <c r="E766" s="26">
        <v>162586036</v>
      </c>
      <c r="F766" s="26">
        <v>306086036</v>
      </c>
      <c r="G766" t="b">
        <f t="shared" si="36"/>
        <v>0</v>
      </c>
      <c r="H766" t="b">
        <f t="shared" si="37"/>
        <v>0</v>
      </c>
      <c r="I766" s="29">
        <f t="shared" si="38"/>
        <v>39066</v>
      </c>
    </row>
    <row r="767" spans="1:9" ht="25.5" x14ac:dyDescent="0.2">
      <c r="A767" s="28">
        <v>39066</v>
      </c>
      <c r="B767" s="26" t="s">
        <v>4601</v>
      </c>
      <c r="C767" s="26" t="s">
        <v>2168</v>
      </c>
      <c r="D767" s="26">
        <v>82500000</v>
      </c>
      <c r="E767" s="26">
        <v>82985708</v>
      </c>
      <c r="F767" s="26">
        <v>143985708</v>
      </c>
      <c r="G767" t="b">
        <f t="shared" si="36"/>
        <v>0</v>
      </c>
      <c r="H767" t="b">
        <f t="shared" si="37"/>
        <v>0</v>
      </c>
      <c r="I767" s="29">
        <f t="shared" si="38"/>
        <v>39066</v>
      </c>
    </row>
    <row r="768" spans="1:9" ht="12.75" customHeight="1" x14ac:dyDescent="0.2">
      <c r="A768" s="28">
        <v>39066</v>
      </c>
      <c r="B768" s="26" t="s">
        <v>4600</v>
      </c>
      <c r="C768" s="26" t="s">
        <v>3240</v>
      </c>
      <c r="D768" s="26">
        <v>75000000</v>
      </c>
      <c r="E768" s="26">
        <v>103365956</v>
      </c>
      <c r="F768" s="26">
        <v>154965956</v>
      </c>
      <c r="G768" t="b">
        <f t="shared" si="36"/>
        <v>0</v>
      </c>
      <c r="H768" t="b">
        <f t="shared" si="37"/>
        <v>0</v>
      </c>
      <c r="I768" s="29">
        <f t="shared" si="38"/>
        <v>39066</v>
      </c>
    </row>
    <row r="769" spans="1:9" ht="25.5" x14ac:dyDescent="0.2">
      <c r="A769" s="28">
        <v>39066</v>
      </c>
      <c r="B769" s="26" t="s">
        <v>4599</v>
      </c>
      <c r="C769" s="26" t="s">
        <v>49</v>
      </c>
      <c r="D769" s="26">
        <v>80000000</v>
      </c>
      <c r="E769" s="26">
        <v>15132763</v>
      </c>
      <c r="F769" s="26">
        <v>110102340</v>
      </c>
      <c r="G769" t="b">
        <f t="shared" si="36"/>
        <v>0</v>
      </c>
      <c r="H769" t="b">
        <f t="shared" si="37"/>
        <v>0</v>
      </c>
      <c r="I769" s="29">
        <f t="shared" si="38"/>
        <v>39066</v>
      </c>
    </row>
    <row r="770" spans="1:9" ht="12.75" customHeight="1" x14ac:dyDescent="0.2">
      <c r="A770" s="28">
        <v>39066</v>
      </c>
      <c r="B770" s="26" t="s">
        <v>4598</v>
      </c>
      <c r="C770" s="26" t="s">
        <v>384</v>
      </c>
      <c r="D770" s="26">
        <v>100000000</v>
      </c>
      <c r="E770" s="26">
        <v>75030163</v>
      </c>
      <c r="F770" s="26">
        <v>249488115</v>
      </c>
      <c r="G770" t="b">
        <f t="shared" si="36"/>
        <v>0</v>
      </c>
      <c r="H770" t="b">
        <f t="shared" si="37"/>
        <v>0</v>
      </c>
      <c r="I770" s="29">
        <f t="shared" si="38"/>
        <v>39066</v>
      </c>
    </row>
    <row r="771" spans="1:9" ht="12.75" customHeight="1" x14ac:dyDescent="0.2">
      <c r="A771" s="28">
        <v>39066</v>
      </c>
      <c r="B771" s="26" t="s">
        <v>4597</v>
      </c>
      <c r="C771" s="26" t="s">
        <v>9</v>
      </c>
      <c r="D771" s="26" t="s">
        <v>20</v>
      </c>
      <c r="E771" s="26">
        <v>1386582</v>
      </c>
      <c r="F771" s="26" t="s">
        <v>20</v>
      </c>
      <c r="G771" t="b">
        <f t="shared" si="36"/>
        <v>0</v>
      </c>
      <c r="H771" t="b">
        <f t="shared" si="37"/>
        <v>0</v>
      </c>
      <c r="I771" s="29">
        <f t="shared" si="38"/>
        <v>39066</v>
      </c>
    </row>
    <row r="772" spans="1:9" ht="12.75" customHeight="1" x14ac:dyDescent="0.2">
      <c r="A772" s="28">
        <v>39066</v>
      </c>
      <c r="B772" s="26" t="s">
        <v>4596</v>
      </c>
      <c r="C772" s="26" t="s">
        <v>9</v>
      </c>
      <c r="D772" s="26" t="s">
        <v>20</v>
      </c>
      <c r="E772" s="26">
        <v>302458</v>
      </c>
      <c r="F772" s="26" t="s">
        <v>20</v>
      </c>
      <c r="G772" t="b">
        <f t="shared" si="36"/>
        <v>0</v>
      </c>
      <c r="H772" t="b">
        <f t="shared" si="37"/>
        <v>0</v>
      </c>
      <c r="I772" s="29">
        <f t="shared" si="38"/>
        <v>39066</v>
      </c>
    </row>
    <row r="773" spans="1:9" ht="25.5" x14ac:dyDescent="0.2">
      <c r="A773" s="28">
        <v>39067</v>
      </c>
      <c r="B773" s="26" t="s">
        <v>4595</v>
      </c>
      <c r="C773" s="26" t="s">
        <v>9</v>
      </c>
      <c r="D773" s="26" t="s">
        <v>20</v>
      </c>
      <c r="E773" s="26" t="s">
        <v>20</v>
      </c>
      <c r="F773" s="26" t="s">
        <v>20</v>
      </c>
      <c r="G773" t="b">
        <f t="shared" si="36"/>
        <v>0</v>
      </c>
      <c r="H773" t="b">
        <f t="shared" si="37"/>
        <v>0</v>
      </c>
      <c r="I773" s="29">
        <f t="shared" si="38"/>
        <v>39067</v>
      </c>
    </row>
    <row r="774" spans="1:9" ht="25.5" x14ac:dyDescent="0.2">
      <c r="A774" s="28">
        <v>39067</v>
      </c>
      <c r="B774" s="26" t="s">
        <v>4594</v>
      </c>
      <c r="C774" s="26" t="s">
        <v>9</v>
      </c>
      <c r="D774" s="26" t="s">
        <v>20</v>
      </c>
      <c r="E774" s="26" t="s">
        <v>20</v>
      </c>
      <c r="F774" s="26" t="s">
        <v>20</v>
      </c>
      <c r="G774" t="b">
        <f t="shared" si="36"/>
        <v>0</v>
      </c>
      <c r="H774" t="b">
        <f t="shared" si="37"/>
        <v>0</v>
      </c>
      <c r="I774" s="29">
        <f t="shared" si="38"/>
        <v>39067</v>
      </c>
    </row>
    <row r="775" spans="1:9" ht="12.75" customHeight="1" x14ac:dyDescent="0.2">
      <c r="A775" s="28">
        <v>39067</v>
      </c>
      <c r="B775" s="26" t="s">
        <v>4593</v>
      </c>
      <c r="C775" s="26" t="s">
        <v>9</v>
      </c>
      <c r="D775" s="26" t="s">
        <v>20</v>
      </c>
      <c r="E775" s="26" t="s">
        <v>20</v>
      </c>
      <c r="F775" s="26" t="s">
        <v>20</v>
      </c>
      <c r="G775" t="b">
        <f t="shared" si="36"/>
        <v>0</v>
      </c>
      <c r="H775" t="b">
        <f t="shared" si="37"/>
        <v>0</v>
      </c>
      <c r="I775" s="29">
        <f t="shared" si="38"/>
        <v>39067</v>
      </c>
    </row>
    <row r="776" spans="1:9" ht="38.25" x14ac:dyDescent="0.2">
      <c r="A776" s="28">
        <v>39070</v>
      </c>
      <c r="B776" s="26" t="s">
        <v>4592</v>
      </c>
      <c r="C776" s="26" t="s">
        <v>9</v>
      </c>
      <c r="D776" s="26" t="s">
        <v>20</v>
      </c>
      <c r="E776" s="26" t="s">
        <v>20</v>
      </c>
      <c r="F776" s="26" t="s">
        <v>20</v>
      </c>
      <c r="G776" t="b">
        <f t="shared" si="36"/>
        <v>0</v>
      </c>
      <c r="H776" t="b">
        <f t="shared" si="37"/>
        <v>0</v>
      </c>
      <c r="I776" s="29">
        <f t="shared" si="38"/>
        <v>39070</v>
      </c>
    </row>
    <row r="777" spans="1:9" ht="38.25" x14ac:dyDescent="0.2">
      <c r="A777" s="28">
        <v>39070</v>
      </c>
      <c r="B777" s="26" t="s">
        <v>4591</v>
      </c>
      <c r="C777" s="26" t="s">
        <v>9</v>
      </c>
      <c r="D777" s="26" t="s">
        <v>20</v>
      </c>
      <c r="E777" s="26" t="s">
        <v>20</v>
      </c>
      <c r="F777" s="26" t="s">
        <v>20</v>
      </c>
      <c r="G777" t="b">
        <f t="shared" si="36"/>
        <v>0</v>
      </c>
      <c r="H777" t="b">
        <f t="shared" si="37"/>
        <v>0</v>
      </c>
      <c r="I777" s="29">
        <f t="shared" si="38"/>
        <v>39070</v>
      </c>
    </row>
    <row r="778" spans="1:9" ht="38.25" x14ac:dyDescent="0.2">
      <c r="A778" s="28">
        <v>39071</v>
      </c>
      <c r="B778" s="26" t="s">
        <v>4590</v>
      </c>
      <c r="C778" s="26" t="s">
        <v>2837</v>
      </c>
      <c r="D778" s="26">
        <v>19400000</v>
      </c>
      <c r="E778" s="26">
        <v>8060487</v>
      </c>
      <c r="F778" s="26">
        <v>15118795</v>
      </c>
      <c r="G778" t="b">
        <f t="shared" si="36"/>
        <v>0</v>
      </c>
      <c r="H778" t="b">
        <f t="shared" si="37"/>
        <v>0</v>
      </c>
      <c r="I778" s="29">
        <f t="shared" si="38"/>
        <v>39071</v>
      </c>
    </row>
    <row r="779" spans="1:9" ht="25.5" x14ac:dyDescent="0.2">
      <c r="A779" s="28">
        <v>39071</v>
      </c>
      <c r="B779" s="26" t="s">
        <v>4589</v>
      </c>
      <c r="C779" s="26" t="s">
        <v>3240</v>
      </c>
      <c r="D779" s="26">
        <v>13000000</v>
      </c>
      <c r="E779" s="26">
        <v>13756082</v>
      </c>
      <c r="F779" s="26">
        <v>68756082</v>
      </c>
      <c r="G779" t="b">
        <f t="shared" si="36"/>
        <v>0</v>
      </c>
      <c r="H779" t="b">
        <f t="shared" si="37"/>
        <v>0</v>
      </c>
      <c r="I779" s="29">
        <f t="shared" si="38"/>
        <v>39071</v>
      </c>
    </row>
    <row r="780" spans="1:9" ht="25.5" x14ac:dyDescent="0.2">
      <c r="A780" s="28">
        <v>39071</v>
      </c>
      <c r="B780" s="26" t="s">
        <v>4588</v>
      </c>
      <c r="C780" s="26" t="s">
        <v>9</v>
      </c>
      <c r="D780" s="26" t="s">
        <v>20</v>
      </c>
      <c r="E780" s="26">
        <v>16136</v>
      </c>
      <c r="F780" s="26" t="s">
        <v>20</v>
      </c>
      <c r="G780" t="b">
        <f t="shared" si="36"/>
        <v>0</v>
      </c>
      <c r="H780" t="b">
        <f t="shared" si="37"/>
        <v>0</v>
      </c>
      <c r="I780" s="29">
        <f t="shared" si="38"/>
        <v>39071</v>
      </c>
    </row>
    <row r="781" spans="1:9" ht="12.75" customHeight="1" x14ac:dyDescent="0.2">
      <c r="A781" s="28">
        <v>39071</v>
      </c>
      <c r="B781" s="26" t="s">
        <v>4587</v>
      </c>
      <c r="C781" s="26" t="s">
        <v>9</v>
      </c>
      <c r="D781" s="26" t="s">
        <v>20</v>
      </c>
      <c r="E781" s="26">
        <v>1422461</v>
      </c>
      <c r="F781" s="26">
        <v>9205935</v>
      </c>
      <c r="G781" t="b">
        <f t="shared" si="36"/>
        <v>0</v>
      </c>
      <c r="H781" t="b">
        <f t="shared" si="37"/>
        <v>0</v>
      </c>
      <c r="I781" s="29">
        <f t="shared" si="38"/>
        <v>39071</v>
      </c>
    </row>
    <row r="782" spans="1:9" ht="12.75" customHeight="1" x14ac:dyDescent="0.2">
      <c r="A782" s="28">
        <v>39071</v>
      </c>
      <c r="B782" s="26" t="s">
        <v>4586</v>
      </c>
      <c r="C782" s="26" t="s">
        <v>2256</v>
      </c>
      <c r="D782" s="26">
        <v>24000000</v>
      </c>
      <c r="E782" s="26">
        <v>70269899</v>
      </c>
      <c r="F782" s="26">
        <v>155720088</v>
      </c>
      <c r="G782" t="b">
        <f t="shared" si="36"/>
        <v>0</v>
      </c>
      <c r="H782" t="b">
        <f t="shared" si="37"/>
        <v>0</v>
      </c>
      <c r="I782" s="29">
        <f t="shared" si="38"/>
        <v>39071</v>
      </c>
    </row>
    <row r="783" spans="1:9" ht="12.75" customHeight="1" x14ac:dyDescent="0.2">
      <c r="A783" s="28">
        <v>39072</v>
      </c>
      <c r="B783" s="26" t="s">
        <v>4585</v>
      </c>
      <c r="C783" s="26" t="s">
        <v>9</v>
      </c>
      <c r="D783" s="26" t="s">
        <v>20</v>
      </c>
      <c r="E783" s="26" t="s">
        <v>20</v>
      </c>
      <c r="F783" s="26" t="s">
        <v>20</v>
      </c>
      <c r="G783" t="b">
        <f t="shared" si="36"/>
        <v>0</v>
      </c>
      <c r="H783" t="b">
        <f t="shared" si="37"/>
        <v>0</v>
      </c>
      <c r="I783" s="29">
        <f t="shared" si="38"/>
        <v>39072</v>
      </c>
    </row>
    <row r="784" spans="1:9" ht="25.5" x14ac:dyDescent="0.2">
      <c r="A784" s="28">
        <v>39072</v>
      </c>
      <c r="B784" s="26" t="s">
        <v>4584</v>
      </c>
      <c r="C784" s="26" t="s">
        <v>612</v>
      </c>
      <c r="D784" s="26">
        <v>45000000</v>
      </c>
      <c r="E784" s="26">
        <v>6566773</v>
      </c>
      <c r="F784" s="26">
        <v>75566773</v>
      </c>
      <c r="G784" t="b">
        <f t="shared" si="36"/>
        <v>0</v>
      </c>
      <c r="H784" t="b">
        <f t="shared" si="37"/>
        <v>0</v>
      </c>
      <c r="I784" s="29">
        <f t="shared" si="38"/>
        <v>39072</v>
      </c>
    </row>
    <row r="785" spans="1:9" ht="12.75" customHeight="1" x14ac:dyDescent="0.2">
      <c r="A785" s="28">
        <v>39072</v>
      </c>
      <c r="B785" s="26" t="s">
        <v>4583</v>
      </c>
      <c r="C785" s="26" t="s">
        <v>3218</v>
      </c>
      <c r="D785" s="26">
        <v>6000000</v>
      </c>
      <c r="E785" s="26">
        <v>3347411</v>
      </c>
      <c r="F785" s="26">
        <v>4022411</v>
      </c>
      <c r="G785" t="b">
        <f t="shared" si="36"/>
        <v>0</v>
      </c>
      <c r="H785" t="b">
        <f t="shared" si="37"/>
        <v>0</v>
      </c>
      <c r="I785" s="29">
        <f t="shared" si="38"/>
        <v>39072</v>
      </c>
    </row>
    <row r="786" spans="1:9" ht="12.75" customHeight="1" x14ac:dyDescent="0.2">
      <c r="A786" s="28">
        <v>39072</v>
      </c>
      <c r="B786" s="26" t="s">
        <v>4582</v>
      </c>
      <c r="C786" s="26" t="s">
        <v>9</v>
      </c>
      <c r="D786" s="26" t="s">
        <v>20</v>
      </c>
      <c r="E786" s="26" t="s">
        <v>20</v>
      </c>
      <c r="F786" s="26" t="s">
        <v>20</v>
      </c>
      <c r="G786" t="b">
        <f t="shared" si="36"/>
        <v>0</v>
      </c>
      <c r="H786" t="b">
        <f t="shared" si="37"/>
        <v>0</v>
      </c>
      <c r="I786" s="29">
        <f t="shared" si="38"/>
        <v>39072</v>
      </c>
    </row>
    <row r="787" spans="1:9" ht="25.5" x14ac:dyDescent="0.2">
      <c r="A787" s="28">
        <v>39072</v>
      </c>
      <c r="B787" s="26" t="s">
        <v>4581</v>
      </c>
      <c r="C787" s="26" t="s">
        <v>9</v>
      </c>
      <c r="D787" s="26" t="s">
        <v>20</v>
      </c>
      <c r="E787" s="26" t="s">
        <v>20</v>
      </c>
      <c r="F787" s="26" t="s">
        <v>20</v>
      </c>
      <c r="G787" t="b">
        <f t="shared" si="36"/>
        <v>0</v>
      </c>
      <c r="H787" t="b">
        <f t="shared" si="37"/>
        <v>0</v>
      </c>
      <c r="I787" s="29">
        <f t="shared" si="38"/>
        <v>39072</v>
      </c>
    </row>
    <row r="788" spans="1:9" ht="25.5" x14ac:dyDescent="0.2">
      <c r="A788" s="28">
        <v>39073</v>
      </c>
      <c r="B788" s="26" t="s">
        <v>4580</v>
      </c>
      <c r="C788" s="26" t="s">
        <v>384</v>
      </c>
      <c r="D788" s="26">
        <v>110000000</v>
      </c>
      <c r="E788" s="26">
        <v>250863268</v>
      </c>
      <c r="F788" s="26">
        <v>574480841</v>
      </c>
      <c r="G788" t="b">
        <f t="shared" si="36"/>
        <v>0</v>
      </c>
      <c r="H788" t="b">
        <f t="shared" si="37"/>
        <v>0</v>
      </c>
      <c r="I788" s="29">
        <f t="shared" si="38"/>
        <v>39073</v>
      </c>
    </row>
    <row r="789" spans="1:9" ht="25.5" x14ac:dyDescent="0.2">
      <c r="A789" s="28">
        <v>39073</v>
      </c>
      <c r="B789" s="26" t="s">
        <v>4579</v>
      </c>
      <c r="C789" s="26" t="s">
        <v>9</v>
      </c>
      <c r="D789" s="26" t="s">
        <v>20</v>
      </c>
      <c r="E789" s="26">
        <v>22300</v>
      </c>
      <c r="F789" s="26" t="s">
        <v>20</v>
      </c>
      <c r="G789" t="b">
        <f t="shared" si="36"/>
        <v>0</v>
      </c>
      <c r="H789" t="b">
        <f t="shared" si="37"/>
        <v>0</v>
      </c>
      <c r="I789" s="29">
        <f t="shared" si="38"/>
        <v>39073</v>
      </c>
    </row>
    <row r="790" spans="1:9" ht="25.5" x14ac:dyDescent="0.2">
      <c r="A790" s="28">
        <v>39073</v>
      </c>
      <c r="B790" s="26" t="s">
        <v>4578</v>
      </c>
      <c r="C790" s="26" t="s">
        <v>3096</v>
      </c>
      <c r="D790" s="26" t="s">
        <v>20</v>
      </c>
      <c r="E790" s="26">
        <v>59908565</v>
      </c>
      <c r="F790" s="26">
        <v>95376742</v>
      </c>
      <c r="G790" t="b">
        <f t="shared" si="36"/>
        <v>0</v>
      </c>
      <c r="H790" t="b">
        <f t="shared" si="37"/>
        <v>0</v>
      </c>
      <c r="I790" s="29">
        <f t="shared" si="38"/>
        <v>39073</v>
      </c>
    </row>
    <row r="791" spans="1:9" ht="12.75" customHeight="1" x14ac:dyDescent="0.2">
      <c r="A791" s="28">
        <v>39073</v>
      </c>
      <c r="B791" s="26" t="s">
        <v>4577</v>
      </c>
      <c r="C791" s="26" t="s">
        <v>9</v>
      </c>
      <c r="D791" s="26" t="s">
        <v>20</v>
      </c>
      <c r="E791" s="26">
        <v>789963</v>
      </c>
      <c r="F791" s="26" t="s">
        <v>20</v>
      </c>
      <c r="G791" t="b">
        <f t="shared" si="36"/>
        <v>0</v>
      </c>
      <c r="H791" t="b">
        <f t="shared" si="37"/>
        <v>0</v>
      </c>
      <c r="I791" s="29">
        <f t="shared" si="38"/>
        <v>39073</v>
      </c>
    </row>
    <row r="792" spans="1:9" ht="25.5" x14ac:dyDescent="0.2">
      <c r="A792" s="28">
        <v>39073</v>
      </c>
      <c r="B792" s="26" t="s">
        <v>4576</v>
      </c>
      <c r="C792" s="26" t="s">
        <v>9</v>
      </c>
      <c r="D792" s="26" t="s">
        <v>20</v>
      </c>
      <c r="E792" s="26" t="s">
        <v>20</v>
      </c>
      <c r="F792" s="26" t="s">
        <v>20</v>
      </c>
      <c r="G792" t="b">
        <f t="shared" si="36"/>
        <v>0</v>
      </c>
      <c r="H792" t="b">
        <f t="shared" si="37"/>
        <v>0</v>
      </c>
      <c r="I792" s="29">
        <f t="shared" si="38"/>
        <v>39073</v>
      </c>
    </row>
    <row r="793" spans="1:9" ht="25.5" x14ac:dyDescent="0.2">
      <c r="A793" s="28">
        <v>39073</v>
      </c>
      <c r="B793" s="26" t="s">
        <v>4575</v>
      </c>
      <c r="C793" s="26" t="s">
        <v>3209</v>
      </c>
      <c r="D793" s="26" t="s">
        <v>20</v>
      </c>
      <c r="E793" s="26">
        <v>43545364</v>
      </c>
      <c r="F793" s="26" t="s">
        <v>20</v>
      </c>
      <c r="G793" t="b">
        <f t="shared" si="36"/>
        <v>0</v>
      </c>
      <c r="H793" t="b">
        <f t="shared" si="37"/>
        <v>0</v>
      </c>
      <c r="I793" s="29">
        <f t="shared" si="38"/>
        <v>39073</v>
      </c>
    </row>
    <row r="794" spans="1:9" ht="25.5" x14ac:dyDescent="0.2">
      <c r="A794" s="28">
        <v>39073</v>
      </c>
      <c r="B794" s="26" t="s">
        <v>4574</v>
      </c>
      <c r="C794" s="26" t="s">
        <v>9</v>
      </c>
      <c r="D794" s="26" t="s">
        <v>20</v>
      </c>
      <c r="E794" s="26" t="s">
        <v>20</v>
      </c>
      <c r="F794" s="26" t="s">
        <v>20</v>
      </c>
      <c r="G794" t="b">
        <f t="shared" si="36"/>
        <v>0</v>
      </c>
      <c r="H794" t="b">
        <f t="shared" si="37"/>
        <v>0</v>
      </c>
      <c r="I794" s="29">
        <f t="shared" si="38"/>
        <v>39073</v>
      </c>
    </row>
    <row r="795" spans="1:9" ht="38.25" x14ac:dyDescent="0.2">
      <c r="A795" s="28">
        <v>39074</v>
      </c>
      <c r="B795" s="26" t="s">
        <v>4573</v>
      </c>
      <c r="C795" s="26" t="s">
        <v>9</v>
      </c>
      <c r="D795" s="26" t="s">
        <v>20</v>
      </c>
      <c r="E795" s="26" t="s">
        <v>20</v>
      </c>
      <c r="F795" s="26" t="s">
        <v>20</v>
      </c>
      <c r="G795" t="b">
        <f t="shared" si="36"/>
        <v>0</v>
      </c>
      <c r="H795" t="b">
        <f t="shared" si="37"/>
        <v>0</v>
      </c>
      <c r="I795" s="29">
        <f t="shared" si="38"/>
        <v>39074</v>
      </c>
    </row>
    <row r="796" spans="1:9" ht="25.5" x14ac:dyDescent="0.2">
      <c r="A796" s="28">
        <v>39076</v>
      </c>
      <c r="B796" s="26" t="s">
        <v>4572</v>
      </c>
      <c r="C796" s="26" t="s">
        <v>155</v>
      </c>
      <c r="D796" s="26" t="s">
        <v>20</v>
      </c>
      <c r="E796" s="26">
        <v>17510118</v>
      </c>
      <c r="F796" s="26">
        <v>49752391</v>
      </c>
      <c r="G796" t="b">
        <f t="shared" si="36"/>
        <v>0</v>
      </c>
      <c r="H796" t="b">
        <f t="shared" si="37"/>
        <v>0</v>
      </c>
      <c r="I796" s="29">
        <f t="shared" si="38"/>
        <v>39076</v>
      </c>
    </row>
    <row r="797" spans="1:9" ht="12.75" customHeight="1" x14ac:dyDescent="0.2">
      <c r="A797" s="28">
        <v>39076</v>
      </c>
      <c r="B797" s="26" t="s">
        <v>4571</v>
      </c>
      <c r="C797" s="26" t="s">
        <v>3096</v>
      </c>
      <c r="D797" s="26">
        <v>76000000</v>
      </c>
      <c r="E797" s="26">
        <v>35552383</v>
      </c>
      <c r="F797" s="26">
        <v>69450202</v>
      </c>
      <c r="G797" t="b">
        <f t="shared" si="36"/>
        <v>0</v>
      </c>
      <c r="H797" t="b">
        <f t="shared" si="37"/>
        <v>0</v>
      </c>
      <c r="I797" s="29">
        <f t="shared" si="38"/>
        <v>39076</v>
      </c>
    </row>
    <row r="798" spans="1:9" ht="12.75" customHeight="1" x14ac:dyDescent="0.2">
      <c r="A798" s="28">
        <v>39076</v>
      </c>
      <c r="B798" s="26" t="s">
        <v>4570</v>
      </c>
      <c r="C798" s="26" t="s">
        <v>3475</v>
      </c>
      <c r="D798" s="26">
        <v>9000000</v>
      </c>
      <c r="E798" s="26">
        <v>16235738</v>
      </c>
      <c r="F798" s="26" t="s">
        <v>20</v>
      </c>
      <c r="G798" t="b">
        <f t="shared" si="36"/>
        <v>0</v>
      </c>
      <c r="H798" t="b">
        <f t="shared" si="37"/>
        <v>0</v>
      </c>
      <c r="I798" s="29">
        <f t="shared" si="38"/>
        <v>39076</v>
      </c>
    </row>
    <row r="799" spans="1:9" ht="25.5" x14ac:dyDescent="0.2">
      <c r="A799" s="28">
        <v>39077</v>
      </c>
      <c r="B799" s="26" t="s">
        <v>4569</v>
      </c>
      <c r="C799" s="26" t="s">
        <v>9</v>
      </c>
      <c r="D799" s="26" t="s">
        <v>20</v>
      </c>
      <c r="E799" s="26" t="s">
        <v>20</v>
      </c>
      <c r="F799" s="26" t="s">
        <v>20</v>
      </c>
      <c r="G799" t="b">
        <f t="shared" si="36"/>
        <v>0</v>
      </c>
      <c r="H799" t="b">
        <f t="shared" si="37"/>
        <v>0</v>
      </c>
      <c r="I799" s="29">
        <f t="shared" si="38"/>
        <v>39077</v>
      </c>
    </row>
    <row r="800" spans="1:9" ht="25.5" x14ac:dyDescent="0.2">
      <c r="A800" s="28">
        <v>39078</v>
      </c>
      <c r="B800" s="26" t="s">
        <v>4568</v>
      </c>
      <c r="C800" s="26" t="s">
        <v>3240</v>
      </c>
      <c r="D800" s="26">
        <v>63700000</v>
      </c>
      <c r="E800" s="26">
        <v>2223293</v>
      </c>
      <c r="F800" s="26">
        <v>132180323</v>
      </c>
      <c r="G800" t="b">
        <f t="shared" si="36"/>
        <v>0</v>
      </c>
      <c r="H800" t="b">
        <f t="shared" si="37"/>
        <v>0</v>
      </c>
      <c r="I800" s="29">
        <f t="shared" si="38"/>
        <v>39078</v>
      </c>
    </row>
    <row r="801" spans="1:9" ht="12.75" customHeight="1" x14ac:dyDescent="0.2">
      <c r="A801" s="28">
        <v>39079</v>
      </c>
      <c r="B801" s="26" t="s">
        <v>4567</v>
      </c>
      <c r="C801" s="26" t="s">
        <v>9</v>
      </c>
      <c r="D801" s="26" t="s">
        <v>20</v>
      </c>
      <c r="E801" s="26" t="s">
        <v>20</v>
      </c>
      <c r="F801" s="26" t="s">
        <v>20</v>
      </c>
      <c r="G801" t="b">
        <f t="shared" si="36"/>
        <v>0</v>
      </c>
      <c r="H801" t="b">
        <f t="shared" si="37"/>
        <v>0</v>
      </c>
      <c r="I801" s="29">
        <f t="shared" si="38"/>
        <v>39079</v>
      </c>
    </row>
    <row r="802" spans="1:9" ht="12.75" customHeight="1" x14ac:dyDescent="0.2">
      <c r="A802" s="28">
        <v>39079</v>
      </c>
      <c r="B802" s="26" t="s">
        <v>4566</v>
      </c>
      <c r="C802" s="26" t="s">
        <v>9</v>
      </c>
      <c r="D802" s="26" t="s">
        <v>20</v>
      </c>
      <c r="E802" s="26" t="s">
        <v>20</v>
      </c>
      <c r="F802" s="26" t="s">
        <v>20</v>
      </c>
      <c r="G802" t="b">
        <f t="shared" si="36"/>
        <v>0</v>
      </c>
      <c r="H802" t="b">
        <f t="shared" si="37"/>
        <v>0</v>
      </c>
      <c r="I802" s="29">
        <f t="shared" si="38"/>
        <v>39079</v>
      </c>
    </row>
    <row r="803" spans="1:9" ht="12.75" customHeight="1" x14ac:dyDescent="0.2">
      <c r="A803" s="28">
        <v>39079</v>
      </c>
      <c r="B803" s="26" t="s">
        <v>4565</v>
      </c>
      <c r="C803" s="26" t="s">
        <v>9</v>
      </c>
      <c r="D803" s="26" t="s">
        <v>20</v>
      </c>
      <c r="E803" s="26" t="s">
        <v>20</v>
      </c>
      <c r="F803" s="26" t="s">
        <v>20</v>
      </c>
      <c r="G803" t="b">
        <f t="shared" si="36"/>
        <v>0</v>
      </c>
      <c r="H803" t="b">
        <f t="shared" si="37"/>
        <v>0</v>
      </c>
      <c r="I803" s="29">
        <f t="shared" si="38"/>
        <v>39079</v>
      </c>
    </row>
    <row r="804" spans="1:9" ht="12.75" customHeight="1" x14ac:dyDescent="0.2">
      <c r="A804" s="28">
        <v>39080</v>
      </c>
      <c r="B804" s="26" t="s">
        <v>4564</v>
      </c>
      <c r="C804" s="26" t="s">
        <v>49</v>
      </c>
      <c r="D804" s="26">
        <v>30000000</v>
      </c>
      <c r="E804" s="26">
        <v>3005605</v>
      </c>
      <c r="F804" s="26">
        <v>35025861</v>
      </c>
      <c r="G804" t="b">
        <f t="shared" si="36"/>
        <v>0</v>
      </c>
      <c r="H804" t="b">
        <f t="shared" si="37"/>
        <v>0</v>
      </c>
      <c r="I804" s="29">
        <f t="shared" si="38"/>
        <v>39080</v>
      </c>
    </row>
    <row r="805" spans="1:9" ht="12.75" customHeight="1" x14ac:dyDescent="0.2">
      <c r="A805" s="28">
        <v>39080</v>
      </c>
      <c r="B805" s="26" t="s">
        <v>4563</v>
      </c>
      <c r="C805" s="26" t="s">
        <v>2865</v>
      </c>
      <c r="D805" s="26">
        <v>3300000</v>
      </c>
      <c r="E805" s="26">
        <v>19875</v>
      </c>
      <c r="F805" s="26" t="s">
        <v>20</v>
      </c>
      <c r="G805" t="b">
        <f t="shared" si="36"/>
        <v>0</v>
      </c>
      <c r="H805" t="b">
        <f t="shared" si="37"/>
        <v>0</v>
      </c>
      <c r="I805" s="29">
        <f t="shared" si="38"/>
        <v>39080</v>
      </c>
    </row>
    <row r="806" spans="1:9" ht="12.75" customHeight="1" x14ac:dyDescent="0.2">
      <c r="A806" s="28">
        <v>39080</v>
      </c>
      <c r="B806" s="26" t="s">
        <v>4562</v>
      </c>
      <c r="C806" s="26" t="s">
        <v>2775</v>
      </c>
      <c r="D806" s="26" t="s">
        <v>20</v>
      </c>
      <c r="E806" s="26">
        <v>68501</v>
      </c>
      <c r="F806" s="26" t="s">
        <v>20</v>
      </c>
      <c r="G806" t="b">
        <f t="shared" si="36"/>
        <v>0</v>
      </c>
      <c r="H806" t="b">
        <f t="shared" si="37"/>
        <v>0</v>
      </c>
      <c r="I806" s="29">
        <f t="shared" si="38"/>
        <v>39080</v>
      </c>
    </row>
    <row r="807" spans="1:9" ht="25.5" x14ac:dyDescent="0.2">
      <c r="A807" s="28">
        <v>39080</v>
      </c>
      <c r="B807" s="26" t="s">
        <v>4561</v>
      </c>
      <c r="C807" s="26" t="s">
        <v>9</v>
      </c>
      <c r="D807" s="26">
        <v>16000000</v>
      </c>
      <c r="E807" s="26">
        <v>37634615</v>
      </c>
      <c r="F807" s="26">
        <v>83234615</v>
      </c>
      <c r="G807" t="b">
        <f t="shared" si="36"/>
        <v>0</v>
      </c>
      <c r="H807" t="b">
        <f t="shared" si="37"/>
        <v>0</v>
      </c>
      <c r="I807" s="29">
        <f t="shared" si="38"/>
        <v>39080</v>
      </c>
    </row>
    <row r="808" spans="1:9" x14ac:dyDescent="0.2">
      <c r="A808" s="28">
        <v>39080</v>
      </c>
      <c r="B808" s="26" t="s">
        <v>4560</v>
      </c>
      <c r="C808" s="26" t="s">
        <v>9</v>
      </c>
      <c r="D808" s="26" t="s">
        <v>20</v>
      </c>
      <c r="E808" s="26">
        <v>10167</v>
      </c>
      <c r="F808" s="26" t="s">
        <v>20</v>
      </c>
      <c r="G808" t="b">
        <f t="shared" si="36"/>
        <v>0</v>
      </c>
      <c r="H808" t="b">
        <f t="shared" si="37"/>
        <v>0</v>
      </c>
      <c r="I808" s="29">
        <f t="shared" si="38"/>
        <v>39080</v>
      </c>
    </row>
    <row r="809" spans="1:9" ht="12.75" customHeight="1" x14ac:dyDescent="0.2">
      <c r="A809" s="28">
        <v>39080</v>
      </c>
      <c r="B809" s="26" t="s">
        <v>4559</v>
      </c>
      <c r="C809" s="26" t="s">
        <v>49</v>
      </c>
      <c r="D809" s="26">
        <v>7000000</v>
      </c>
      <c r="E809" s="26">
        <v>1661464</v>
      </c>
      <c r="F809" s="26" t="s">
        <v>20</v>
      </c>
      <c r="G809" t="b">
        <f t="shared" si="36"/>
        <v>0</v>
      </c>
      <c r="H809" t="b">
        <f t="shared" si="37"/>
        <v>0</v>
      </c>
      <c r="I809" s="29">
        <f t="shared" si="38"/>
        <v>39080</v>
      </c>
    </row>
    <row r="810" spans="1:9" ht="12.75" customHeight="1" x14ac:dyDescent="0.2">
      <c r="A810" s="37"/>
      <c r="B810" s="37"/>
      <c r="C810" s="37"/>
      <c r="D810" s="37"/>
      <c r="E810" s="37"/>
      <c r="F810" s="37"/>
      <c r="G810" s="37"/>
      <c r="H810" s="37"/>
      <c r="I810" s="37"/>
    </row>
  </sheetData>
  <autoFilter ref="A1:I809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T155"/>
  <sheetViews>
    <sheetView tabSelected="1" workbookViewId="0">
      <pane xSplit="1" ySplit="2" topLeftCell="B3" activePane="bottomRight" state="frozenSplit"/>
      <selection pane="topRight" activeCell="L1" sqref="L1"/>
      <selection pane="bottomLeft" activeCell="A38" sqref="A38"/>
      <selection pane="bottomRight" activeCell="B3" sqref="B3"/>
    </sheetView>
  </sheetViews>
  <sheetFormatPr defaultRowHeight="12.75" outlineLevelCol="1" x14ac:dyDescent="0.2"/>
  <cols>
    <col min="1" max="1" width="16" bestFit="1" customWidth="1"/>
    <col min="2" max="2" width="16" customWidth="1" outlineLevel="1"/>
    <col min="3" max="4" width="7.7109375" bestFit="1" customWidth="1"/>
    <col min="5" max="7" width="5.85546875" bestFit="1" customWidth="1"/>
    <col min="8" max="9" width="5" bestFit="1" customWidth="1"/>
    <col min="10" max="10" width="5" style="39" bestFit="1" customWidth="1"/>
    <col min="11" max="12" width="5.85546875" style="39" bestFit="1" customWidth="1"/>
    <col min="13" max="14" width="16.140625" style="41" bestFit="1" customWidth="1"/>
    <col min="15" max="17" width="16.140625" style="36" bestFit="1" customWidth="1"/>
    <col min="18" max="19" width="5.85546875" style="39" bestFit="1" customWidth="1"/>
    <col min="20" max="20" width="5.7109375" style="39" bestFit="1" customWidth="1"/>
    <col min="21" max="21" width="6.42578125" style="39" bestFit="1" customWidth="1"/>
    <col min="22" max="22" width="5.85546875" style="39" bestFit="1" customWidth="1"/>
    <col min="23" max="23" width="18" style="39" bestFit="1" customWidth="1"/>
    <col min="24" max="24" width="19.140625" style="39" bestFit="1" customWidth="1"/>
    <col min="25" max="27" width="18.85546875" style="39" bestFit="1" customWidth="1"/>
    <col min="28" max="29" width="7.140625" bestFit="1" customWidth="1"/>
  </cols>
  <sheetData>
    <row r="1" spans="1:37" ht="15" x14ac:dyDescent="0.2">
      <c r="A1" s="51"/>
      <c r="B1" s="51"/>
      <c r="C1" s="89" t="s">
        <v>3493</v>
      </c>
      <c r="D1" s="89"/>
      <c r="E1" s="89"/>
      <c r="F1" s="89"/>
      <c r="G1" s="89"/>
      <c r="H1" s="88" t="s">
        <v>3491</v>
      </c>
      <c r="I1" s="88"/>
      <c r="J1" s="88"/>
      <c r="K1" s="88"/>
      <c r="L1" s="88"/>
      <c r="M1" s="91" t="s">
        <v>3492</v>
      </c>
      <c r="N1" s="91"/>
      <c r="O1" s="91"/>
      <c r="P1" s="91"/>
      <c r="Q1" s="91"/>
      <c r="R1" s="88" t="s">
        <v>5375</v>
      </c>
      <c r="S1" s="88"/>
      <c r="T1" s="88"/>
      <c r="U1" s="88"/>
      <c r="V1" s="88"/>
      <c r="W1" s="89" t="s">
        <v>5376</v>
      </c>
      <c r="X1" s="89"/>
      <c r="Y1" s="89"/>
      <c r="Z1" s="89"/>
      <c r="AA1" s="89"/>
      <c r="AB1" s="88"/>
      <c r="AC1" s="88"/>
      <c r="AD1" s="88"/>
      <c r="AE1" s="88"/>
      <c r="AF1" s="88"/>
      <c r="AG1" s="89"/>
      <c r="AH1" s="89"/>
      <c r="AI1" s="89"/>
      <c r="AJ1" s="89"/>
      <c r="AK1" s="89"/>
    </row>
    <row r="2" spans="1:37" ht="15" x14ac:dyDescent="0.2">
      <c r="A2" s="49"/>
      <c r="B2" s="49"/>
      <c r="C2" s="50">
        <v>2006</v>
      </c>
      <c r="D2" s="50">
        <v>2007</v>
      </c>
      <c r="E2" s="50">
        <v>2008</v>
      </c>
      <c r="F2" s="50">
        <v>2009</v>
      </c>
      <c r="G2" s="50">
        <v>2010</v>
      </c>
      <c r="H2" s="50">
        <v>2006</v>
      </c>
      <c r="I2" s="50">
        <v>2007</v>
      </c>
      <c r="J2" s="50">
        <v>2008</v>
      </c>
      <c r="K2" s="50">
        <v>2009</v>
      </c>
      <c r="L2" s="50">
        <v>2010</v>
      </c>
      <c r="M2" s="55">
        <v>2006</v>
      </c>
      <c r="N2" s="55">
        <v>2007</v>
      </c>
      <c r="O2" s="55">
        <v>2008</v>
      </c>
      <c r="P2" s="55">
        <v>2009</v>
      </c>
      <c r="Q2" s="55">
        <v>2010</v>
      </c>
      <c r="R2" s="50">
        <v>2006</v>
      </c>
      <c r="S2" s="50">
        <v>2007</v>
      </c>
      <c r="T2" s="50">
        <v>2008</v>
      </c>
      <c r="U2" s="50">
        <v>2009</v>
      </c>
      <c r="V2" s="50">
        <v>2010</v>
      </c>
      <c r="W2" s="50">
        <v>2006</v>
      </c>
      <c r="X2" s="50">
        <v>2007</v>
      </c>
      <c r="Y2" s="50">
        <v>2008</v>
      </c>
      <c r="Z2" s="50">
        <v>2009</v>
      </c>
      <c r="AA2" s="50">
        <v>2010</v>
      </c>
      <c r="AB2" s="50">
        <v>2006</v>
      </c>
      <c r="AC2" s="50">
        <v>2007</v>
      </c>
      <c r="AD2" s="50">
        <v>2008</v>
      </c>
      <c r="AE2" s="50">
        <v>2009</v>
      </c>
      <c r="AF2" s="50">
        <v>2010</v>
      </c>
      <c r="AG2" s="50">
        <v>2006</v>
      </c>
      <c r="AH2" s="50">
        <v>2007</v>
      </c>
      <c r="AI2" s="50">
        <v>2008</v>
      </c>
      <c r="AJ2" s="50">
        <v>2009</v>
      </c>
      <c r="AK2" s="50">
        <v>2010</v>
      </c>
    </row>
    <row r="3" spans="1:37" x14ac:dyDescent="0.2">
      <c r="A3" s="36">
        <v>0</v>
      </c>
      <c r="B3" s="36">
        <f>A4/1000/1000</f>
        <v>25</v>
      </c>
      <c r="C3" s="40">
        <f t="array" ref="C3">COUNT(IF(YEAR(date.2006)*(gross.world.2006&gt;=$A3)*(gross.world.2006&lt;$A4),gross.world.2006))</f>
        <v>166</v>
      </c>
      <c r="D3" s="40">
        <f t="array" ref="D3">COUNT(IF(YEAR(date.2007)*(gross.world.2007&gt;=$A3)*(gross.world.2007&lt;$A4),gross.world.2007))</f>
        <v>300</v>
      </c>
      <c r="E3" s="40">
        <f t="array" ref="E3">COUNT(IF(YEAR(date.2008)*(gross.world.2008&gt;=$A3)*(gross.world.2008&lt;$A4),gross.world.2008))</f>
        <v>309</v>
      </c>
      <c r="F3" s="40">
        <f t="array" ref="F3">COUNT(IF(YEAR(date.2009)*(gross.world.2009&gt;=$A3)*(gross.world.2009&lt;$A4),gross.world.2009))</f>
        <v>172</v>
      </c>
      <c r="G3" s="40">
        <f t="array" ref="G3">COUNT(IF(YEAR(date.2010)*(gross.world.2010&gt;=$A3)*(gross.world.2010&lt;$A4),gross.world.2010))</f>
        <v>84</v>
      </c>
      <c r="H3" s="39">
        <f>SUM(C3:C$45)</f>
        <v>309</v>
      </c>
      <c r="I3" s="39">
        <f>SUM(D3:D$45)</f>
        <v>447</v>
      </c>
      <c r="J3" s="39">
        <f>SUM(E3:E$45)</f>
        <v>463</v>
      </c>
      <c r="K3" s="39">
        <f>SUM(F3:F$45)</f>
        <v>313</v>
      </c>
      <c r="L3" s="39">
        <f>SUM(G3:G$45)</f>
        <v>206</v>
      </c>
      <c r="M3" s="36">
        <f t="array" ref="M3">SUM(IF(YEAR(date.2006)*(gross.world.2006&gt;=$A3)*(gross.world.2006&lt;$A4),gross.world.2006))</f>
        <v>1214716810</v>
      </c>
      <c r="N3" s="36">
        <f t="array" ref="N3">SUM(IF(YEAR(date.2007)*(gross.world.2007&gt;=$A3)*(gross.world.2007&lt;$A4),gross.world.2007))</f>
        <v>1998949803</v>
      </c>
      <c r="O3" s="36">
        <f t="array" ref="O3">SUM(IF(YEAR(date.2008)*(gross.world.2008&gt;=$A3)*(gross.world.2008&lt;$A4),gross.world.2008))</f>
        <v>2078313934</v>
      </c>
      <c r="P3" s="36">
        <f t="array" ref="P3">SUM(IF(YEAR(date.2009)*(gross.world.2009&gt;=$A3)*(gross.world.2009&lt;$A4),gross.world.2009))</f>
        <v>1351499834</v>
      </c>
      <c r="Q3" s="36">
        <f t="array" ref="Q3">SUM(IF(YEAR(date.2010)*(gross.world.2010&gt;=$A3)*(gross.world.2010&lt;$A4),gross.world.2010))</f>
        <v>694136071</v>
      </c>
      <c r="R3" s="53">
        <f>SUM(C3:C$48)/C$49</f>
        <v>1</v>
      </c>
      <c r="S3" s="53">
        <f>SUM(D3:D$48)/D$49</f>
        <v>1</v>
      </c>
      <c r="T3" s="53">
        <f>SUM(E3:E$48)/E$49</f>
        <v>1</v>
      </c>
      <c r="U3" s="53">
        <f>SUM(F3:F$48)/F$49</f>
        <v>1</v>
      </c>
      <c r="V3" s="53">
        <f>SUM(G3:G$48)/G$49</f>
        <v>1</v>
      </c>
      <c r="W3" s="53">
        <f>SUM(M3:M$48)/M$49</f>
        <v>1</v>
      </c>
      <c r="X3" s="53">
        <f>SUM(N3:N$48)/N$49</f>
        <v>1</v>
      </c>
      <c r="Y3" s="53">
        <f>SUM(O3:O$48)/O$49</f>
        <v>1</v>
      </c>
      <c r="Z3" s="53">
        <f>SUM(P3:P$48)/P$49</f>
        <v>1</v>
      </c>
      <c r="AA3" s="53">
        <f>SUM(Q3:Q$48)/Q$49</f>
        <v>1</v>
      </c>
    </row>
    <row r="4" spans="1:37" x14ac:dyDescent="0.2">
      <c r="A4" s="36">
        <f>A3+25000000</f>
        <v>25000000</v>
      </c>
      <c r="B4" s="36">
        <f t="shared" ref="B4:B47" si="0">A5/1000/1000</f>
        <v>50</v>
      </c>
      <c r="C4" s="40">
        <f t="array" ref="C4">COUNT(IF(YEAR(date.2006)*(gross.world.2006&gt;=$A4)*(gross.world.2006&lt;$A5),gross.world.2006))</f>
        <v>40</v>
      </c>
      <c r="D4" s="40">
        <f t="array" ref="D4">COUNT(IF(YEAR(date.2007)*(gross.world.2007&gt;=$A4)*(gross.world.2007&lt;$A5),gross.world.2007))</f>
        <v>44</v>
      </c>
      <c r="E4" s="40">
        <f t="array" ref="E4">COUNT(IF(YEAR(date.2008)*(gross.world.2008&gt;=$A4)*(gross.world.2008&lt;$A5),gross.world.2008))</f>
        <v>58</v>
      </c>
      <c r="F4" s="40">
        <f t="array" ref="F4">COUNT(IF(YEAR(date.2009)*(gross.world.2009&gt;=$A4)*(gross.world.2009&lt;$A5),gross.world.2009))</f>
        <v>44</v>
      </c>
      <c r="G4" s="40">
        <f t="array" ref="G4">COUNT(IF(YEAR(date.2010)*(gross.world.2010&gt;=A4)*(gross.world.2010&lt;A5),gross.world.2010))</f>
        <v>30</v>
      </c>
      <c r="H4" s="39">
        <f>SUM(C4:C$45)</f>
        <v>143</v>
      </c>
      <c r="I4" s="39">
        <f>SUM(D4:D$45)</f>
        <v>147</v>
      </c>
      <c r="J4" s="39">
        <f>SUM(E4:E$45)</f>
        <v>154</v>
      </c>
      <c r="K4" s="39">
        <f>SUM(F4:F$45)</f>
        <v>141</v>
      </c>
      <c r="L4" s="39">
        <f>SUM(G4:G$45)</f>
        <v>122</v>
      </c>
      <c r="M4" s="36">
        <f t="array" ref="M4">SUM(IF(YEAR(date.2006)*(gross.world.2006&gt;=$A4)*(gross.world.2006&lt;$A5),gross.world.2006))</f>
        <v>1490305286</v>
      </c>
      <c r="N4" s="36">
        <f t="array" ref="N4">SUM(IF(YEAR(date.2007)*(gross.world.2007&gt;=$A4)*(gross.world.2007&lt;$A5),gross.world.2007))</f>
        <v>1521631103</v>
      </c>
      <c r="O4" s="36">
        <f t="array" ref="O4">SUM(IF(YEAR(date.2008)*(gross.world.2008&gt;=$A4)*(gross.world.2008&lt;$A5),gross.world.2008))</f>
        <v>2069346381</v>
      </c>
      <c r="P4" s="36">
        <f t="array" ref="P4">SUM(IF(YEAR(date.2009)*(gross.world.2009&gt;=$A4)*(gross.world.2009&lt;$A5),gross.world.2009))</f>
        <v>1620738915</v>
      </c>
      <c r="Q4" s="36">
        <f t="array" ref="Q4">SUM(IF(YEAR(date.2010)*(gross.world.2010&gt;=$A4)*(gross.world.2010&lt;$A5),gross.world.2010))</f>
        <v>1143123004</v>
      </c>
      <c r="R4" s="53">
        <f>SUM(C4:C$48)/C$49</f>
        <v>0.4627831715210356</v>
      </c>
      <c r="S4" s="53">
        <f>SUM(D4:D$48)/D$49</f>
        <v>0.32885906040268459</v>
      </c>
      <c r="T4" s="53">
        <f>SUM(E4:E$48)/E$49</f>
        <v>0.33261339092872572</v>
      </c>
      <c r="U4" s="53">
        <f>SUM(F4:F$48)/F$49</f>
        <v>0.45222929936305734</v>
      </c>
      <c r="V4" s="53">
        <f>SUM(G4:G$48)/G$49</f>
        <v>0.59223300970873782</v>
      </c>
      <c r="W4" s="53">
        <f>SUM(M4:M$48)/M$49</f>
        <v>0.93806518363335278</v>
      </c>
      <c r="X4" s="53">
        <f>SUM(N4:N$48)/N$49</f>
        <v>0.91154581983903094</v>
      </c>
      <c r="Y4" s="53">
        <f>SUM(O4:O$48)/O$49</f>
        <v>0.91070282576484318</v>
      </c>
      <c r="Z4" s="53">
        <f>SUM(P4:P$48)/P$49</f>
        <v>0.94635449767598312</v>
      </c>
      <c r="AA4" s="53">
        <f>SUM(Q4:Q$48)/Q$49</f>
        <v>0.96863410285193297</v>
      </c>
    </row>
    <row r="5" spans="1:37" x14ac:dyDescent="0.2">
      <c r="A5" s="36">
        <f t="shared" ref="A5:A47" si="1">A4+25000000</f>
        <v>50000000</v>
      </c>
      <c r="B5" s="36">
        <f t="shared" si="0"/>
        <v>75</v>
      </c>
      <c r="C5" s="40">
        <f t="array" ref="C5">COUNT(IF(YEAR(date.2006)*(gross.world.2006&gt;=$A5)*(gross.world.2006&lt;$A6),gross.world.2006))</f>
        <v>26</v>
      </c>
      <c r="D5" s="40">
        <f t="array" ref="D5">COUNT(IF(YEAR(date.2007)*(gross.world.2007&gt;=$A5)*(gross.world.2007&lt;$A6),gross.world.2007))</f>
        <v>29</v>
      </c>
      <c r="E5" s="40">
        <f t="array" ref="E5">COUNT(IF(YEAR(date.2008)*(gross.world.2008&gt;=$A5)*(gross.world.2008&lt;$A6),gross.world.2008))</f>
        <v>23</v>
      </c>
      <c r="F5" s="40">
        <f t="array" ref="F5">COUNT(IF(YEAR(date.2009)*(gross.world.2009&gt;=$A5)*(gross.world.2009&lt;$A6),gross.world.2009))</f>
        <v>23</v>
      </c>
      <c r="G5" s="40">
        <f t="array" ref="G5">COUNT(IF(YEAR(date.2010)*(gross.world.2010&gt;=A5)*(gross.world.2010&lt;A6),gross.world.2010))</f>
        <v>16</v>
      </c>
      <c r="H5" s="39">
        <f>SUM(C5:C$45)</f>
        <v>103</v>
      </c>
      <c r="I5" s="39">
        <f>SUM(D5:D$45)</f>
        <v>103</v>
      </c>
      <c r="J5" s="39">
        <f>SUM(E5:E$45)</f>
        <v>96</v>
      </c>
      <c r="K5" s="39">
        <f>SUM(F5:F$45)</f>
        <v>97</v>
      </c>
      <c r="L5" s="39">
        <f>SUM(G5:G$45)</f>
        <v>92</v>
      </c>
      <c r="M5" s="36">
        <f t="array" ref="M5">SUM(IF(YEAR(date.2006)*(gross.world.2006&gt;=$A5)*(gross.world.2006&lt;$A6),gross.world.2006))</f>
        <v>1642798172</v>
      </c>
      <c r="N5" s="36">
        <f t="array" ref="N5">SUM(IF(YEAR(date.2007)*(gross.world.2007&gt;=$A5)*(gross.world.2007&lt;$A6),gross.world.2007))</f>
        <v>1826969195</v>
      </c>
      <c r="O5" s="36">
        <f t="array" ref="O5">SUM(IF(YEAR(date.2008)*(gross.world.2008&gt;=$A5)*(gross.world.2008&lt;$A6),gross.world.2008))</f>
        <v>1417469886</v>
      </c>
      <c r="P5" s="36">
        <f t="array" ref="P5">SUM(IF(YEAR(date.2009)*(gross.world.2009&gt;=$A5)*(gross.world.2009&lt;$A6),gross.world.2009))</f>
        <v>1444676617</v>
      </c>
      <c r="Q5" s="36">
        <f t="array" ref="Q5">SUM(IF(YEAR(date.2010)*(gross.world.2010&gt;=$A5)*(gross.world.2010&lt;$A6),gross.world.2010))</f>
        <v>986568103</v>
      </c>
      <c r="R5" s="53">
        <f>SUM(C5:C$48)/C$49</f>
        <v>0.33333333333333331</v>
      </c>
      <c r="S5" s="53">
        <f>SUM(D5:D$48)/D$49</f>
        <v>0.23042505592841164</v>
      </c>
      <c r="T5" s="53">
        <f>SUM(E5:E$48)/E$49</f>
        <v>0.20734341252699784</v>
      </c>
      <c r="U5" s="53">
        <f>SUM(F5:F$48)/F$49</f>
        <v>0.31210191082802546</v>
      </c>
      <c r="V5" s="53">
        <f>SUM(G5:G$48)/G$49</f>
        <v>0.44660194174757284</v>
      </c>
      <c r="W5" s="53">
        <f>SUM(M5:M$48)/M$49</f>
        <v>0.86207892621204185</v>
      </c>
      <c r="X5" s="53">
        <f>SUM(N5:N$48)/N$49</f>
        <v>0.84421314769223754</v>
      </c>
      <c r="Y5" s="53">
        <f>SUM(O5:O$48)/O$49</f>
        <v>0.82179095286920201</v>
      </c>
      <c r="Z5" s="53">
        <f>SUM(P5:P$48)/P$49</f>
        <v>0.88202200495644867</v>
      </c>
      <c r="AA5" s="53">
        <f>SUM(Q5:Q$48)/Q$49</f>
        <v>0.91697985223879441</v>
      </c>
    </row>
    <row r="6" spans="1:37" x14ac:dyDescent="0.2">
      <c r="A6" s="36">
        <f t="shared" si="1"/>
        <v>75000000</v>
      </c>
      <c r="B6" s="36">
        <f t="shared" si="0"/>
        <v>100</v>
      </c>
      <c r="C6" s="40">
        <f t="array" ref="C6">COUNT(IF(YEAR(date.2006)*(gross.world.2006&gt;=$A6)*(gross.world.2006&lt;$A7),gross.world.2006))</f>
        <v>19</v>
      </c>
      <c r="D6" s="40">
        <f t="array" ref="D6">COUNT(IF(YEAR(date.2007)*(gross.world.2007&gt;=$A6)*(gross.world.2007&lt;$A7),gross.world.2007))</f>
        <v>23</v>
      </c>
      <c r="E6" s="40">
        <f t="array" ref="E6">COUNT(IF(YEAR(date.2008)*(gross.world.2008&gt;=$A6)*(gross.world.2008&lt;$A7),gross.world.2008))</f>
        <v>12</v>
      </c>
      <c r="F6" s="40">
        <f t="array" ref="F6">COUNT(IF(YEAR(date.2009)*(gross.world.2009&gt;=$A6)*(gross.world.2009&lt;$A7),gross.world.2009))</f>
        <v>17</v>
      </c>
      <c r="G6" s="40">
        <f t="array" ref="G6">COUNT(IF(YEAR(date.2010)*(gross.world.2010&gt;=A6)*(gross.world.2010&lt;A7),gross.world.2010))</f>
        <v>17</v>
      </c>
      <c r="H6" s="39">
        <f>SUM(C6:C$45)</f>
        <v>77</v>
      </c>
      <c r="I6" s="39">
        <f>SUM(D6:D$45)</f>
        <v>74</v>
      </c>
      <c r="J6" s="39">
        <f>SUM(E6:E$45)</f>
        <v>73</v>
      </c>
      <c r="K6" s="39">
        <f>SUM(F6:F$45)</f>
        <v>74</v>
      </c>
      <c r="L6" s="39">
        <f>SUM(G6:G$45)</f>
        <v>76</v>
      </c>
      <c r="M6" s="36">
        <f t="array" ref="M6">SUM(IF(YEAR(date.2006)*(gross.world.2006&gt;=$A6)*(gross.world.2006&lt;$A7),gross.world.2006))</f>
        <v>1638440065</v>
      </c>
      <c r="N6" s="36">
        <f t="array" ref="N6">SUM(IF(YEAR(date.2007)*(gross.world.2007&gt;=$A6)*(gross.world.2007&lt;$A7),gross.world.2007))</f>
        <v>1946508057</v>
      </c>
      <c r="O6" s="36">
        <f t="array" ref="O6">SUM(IF(YEAR(date.2008)*(gross.world.2008&gt;=$A6)*(gross.world.2008&lt;$A7),gross.world.2008))</f>
        <v>1007258398</v>
      </c>
      <c r="P6" s="36">
        <f t="array" ref="P6">SUM(IF(YEAR(date.2009)*(gross.world.2009&gt;=$A6)*(gross.world.2009&lt;$A7),gross.world.2009))</f>
        <v>1501248350</v>
      </c>
      <c r="Q6" s="36">
        <f t="array" ref="Q6">SUM(IF(YEAR(date.2010)*(gross.world.2010&gt;=$A6)*(gross.world.2010&lt;$A7),gross.world.2010))</f>
        <v>1462469570</v>
      </c>
      <c r="R6" s="53">
        <f>SUM(C6:C$48)/C$49</f>
        <v>0.24919093851132687</v>
      </c>
      <c r="S6" s="53">
        <f>SUM(D6:D$48)/D$49</f>
        <v>0.16554809843400448</v>
      </c>
      <c r="T6" s="53">
        <f>SUM(E6:E$48)/E$49</f>
        <v>0.15766738660907129</v>
      </c>
      <c r="U6" s="53">
        <f>SUM(F6:F$48)/F$49</f>
        <v>0.23885350318471338</v>
      </c>
      <c r="V6" s="53">
        <f>SUM(G6:G$48)/G$49</f>
        <v>0.36893203883495146</v>
      </c>
      <c r="W6" s="53">
        <f>SUM(M6:M$48)/M$49</f>
        <v>0.77831750768825958</v>
      </c>
      <c r="X6" s="53">
        <f>SUM(N6:N$48)/N$49</f>
        <v>0.76336916547690692</v>
      </c>
      <c r="Y6" s="53">
        <f>SUM(O6:O$48)/O$49</f>
        <v>0.76088771139421618</v>
      </c>
      <c r="Z6" s="53">
        <f>SUM(P6:P$48)/P$49</f>
        <v>0.82467800766911614</v>
      </c>
      <c r="AA6" s="53">
        <f>SUM(Q6:Q$48)/Q$49</f>
        <v>0.87239984128549308</v>
      </c>
    </row>
    <row r="7" spans="1:37" x14ac:dyDescent="0.2">
      <c r="A7" s="36">
        <f t="shared" si="1"/>
        <v>100000000</v>
      </c>
      <c r="B7" s="36">
        <f t="shared" si="0"/>
        <v>125</v>
      </c>
      <c r="C7" s="40">
        <f t="array" ref="C7">COUNT(IF(YEAR(date.2006)*(gross.world.2006&gt;=$A7)*(gross.world.2006&lt;$A8),gross.world.2006))</f>
        <v>15</v>
      </c>
      <c r="D7" s="40">
        <f t="array" ref="D7">COUNT(IF(YEAR(date.2007)*(gross.world.2007&gt;=$A7)*(gross.world.2007&lt;$A8),gross.world.2007))</f>
        <v>3</v>
      </c>
      <c r="E7" s="40">
        <f t="array" ref="E7">COUNT(IF(YEAR(date.2008)*(gross.world.2008&gt;=$A7)*(gross.world.2008&lt;$A8),gross.world.2008))</f>
        <v>10</v>
      </c>
      <c r="F7" s="40">
        <f t="array" ref="F7">COUNT(IF(YEAR(date.2009)*(gross.world.2009&gt;=$A7)*(gross.world.2009&lt;$A8),gross.world.2009))</f>
        <v>13</v>
      </c>
      <c r="G7" s="40">
        <f t="array" ref="G7">COUNT(IF(YEAR(date.2010)*(gross.world.2010&gt;=A7)*(gross.world.2010&lt;A8),gross.world.2010))</f>
        <v>6</v>
      </c>
      <c r="H7" s="39">
        <f>SUM(C7:C$45)</f>
        <v>58</v>
      </c>
      <c r="I7" s="39">
        <f>SUM(D7:D$45)</f>
        <v>51</v>
      </c>
      <c r="J7" s="39">
        <f>SUM(E7:E$45)</f>
        <v>61</v>
      </c>
      <c r="K7" s="39">
        <f>SUM(F7:F$45)</f>
        <v>57</v>
      </c>
      <c r="L7" s="39">
        <f>SUM(G7:G$45)</f>
        <v>59</v>
      </c>
      <c r="M7" s="36">
        <f t="array" ref="M7">SUM(IF(YEAR(date.2006)*(gross.world.2006&gt;=$A7)*(gross.world.2006&lt;$A8),gross.world.2006))</f>
        <v>1701937449</v>
      </c>
      <c r="N7" s="36">
        <f t="array" ref="N7">SUM(IF(YEAR(date.2007)*(gross.world.2007&gt;=$A7)*(gross.world.2007&lt;$A8),gross.world.2007))</f>
        <v>338772037</v>
      </c>
      <c r="O7" s="36">
        <f t="array" ref="O7">SUM(IF(YEAR(date.2008)*(gross.world.2008&gt;=$A7)*(gross.world.2008&lt;$A8),gross.world.2008))</f>
        <v>1087037719</v>
      </c>
      <c r="P7" s="36">
        <f t="array" ref="P7">SUM(IF(YEAR(date.2009)*(gross.world.2009&gt;=$A7)*(gross.world.2009&lt;$A8),gross.world.2009))</f>
        <v>1475320499</v>
      </c>
      <c r="Q7" s="36">
        <f t="array" ref="Q7">SUM(IF(YEAR(date.2010)*(gross.world.2010&gt;=$A7)*(gross.world.2010&lt;$A8),gross.world.2010))</f>
        <v>675247940</v>
      </c>
      <c r="R7" s="53">
        <f>SUM(C7:C$48)/C$49</f>
        <v>0.18770226537216828</v>
      </c>
      <c r="S7" s="53">
        <f>SUM(D7:D$48)/D$49</f>
        <v>0.11409395973154363</v>
      </c>
      <c r="T7" s="53">
        <f>SUM(E7:E$48)/E$49</f>
        <v>0.13174946004319654</v>
      </c>
      <c r="U7" s="53">
        <f>SUM(F7:F$48)/F$49</f>
        <v>0.18471337579617833</v>
      </c>
      <c r="V7" s="53">
        <f>SUM(G7:G$48)/G$49</f>
        <v>0.28640776699029125</v>
      </c>
      <c r="W7" s="53">
        <f>SUM(M7:M$48)/M$49</f>
        <v>0.69477829614682018</v>
      </c>
      <c r="X7" s="53">
        <f>SUM(N7:N$48)/N$49</f>
        <v>0.67723554966511657</v>
      </c>
      <c r="Y7" s="53">
        <f>SUM(O7:O$48)/O$49</f>
        <v>0.71760968337612996</v>
      </c>
      <c r="Z7" s="53">
        <f>SUM(P7:P$48)/P$49</f>
        <v>0.76508849102782039</v>
      </c>
      <c r="AA7" s="53">
        <f>SUM(Q7:Q$48)/Q$49</f>
        <v>0.80631529096279742</v>
      </c>
    </row>
    <row r="8" spans="1:37" x14ac:dyDescent="0.2">
      <c r="A8" s="36">
        <f t="shared" si="1"/>
        <v>125000000</v>
      </c>
      <c r="B8" s="36">
        <f t="shared" si="0"/>
        <v>150</v>
      </c>
      <c r="C8" s="40">
        <f t="array" ref="C8">COUNT(IF(YEAR(date.2006)*(gross.world.2006&gt;=$A8)*(gross.world.2006&lt;$A9),gross.world.2006))</f>
        <v>9</v>
      </c>
      <c r="D8" s="40">
        <f t="array" ref="D8">COUNT(IF(YEAR(date.2007)*(gross.world.2007&gt;=$A8)*(gross.world.2007&lt;$A9),gross.world.2007))</f>
        <v>13</v>
      </c>
      <c r="E8" s="40">
        <f t="array" ref="E8">COUNT(IF(YEAR(date.2008)*(gross.world.2008&gt;=$A8)*(gross.world.2008&lt;$A9),gross.world.2008))</f>
        <v>4</v>
      </c>
      <c r="F8" s="40">
        <f t="array" ref="F8">COUNT(IF(YEAR(date.2009)*(gross.world.2009&gt;=$A8)*(gross.world.2009&lt;$A9),gross.world.2009))</f>
        <v>5</v>
      </c>
      <c r="G8" s="40">
        <f t="array" ref="G8">COUNT(IF(YEAR(date.2010)*(gross.world.2010&gt;=A8)*(gross.world.2010&lt;A9),gross.world.2010))</f>
        <v>9</v>
      </c>
      <c r="H8" s="39">
        <f>SUM(C8:C$45)</f>
        <v>43</v>
      </c>
      <c r="I8" s="39">
        <f>SUM(D8:D$45)</f>
        <v>48</v>
      </c>
      <c r="J8" s="39">
        <f>SUM(E8:E$45)</f>
        <v>51</v>
      </c>
      <c r="K8" s="39">
        <f>SUM(F8:F$45)</f>
        <v>44</v>
      </c>
      <c r="L8" s="39">
        <f>SUM(G8:G$45)</f>
        <v>53</v>
      </c>
      <c r="M8" s="36">
        <f t="array" ref="M8">SUM(IF(YEAR(date.2006)*(gross.world.2006&gt;=$A8)*(gross.world.2006&lt;$A9),gross.world.2006))</f>
        <v>1221695464</v>
      </c>
      <c r="N8" s="36">
        <f t="array" ref="N8">SUM(IF(YEAR(date.2007)*(gross.world.2007&gt;=$A8)*(gross.world.2007&lt;$A9),gross.world.2007))</f>
        <v>1798737007</v>
      </c>
      <c r="O8" s="36">
        <f t="array" ref="O8">SUM(IF(YEAR(date.2008)*(gross.world.2008&gt;=$A8)*(gross.world.2008&lt;$A9),gross.world.2008))</f>
        <v>535741145</v>
      </c>
      <c r="P8" s="36">
        <f t="array" ref="P8">SUM(IF(YEAR(date.2009)*(gross.world.2009&gt;=$A8)*(gross.world.2009&lt;$A9),gross.world.2009))</f>
        <v>682216960</v>
      </c>
      <c r="Q8" s="36">
        <f t="array" ref="Q8">SUM(IF(YEAR(date.2010)*(gross.world.2010&gt;=$A8)*(gross.world.2010&lt;$A9),gross.world.2010))</f>
        <v>1236860046</v>
      </c>
      <c r="R8" s="53">
        <f>SUM(C8:C$48)/C$49</f>
        <v>0.13915857605177995</v>
      </c>
      <c r="S8" s="53">
        <f>SUM(D8:D$48)/D$49</f>
        <v>0.10738255033557047</v>
      </c>
      <c r="T8" s="53">
        <f>SUM(E8:E$48)/E$49</f>
        <v>0.1101511879049676</v>
      </c>
      <c r="U8" s="53">
        <f>SUM(F8:F$48)/F$49</f>
        <v>0.14331210191082802</v>
      </c>
      <c r="V8" s="53">
        <f>SUM(G8:G$48)/G$49</f>
        <v>0.25728155339805825</v>
      </c>
      <c r="W8" s="53">
        <f>SUM(M8:M$48)/M$49</f>
        <v>0.60800154085409075</v>
      </c>
      <c r="X8" s="53">
        <f>SUM(N8:N$48)/N$49</f>
        <v>0.66224477663553671</v>
      </c>
      <c r="Y8" s="53">
        <f>SUM(O8:O$48)/O$49</f>
        <v>0.67090384408701587</v>
      </c>
      <c r="Z8" s="53">
        <f>SUM(P8:P$48)/P$49</f>
        <v>0.70652813662249814</v>
      </c>
      <c r="AA8" s="53">
        <f>SUM(Q8:Q$48)/Q$49</f>
        <v>0.77580289098771515</v>
      </c>
    </row>
    <row r="9" spans="1:37" x14ac:dyDescent="0.2">
      <c r="A9" s="36">
        <f t="shared" si="1"/>
        <v>150000000</v>
      </c>
      <c r="B9" s="36">
        <f t="shared" si="0"/>
        <v>175</v>
      </c>
      <c r="C9" s="40">
        <f t="array" ref="C9">COUNT(IF(YEAR(date.2006)*(gross.world.2006&gt;=$A9)*(gross.world.2006&lt;$A10),gross.world.2006))</f>
        <v>9</v>
      </c>
      <c r="D9" s="40">
        <f t="array" ref="D9">COUNT(IF(YEAR(date.2007)*(gross.world.2007&gt;=$A9)*(gross.world.2007&lt;$A10),gross.world.2007))</f>
        <v>7</v>
      </c>
      <c r="E9" s="40">
        <f t="array" ref="E9">COUNT(IF(YEAR(date.2008)*(gross.world.2008&gt;=$A9)*(gross.world.2008&lt;$A10),gross.world.2008))</f>
        <v>11</v>
      </c>
      <c r="F9" s="40">
        <f t="array" ref="F9">COUNT(IF(YEAR(date.2009)*(gross.world.2009&gt;=$A9)*(gross.world.2009&lt;$A10),gross.world.2009))</f>
        <v>3</v>
      </c>
      <c r="G9" s="40">
        <f t="array" ref="G9">COUNT(IF(YEAR(date.2010)*(gross.world.2010&gt;=A9)*(gross.world.2010&lt;A10),gross.world.2010))</f>
        <v>9</v>
      </c>
      <c r="H9" s="39">
        <f>SUM(C9:C$45)</f>
        <v>34</v>
      </c>
      <c r="I9" s="39">
        <f>SUM(D9:D$45)</f>
        <v>35</v>
      </c>
      <c r="J9" s="39">
        <f>SUM(E9:E$45)</f>
        <v>47</v>
      </c>
      <c r="K9" s="39">
        <f>SUM(F9:F$45)</f>
        <v>39</v>
      </c>
      <c r="L9" s="39">
        <f>SUM(G9:G$45)</f>
        <v>44</v>
      </c>
      <c r="M9" s="36">
        <f t="array" ref="M9">SUM(IF(YEAR(date.2006)*(gross.world.2006&gt;=$A9)*(gross.world.2006&lt;$A10),gross.world.2006))</f>
        <v>1452772280</v>
      </c>
      <c r="N9" s="36">
        <f t="array" ref="N9">SUM(IF(YEAR(date.2007)*(gross.world.2007&gt;=$A9)*(gross.world.2007&lt;$A10),gross.world.2007))</f>
        <v>1161132437</v>
      </c>
      <c r="O9" s="36">
        <f t="array" ref="O9">SUM(IF(YEAR(date.2008)*(gross.world.2008&gt;=$A9)*(gross.world.2008&lt;$A10),gross.world.2008))</f>
        <v>1769885364</v>
      </c>
      <c r="P9" s="36">
        <f t="array" ref="P9">SUM(IF(YEAR(date.2009)*(gross.world.2009&gt;=$A9)*(gross.world.2009&lt;$A10),gross.world.2009))</f>
        <v>489322526</v>
      </c>
      <c r="Q9" s="36">
        <f t="array" ref="Q9">SUM(IF(YEAR(date.2010)*(gross.world.2010&gt;=$A9)*(gross.world.2010&lt;$A10),gross.world.2010))</f>
        <v>1476119014</v>
      </c>
      <c r="R9" s="53">
        <f>SUM(C9:C$48)/C$49</f>
        <v>0.11003236245954692</v>
      </c>
      <c r="S9" s="53">
        <f>SUM(D9:D$48)/D$49</f>
        <v>7.829977628635347E-2</v>
      </c>
      <c r="T9" s="53">
        <f>SUM(E9:E$48)/E$49</f>
        <v>0.10151187904967603</v>
      </c>
      <c r="U9" s="53">
        <f>SUM(F9:F$48)/F$49</f>
        <v>0.12738853503184713</v>
      </c>
      <c r="V9" s="53">
        <f>SUM(G9:G$48)/G$49</f>
        <v>0.21359223300970873</v>
      </c>
      <c r="W9" s="53">
        <f>SUM(M9:M$48)/M$49</f>
        <v>0.54571090356653573</v>
      </c>
      <c r="X9" s="53">
        <f>SUM(N9:N$48)/N$49</f>
        <v>0.58265007793895296</v>
      </c>
      <c r="Y9" s="53">
        <f>SUM(O9:O$48)/O$49</f>
        <v>0.6478851029876227</v>
      </c>
      <c r="Z9" s="53">
        <f>SUM(P9:P$48)/P$49</f>
        <v>0.67944868711576312</v>
      </c>
      <c r="AA9" s="53">
        <f>SUM(Q9:Q$48)/Q$49</f>
        <v>0.71991294864038913</v>
      </c>
    </row>
    <row r="10" spans="1:37" x14ac:dyDescent="0.2">
      <c r="A10" s="36">
        <f t="shared" si="1"/>
        <v>175000000</v>
      </c>
      <c r="B10" s="36">
        <f t="shared" si="0"/>
        <v>200</v>
      </c>
      <c r="C10" s="40">
        <f t="array" ref="C10">COUNT(IF(YEAR(date.2006)*(gross.world.2006&gt;=$A10)*(gross.world.2006&lt;$A11),gross.world.2006))</f>
        <v>6</v>
      </c>
      <c r="D10" s="40">
        <f t="array" ref="D10">COUNT(IF(YEAR(date.2007)*(gross.world.2007&gt;=$A10)*(gross.world.2007&lt;$A11),gross.world.2007))</f>
        <v>2</v>
      </c>
      <c r="E10" s="40">
        <f t="array" ref="E10">COUNT(IF(YEAR(date.2008)*(gross.world.2008&gt;=$A10)*(gross.world.2008&lt;$A11),gross.world.2008))</f>
        <v>3</v>
      </c>
      <c r="F10" s="40">
        <f t="array" ref="F10">COUNT(IF(YEAR(date.2009)*(gross.world.2009&gt;=$A10)*(gross.world.2009&lt;$A11),gross.world.2009))</f>
        <v>7</v>
      </c>
      <c r="G10" s="40">
        <f t="array" ref="G10">COUNT(IF(YEAR(date.2010)*(gross.world.2010&gt;=A10)*(gross.world.2010&lt;A11),gross.world.2010))</f>
        <v>2</v>
      </c>
      <c r="H10" s="39">
        <f>SUM(C10:C$45)</f>
        <v>25</v>
      </c>
      <c r="I10" s="39">
        <f>SUM(D10:D$45)</f>
        <v>28</v>
      </c>
      <c r="J10" s="39">
        <f>SUM(E10:E$45)</f>
        <v>36</v>
      </c>
      <c r="K10" s="39">
        <f>SUM(F10:F$45)</f>
        <v>36</v>
      </c>
      <c r="L10" s="39">
        <f>SUM(G10:G$45)</f>
        <v>35</v>
      </c>
      <c r="M10" s="36">
        <f t="array" ref="M10">SUM(IF(YEAR(date.2006)*(gross.world.2006&gt;=$A10)*(gross.world.2006&lt;$A11),gross.world.2006))</f>
        <v>1093625665</v>
      </c>
      <c r="N10" s="36">
        <f t="array" ref="N10">SUM(IF(YEAR(date.2007)*(gross.world.2007&gt;=$A10)*(gross.world.2007&lt;$A11),gross.world.2007))</f>
        <v>380703677</v>
      </c>
      <c r="O10" s="36">
        <f t="array" ref="O10">SUM(IF(YEAR(date.2008)*(gross.world.2008&gt;=$A10)*(gross.world.2008&lt;$A11),gross.world.2008))</f>
        <v>564916521</v>
      </c>
      <c r="P10" s="36">
        <f t="array" ref="P10">SUM(IF(YEAR(date.2009)*(gross.world.2009&gt;=$A10)*(gross.world.2009&lt;$A11),gross.world.2009))</f>
        <v>1313637975</v>
      </c>
      <c r="Q10" s="36">
        <f t="array" ref="Q10">SUM(IF(YEAR(date.2010)*(gross.world.2010&gt;=$A10)*(gross.world.2010&lt;$A11),gross.world.2010))</f>
        <v>358821443</v>
      </c>
      <c r="R10" s="53">
        <f>SUM(C10:C$48)/C$49</f>
        <v>8.0906148867313912E-2</v>
      </c>
      <c r="S10" s="53">
        <f>SUM(D10:D$48)/D$49</f>
        <v>6.2639821029082776E-2</v>
      </c>
      <c r="T10" s="53">
        <f>SUM(E10:E$48)/E$49</f>
        <v>7.775377969762419E-2</v>
      </c>
      <c r="U10" s="53">
        <f>SUM(F10:F$48)/F$49</f>
        <v>0.1178343949044586</v>
      </c>
      <c r="V10" s="53">
        <f>SUM(G10:G$48)/G$49</f>
        <v>0.16990291262135923</v>
      </c>
      <c r="W10" s="53">
        <f>SUM(M10:M$48)/M$49</f>
        <v>0.47163834307866748</v>
      </c>
      <c r="X10" s="53">
        <f>SUM(N10:N$48)/N$49</f>
        <v>0.53126958923483358</v>
      </c>
      <c r="Y10" s="53">
        <f>SUM(O10:O$48)/O$49</f>
        <v>0.57183992081382995</v>
      </c>
      <c r="Z10" s="53">
        <f>SUM(P10:P$48)/P$49</f>
        <v>0.66002585623902121</v>
      </c>
      <c r="AA10" s="53">
        <f>SUM(Q10:Q$48)/Q$49</f>
        <v>0.65321162147159828</v>
      </c>
    </row>
    <row r="11" spans="1:37" x14ac:dyDescent="0.2">
      <c r="A11" s="36">
        <f t="shared" si="1"/>
        <v>200000000</v>
      </c>
      <c r="B11" s="36">
        <f t="shared" si="0"/>
        <v>225</v>
      </c>
      <c r="C11" s="40">
        <f t="array" ref="C11">COUNT(IF(YEAR(date.2006)*(gross.world.2006&gt;=$A11)*(gross.world.2006&lt;$A12),gross.world.2006))</f>
        <v>2</v>
      </c>
      <c r="D11" s="40">
        <f t="array" ref="D11">COUNT(IF(YEAR(date.2007)*(gross.world.2007&gt;=$A11)*(gross.world.2007&lt;$A12),gross.world.2007))</f>
        <v>2</v>
      </c>
      <c r="E11" s="40">
        <f t="array" ref="E11">COUNT(IF(YEAR(date.2008)*(gross.world.2008&gt;=$A11)*(gross.world.2008&lt;$A12),gross.world.2008))</f>
        <v>5</v>
      </c>
      <c r="F11" s="40">
        <f t="array" ref="F11">COUNT(IF(YEAR(date.2009)*(gross.world.2009&gt;=$A11)*(gross.world.2009&lt;$A12),gross.world.2009))</f>
        <v>4</v>
      </c>
      <c r="G11" s="40">
        <f t="array" ref="G11">COUNT(IF(YEAR(date.2010)*(gross.world.2010&gt;=A11)*(gross.world.2010&lt;A12),gross.world.2010))</f>
        <v>6</v>
      </c>
      <c r="H11" s="39">
        <f>SUM(C11:C$45)</f>
        <v>19</v>
      </c>
      <c r="I11" s="39">
        <f>SUM(D11:D$45)</f>
        <v>26</v>
      </c>
      <c r="J11" s="39">
        <f>SUM(E11:E$45)</f>
        <v>33</v>
      </c>
      <c r="K11" s="39">
        <f>SUM(F11:F$45)</f>
        <v>29</v>
      </c>
      <c r="L11" s="39">
        <f>SUM(G11:G$45)</f>
        <v>33</v>
      </c>
      <c r="M11" s="36">
        <f t="array" ref="M11">SUM(IF(YEAR(date.2006)*(gross.world.2006&gt;=$A11)*(gross.world.2006&lt;$A12),gross.world.2006))</f>
        <v>408134527</v>
      </c>
      <c r="N11" s="36">
        <f t="array" ref="N11">SUM(IF(YEAR(date.2007)*(gross.world.2007&gt;=$A11)*(gross.world.2007&lt;$A12),gross.world.2007))</f>
        <v>421817200</v>
      </c>
      <c r="O11" s="36">
        <f t="array" ref="O11">SUM(IF(YEAR(date.2008)*(gross.world.2008&gt;=$A11)*(gross.world.2008&lt;$A12),gross.world.2008))</f>
        <v>1069136509</v>
      </c>
      <c r="P11" s="36">
        <f t="array" ref="P11">SUM(IF(YEAR(date.2009)*(gross.world.2009&gt;=$A11)*(gross.world.2009&lt;$A12),gross.world.2009))</f>
        <v>853306568</v>
      </c>
      <c r="Q11" s="36">
        <f t="array" ref="Q11">SUM(IF(YEAR(date.2010)*(gross.world.2010&gt;=$A11)*(gross.world.2010&lt;$A12),gross.world.2010))</f>
        <v>1269717479</v>
      </c>
      <c r="R11" s="53">
        <f>SUM(C11:C$48)/C$49</f>
        <v>6.1488673139158574E-2</v>
      </c>
      <c r="S11" s="53">
        <f>SUM(D11:D$48)/D$49</f>
        <v>5.8165548098434001E-2</v>
      </c>
      <c r="T11" s="53">
        <f>SUM(E11:E$48)/E$49</f>
        <v>7.1274298056155511E-2</v>
      </c>
      <c r="U11" s="53">
        <f>SUM(F11:F$48)/F$49</f>
        <v>9.5541401273885357E-2</v>
      </c>
      <c r="V11" s="53">
        <f>SUM(G11:G$48)/G$49</f>
        <v>0.16019417475728157</v>
      </c>
      <c r="W11" s="53">
        <f>SUM(M11:M$48)/M$49</f>
        <v>0.41587760594387191</v>
      </c>
      <c r="X11" s="53">
        <f>SUM(N11:N$48)/N$49</f>
        <v>0.51442332747140029</v>
      </c>
      <c r="Y11" s="53">
        <f>SUM(O11:O$48)/O$49</f>
        <v>0.54756762576792883</v>
      </c>
      <c r="Z11" s="53">
        <f>SUM(P11:P$48)/P$49</f>
        <v>0.60788321643402121</v>
      </c>
      <c r="AA11" s="53">
        <f>SUM(Q11:Q$48)/Q$49</f>
        <v>0.63699757217223696</v>
      </c>
    </row>
    <row r="12" spans="1:37" x14ac:dyDescent="0.2">
      <c r="A12" s="36">
        <f t="shared" si="1"/>
        <v>225000000</v>
      </c>
      <c r="B12" s="36">
        <f t="shared" si="0"/>
        <v>250</v>
      </c>
      <c r="C12" s="40">
        <f t="array" ref="C12">COUNT(IF(YEAR(date.2006)*(gross.world.2006&gt;=$A12)*(gross.world.2006&lt;$A13),gross.world.2006))</f>
        <v>2</v>
      </c>
      <c r="D12" s="40">
        <f t="array" ref="D12">COUNT(IF(YEAR(date.2007)*(gross.world.2007&gt;=$A12)*(gross.world.2007&lt;$A13),gross.world.2007))</f>
        <v>3</v>
      </c>
      <c r="E12" s="40">
        <f t="array" ref="E12">COUNT(IF(YEAR(date.2008)*(gross.world.2008&gt;=$A12)*(gross.world.2008&lt;$A13),gross.world.2008))</f>
        <v>6</v>
      </c>
      <c r="F12" s="40">
        <f t="array" ref="F12">COUNT(IF(YEAR(date.2009)*(gross.world.2009&gt;=$A12)*(gross.world.2009&lt;$A13),gross.world.2009))</f>
        <v>1</v>
      </c>
      <c r="G12" s="40">
        <f t="array" ref="G12">COUNT(IF(YEAR(date.2010)*(gross.world.2010&gt;=A12)*(gross.world.2010&lt;A13),gross.world.2010))</f>
        <v>1</v>
      </c>
      <c r="H12" s="39">
        <f>SUM(C12:C$45)</f>
        <v>17</v>
      </c>
      <c r="I12" s="39">
        <f>SUM(D12:D$45)</f>
        <v>24</v>
      </c>
      <c r="J12" s="39">
        <f>SUM(E12:E$45)</f>
        <v>28</v>
      </c>
      <c r="K12" s="39">
        <f>SUM(F12:F$45)</f>
        <v>25</v>
      </c>
      <c r="L12" s="39">
        <f>SUM(G12:G$45)</f>
        <v>27</v>
      </c>
      <c r="M12" s="36">
        <f t="array" ref="M12">SUM(IF(YEAR(date.2006)*(gross.world.2006&gt;=$A12)*(gross.world.2006&lt;$A13),gross.world.2006))</f>
        <v>487043748</v>
      </c>
      <c r="N12" s="36">
        <f t="array" ref="N12">SUM(IF(YEAR(date.2007)*(gross.world.2007&gt;=$A12)*(gross.world.2007&lt;$A13),gross.world.2007))</f>
        <v>697766611</v>
      </c>
      <c r="O12" s="36">
        <f t="array" ref="O12">SUM(IF(YEAR(date.2008)*(gross.world.2008&gt;=$A12)*(gross.world.2008&lt;$A13),gross.world.2008))</f>
        <v>1417612933</v>
      </c>
      <c r="P12" s="36">
        <f t="array" ref="P12">SUM(IF(YEAR(date.2009)*(gross.world.2009&gt;=$A12)*(gross.world.2009&lt;$A13),gross.world.2009))</f>
        <v>225461461</v>
      </c>
      <c r="Q12" s="36">
        <f t="array" ref="Q12">SUM(IF(YEAR(date.2010)*(gross.world.2010&gt;=$A12)*(gross.world.2010&lt;$A13),gross.world.2010))</f>
        <v>226467130</v>
      </c>
      <c r="R12" s="53">
        <f>SUM(C12:C$48)/C$49</f>
        <v>5.5016181229773461E-2</v>
      </c>
      <c r="S12" s="53">
        <f>SUM(D12:D$48)/D$49</f>
        <v>5.3691275167785234E-2</v>
      </c>
      <c r="T12" s="53">
        <f>SUM(E12:E$48)/E$49</f>
        <v>6.0475161987041039E-2</v>
      </c>
      <c r="U12" s="53">
        <f>SUM(F12:F$48)/F$49</f>
        <v>8.2802547770700632E-2</v>
      </c>
      <c r="V12" s="53">
        <f>SUM(G12:G$48)/G$49</f>
        <v>0.13106796116504854</v>
      </c>
      <c r="W12" s="53">
        <f>SUM(M12:M$48)/M$49</f>
        <v>0.39506803389009143</v>
      </c>
      <c r="X12" s="53">
        <f>SUM(N12:N$48)/N$49</f>
        <v>0.49575777891795547</v>
      </c>
      <c r="Y12" s="53">
        <f>SUM(O12:O$48)/O$49</f>
        <v>0.50163093277680137</v>
      </c>
      <c r="Z12" s="53">
        <f>SUM(P12:P$48)/P$49</f>
        <v>0.57401265402243684</v>
      </c>
      <c r="AA12" s="53">
        <f>SUM(Q12:Q$48)/Q$49</f>
        <v>0.57962290239597503</v>
      </c>
    </row>
    <row r="13" spans="1:37" x14ac:dyDescent="0.2">
      <c r="A13" s="36">
        <f t="shared" si="1"/>
        <v>250000000</v>
      </c>
      <c r="B13" s="36">
        <f t="shared" si="0"/>
        <v>275</v>
      </c>
      <c r="C13" s="40">
        <f t="array" ref="C13">COUNT(IF(YEAR(date.2006)*(gross.world.2006&gt;=$A13)*(gross.world.2006&lt;$A14),gross.world.2006))</f>
        <v>1</v>
      </c>
      <c r="D13" s="40">
        <f t="array" ref="D13">COUNT(IF(YEAR(date.2007)*(gross.world.2007&gt;=$A13)*(gross.world.2007&lt;$A14),gross.world.2007))</f>
        <v>3</v>
      </c>
      <c r="E13" s="40">
        <f t="array" ref="E13">COUNT(IF(YEAR(date.2008)*(gross.world.2008&gt;=$A13)*(gross.world.2008&lt;$A14),gross.world.2008))</f>
        <v>4</v>
      </c>
      <c r="F13" s="40">
        <f t="array" ref="F13">COUNT(IF(YEAR(date.2009)*(gross.world.2009&gt;=$A13)*(gross.world.2009&lt;$A14),gross.world.2009))</f>
        <v>2</v>
      </c>
      <c r="G13" s="40">
        <f t="array" ref="G13">COUNT(IF(YEAR(date.2010)*(gross.world.2010&gt;=A13)*(gross.world.2010&lt;A14),gross.world.2010))</f>
        <v>3</v>
      </c>
      <c r="H13" s="39">
        <f>SUM(C13:C$45)</f>
        <v>15</v>
      </c>
      <c r="I13" s="39">
        <f>SUM(D13:D$45)</f>
        <v>21</v>
      </c>
      <c r="J13" s="39">
        <f>SUM(E13:E$45)</f>
        <v>22</v>
      </c>
      <c r="K13" s="39">
        <f>SUM(F13:F$45)</f>
        <v>24</v>
      </c>
      <c r="L13" s="39">
        <f>SUM(G13:G$45)</f>
        <v>26</v>
      </c>
      <c r="M13" s="36">
        <f t="array" ref="M13">SUM(IF(YEAR(date.2006)*(gross.world.2006&gt;=$A13)*(gross.world.2006&lt;$A14),gross.world.2006))</f>
        <v>261572744</v>
      </c>
      <c r="N13" s="36">
        <f t="array" ref="N13">SUM(IF(YEAR(date.2007)*(gross.world.2007&gt;=$A13)*(gross.world.2007&lt;$A14),gross.world.2007))</f>
        <v>771737377</v>
      </c>
      <c r="O13" s="36">
        <f t="array" ref="O13">SUM(IF(YEAR(date.2008)*(gross.world.2008&gt;=$A13)*(gross.world.2008&lt;$A14),gross.world.2008))</f>
        <v>1045816638</v>
      </c>
      <c r="P13" s="36">
        <f t="array" ref="P13">SUM(IF(YEAR(date.2009)*(gross.world.2009&gt;=$A13)*(gross.world.2009&lt;$A14),gross.world.2009))</f>
        <v>515558398</v>
      </c>
      <c r="Q13" s="36">
        <f t="array" ref="Q13">SUM(IF(YEAR(date.2010)*(gross.world.2010&gt;=$A13)*(gross.world.2010&lt;$A14),gross.world.2010))</f>
        <v>777484189</v>
      </c>
      <c r="R13" s="53">
        <f>SUM(C13:C$48)/C$49</f>
        <v>4.8543689320388349E-2</v>
      </c>
      <c r="S13" s="53">
        <f>SUM(D13:D$48)/D$49</f>
        <v>4.6979865771812082E-2</v>
      </c>
      <c r="T13" s="53">
        <f>SUM(E13:E$48)/E$49</f>
        <v>4.7516198704103674E-2</v>
      </c>
      <c r="U13" s="53">
        <f>SUM(F13:F$48)/F$49</f>
        <v>7.9617834394904455E-2</v>
      </c>
      <c r="V13" s="53">
        <f>SUM(G13:G$48)/G$49</f>
        <v>0.12621359223300971</v>
      </c>
      <c r="W13" s="53">
        <f>SUM(M13:M$48)/M$49</f>
        <v>0.37023511411276189</v>
      </c>
      <c r="X13" s="53">
        <f>SUM(N13:N$48)/N$49</f>
        <v>0.4648813790068253</v>
      </c>
      <c r="Y13" s="53">
        <f>SUM(O13:O$48)/O$49</f>
        <v>0.44072154512116696</v>
      </c>
      <c r="Z13" s="53">
        <f>SUM(P13:P$48)/P$49</f>
        <v>0.56506334228315647</v>
      </c>
      <c r="AA13" s="53">
        <f>SUM(Q13:Q$48)/Q$49</f>
        <v>0.56938954181472112</v>
      </c>
    </row>
    <row r="14" spans="1:37" x14ac:dyDescent="0.2">
      <c r="A14" s="36">
        <f t="shared" si="1"/>
        <v>275000000</v>
      </c>
      <c r="B14" s="36">
        <f t="shared" si="0"/>
        <v>300</v>
      </c>
      <c r="C14" s="40">
        <f t="array" ref="C14">COUNT(IF(YEAR(date.2006)*(gross.world.2006&gt;=$A14)*(gross.world.2006&lt;$A15),gross.world.2006))</f>
        <v>1</v>
      </c>
      <c r="D14" s="40">
        <f t="array" ref="D14">COUNT(IF(YEAR(date.2007)*(gross.world.2007&gt;=$A14)*(gross.world.2007&lt;$A15),gross.world.2007))</f>
        <v>2</v>
      </c>
      <c r="E14" s="40">
        <f t="array" ref="E14">COUNT(IF(YEAR(date.2008)*(gross.world.2008&gt;=$A14)*(gross.world.2008&lt;$A15),gross.world.2008))</f>
        <v>1</v>
      </c>
      <c r="F14" s="40">
        <f t="array" ref="F14">COUNT(IF(YEAR(date.2009)*(gross.world.2009&gt;=$A14)*(gross.world.2009&lt;$A15),gross.world.2009))</f>
        <v>1</v>
      </c>
      <c r="G14" s="40">
        <f t="array" ref="G14">COUNT(IF(YEAR(date.2010)*(gross.world.2010&gt;=A14)*(gross.world.2010&lt;A15),gross.world.2010))</f>
        <v>4</v>
      </c>
      <c r="H14" s="39">
        <f>SUM(C14:C$45)</f>
        <v>14</v>
      </c>
      <c r="I14" s="39">
        <f>SUM(D14:D$45)</f>
        <v>18</v>
      </c>
      <c r="J14" s="39">
        <f>SUM(E14:E$45)</f>
        <v>18</v>
      </c>
      <c r="K14" s="39">
        <f>SUM(F14:F$45)</f>
        <v>22</v>
      </c>
      <c r="L14" s="39">
        <f>SUM(G14:G$45)</f>
        <v>23</v>
      </c>
      <c r="M14" s="36">
        <f t="array" ref="M14">SUM(IF(YEAR(date.2006)*(gross.world.2006&gt;=$A14)*(gross.world.2006&lt;$A15),gross.world.2006))</f>
        <v>290539042</v>
      </c>
      <c r="N14" s="36">
        <f t="array" ref="N14">SUM(IF(YEAR(date.2007)*(gross.world.2007&gt;=$A14)*(gross.world.2007&lt;$A15),gross.world.2007))</f>
        <v>575809896</v>
      </c>
      <c r="O14" s="36">
        <f t="array" ref="O14">SUM(IF(YEAR(date.2008)*(gross.world.2008&gt;=$A14)*(gross.world.2008&lt;$A15),gross.world.2008))</f>
        <v>297133947</v>
      </c>
      <c r="P14" s="36">
        <f t="array" ref="P14">SUM(IF(YEAR(date.2009)*(gross.world.2009&gt;=$A14)*(gross.world.2009&lt;$A15),gross.world.2009))</f>
        <v>287389685</v>
      </c>
      <c r="Q14" s="36">
        <f t="array" ref="Q14">SUM(IF(YEAR(date.2010)*(gross.world.2010&gt;=$A14)*(gross.world.2010&lt;$A15),gross.world.2010))</f>
        <v>1181651785</v>
      </c>
      <c r="R14" s="53">
        <f>SUM(C14:C$48)/C$49</f>
        <v>4.5307443365695796E-2</v>
      </c>
      <c r="S14" s="53">
        <f>SUM(D14:D$48)/D$49</f>
        <v>4.0268456375838924E-2</v>
      </c>
      <c r="T14" s="53">
        <f>SUM(E14:E$48)/E$49</f>
        <v>3.8876889848812095E-2</v>
      </c>
      <c r="U14" s="53">
        <f>SUM(F14:F$48)/F$49</f>
        <v>7.32484076433121E-2</v>
      </c>
      <c r="V14" s="53">
        <f>SUM(G14:G$48)/G$49</f>
        <v>0.11165048543689321</v>
      </c>
      <c r="W14" s="53">
        <f>SUM(M14:M$48)/M$49</f>
        <v>0.35689829376682464</v>
      </c>
      <c r="X14" s="53">
        <f>SUM(N14:N$48)/N$49</f>
        <v>0.43073174859606522</v>
      </c>
      <c r="Y14" s="53">
        <f>SUM(O14:O$48)/O$49</f>
        <v>0.39578681749713907</v>
      </c>
      <c r="Z14" s="53">
        <f>SUM(P14:P$48)/P$49</f>
        <v>0.54459912279729938</v>
      </c>
      <c r="AA14" s="53">
        <f>SUM(Q14:Q$48)/Q$49</f>
        <v>0.53425739679985373</v>
      </c>
    </row>
    <row r="15" spans="1:37" x14ac:dyDescent="0.2">
      <c r="A15" s="36">
        <f t="shared" si="1"/>
        <v>300000000</v>
      </c>
      <c r="B15" s="36">
        <f t="shared" si="0"/>
        <v>325</v>
      </c>
      <c r="C15" s="40">
        <f t="array" ref="C15">COUNT(IF(YEAR(date.2006)*(gross.world.2006&gt;=$A15)*(gross.world.2006&lt;$A16),gross.world.2006))</f>
        <v>1</v>
      </c>
      <c r="D15" s="40">
        <f t="array" ref="D15">COUNT(IF(YEAR(date.2007)*(gross.world.2007&gt;=$A15)*(gross.world.2007&lt;$A16),gross.world.2007))</f>
        <v>1</v>
      </c>
      <c r="E15" s="40">
        <f t="array" ref="E15">COUNT(IF(YEAR(date.2008)*(gross.world.2008&gt;=$A15)*(gross.world.2008&lt;$A16),gross.world.2008))</f>
        <v>1</v>
      </c>
      <c r="F15" s="40">
        <f t="array" ref="F15">COUNT(IF(YEAR(date.2009)*(gross.world.2009&gt;=$A15)*(gross.world.2009&lt;$A16),gross.world.2009))</f>
        <v>5</v>
      </c>
      <c r="G15" s="40">
        <f t="array" ref="G15">COUNT(IF(YEAR(date.2010)*(gross.world.2010&gt;=A15)*(gross.world.2010&lt;A16),gross.world.2010))</f>
        <v>4</v>
      </c>
      <c r="H15" s="39">
        <f>SUM(C15:C$45)</f>
        <v>13</v>
      </c>
      <c r="I15" s="39">
        <f>SUM(D15:D$45)</f>
        <v>16</v>
      </c>
      <c r="J15" s="39">
        <f>SUM(E15:E$45)</f>
        <v>17</v>
      </c>
      <c r="K15" s="39">
        <f>SUM(F15:F$45)</f>
        <v>21</v>
      </c>
      <c r="L15" s="39">
        <f>SUM(G15:G$45)</f>
        <v>19</v>
      </c>
      <c r="M15" s="36">
        <f t="array" ref="M15">SUM(IF(YEAR(date.2006)*(gross.world.2006&gt;=$A15)*(gross.world.2006&lt;$A16),gross.world.2006))</f>
        <v>306086036</v>
      </c>
      <c r="N15" s="36">
        <f t="array" ref="N15">SUM(IF(YEAR(date.2007)*(gross.world.2007&gt;=$A15)*(gross.world.2007&lt;$A16),gross.world.2007))</f>
        <v>311744465</v>
      </c>
      <c r="O15" s="36">
        <f t="array" ref="O15">SUM(IF(YEAR(date.2008)*(gross.world.2008&gt;=$A15)*(gross.world.2008&lt;$A16),gross.world.2008))</f>
        <v>313953579</v>
      </c>
      <c r="P15" s="36">
        <f t="array" ref="P15">SUM(IF(YEAR(date.2009)*(gross.world.2009&gt;=$A15)*(gross.world.2009&lt;$A16),gross.world.2009))</f>
        <v>1572119705</v>
      </c>
      <c r="Q15" s="36">
        <f t="array" ref="Q15">SUM(IF(YEAR(date.2010)*(gross.world.2010&gt;=$A15)*(gross.world.2010&lt;$A16),gross.world.2010))</f>
        <v>1262763468</v>
      </c>
      <c r="R15" s="53">
        <f>SUM(C15:C$48)/C$49</f>
        <v>4.2071197411003236E-2</v>
      </c>
      <c r="S15" s="53">
        <f>SUM(D15:D$48)/D$49</f>
        <v>3.5794183445190156E-2</v>
      </c>
      <c r="T15" s="53">
        <f>SUM(E15:E$48)/E$49</f>
        <v>3.6717062634989202E-2</v>
      </c>
      <c r="U15" s="53">
        <f>SUM(F15:F$48)/F$49</f>
        <v>7.0063694267515922E-2</v>
      </c>
      <c r="V15" s="53">
        <f>SUM(G15:G$48)/G$49</f>
        <v>9.2233009708737865E-2</v>
      </c>
      <c r="W15" s="53">
        <f>SUM(M15:M$48)/M$49</f>
        <v>0.34208456758350825</v>
      </c>
      <c r="X15" s="53">
        <f>SUM(N15:N$48)/N$49</f>
        <v>0.40525197306452682</v>
      </c>
      <c r="Y15" s="53">
        <f>SUM(O15:O$48)/O$49</f>
        <v>0.38302011204308284</v>
      </c>
      <c r="Z15" s="53">
        <f>SUM(P15:P$48)/P$49</f>
        <v>0.53319167484450436</v>
      </c>
      <c r="AA15" s="53">
        <f>SUM(Q15:Q$48)/Q$49</f>
        <v>0.48086214779666547</v>
      </c>
    </row>
    <row r="16" spans="1:37" x14ac:dyDescent="0.2">
      <c r="A16" s="36">
        <f t="shared" si="1"/>
        <v>325000000</v>
      </c>
      <c r="B16" s="36">
        <f t="shared" si="0"/>
        <v>350</v>
      </c>
      <c r="C16" s="40">
        <f t="array" ref="C16">COUNT(IF(YEAR(date.2006)*(gross.world.2006&gt;=$A16)*(gross.world.2006&lt;$A17),gross.world.2006))</f>
        <v>2</v>
      </c>
      <c r="D16" s="40">
        <f t="array" ref="D16">COUNT(IF(YEAR(date.2007)*(gross.world.2007&gt;=$A16)*(gross.world.2007&lt;$A17),gross.world.2007))</f>
        <v>1</v>
      </c>
      <c r="E16" s="40">
        <f t="array" ref="E16">COUNT(IF(YEAR(date.2008)*(gross.world.2008&gt;=$A16)*(gross.world.2008&lt;$A17),gross.world.2008))</f>
        <v>2</v>
      </c>
      <c r="F16" s="40">
        <f t="array" ref="F16">COUNT(IF(YEAR(date.2009)*(gross.world.2009&gt;=$A16)*(gross.world.2009&lt;$A17),gross.world.2009))</f>
        <v>0</v>
      </c>
      <c r="G16" s="40">
        <f t="array" ref="G16">COUNT(IF(YEAR(date.2010)*(gross.world.2010&gt;=A16)*(gross.world.2010&lt;A17),gross.world.2010))</f>
        <v>1</v>
      </c>
      <c r="H16" s="39">
        <f>SUM(C16:C$45)</f>
        <v>12</v>
      </c>
      <c r="I16" s="39">
        <f>SUM(D16:D$45)</f>
        <v>15</v>
      </c>
      <c r="J16" s="39">
        <f>SUM(E16:E$45)</f>
        <v>16</v>
      </c>
      <c r="K16" s="39">
        <f>SUM(F16:F$45)</f>
        <v>16</v>
      </c>
      <c r="L16" s="39">
        <f>SUM(G16:G$45)</f>
        <v>15</v>
      </c>
      <c r="M16" s="36">
        <f t="array" ref="M16">SUM(IF(YEAR(date.2006)*(gross.world.2006&gt;=$A16)*(gross.world.2006&lt;$A17),gross.world.2006))</f>
        <v>662554075</v>
      </c>
      <c r="N16" s="36">
        <f t="array" ref="N16">SUM(IF(YEAR(date.2007)*(gross.world.2007&gt;=$A16)*(gross.world.2007&lt;$A17),gross.world.2007))</f>
        <v>340384141</v>
      </c>
      <c r="O16" s="36">
        <f t="array" ref="O16">SUM(IF(YEAR(date.2008)*(gross.world.2008&gt;=$A16)*(gross.world.2008&lt;$A17),gross.world.2008))</f>
        <v>670744094</v>
      </c>
      <c r="P16" s="36">
        <f t="array" ref="P16">SUM(IF(YEAR(date.2009)*(gross.world.2009&gt;=$A16)*(gross.world.2009&lt;$A17),gross.world.2009))</f>
        <v>0</v>
      </c>
      <c r="Q16" s="36">
        <f t="array" ref="Q16">SUM(IF(YEAR(date.2010)*(gross.world.2010&gt;=$A16)*(gross.world.2010&lt;$A17),gross.world.2010))</f>
        <v>335055643</v>
      </c>
      <c r="R16" s="53">
        <f>SUM(C16:C$48)/C$49</f>
        <v>3.8834951456310676E-2</v>
      </c>
      <c r="S16" s="53">
        <f>SUM(D16:D$48)/D$49</f>
        <v>3.3557046979865772E-2</v>
      </c>
      <c r="T16" s="53">
        <f>SUM(E16:E$48)/E$49</f>
        <v>3.4557235421166309E-2</v>
      </c>
      <c r="U16" s="53">
        <f>SUM(F16:F$48)/F$49</f>
        <v>5.4140127388535034E-2</v>
      </c>
      <c r="V16" s="53">
        <f>SUM(G16:G$48)/G$49</f>
        <v>7.281553398058252E-2</v>
      </c>
      <c r="W16" s="53">
        <f>SUM(M16:M$48)/M$49</f>
        <v>0.32647814617236881</v>
      </c>
      <c r="X16" s="53">
        <f>SUM(N16:N$48)/N$49</f>
        <v>0.3914571789031574</v>
      </c>
      <c r="Y16" s="53">
        <f>SUM(O16:O$48)/O$49</f>
        <v>0.36953073154715527</v>
      </c>
      <c r="Z16" s="53">
        <f>SUM(P16:P$48)/P$49</f>
        <v>0.47078903951557532</v>
      </c>
      <c r="AA16" s="53">
        <f>SUM(Q16:Q$48)/Q$49</f>
        <v>0.42380170862000099</v>
      </c>
    </row>
    <row r="17" spans="1:27" x14ac:dyDescent="0.2">
      <c r="A17" s="36">
        <f t="shared" si="1"/>
        <v>350000000</v>
      </c>
      <c r="B17" s="36">
        <f t="shared" si="0"/>
        <v>375</v>
      </c>
      <c r="C17" s="40">
        <f t="array" ref="C17">COUNT(IF(YEAR(date.2006)*(gross.world.2006&gt;=$A17)*(gross.world.2006&lt;$A18),gross.world.2006))</f>
        <v>0</v>
      </c>
      <c r="D17" s="40">
        <f t="array" ref="D17">COUNT(IF(YEAR(date.2007)*(gross.world.2007&gt;=$A17)*(gross.world.2007&lt;$A18),gross.world.2007))</f>
        <v>2</v>
      </c>
      <c r="E17" s="40">
        <f t="array" ref="E17">COUNT(IF(YEAR(date.2008)*(gross.world.2008&gt;=$A17)*(gross.world.2008&lt;$A18),gross.world.2008))</f>
        <v>1</v>
      </c>
      <c r="F17" s="40">
        <f t="array" ref="F17">COUNT(IF(YEAR(date.2009)*(gross.world.2009&gt;=$A17)*(gross.world.2009&lt;$A18),gross.world.2009))</f>
        <v>3</v>
      </c>
      <c r="G17" s="40">
        <f t="array" ref="G17">COUNT(IF(YEAR(date.2010)*(gross.world.2010&gt;=A17)*(gross.world.2010&lt;A18),gross.world.2010))</f>
        <v>2</v>
      </c>
      <c r="H17" s="39">
        <f>SUM(C17:C$45)</f>
        <v>10</v>
      </c>
      <c r="I17" s="39">
        <f>SUM(D17:D$45)</f>
        <v>14</v>
      </c>
      <c r="J17" s="39">
        <f>SUM(E17:E$45)</f>
        <v>14</v>
      </c>
      <c r="K17" s="39">
        <f>SUM(F17:F$45)</f>
        <v>16</v>
      </c>
      <c r="L17" s="39">
        <f>SUM(G17:G$45)</f>
        <v>14</v>
      </c>
      <c r="M17" s="36">
        <f t="array" ref="M17">SUM(IF(YEAR(date.2006)*(gross.world.2006&gt;=$A17)*(gross.world.2006&lt;$A18),gross.world.2006))</f>
        <v>0</v>
      </c>
      <c r="N17" s="36">
        <f t="array" ref="N17">SUM(IF(YEAR(date.2007)*(gross.world.2007&gt;=$A17)*(gross.world.2007&lt;$A18),gross.world.2007))</f>
        <v>732813508</v>
      </c>
      <c r="O17" s="36">
        <f t="array" ref="O17">SUM(IF(YEAR(date.2008)*(gross.world.2008&gt;=$A17)*(gross.world.2008&lt;$A18),gross.world.2008))</f>
        <v>365257315</v>
      </c>
      <c r="P17" s="36">
        <f t="array" ref="P17">SUM(IF(YEAR(date.2009)*(gross.world.2009&gt;=$A17)*(gross.world.2009&lt;$A18),gross.world.2009))</f>
        <v>1106616039</v>
      </c>
      <c r="Q17" s="36">
        <f t="array" ref="Q17">SUM(IF(YEAR(date.2010)*(gross.world.2010&gt;=$A17)*(gross.world.2010&lt;$A18),gross.world.2010))</f>
        <v>731549856</v>
      </c>
      <c r="R17" s="53">
        <f>SUM(C17:C$48)/C$49</f>
        <v>3.2362459546925564E-2</v>
      </c>
      <c r="S17" s="53">
        <f>SUM(D17:D$48)/D$49</f>
        <v>3.1319910514541388E-2</v>
      </c>
      <c r="T17" s="53">
        <f>SUM(E17:E$48)/E$49</f>
        <v>3.0237580993520519E-2</v>
      </c>
      <c r="U17" s="53">
        <f>SUM(F17:F$48)/F$49</f>
        <v>5.4140127388535034E-2</v>
      </c>
      <c r="V17" s="53">
        <f>SUM(G17:G$48)/G$49</f>
        <v>6.7961165048543687E-2</v>
      </c>
      <c r="W17" s="53">
        <f>SUM(M17:M$48)/M$49</f>
        <v>0.29269647407375121</v>
      </c>
      <c r="X17" s="53">
        <f>SUM(N17:N$48)/N$49</f>
        <v>0.37639506974625692</v>
      </c>
      <c r="Y17" s="53">
        <f>SUM(O17:O$48)/O$49</f>
        <v>0.34071143180169133</v>
      </c>
      <c r="Z17" s="53">
        <f>SUM(P17:P$48)/P$49</f>
        <v>0.47078903951557532</v>
      </c>
      <c r="AA17" s="53">
        <f>SUM(Q17:Q$48)/Q$49</f>
        <v>0.40866156351548666</v>
      </c>
    </row>
    <row r="18" spans="1:27" x14ac:dyDescent="0.2">
      <c r="A18" s="36">
        <f t="shared" si="1"/>
        <v>375000000</v>
      </c>
      <c r="B18" s="36">
        <f t="shared" si="0"/>
        <v>400</v>
      </c>
      <c r="C18" s="40">
        <f t="array" ref="C18">COUNT(IF(YEAR(date.2006)*(gross.world.2006&gt;=$A18)*(gross.world.2006&lt;$A19),gross.world.2006))</f>
        <v>3</v>
      </c>
      <c r="D18" s="40">
        <f t="array" ref="D18">COUNT(IF(YEAR(date.2007)*(gross.world.2007&gt;=$A18)*(gross.world.2007&lt;$A19),gross.world.2007))</f>
        <v>1</v>
      </c>
      <c r="E18" s="40">
        <f t="array" ref="E18">COUNT(IF(YEAR(date.2008)*(gross.world.2008&gt;=$A18)*(gross.world.2008&lt;$A19),gross.world.2008))</f>
        <v>2</v>
      </c>
      <c r="F18" s="40">
        <f t="array" ref="F18">COUNT(IF(YEAR(date.2009)*(gross.world.2009&gt;=$A18)*(gross.world.2009&lt;$A19),gross.world.2009))</f>
        <v>2</v>
      </c>
      <c r="G18" s="40">
        <f t="array" ref="G18">COUNT(IF(YEAR(date.2010)*(gross.world.2010&gt;=A18)*(gross.world.2010&lt;A19),gross.world.2010))</f>
        <v>1</v>
      </c>
      <c r="H18" s="39">
        <f>SUM(C18:C$45)</f>
        <v>10</v>
      </c>
      <c r="I18" s="39">
        <f>SUM(D18:D$45)</f>
        <v>12</v>
      </c>
      <c r="J18" s="39">
        <f>SUM(E18:E$45)</f>
        <v>13</v>
      </c>
      <c r="K18" s="39">
        <f>SUM(F18:F$45)</f>
        <v>13</v>
      </c>
      <c r="L18" s="39">
        <f>SUM(G18:G$45)</f>
        <v>12</v>
      </c>
      <c r="M18" s="36">
        <f t="array" ref="M18">SUM(IF(YEAR(date.2006)*(gross.world.2006&gt;=$A18)*(gross.world.2006&lt;$A19),gross.world.2006))</f>
        <v>1173621665</v>
      </c>
      <c r="N18" s="36">
        <f t="array" ref="N18">SUM(IF(YEAR(date.2007)*(gross.world.2007&gt;=$A18)*(gross.world.2007&lt;$A19),gross.world.2007))</f>
        <v>383531464</v>
      </c>
      <c r="O18" s="36">
        <f t="array" ref="O18">SUM(IF(YEAR(date.2008)*(gross.world.2008&gt;=$A18)*(gross.world.2008&lt;$A19),gross.world.2008))</f>
        <v>795836052</v>
      </c>
      <c r="P18" s="36">
        <f t="array" ref="P18">SUM(IF(YEAR(date.2009)*(gross.world.2009&gt;=$A18)*(gross.world.2009&lt;$A19),gross.world.2009))</f>
        <v>767367826</v>
      </c>
      <c r="Q18" s="36">
        <f t="array" ref="Q18">SUM(IF(YEAR(date.2010)*(gross.world.2010&gt;=$A18)*(gross.world.2010&lt;$A19),gross.world.2010))</f>
        <v>376628146</v>
      </c>
      <c r="R18" s="53">
        <f>SUM(C18:C$48)/C$49</f>
        <v>3.2362459546925564E-2</v>
      </c>
      <c r="S18" s="53">
        <f>SUM(D18:D$48)/D$49</f>
        <v>2.6845637583892617E-2</v>
      </c>
      <c r="T18" s="53">
        <f>SUM(E18:E$48)/E$49</f>
        <v>2.8077753779697623E-2</v>
      </c>
      <c r="U18" s="53">
        <f>SUM(F18:F$48)/F$49</f>
        <v>4.4585987261146494E-2</v>
      </c>
      <c r="V18" s="53">
        <f>SUM(G18:G$48)/G$49</f>
        <v>5.8252427184466021E-2</v>
      </c>
      <c r="W18" s="53">
        <f>SUM(M18:M$48)/M$49</f>
        <v>0.29269647407375121</v>
      </c>
      <c r="X18" s="53">
        <f>SUM(N18:N$48)/N$49</f>
        <v>0.34396783322248725</v>
      </c>
      <c r="Y18" s="53">
        <f>SUM(O18:O$48)/O$49</f>
        <v>0.3250177266474148</v>
      </c>
      <c r="Z18" s="53">
        <f>SUM(P18:P$48)/P$49</f>
        <v>0.42686378566166411</v>
      </c>
      <c r="AA18" s="53">
        <f>SUM(Q18:Q$48)/Q$49</f>
        <v>0.37560505125424848</v>
      </c>
    </row>
    <row r="19" spans="1:27" x14ac:dyDescent="0.2">
      <c r="A19" s="36">
        <f t="shared" si="1"/>
        <v>400000000</v>
      </c>
      <c r="B19" s="36">
        <f t="shared" si="0"/>
        <v>425</v>
      </c>
      <c r="C19" s="40">
        <f t="array" ref="C19">COUNT(IF(YEAR(date.2006)*(gross.world.2006&gt;=$A19)*(gross.world.2006&lt;$A20),gross.world.2006))</f>
        <v>0</v>
      </c>
      <c r="D19" s="40">
        <f t="array" ref="D19">COUNT(IF(YEAR(date.2007)*(gross.world.2007&gt;=$A19)*(gross.world.2007&lt;$A20),gross.world.2007))</f>
        <v>0</v>
      </c>
      <c r="E19" s="40">
        <f t="array" ref="E19">COUNT(IF(YEAR(date.2008)*(gross.world.2008&gt;=$A19)*(gross.world.2008&lt;$A20),gross.world.2008))</f>
        <v>2</v>
      </c>
      <c r="F19" s="40">
        <f t="array" ref="F19">COUNT(IF(YEAR(date.2009)*(gross.world.2009&gt;=$A19)*(gross.world.2009&lt;$A20),gross.world.2009))</f>
        <v>1</v>
      </c>
      <c r="G19" s="40">
        <f t="array" ref="G19">COUNT(IF(YEAR(date.2010)*(gross.world.2010&gt;=A19)*(gross.world.2010&lt;A20),gross.world.2010))</f>
        <v>0</v>
      </c>
      <c r="H19" s="39">
        <f>SUM(C19:C$45)</f>
        <v>7</v>
      </c>
      <c r="I19" s="39">
        <f>SUM(D19:D$45)</f>
        <v>11</v>
      </c>
      <c r="J19" s="39">
        <f>SUM(E19:E$45)</f>
        <v>11</v>
      </c>
      <c r="K19" s="39">
        <f>SUM(F19:F$45)</f>
        <v>11</v>
      </c>
      <c r="L19" s="39">
        <f>SUM(G19:G$45)</f>
        <v>11</v>
      </c>
      <c r="M19" s="36">
        <f t="array" ref="M19">SUM(IF(YEAR(date.2006)*(gross.world.2006&gt;=$A19)*(gross.world.2006&lt;$A20),gross.world.2006))</f>
        <v>0</v>
      </c>
      <c r="N19" s="36">
        <f t="array" ref="N19">SUM(IF(YEAR(date.2007)*(gross.world.2007&gt;=$A19)*(gross.world.2007&lt;$A20),gross.world.2007))</f>
        <v>0</v>
      </c>
      <c r="O19" s="36">
        <f t="array" ref="O19">SUM(IF(YEAR(date.2008)*(gross.world.2008&gt;=$A19)*(gross.world.2008&lt;$A20),gross.world.2008))</f>
        <v>830175010</v>
      </c>
      <c r="P19" s="36">
        <f t="array" ref="P19">SUM(IF(YEAR(date.2009)*(gross.world.2009&gt;=$A19)*(gross.world.2009&lt;$A20),gross.world.2009))</f>
        <v>413054631</v>
      </c>
      <c r="Q19" s="36">
        <f t="array" ref="Q19">SUM(IF(YEAR(date.2010)*(gross.world.2010&gt;=$A19)*(gross.world.2010&lt;$A20),gross.world.2010))</f>
        <v>0</v>
      </c>
      <c r="R19" s="53">
        <f>SUM(C19:C$48)/C$49</f>
        <v>2.2653721682847898E-2</v>
      </c>
      <c r="S19" s="53">
        <f>SUM(D19:D$48)/D$49</f>
        <v>2.4608501118568233E-2</v>
      </c>
      <c r="T19" s="53">
        <f>SUM(E19:E$48)/E$49</f>
        <v>2.3758099352051837E-2</v>
      </c>
      <c r="U19" s="53">
        <f>SUM(F19:F$48)/F$49</f>
        <v>3.8216560509554139E-2</v>
      </c>
      <c r="V19" s="53">
        <f>SUM(G19:G$48)/G$49</f>
        <v>5.3398058252427182E-2</v>
      </c>
      <c r="W19" s="53">
        <f>SUM(M19:M$48)/M$49</f>
        <v>0.23285697756946414</v>
      </c>
      <c r="X19" s="53">
        <f>SUM(N19:N$48)/N$49</f>
        <v>0.3269964409628407</v>
      </c>
      <c r="Y19" s="53">
        <f>SUM(O19:O$48)/O$49</f>
        <v>0.29082370550582182</v>
      </c>
      <c r="Z19" s="53">
        <f>SUM(P19:P$48)/P$49</f>
        <v>0.39640441640578988</v>
      </c>
      <c r="AA19" s="53">
        <f>SUM(Q19:Q$48)/Q$49</f>
        <v>0.35858637122299108</v>
      </c>
    </row>
    <row r="20" spans="1:27" x14ac:dyDescent="0.2">
      <c r="A20" s="36">
        <f t="shared" si="1"/>
        <v>425000000</v>
      </c>
      <c r="B20" s="36">
        <f t="shared" si="0"/>
        <v>450</v>
      </c>
      <c r="C20" s="40">
        <f t="array" ref="C20">COUNT(IF(YEAR(date.2006)*(gross.world.2006&gt;=$A20)*(gross.world.2006&lt;$A21),gross.world.2006))</f>
        <v>0</v>
      </c>
      <c r="D20" s="40">
        <f t="array" ref="D20">COUNT(IF(YEAR(date.2007)*(gross.world.2007&gt;=$A20)*(gross.world.2007&lt;$A21),gross.world.2007))</f>
        <v>1</v>
      </c>
      <c r="E20" s="40">
        <f t="array" ref="E20">COUNT(IF(YEAR(date.2008)*(gross.world.2008&gt;=$A20)*(gross.world.2008&lt;$A21),gross.world.2008))</f>
        <v>0</v>
      </c>
      <c r="F20" s="40">
        <f t="array" ref="F20">COUNT(IF(YEAR(date.2009)*(gross.world.2009&gt;=$A20)*(gross.world.2009&lt;$A21),gross.world.2009))</f>
        <v>1</v>
      </c>
      <c r="G20" s="40">
        <f t="array" ref="G20">COUNT(IF(YEAR(date.2010)*(gross.world.2010&gt;=A20)*(gross.world.2010&lt;A21),gross.world.2010))</f>
        <v>0</v>
      </c>
      <c r="H20" s="39">
        <f>SUM(C20:C$45)</f>
        <v>7</v>
      </c>
      <c r="I20" s="39">
        <f>SUM(D20:D$45)</f>
        <v>11</v>
      </c>
      <c r="J20" s="39">
        <f>SUM(E20:E$45)</f>
        <v>9</v>
      </c>
      <c r="K20" s="39">
        <f>SUM(F20:F$45)</f>
        <v>10</v>
      </c>
      <c r="L20" s="39">
        <f>SUM(G20:G$45)</f>
        <v>11</v>
      </c>
      <c r="M20" s="36">
        <f t="array" ref="M20">SUM(IF(YEAR(date.2006)*(gross.world.2006&gt;=$A20)*(gross.world.2006&lt;$A21),gross.world.2006))</f>
        <v>0</v>
      </c>
      <c r="N20" s="36">
        <f t="array" ref="N20">SUM(IF(YEAR(date.2007)*(gross.world.2007&gt;=$A20)*(gross.world.2007&lt;$A21),gross.world.2007))</f>
        <v>442161562</v>
      </c>
      <c r="O20" s="36">
        <f t="array" ref="O20">SUM(IF(YEAR(date.2008)*(gross.world.2008&gt;=$A20)*(gross.world.2008&lt;$A21),gross.world.2008))</f>
        <v>0</v>
      </c>
      <c r="P20" s="36">
        <f t="array" ref="P20">SUM(IF(YEAR(date.2009)*(gross.world.2009&gt;=$A20)*(gross.world.2009&lt;$A21),gross.world.2009))</f>
        <v>443483213</v>
      </c>
      <c r="Q20" s="36">
        <f t="array" ref="Q20">SUM(IF(YEAR(date.2010)*(gross.world.2010&gt;=$A20)*(gross.world.2010&lt;$A21),gross.world.2010))</f>
        <v>0</v>
      </c>
      <c r="R20" s="53">
        <f>SUM(C20:C$48)/C$49</f>
        <v>2.2653721682847898E-2</v>
      </c>
      <c r="S20" s="53">
        <f>SUM(D20:D$48)/D$49</f>
        <v>2.4608501118568233E-2</v>
      </c>
      <c r="T20" s="53">
        <f>SUM(E20:E$48)/E$49</f>
        <v>1.9438444924406047E-2</v>
      </c>
      <c r="U20" s="53">
        <f>SUM(F20:F$48)/F$49</f>
        <v>3.5031847133757961E-2</v>
      </c>
      <c r="V20" s="53">
        <f>SUM(G20:G$48)/G$49</f>
        <v>5.3398058252427182E-2</v>
      </c>
      <c r="W20" s="53">
        <f>SUM(M20:M$48)/M$49</f>
        <v>0.23285697756946414</v>
      </c>
      <c r="X20" s="53">
        <f>SUM(N20:N$48)/N$49</f>
        <v>0.3269964409628407</v>
      </c>
      <c r="Y20" s="53">
        <f>SUM(O20:O$48)/O$49</f>
        <v>0.25515427111437483</v>
      </c>
      <c r="Z20" s="53">
        <f>SUM(P20:P$48)/P$49</f>
        <v>0.38000891075361792</v>
      </c>
      <c r="AA20" s="53">
        <f>SUM(Q20:Q$48)/Q$49</f>
        <v>0.35858637122299108</v>
      </c>
    </row>
    <row r="21" spans="1:27" x14ac:dyDescent="0.2">
      <c r="A21" s="36">
        <f t="shared" si="1"/>
        <v>450000000</v>
      </c>
      <c r="B21" s="36">
        <f t="shared" si="0"/>
        <v>475</v>
      </c>
      <c r="C21" s="40">
        <f t="array" ref="C21">COUNT(IF(YEAR(date.2006)*(gross.world.2006&gt;=$A21)*(gross.world.2006&lt;$A22),gross.world.2006))</f>
        <v>2</v>
      </c>
      <c r="D21" s="40">
        <f t="array" ref="D21">COUNT(IF(YEAR(date.2007)*(gross.world.2007&gt;=$A21)*(gross.world.2007&lt;$A22),gross.world.2007))</f>
        <v>2</v>
      </c>
      <c r="E21" s="40">
        <f t="array" ref="E21">COUNT(IF(YEAR(date.2008)*(gross.world.2008&gt;=$A21)*(gross.world.2008&lt;$A22),gross.world.2008))</f>
        <v>0</v>
      </c>
      <c r="F21" s="40">
        <f t="array" ref="F21">COUNT(IF(YEAR(date.2009)*(gross.world.2009&gt;=$A21)*(gross.world.2009&lt;$A22),gross.world.2009))</f>
        <v>1</v>
      </c>
      <c r="G21" s="40">
        <f t="array" ref="G21">COUNT(IF(YEAR(date.2010)*(gross.world.2010&gt;=A21)*(gross.world.2010&lt;A22),gross.world.2010))</f>
        <v>0</v>
      </c>
      <c r="H21" s="39">
        <f>SUM(C21:C$45)</f>
        <v>7</v>
      </c>
      <c r="I21" s="39">
        <f>SUM(D21:D$45)</f>
        <v>10</v>
      </c>
      <c r="J21" s="39">
        <f>SUM(E21:E$45)</f>
        <v>9</v>
      </c>
      <c r="K21" s="39">
        <f>SUM(F21:F$45)</f>
        <v>9</v>
      </c>
      <c r="L21" s="39">
        <f>SUM(G21:G$45)</f>
        <v>11</v>
      </c>
      <c r="M21" s="36">
        <f t="array" ref="M21">SUM(IF(YEAR(date.2006)*(gross.world.2006&gt;=$A21)*(gross.world.2006&lt;$A22),gross.world.2006))</f>
        <v>921342436</v>
      </c>
      <c r="N21" s="36">
        <f t="array" ref="N21">SUM(IF(YEAR(date.2007)*(gross.world.2007&gt;=$A21)*(gross.world.2007&lt;$A22),gross.world.2007))</f>
        <v>913393985</v>
      </c>
      <c r="O21" s="36">
        <f t="array" ref="O21">SUM(IF(YEAR(date.2008)*(gross.world.2008&gt;=$A21)*(gross.world.2008&lt;$A22),gross.world.2008))</f>
        <v>0</v>
      </c>
      <c r="P21" s="36">
        <f t="array" ref="P21">SUM(IF(YEAR(date.2009)*(gross.world.2009&gt;=$A21)*(gross.world.2009&lt;$A22),gross.world.2009))</f>
        <v>469553471</v>
      </c>
      <c r="Q21" s="36">
        <f t="array" ref="Q21">SUM(IF(YEAR(date.2010)*(gross.world.2010&gt;=$A21)*(gross.world.2010&lt;$A22),gross.world.2010))</f>
        <v>0</v>
      </c>
      <c r="R21" s="53">
        <f>SUM(C21:C$48)/C$49</f>
        <v>2.2653721682847898E-2</v>
      </c>
      <c r="S21" s="53">
        <f>SUM(D21:D$48)/D$49</f>
        <v>2.2371364653243849E-2</v>
      </c>
      <c r="T21" s="53">
        <f>SUM(E21:E$48)/E$49</f>
        <v>1.9438444924406047E-2</v>
      </c>
      <c r="U21" s="53">
        <f>SUM(F21:F$48)/F$49</f>
        <v>3.1847133757961783E-2</v>
      </c>
      <c r="V21" s="53">
        <f>SUM(G21:G$48)/G$49</f>
        <v>5.3398058252427182E-2</v>
      </c>
      <c r="W21" s="53">
        <f>SUM(M21:M$48)/M$49</f>
        <v>0.23285697756946414</v>
      </c>
      <c r="X21" s="53">
        <f>SUM(N21:N$48)/N$49</f>
        <v>0.3074306477614776</v>
      </c>
      <c r="Y21" s="53">
        <f>SUM(O21:O$48)/O$49</f>
        <v>0.25515427111437483</v>
      </c>
      <c r="Z21" s="53">
        <f>SUM(P21:P$48)/P$49</f>
        <v>0.36240559395317062</v>
      </c>
      <c r="AA21" s="53">
        <f>SUM(Q21:Q$48)/Q$49</f>
        <v>0.35858637122299108</v>
      </c>
    </row>
    <row r="22" spans="1:27" x14ac:dyDescent="0.2">
      <c r="A22" s="36">
        <f t="shared" si="1"/>
        <v>475000000</v>
      </c>
      <c r="B22" s="36">
        <f t="shared" si="0"/>
        <v>500</v>
      </c>
      <c r="C22" s="40">
        <f t="array" ref="C22">COUNT(IF(YEAR(date.2006)*(gross.world.2006&gt;=$A22)*(gross.world.2006&lt;$A23),gross.world.2006))</f>
        <v>0</v>
      </c>
      <c r="D22" s="40">
        <f t="array" ref="D22">COUNT(IF(YEAR(date.2007)*(gross.world.2007&gt;=$A22)*(gross.world.2007&lt;$A23),gross.world.2007))</f>
        <v>0</v>
      </c>
      <c r="E22" s="40">
        <f t="array" ref="E22">COUNT(IF(YEAR(date.2008)*(gross.world.2008&gt;=$A22)*(gross.world.2008&lt;$A23),gross.world.2008))</f>
        <v>0</v>
      </c>
      <c r="F22" s="40">
        <f t="array" ref="F22">COUNT(IF(YEAR(date.2009)*(gross.world.2009&gt;=$A22)*(gross.world.2009&lt;$A23),gross.world.2009))</f>
        <v>1</v>
      </c>
      <c r="G22" s="40">
        <f t="array" ref="G22">COUNT(IF(YEAR(date.2010)*(gross.world.2010&gt;=A22)*(gross.world.2010&lt;A23),gross.world.2010))</f>
        <v>3</v>
      </c>
      <c r="H22" s="39">
        <f>SUM(C22:C$45)</f>
        <v>5</v>
      </c>
      <c r="I22" s="39">
        <f>SUM(D22:D$45)</f>
        <v>8</v>
      </c>
      <c r="J22" s="39">
        <f>SUM(E22:E$45)</f>
        <v>9</v>
      </c>
      <c r="K22" s="39">
        <f>SUM(F22:F$45)</f>
        <v>8</v>
      </c>
      <c r="L22" s="39">
        <f>SUM(G22:G$45)</f>
        <v>11</v>
      </c>
      <c r="M22" s="36">
        <f t="array" ref="M22">SUM(IF(YEAR(date.2006)*(gross.world.2006&gt;=$A22)*(gross.world.2006&lt;$A23),gross.world.2006))</f>
        <v>0</v>
      </c>
      <c r="N22" s="36">
        <f t="array" ref="N22">SUM(IF(YEAR(date.2007)*(gross.world.2007&gt;=$A22)*(gross.world.2007&lt;$A23),gross.world.2007))</f>
        <v>0</v>
      </c>
      <c r="O22" s="36">
        <f t="array" ref="O22">SUM(IF(YEAR(date.2008)*(gross.world.2008&gt;=$A22)*(gross.world.2008&lt;$A23),gross.world.2008))</f>
        <v>0</v>
      </c>
      <c r="P22" s="36">
        <f t="array" ref="P22">SUM(IF(YEAR(date.2009)*(gross.world.2009&gt;=$A22)*(gross.world.2009&lt;$A23),gross.world.2009))</f>
        <v>485975846</v>
      </c>
      <c r="Q22" s="36">
        <f t="array" ref="Q22">SUM(IF(YEAR(date.2010)*(gross.world.2010&gt;=$A22)*(gross.world.2010&lt;$A23),gross.world.2010))</f>
        <v>1465324495</v>
      </c>
      <c r="R22" s="53">
        <f>SUM(C22:C$48)/C$49</f>
        <v>1.6181229773462782E-2</v>
      </c>
      <c r="S22" s="53">
        <f>SUM(D22:D$48)/D$49</f>
        <v>1.7897091722595078E-2</v>
      </c>
      <c r="T22" s="53">
        <f>SUM(E22:E$48)/E$49</f>
        <v>1.9438444924406047E-2</v>
      </c>
      <c r="U22" s="53">
        <f>SUM(F22:F$48)/F$49</f>
        <v>2.8662420382165606E-2</v>
      </c>
      <c r="V22" s="53">
        <f>SUM(G22:G$48)/G$49</f>
        <v>5.3398058252427182E-2</v>
      </c>
      <c r="W22" s="53">
        <f>SUM(M22:M$48)/M$49</f>
        <v>0.18588045257640062</v>
      </c>
      <c r="X22" s="53">
        <f>SUM(N22:N$48)/N$49</f>
        <v>0.26701266628646425</v>
      </c>
      <c r="Y22" s="53">
        <f>SUM(O22:O$48)/O$49</f>
        <v>0.25515427111437483</v>
      </c>
      <c r="Z22" s="53">
        <f>SUM(P22:P$48)/P$49</f>
        <v>0.3437674623115054</v>
      </c>
      <c r="AA22" s="53">
        <f>SUM(Q22:Q$48)/Q$49</f>
        <v>0.35858637122299108</v>
      </c>
    </row>
    <row r="23" spans="1:27" x14ac:dyDescent="0.2">
      <c r="A23" s="36">
        <f t="shared" si="1"/>
        <v>500000000</v>
      </c>
      <c r="B23" s="36">
        <f t="shared" si="0"/>
        <v>525</v>
      </c>
      <c r="C23" s="40">
        <f t="array" ref="C23">COUNT(IF(YEAR(date.2006)*(gross.world.2006&gt;=$A23)*(gross.world.2006&lt;$A24),gross.world.2006))</f>
        <v>0</v>
      </c>
      <c r="D23" s="40">
        <f t="array" ref="D23">COUNT(IF(YEAR(date.2007)*(gross.world.2007&gt;=$A23)*(gross.world.2007&lt;$A24),gross.world.2007))</f>
        <v>0</v>
      </c>
      <c r="E23" s="40">
        <f t="array" ref="E23">COUNT(IF(YEAR(date.2008)*(gross.world.2008&gt;=$A23)*(gross.world.2008&lt;$A24),gross.world.2008))</f>
        <v>0</v>
      </c>
      <c r="F23" s="40">
        <f t="array" ref="F23">COUNT(IF(YEAR(date.2009)*(gross.world.2009&gt;=$A23)*(gross.world.2009&lt;$A24),gross.world.2009))</f>
        <v>1</v>
      </c>
      <c r="G23" s="40">
        <f t="array" ref="G23">COUNT(IF(YEAR(date.2010)*(gross.world.2010&gt;=A23)*(gross.world.2010&lt;A24),gross.world.2010))</f>
        <v>0</v>
      </c>
      <c r="H23" s="39">
        <f>SUM(C23:C$45)</f>
        <v>5</v>
      </c>
      <c r="I23" s="39">
        <f>SUM(D23:D$45)</f>
        <v>8</v>
      </c>
      <c r="J23" s="39">
        <f>SUM(E23:E$45)</f>
        <v>9</v>
      </c>
      <c r="K23" s="39">
        <f>SUM(F23:F$45)</f>
        <v>7</v>
      </c>
      <c r="L23" s="39">
        <f>SUM(G23:G$45)</f>
        <v>8</v>
      </c>
      <c r="M23" s="36">
        <f t="array" ref="M23">SUM(IF(YEAR(date.2006)*(gross.world.2006&gt;=$A23)*(gross.world.2006&lt;$A24),gross.world.2006))</f>
        <v>0</v>
      </c>
      <c r="N23" s="36">
        <f t="array" ref="N23">SUM(IF(YEAR(date.2007)*(gross.world.2007&gt;=$A23)*(gross.world.2007&lt;$A24),gross.world.2007))</f>
        <v>0</v>
      </c>
      <c r="O23" s="36">
        <f t="array" ref="O23">SUM(IF(YEAR(date.2008)*(gross.world.2008&gt;=$A23)*(gross.world.2008&lt;$A24),gross.world.2008))</f>
        <v>0</v>
      </c>
      <c r="P23" s="36">
        <f t="array" ref="P23">SUM(IF(YEAR(date.2009)*(gross.world.2009&gt;=$A23)*(gross.world.2009&lt;$A24),gross.world.2009))</f>
        <v>524028679</v>
      </c>
      <c r="Q23" s="36">
        <f t="array" ref="Q23">SUM(IF(YEAR(date.2010)*(gross.world.2010&gt;=$A23)*(gross.world.2010&lt;$A24),gross.world.2010))</f>
        <v>0</v>
      </c>
      <c r="R23" s="53">
        <f>SUM(C23:C$48)/C$49</f>
        <v>1.6181229773462782E-2</v>
      </c>
      <c r="S23" s="53">
        <f>SUM(D23:D$48)/D$49</f>
        <v>1.7897091722595078E-2</v>
      </c>
      <c r="T23" s="53">
        <f>SUM(E23:E$48)/E$49</f>
        <v>1.9438444924406047E-2</v>
      </c>
      <c r="U23" s="53">
        <f>SUM(F23:F$48)/F$49</f>
        <v>2.5477707006369428E-2</v>
      </c>
      <c r="V23" s="53">
        <f>SUM(G23:G$48)/G$49</f>
        <v>3.8834951456310676E-2</v>
      </c>
      <c r="W23" s="53">
        <f>SUM(M23:M$48)/M$49</f>
        <v>0.18588045257640062</v>
      </c>
      <c r="X23" s="53">
        <f>SUM(N23:N$48)/N$49</f>
        <v>0.26701266628646425</v>
      </c>
      <c r="Y23" s="53">
        <f>SUM(O23:O$48)/O$49</f>
        <v>0.25515427111437483</v>
      </c>
      <c r="Z23" s="53">
        <f>SUM(P23:P$48)/P$49</f>
        <v>0.32447747224258389</v>
      </c>
      <c r="AA23" s="53">
        <f>SUM(Q23:Q$48)/Q$49</f>
        <v>0.2923728155256195</v>
      </c>
    </row>
    <row r="24" spans="1:27" x14ac:dyDescent="0.2">
      <c r="A24" s="36">
        <f t="shared" si="1"/>
        <v>525000000</v>
      </c>
      <c r="B24" s="36">
        <f t="shared" si="0"/>
        <v>550</v>
      </c>
      <c r="C24" s="40">
        <f t="array" ref="C24">COUNT(IF(YEAR(date.2006)*(gross.world.2006&gt;=$A24)*(gross.world.2006&lt;$A25),gross.world.2006))</f>
        <v>0</v>
      </c>
      <c r="D24" s="40">
        <f t="array" ref="D24">COUNT(IF(YEAR(date.2007)*(gross.world.2007&gt;=$A24)*(gross.world.2007&lt;$A25),gross.world.2007))</f>
        <v>1</v>
      </c>
      <c r="E24" s="40">
        <f t="array" ref="E24">COUNT(IF(YEAR(date.2008)*(gross.world.2008&gt;=$A24)*(gross.world.2008&lt;$A25),gross.world.2008))</f>
        <v>1</v>
      </c>
      <c r="F24" s="40">
        <f t="array" ref="F24">COUNT(IF(YEAR(date.2009)*(gross.world.2009&gt;=$A24)*(gross.world.2009&lt;$A25),gross.world.2009))</f>
        <v>0</v>
      </c>
      <c r="G24" s="40">
        <f t="array" ref="G24">COUNT(IF(YEAR(date.2010)*(gross.world.2010&gt;=A24)*(gross.world.2010&lt;A25),gross.world.2010))</f>
        <v>1</v>
      </c>
      <c r="H24" s="39">
        <f>SUM(C24:C$45)</f>
        <v>5</v>
      </c>
      <c r="I24" s="39">
        <f>SUM(D24:D$45)</f>
        <v>8</v>
      </c>
      <c r="J24" s="39">
        <f>SUM(E24:E$45)</f>
        <v>9</v>
      </c>
      <c r="K24" s="39">
        <f>SUM(F24:F$45)</f>
        <v>6</v>
      </c>
      <c r="L24" s="39">
        <f>SUM(G24:G$45)</f>
        <v>8</v>
      </c>
      <c r="M24" s="36">
        <f t="array" ref="M24">SUM(IF(YEAR(date.2006)*(gross.world.2006&gt;=$A24)*(gross.world.2006&lt;$A25),gross.world.2006))</f>
        <v>0</v>
      </c>
      <c r="N24" s="36">
        <f t="array" ref="N24">SUM(IF(YEAR(date.2007)*(gross.world.2007&gt;=$A24)*(gross.world.2007&lt;$A25),gross.world.2007))</f>
        <v>527071022</v>
      </c>
      <c r="O24" s="36">
        <f t="array" ref="O24">SUM(IF(YEAR(date.2008)*(gross.world.2008&gt;=$A24)*(gross.world.2008&lt;$A25),gross.world.2008))</f>
        <v>532743103</v>
      </c>
      <c r="P24" s="36">
        <f t="array" ref="P24">SUM(IF(YEAR(date.2009)*(gross.world.2009&gt;=$A24)*(gross.world.2009&lt;$A25),gross.world.2009))</f>
        <v>0</v>
      </c>
      <c r="Q24" s="36">
        <f t="array" ref="Q24">SUM(IF(YEAR(date.2010)*(gross.world.2010&gt;=$A24)*(gross.world.2010&lt;$A25),gross.world.2010))</f>
        <v>543710524</v>
      </c>
      <c r="R24" s="53">
        <f>SUM(C24:C$48)/C$49</f>
        <v>1.6181229773462782E-2</v>
      </c>
      <c r="S24" s="53">
        <f>SUM(D24:D$48)/D$49</f>
        <v>1.7897091722595078E-2</v>
      </c>
      <c r="T24" s="53">
        <f>SUM(E24:E$48)/E$49</f>
        <v>1.9438444924406047E-2</v>
      </c>
      <c r="U24" s="53">
        <f>SUM(F24:F$48)/F$49</f>
        <v>2.2292993630573247E-2</v>
      </c>
      <c r="V24" s="53">
        <f>SUM(G24:G$48)/G$49</f>
        <v>3.8834951456310676E-2</v>
      </c>
      <c r="W24" s="53">
        <f>SUM(M24:M$48)/M$49</f>
        <v>0.18588045257640062</v>
      </c>
      <c r="X24" s="53">
        <f>SUM(N24:N$48)/N$49</f>
        <v>0.26701266628646425</v>
      </c>
      <c r="Y24" s="53">
        <f>SUM(O24:O$48)/O$49</f>
        <v>0.25515427111437483</v>
      </c>
      <c r="Z24" s="53">
        <f>SUM(P24:P$48)/P$49</f>
        <v>0.30367703926439826</v>
      </c>
      <c r="AA24" s="53">
        <f>SUM(Q24:Q$48)/Q$49</f>
        <v>0.2923728155256195</v>
      </c>
    </row>
    <row r="25" spans="1:27" x14ac:dyDescent="0.2">
      <c r="A25" s="36">
        <f t="shared" si="1"/>
        <v>550000000</v>
      </c>
      <c r="B25" s="36">
        <f t="shared" si="0"/>
        <v>575</v>
      </c>
      <c r="C25" s="40">
        <f t="array" ref="C25">COUNT(IF(YEAR(date.2006)*(gross.world.2006&gt;=$A25)*(gross.world.2006&lt;$A26),gross.world.2006))</f>
        <v>1</v>
      </c>
      <c r="D25" s="40">
        <f t="array" ref="D25">COUNT(IF(YEAR(date.2007)*(gross.world.2007&gt;=$A25)*(gross.world.2007&lt;$A26),gross.world.2007))</f>
        <v>0</v>
      </c>
      <c r="E25" s="40">
        <f t="array" ref="E25">COUNT(IF(YEAR(date.2008)*(gross.world.2008&gt;=$A25)*(gross.world.2008&lt;$A26),gross.world.2008))</f>
        <v>0</v>
      </c>
      <c r="F25" s="40">
        <f t="array" ref="F25">COUNT(IF(YEAR(date.2009)*(gross.world.2009&gt;=$A25)*(gross.world.2009&lt;$A26),gross.world.2009))</f>
        <v>0</v>
      </c>
      <c r="G25" s="40">
        <f t="array" ref="G25">COUNT(IF(YEAR(date.2010)*(gross.world.2010&gt;=A25)*(gross.world.2010&lt;A26),gross.world.2010))</f>
        <v>0</v>
      </c>
      <c r="H25" s="39">
        <f>SUM(C25:C$45)</f>
        <v>5</v>
      </c>
      <c r="I25" s="39">
        <f>SUM(D25:D$45)</f>
        <v>7</v>
      </c>
      <c r="J25" s="39">
        <f>SUM(E25:E$45)</f>
        <v>8</v>
      </c>
      <c r="K25" s="39">
        <f>SUM(F25:F$45)</f>
        <v>6</v>
      </c>
      <c r="L25" s="39">
        <f>SUM(G25:G$45)</f>
        <v>7</v>
      </c>
      <c r="M25" s="36">
        <f t="array" ref="M25">SUM(IF(YEAR(date.2006)*(gross.world.2006&gt;=$A25)*(gross.world.2006&lt;$A26),gross.world.2006))</f>
        <v>574480841</v>
      </c>
      <c r="N25" s="36">
        <f t="array" ref="N25">SUM(IF(YEAR(date.2007)*(gross.world.2007&gt;=$A25)*(gross.world.2007&lt;$A26),gross.world.2007))</f>
        <v>0</v>
      </c>
      <c r="O25" s="36">
        <f t="array" ref="O25">SUM(IF(YEAR(date.2008)*(gross.world.2008&gt;=$A25)*(gross.world.2008&lt;$A26),gross.world.2008))</f>
        <v>0</v>
      </c>
      <c r="P25" s="36">
        <f t="array" ref="P25">SUM(IF(YEAR(date.2009)*(gross.world.2009&gt;=$A25)*(gross.world.2009&lt;$A26),gross.world.2009))</f>
        <v>0</v>
      </c>
      <c r="Q25" s="36">
        <f t="array" ref="Q25">SUM(IF(YEAR(date.2010)*(gross.world.2010&gt;=$A25)*(gross.world.2010&lt;$A26),gross.world.2010))</f>
        <v>0</v>
      </c>
      <c r="R25" s="53">
        <f>SUM(C25:C$48)/C$49</f>
        <v>1.6181229773462782E-2</v>
      </c>
      <c r="S25" s="53">
        <f>SUM(D25:D$48)/D$49</f>
        <v>1.5659955257270694E-2</v>
      </c>
      <c r="T25" s="53">
        <f>SUM(E25:E$48)/E$49</f>
        <v>1.7278617710583154E-2</v>
      </c>
      <c r="U25" s="53">
        <f>SUM(F25:F$48)/F$49</f>
        <v>2.2292993630573247E-2</v>
      </c>
      <c r="V25" s="53">
        <f>SUM(G25:G$48)/G$49</f>
        <v>3.3980582524271843E-2</v>
      </c>
      <c r="W25" s="53">
        <f>SUM(M25:M$48)/M$49</f>
        <v>0.18588045257640062</v>
      </c>
      <c r="X25" s="53">
        <f>SUM(N25:N$48)/N$49</f>
        <v>0.243689601811486</v>
      </c>
      <c r="Y25" s="53">
        <f>SUM(O25:O$48)/O$49</f>
        <v>0.23226434437476562</v>
      </c>
      <c r="Z25" s="53">
        <f>SUM(P25:P$48)/P$49</f>
        <v>0.30367703926439826</v>
      </c>
      <c r="AA25" s="53">
        <f>SUM(Q25:Q$48)/Q$49</f>
        <v>0.26780419117861365</v>
      </c>
    </row>
    <row r="26" spans="1:27" x14ac:dyDescent="0.2">
      <c r="A26" s="36">
        <f t="shared" si="1"/>
        <v>575000000</v>
      </c>
      <c r="B26" s="36">
        <f t="shared" si="0"/>
        <v>600</v>
      </c>
      <c r="C26" s="40">
        <f t="array" ref="C26">COUNT(IF(YEAR(date.2006)*(gross.world.2006&gt;=$A26)*(gross.world.2006&lt;$A27),gross.world.2006))</f>
        <v>1</v>
      </c>
      <c r="D26" s="40">
        <f t="array" ref="D26">COUNT(IF(YEAR(date.2007)*(gross.world.2007&gt;=$A26)*(gross.world.2007&lt;$A27),gross.world.2007))</f>
        <v>1</v>
      </c>
      <c r="E26" s="40">
        <f t="array" ref="E26">COUNT(IF(YEAR(date.2008)*(gross.world.2008&gt;=$A26)*(gross.world.2008&lt;$A27),gross.world.2008))</f>
        <v>3</v>
      </c>
      <c r="F26" s="40">
        <f t="array" ref="F26">COUNT(IF(YEAR(date.2009)*(gross.world.2009&gt;=$A26)*(gross.world.2009&lt;$A27),gross.world.2009))</f>
        <v>0</v>
      </c>
      <c r="G26" s="40">
        <f t="array" ref="G26">COUNT(IF(YEAR(date.2010)*(gross.world.2010&gt;=A26)*(gross.world.2010&lt;A27),gross.world.2010))</f>
        <v>0</v>
      </c>
      <c r="H26" s="39">
        <f>SUM(C26:C$45)</f>
        <v>4</v>
      </c>
      <c r="I26" s="39">
        <f>SUM(D26:D$45)</f>
        <v>7</v>
      </c>
      <c r="J26" s="39">
        <f>SUM(E26:E$45)</f>
        <v>8</v>
      </c>
      <c r="K26" s="39">
        <f>SUM(F26:F$45)</f>
        <v>6</v>
      </c>
      <c r="L26" s="39">
        <f>SUM(G26:G$45)</f>
        <v>7</v>
      </c>
      <c r="M26" s="36">
        <f t="array" ref="M26">SUM(IF(YEAR(date.2006)*(gross.world.2006&gt;=$A26)*(gross.world.2006&lt;$A27),gross.world.2006))</f>
        <v>596365000</v>
      </c>
      <c r="N26" s="36">
        <f t="array" ref="N26">SUM(IF(YEAR(date.2007)*(gross.world.2007&gt;=$A26)*(gross.world.2007&lt;$A27),gross.world.2007))</f>
        <v>585055701</v>
      </c>
      <c r="O26" s="36">
        <f t="array" ref="O26">SUM(IF(YEAR(date.2008)*(gross.world.2008&gt;=$A26)*(gross.world.2008&lt;$A27),gross.world.2008))</f>
        <v>1758489397</v>
      </c>
      <c r="P26" s="36">
        <f t="array" ref="P26">SUM(IF(YEAR(date.2009)*(gross.world.2009&gt;=$A26)*(gross.world.2009&lt;$A27),gross.world.2009))</f>
        <v>0</v>
      </c>
      <c r="Q26" s="36">
        <f t="array" ref="Q26">SUM(IF(YEAR(date.2010)*(gross.world.2010&gt;=$A26)*(gross.world.2010&lt;$A27),gross.world.2010))</f>
        <v>0</v>
      </c>
      <c r="R26" s="53">
        <f>SUM(C26:C$48)/C$49</f>
        <v>1.2944983818770227E-2</v>
      </c>
      <c r="S26" s="53">
        <f>SUM(D26:D$48)/D$49</f>
        <v>1.5659955257270694E-2</v>
      </c>
      <c r="T26" s="53">
        <f>SUM(E26:E$48)/E$49</f>
        <v>1.7278617710583154E-2</v>
      </c>
      <c r="U26" s="53">
        <f>SUM(F26:F$48)/F$49</f>
        <v>2.2292993630573247E-2</v>
      </c>
      <c r="V26" s="53">
        <f>SUM(G26:G$48)/G$49</f>
        <v>3.3980582524271843E-2</v>
      </c>
      <c r="W26" s="53">
        <f>SUM(M26:M$48)/M$49</f>
        <v>0.15658937411220117</v>
      </c>
      <c r="X26" s="53">
        <f>SUM(N26:N$48)/N$49</f>
        <v>0.243689601811486</v>
      </c>
      <c r="Y26" s="53">
        <f>SUM(O26:O$48)/O$49</f>
        <v>0.23226434437476562</v>
      </c>
      <c r="Z26" s="53">
        <f>SUM(P26:P$48)/P$49</f>
        <v>0.30367703926439826</v>
      </c>
      <c r="AA26" s="53">
        <f>SUM(Q26:Q$48)/Q$49</f>
        <v>0.26780419117861365</v>
      </c>
    </row>
    <row r="27" spans="1:27" x14ac:dyDescent="0.2">
      <c r="A27" s="36">
        <f t="shared" si="1"/>
        <v>600000000</v>
      </c>
      <c r="B27" s="36">
        <f t="shared" si="0"/>
        <v>625</v>
      </c>
      <c r="C27" s="40">
        <f t="array" ref="C27">COUNT(IF(YEAR(date.2006)*(gross.world.2006&gt;=$A27)*(gross.world.2006&lt;$A28),gross.world.2006))</f>
        <v>0</v>
      </c>
      <c r="D27" s="40">
        <f t="array" ref="D27">COUNT(IF(YEAR(date.2007)*(gross.world.2007&gt;=$A27)*(gross.world.2007&lt;$A28),gross.world.2007))</f>
        <v>1</v>
      </c>
      <c r="E27" s="40">
        <f t="array" ref="E27">COUNT(IF(YEAR(date.2008)*(gross.world.2008&gt;=$A27)*(gross.world.2008&lt;$A28),gross.world.2008))</f>
        <v>2</v>
      </c>
      <c r="F27" s="40">
        <f t="array" ref="F27">COUNT(IF(YEAR(date.2009)*(gross.world.2009&gt;=$A27)*(gross.world.2009&lt;$A28),gross.world.2009))</f>
        <v>0</v>
      </c>
      <c r="G27" s="40">
        <f t="array" ref="G27">COUNT(IF(YEAR(date.2010)*(gross.world.2010&gt;=A27)*(gross.world.2010&lt;A28),gross.world.2010))</f>
        <v>1</v>
      </c>
      <c r="H27" s="39">
        <f>SUM(C27:C$45)</f>
        <v>3</v>
      </c>
      <c r="I27" s="39">
        <f>SUM(D27:D$45)</f>
        <v>6</v>
      </c>
      <c r="J27" s="39">
        <f>SUM(E27:E$45)</f>
        <v>5</v>
      </c>
      <c r="K27" s="39">
        <f>SUM(F27:F$45)</f>
        <v>6</v>
      </c>
      <c r="L27" s="39">
        <f>SUM(G27:G$45)</f>
        <v>7</v>
      </c>
      <c r="M27" s="36">
        <f t="array" ref="M27">SUM(IF(YEAR(date.2006)*(gross.world.2006&gt;=$A27)*(gross.world.2006&lt;$A28),gross.world.2006))</f>
        <v>0</v>
      </c>
      <c r="N27" s="36">
        <f t="array" ref="N27">SUM(IF(YEAR(date.2007)*(gross.world.2007&gt;=$A27)*(gross.world.2007&lt;$A28),gross.world.2007))</f>
        <v>624445654</v>
      </c>
      <c r="O27" s="36">
        <f t="array" ref="O27">SUM(IF(YEAR(date.2008)*(gross.world.2008&gt;=$A27)*(gross.world.2008&lt;$A28),gross.world.2008))</f>
        <v>1226846834</v>
      </c>
      <c r="P27" s="36">
        <f t="array" ref="P27">SUM(IF(YEAR(date.2009)*(gross.world.2009&gt;=$A27)*(gross.world.2009&lt;$A28),gross.world.2009))</f>
        <v>0</v>
      </c>
      <c r="Q27" s="36">
        <f t="array" ref="Q27">SUM(IF(YEAR(date.2010)*(gross.world.2010&gt;=$A27)*(gross.world.2010&lt;$A28),gross.world.2010))</f>
        <v>623433331</v>
      </c>
      <c r="R27" s="53">
        <f>SUM(C27:C$48)/C$49</f>
        <v>9.7087378640776691E-3</v>
      </c>
      <c r="S27" s="53">
        <f>SUM(D27:D$48)/D$49</f>
        <v>1.3422818791946308E-2</v>
      </c>
      <c r="T27" s="53">
        <f>SUM(E27:E$48)/E$49</f>
        <v>1.079913606911447E-2</v>
      </c>
      <c r="U27" s="53">
        <f>SUM(F27:F$48)/F$49</f>
        <v>2.2292993630573247E-2</v>
      </c>
      <c r="V27" s="53">
        <f>SUM(G27:G$48)/G$49</f>
        <v>3.3980582524271843E-2</v>
      </c>
      <c r="W27" s="53">
        <f>SUM(M27:M$48)/M$49</f>
        <v>0.12618248712551697</v>
      </c>
      <c r="X27" s="53">
        <f>SUM(N27:N$48)/N$49</f>
        <v>0.21780069639585758</v>
      </c>
      <c r="Y27" s="53">
        <f>SUM(O27:O$48)/O$49</f>
        <v>0.1567088031710541</v>
      </c>
      <c r="Z27" s="53">
        <f>SUM(P27:P$48)/P$49</f>
        <v>0.30367703926439826</v>
      </c>
      <c r="AA27" s="53">
        <f>SUM(Q27:Q$48)/Q$49</f>
        <v>0.26780419117861365</v>
      </c>
    </row>
    <row r="28" spans="1:27" x14ac:dyDescent="0.2">
      <c r="A28" s="36">
        <f t="shared" si="1"/>
        <v>625000000</v>
      </c>
      <c r="B28" s="36">
        <f t="shared" si="0"/>
        <v>650</v>
      </c>
      <c r="C28" s="40">
        <f t="array" ref="C28">COUNT(IF(YEAR(date.2006)*(gross.world.2006&gt;=$A28)*(gross.world.2006&lt;$A29),gross.world.2006))</f>
        <v>0</v>
      </c>
      <c r="D28" s="40">
        <f t="array" ref="D28">COUNT(IF(YEAR(date.2007)*(gross.world.2007&gt;=$A28)*(gross.world.2007&lt;$A29),gross.world.2007))</f>
        <v>0</v>
      </c>
      <c r="E28" s="40">
        <f t="array" ref="E28">COUNT(IF(YEAR(date.2008)*(gross.world.2008&gt;=$A28)*(gross.world.2008&lt;$A29),gross.world.2008))</f>
        <v>1</v>
      </c>
      <c r="F28" s="40">
        <f t="array" ref="F28">COUNT(IF(YEAR(date.2009)*(gross.world.2009&gt;=$A28)*(gross.world.2009&lt;$A29),gross.world.2009))</f>
        <v>0</v>
      </c>
      <c r="G28" s="40">
        <f t="array" ref="G28">COUNT(IF(YEAR(date.2010)*(gross.world.2010&gt;=A28)*(gross.world.2010&lt;A29),gross.world.2010))</f>
        <v>0</v>
      </c>
      <c r="H28" s="39">
        <f>SUM(C28:C$45)</f>
        <v>3</v>
      </c>
      <c r="I28" s="39">
        <f>SUM(D28:D$45)</f>
        <v>5</v>
      </c>
      <c r="J28" s="39">
        <f>SUM(E28:E$45)</f>
        <v>3</v>
      </c>
      <c r="K28" s="39">
        <f>SUM(F28:F$45)</f>
        <v>6</v>
      </c>
      <c r="L28" s="39">
        <f>SUM(G28:G$45)</f>
        <v>6</v>
      </c>
      <c r="M28" s="36">
        <f t="array" ref="M28">SUM(IF(YEAR(date.2006)*(gross.world.2006&gt;=$A28)*(gross.world.2006&lt;$A29),gross.world.2006))</f>
        <v>0</v>
      </c>
      <c r="N28" s="36">
        <f t="array" ref="N28">SUM(IF(YEAR(date.2007)*(gross.world.2007&gt;=$A28)*(gross.world.2007&lt;$A29),gross.world.2007))</f>
        <v>0</v>
      </c>
      <c r="O28" s="36">
        <f t="array" ref="O28">SUM(IF(YEAR(date.2008)*(gross.world.2008&gt;=$A28)*(gross.world.2008&lt;$A29),gross.world.2008))</f>
        <v>631910531</v>
      </c>
      <c r="P28" s="36">
        <f t="array" ref="P28">SUM(IF(YEAR(date.2009)*(gross.world.2009&gt;=$A28)*(gross.world.2009&lt;$A29),gross.world.2009))</f>
        <v>0</v>
      </c>
      <c r="Q28" s="36">
        <f t="array" ref="Q28">SUM(IF(YEAR(date.2010)*(gross.world.2010&gt;=$A28)*(gross.world.2010&lt;$A29),gross.world.2010))</f>
        <v>0</v>
      </c>
      <c r="R28" s="53">
        <f>SUM(C28:C$48)/C$49</f>
        <v>9.7087378640776691E-3</v>
      </c>
      <c r="S28" s="53">
        <f>SUM(D28:D$48)/D$49</f>
        <v>1.1185682326621925E-2</v>
      </c>
      <c r="T28" s="53">
        <f>SUM(E28:E$48)/E$49</f>
        <v>6.4794816414686825E-3</v>
      </c>
      <c r="U28" s="53">
        <f>SUM(F28:F$48)/F$49</f>
        <v>2.2292993630573247E-2</v>
      </c>
      <c r="V28" s="53">
        <f>SUM(G28:G$48)/G$49</f>
        <v>2.9126213592233011E-2</v>
      </c>
      <c r="W28" s="53">
        <f>SUM(M28:M$48)/M$49</f>
        <v>0.12618248712551697</v>
      </c>
      <c r="X28" s="53">
        <f>SUM(N28:N$48)/N$49</f>
        <v>0.19016877272436047</v>
      </c>
      <c r="Y28" s="53">
        <f>SUM(O28:O$48)/O$49</f>
        <v>0.10399590272646302</v>
      </c>
      <c r="Z28" s="53">
        <f>SUM(P28:P$48)/P$49</f>
        <v>0.30367703926439826</v>
      </c>
      <c r="AA28" s="53">
        <f>SUM(Q28:Q$48)/Q$49</f>
        <v>0.23963313573893341</v>
      </c>
    </row>
    <row r="29" spans="1:27" x14ac:dyDescent="0.2">
      <c r="A29" s="36">
        <f t="shared" si="1"/>
        <v>650000000</v>
      </c>
      <c r="B29" s="36">
        <f t="shared" si="0"/>
        <v>675</v>
      </c>
      <c r="C29" s="40">
        <f t="array" ref="C29">COUNT(IF(YEAR(date.2006)*(gross.world.2006&gt;=$A29)*(gross.world.2006&lt;$A30),gross.world.2006))</f>
        <v>1</v>
      </c>
      <c r="D29" s="40">
        <f t="array" ref="D29">COUNT(IF(YEAR(date.2007)*(gross.world.2007&gt;=$A29)*(gross.world.2007&lt;$A30),gross.world.2007))</f>
        <v>0</v>
      </c>
      <c r="E29" s="40">
        <f t="array" ref="E29">COUNT(IF(YEAR(date.2008)*(gross.world.2008&gt;=$A29)*(gross.world.2008&lt;$A30),gross.world.2008))</f>
        <v>0</v>
      </c>
      <c r="F29" s="40">
        <f t="array" ref="F29">COUNT(IF(YEAR(date.2009)*(gross.world.2009&gt;=$A29)*(gross.world.2009&lt;$A30),gross.world.2009))</f>
        <v>0</v>
      </c>
      <c r="G29" s="40">
        <f t="array" ref="G29">COUNT(IF(YEAR(date.2010)*(gross.world.2010&gt;=A29)*(gross.world.2010&lt;A30),gross.world.2010))</f>
        <v>0</v>
      </c>
      <c r="H29" s="39">
        <f>SUM(C29:C$45)</f>
        <v>3</v>
      </c>
      <c r="I29" s="39">
        <f>SUM(D29:D$45)</f>
        <v>5</v>
      </c>
      <c r="J29" s="39">
        <f>SUM(E29:E$45)</f>
        <v>2</v>
      </c>
      <c r="K29" s="39">
        <f>SUM(F29:F$45)</f>
        <v>6</v>
      </c>
      <c r="L29" s="39">
        <f>SUM(G29:G$45)</f>
        <v>6</v>
      </c>
      <c r="M29" s="36">
        <f t="array" ref="M29">SUM(IF(YEAR(date.2006)*(gross.world.2006&gt;=$A29)*(gross.world.2006&lt;$A30),gross.world.2006))</f>
        <v>651899282</v>
      </c>
      <c r="N29" s="36">
        <f t="array" ref="N29">SUM(IF(YEAR(date.2007)*(gross.world.2007&gt;=$A29)*(gross.world.2007&lt;$A30),gross.world.2007))</f>
        <v>0</v>
      </c>
      <c r="O29" s="36">
        <f t="array" ref="O29">SUM(IF(YEAR(date.2008)*(gross.world.2008&gt;=$A29)*(gross.world.2008&lt;$A30),gross.world.2008))</f>
        <v>0</v>
      </c>
      <c r="P29" s="36">
        <f t="array" ref="P29">SUM(IF(YEAR(date.2009)*(gross.world.2009&gt;=$A29)*(gross.world.2009&lt;$A30),gross.world.2009))</f>
        <v>0</v>
      </c>
      <c r="Q29" s="36">
        <f t="array" ref="Q29">SUM(IF(YEAR(date.2010)*(gross.world.2010&gt;=$A29)*(gross.world.2010&lt;$A30),gross.world.2010))</f>
        <v>0</v>
      </c>
      <c r="R29" s="53">
        <f>SUM(C29:C$48)/C$49</f>
        <v>9.7087378640776691E-3</v>
      </c>
      <c r="S29" s="53">
        <f>SUM(D29:D$48)/D$49</f>
        <v>1.1185682326621925E-2</v>
      </c>
      <c r="T29" s="53">
        <f>SUM(E29:E$48)/E$49</f>
        <v>4.3196544276457886E-3</v>
      </c>
      <c r="U29" s="53">
        <f>SUM(F29:F$48)/F$49</f>
        <v>2.2292993630573247E-2</v>
      </c>
      <c r="V29" s="53">
        <f>SUM(G29:G$48)/G$49</f>
        <v>2.9126213592233011E-2</v>
      </c>
      <c r="W29" s="53">
        <f>SUM(M29:M$48)/M$49</f>
        <v>0.12618248712551697</v>
      </c>
      <c r="X29" s="53">
        <f>SUM(N29:N$48)/N$49</f>
        <v>0.19016877272436047</v>
      </c>
      <c r="Y29" s="53">
        <f>SUM(O29:O$48)/O$49</f>
        <v>7.684513215970154E-2</v>
      </c>
      <c r="Z29" s="53">
        <f>SUM(P29:P$48)/P$49</f>
        <v>0.30367703926439826</v>
      </c>
      <c r="AA29" s="53">
        <f>SUM(Q29:Q$48)/Q$49</f>
        <v>0.23963313573893341</v>
      </c>
    </row>
    <row r="30" spans="1:27" x14ac:dyDescent="0.2">
      <c r="A30" s="36">
        <f t="shared" si="1"/>
        <v>675000000</v>
      </c>
      <c r="B30" s="36">
        <f t="shared" si="0"/>
        <v>700</v>
      </c>
      <c r="C30" s="40">
        <f t="array" ref="C30">COUNT(IF(YEAR(date.2006)*(gross.world.2006&gt;=$A30)*(gross.world.2006&lt;$A31),gross.world.2006))</f>
        <v>0</v>
      </c>
      <c r="D30" s="40">
        <f t="array" ref="D30">COUNT(IF(YEAR(date.2007)*(gross.world.2007&gt;=$A30)*(gross.world.2007&lt;$A31),gross.world.2007))</f>
        <v>0</v>
      </c>
      <c r="E30" s="40">
        <f t="array" ref="E30">COUNT(IF(YEAR(date.2008)*(gross.world.2008&gt;=$A30)*(gross.world.2008&lt;$A31),gross.world.2008))</f>
        <v>0</v>
      </c>
      <c r="F30" s="40">
        <f t="array" ref="F30">COUNT(IF(YEAR(date.2009)*(gross.world.2009&gt;=$A30)*(gross.world.2009&lt;$A31),gross.world.2009))</f>
        <v>0</v>
      </c>
      <c r="G30" s="40">
        <f t="array" ref="G30">COUNT(IF(YEAR(date.2010)*(gross.world.2010&gt;=A30)*(gross.world.2010&lt;A31),gross.world.2010))</f>
        <v>1</v>
      </c>
      <c r="H30" s="39">
        <f>SUM(C30:C$45)</f>
        <v>2</v>
      </c>
      <c r="I30" s="39">
        <f>SUM(D30:D$45)</f>
        <v>5</v>
      </c>
      <c r="J30" s="39">
        <f>SUM(E30:E$45)</f>
        <v>2</v>
      </c>
      <c r="K30" s="39">
        <f>SUM(F30:F$45)</f>
        <v>6</v>
      </c>
      <c r="L30" s="39">
        <f>SUM(G30:G$45)</f>
        <v>6</v>
      </c>
      <c r="M30" s="36">
        <f t="array" ref="M30">SUM(IF(YEAR(date.2006)*(gross.world.2006&gt;=$A30)*(gross.world.2006&lt;$A31),gross.world.2006))</f>
        <v>0</v>
      </c>
      <c r="N30" s="36">
        <f t="array" ref="N30">SUM(IF(YEAR(date.2007)*(gross.world.2007&gt;=$A30)*(gross.world.2007&lt;$A31),gross.world.2007))</f>
        <v>0</v>
      </c>
      <c r="O30" s="36">
        <f t="array" ref="O30">SUM(IF(YEAR(date.2008)*(gross.world.2008&gt;=$A30)*(gross.world.2008&lt;$A31),gross.world.2008))</f>
        <v>0</v>
      </c>
      <c r="P30" s="36">
        <f t="array" ref="P30">SUM(IF(YEAR(date.2009)*(gross.world.2009&gt;=$A30)*(gross.world.2009&lt;$A31),gross.world.2009))</f>
        <v>0</v>
      </c>
      <c r="Q30" s="36">
        <f t="array" ref="Q30">SUM(IF(YEAR(date.2010)*(gross.world.2010&gt;=$A30)*(gross.world.2010&lt;$A31),gross.world.2010))</f>
        <v>693431751</v>
      </c>
      <c r="R30" s="53">
        <f>SUM(C30:C$48)/C$49</f>
        <v>6.4724919093851136E-3</v>
      </c>
      <c r="S30" s="53">
        <f>SUM(D30:D$48)/D$49</f>
        <v>1.1185682326621925E-2</v>
      </c>
      <c r="T30" s="53">
        <f>SUM(E30:E$48)/E$49</f>
        <v>4.3196544276457886E-3</v>
      </c>
      <c r="U30" s="53">
        <f>SUM(F30:F$48)/F$49</f>
        <v>2.2292993630573247E-2</v>
      </c>
      <c r="V30" s="53">
        <f>SUM(G30:G$48)/G$49</f>
        <v>2.9126213592233011E-2</v>
      </c>
      <c r="W30" s="53">
        <f>SUM(M30:M$48)/M$49</f>
        <v>9.2944071399452266E-2</v>
      </c>
      <c r="X30" s="53">
        <f>SUM(N30:N$48)/N$49</f>
        <v>0.19016877272436047</v>
      </c>
      <c r="Y30" s="53">
        <f>SUM(O30:O$48)/O$49</f>
        <v>7.684513215970154E-2</v>
      </c>
      <c r="Z30" s="53">
        <f>SUM(P30:P$48)/P$49</f>
        <v>0.30367703926439826</v>
      </c>
      <c r="AA30" s="53">
        <f>SUM(Q30:Q$48)/Q$49</f>
        <v>0.23963313573893341</v>
      </c>
    </row>
    <row r="31" spans="1:27" x14ac:dyDescent="0.2">
      <c r="A31" s="36">
        <f t="shared" si="1"/>
        <v>700000000</v>
      </c>
      <c r="B31" s="36">
        <f t="shared" si="0"/>
        <v>725</v>
      </c>
      <c r="C31" s="40">
        <f t="array" ref="C31">COUNT(IF(YEAR(date.2006)*(gross.world.2006&gt;=$A31)*(gross.world.2006&lt;$A32),gross.world.2006))</f>
        <v>0</v>
      </c>
      <c r="D31" s="40">
        <f t="array" ref="D31">COUNT(IF(YEAR(date.2007)*(gross.world.2007&gt;=$A31)*(gross.world.2007&lt;$A32),gross.world.2007))</f>
        <v>1</v>
      </c>
      <c r="E31" s="40">
        <f t="array" ref="E31">COUNT(IF(YEAR(date.2008)*(gross.world.2008&gt;=$A31)*(gross.world.2008&lt;$A32),gross.world.2008))</f>
        <v>0</v>
      </c>
      <c r="F31" s="40">
        <f t="array" ref="F31">COUNT(IF(YEAR(date.2009)*(gross.world.2009&gt;=$A31)*(gross.world.2009&lt;$A32),gross.world.2009))</f>
        <v>1</v>
      </c>
      <c r="G31" s="40">
        <f t="array" ref="G31">COUNT(IF(YEAR(date.2010)*(gross.world.2010&gt;=A31)*(gross.world.2010&lt;A32),gross.world.2010))</f>
        <v>0</v>
      </c>
      <c r="H31" s="39">
        <f>SUM(C31:C$45)</f>
        <v>2</v>
      </c>
      <c r="I31" s="39">
        <f>SUM(D31:D$45)</f>
        <v>5</v>
      </c>
      <c r="J31" s="39">
        <f>SUM(E31:E$45)</f>
        <v>2</v>
      </c>
      <c r="K31" s="39">
        <f>SUM(F31:F$45)</f>
        <v>6</v>
      </c>
      <c r="L31" s="39">
        <f>SUM(G31:G$45)</f>
        <v>5</v>
      </c>
      <c r="M31" s="36">
        <f t="array" ref="M31">SUM(IF(YEAR(date.2006)*(gross.world.2006&gt;=$A31)*(gross.world.2006&lt;$A32),gross.world.2006))</f>
        <v>0</v>
      </c>
      <c r="N31" s="36">
        <f t="array" ref="N31">SUM(IF(YEAR(date.2007)*(gross.world.2007&gt;=$A31)*(gross.world.2007&lt;$A32),gross.world.2007))</f>
        <v>708272592</v>
      </c>
      <c r="O31" s="36">
        <f t="array" ref="O31">SUM(IF(YEAR(date.2008)*(gross.world.2008&gt;=$A31)*(gross.world.2008&lt;$A32),gross.world.2008))</f>
        <v>0</v>
      </c>
      <c r="P31" s="36">
        <f t="array" ref="P31">SUM(IF(YEAR(date.2009)*(gross.world.2009&gt;=$A31)*(gross.world.2009&lt;$A32),gross.world.2009))</f>
        <v>712623634</v>
      </c>
      <c r="Q31" s="36">
        <f t="array" ref="Q31">SUM(IF(YEAR(date.2010)*(gross.world.2010&gt;=$A31)*(gross.world.2010&lt;$A32),gross.world.2010))</f>
        <v>0</v>
      </c>
      <c r="R31" s="53">
        <f>SUM(C31:C$48)/C$49</f>
        <v>6.4724919093851136E-3</v>
      </c>
      <c r="S31" s="53">
        <f>SUM(D31:D$48)/D$49</f>
        <v>1.1185682326621925E-2</v>
      </c>
      <c r="T31" s="53">
        <f>SUM(E31:E$48)/E$49</f>
        <v>4.3196544276457886E-3</v>
      </c>
      <c r="U31" s="53">
        <f>SUM(F31:F$48)/F$49</f>
        <v>2.2292993630573247E-2</v>
      </c>
      <c r="V31" s="53">
        <f>SUM(G31:G$48)/G$49</f>
        <v>2.4271844660194174E-2</v>
      </c>
      <c r="W31" s="53">
        <f>SUM(M31:M$48)/M$49</f>
        <v>9.2944071399452266E-2</v>
      </c>
      <c r="X31" s="53">
        <f>SUM(N31:N$48)/N$49</f>
        <v>0.19016877272436047</v>
      </c>
      <c r="Y31" s="53">
        <f>SUM(O31:O$48)/O$49</f>
        <v>7.684513215970154E-2</v>
      </c>
      <c r="Z31" s="53">
        <f>SUM(P31:P$48)/P$49</f>
        <v>0.30367703926439826</v>
      </c>
      <c r="AA31" s="53">
        <f>SUM(Q31:Q$48)/Q$49</f>
        <v>0.20829906466878154</v>
      </c>
    </row>
    <row r="32" spans="1:27" x14ac:dyDescent="0.2">
      <c r="A32" s="36">
        <f t="shared" si="1"/>
        <v>725000000</v>
      </c>
      <c r="B32" s="36">
        <f t="shared" si="0"/>
        <v>750</v>
      </c>
      <c r="C32" s="40">
        <f t="array" ref="C32">COUNT(IF(YEAR(date.2006)*(gross.world.2006&gt;=$A32)*(gross.world.2006&lt;$A33),gross.world.2006))</f>
        <v>0</v>
      </c>
      <c r="D32" s="40">
        <f t="array" ref="D32">COUNT(IF(YEAR(date.2007)*(gross.world.2007&gt;=$A32)*(gross.world.2007&lt;$A33),gross.world.2007))</f>
        <v>0</v>
      </c>
      <c r="E32" s="40">
        <f t="array" ref="E32">COUNT(IF(YEAR(date.2008)*(gross.world.2008&gt;=$A32)*(gross.world.2008&lt;$A33),gross.world.2008))</f>
        <v>0</v>
      </c>
      <c r="F32" s="40">
        <f t="array" ref="F32">COUNT(IF(YEAR(date.2009)*(gross.world.2009&gt;=$A32)*(gross.world.2009&lt;$A33),gross.world.2009))</f>
        <v>1</v>
      </c>
      <c r="G32" s="40">
        <f t="array" ref="G32">COUNT(IF(YEAR(date.2010)*(gross.world.2010&gt;=A32)*(gross.world.2010&lt;A33),gross.world.2010))</f>
        <v>0</v>
      </c>
      <c r="H32" s="39">
        <f>SUM(C32:C$45)</f>
        <v>2</v>
      </c>
      <c r="I32" s="39">
        <f>SUM(D32:D$45)</f>
        <v>4</v>
      </c>
      <c r="J32" s="39">
        <f>SUM(E32:E$45)</f>
        <v>2</v>
      </c>
      <c r="K32" s="39">
        <f>SUM(F32:F$45)</f>
        <v>5</v>
      </c>
      <c r="L32" s="39">
        <f>SUM(G32:G$45)</f>
        <v>5</v>
      </c>
      <c r="M32" s="36">
        <f t="array" ref="M32">SUM(IF(YEAR(date.2006)*(gross.world.2006&gt;=$A32)*(gross.world.2006&lt;$A33),gross.world.2006))</f>
        <v>0</v>
      </c>
      <c r="N32" s="36">
        <f t="array" ref="N32">SUM(IF(YEAR(date.2007)*(gross.world.2007&gt;=$A32)*(gross.world.2007&lt;$A33),gross.world.2007))</f>
        <v>0</v>
      </c>
      <c r="O32" s="36">
        <f t="array" ref="O32">SUM(IF(YEAR(date.2008)*(gross.world.2008&gt;=$A32)*(gross.world.2008&lt;$A33),gross.world.2008))</f>
        <v>0</v>
      </c>
      <c r="P32" s="36">
        <f t="array" ref="P32">SUM(IF(YEAR(date.2009)*(gross.world.2009&gt;=$A32)*(gross.world.2009&lt;$A33),gross.world.2009))</f>
        <v>731304609</v>
      </c>
      <c r="Q32" s="36">
        <f t="array" ref="Q32">SUM(IF(YEAR(date.2010)*(gross.world.2010&gt;=$A32)*(gross.world.2010&lt;$A33),gross.world.2010))</f>
        <v>0</v>
      </c>
      <c r="R32" s="53">
        <f>SUM(C32:C$48)/C$49</f>
        <v>6.4724919093851136E-3</v>
      </c>
      <c r="S32" s="53">
        <f>SUM(D32:D$48)/D$49</f>
        <v>8.948545861297539E-3</v>
      </c>
      <c r="T32" s="53">
        <f>SUM(E32:E$48)/E$49</f>
        <v>4.3196544276457886E-3</v>
      </c>
      <c r="U32" s="53">
        <f>SUM(F32:F$48)/F$49</f>
        <v>1.9108280254777069E-2</v>
      </c>
      <c r="V32" s="53">
        <f>SUM(G32:G$48)/G$49</f>
        <v>2.4271844660194174E-2</v>
      </c>
      <c r="W32" s="53">
        <f>SUM(M32:M$48)/M$49</f>
        <v>9.2944071399452266E-2</v>
      </c>
      <c r="X32" s="53">
        <f>SUM(N32:N$48)/N$49</f>
        <v>0.15882747973049904</v>
      </c>
      <c r="Y32" s="53">
        <f>SUM(O32:O$48)/O$49</f>
        <v>7.684513215970154E-2</v>
      </c>
      <c r="Z32" s="53">
        <f>SUM(P32:P$48)/P$49</f>
        <v>0.27539064821043063</v>
      </c>
      <c r="AA32" s="53">
        <f>SUM(Q32:Q$48)/Q$49</f>
        <v>0.20829906466878154</v>
      </c>
    </row>
    <row r="33" spans="1:27" x14ac:dyDescent="0.2">
      <c r="A33" s="36">
        <f t="shared" si="1"/>
        <v>750000000</v>
      </c>
      <c r="B33" s="36">
        <f t="shared" si="0"/>
        <v>775</v>
      </c>
      <c r="C33" s="40">
        <f t="array" ref="C33">COUNT(IF(YEAR(date.2006)*(gross.world.2006&gt;=$A33)*(gross.world.2006&lt;$A34),gross.world.2006))</f>
        <v>1</v>
      </c>
      <c r="D33" s="40">
        <f t="array" ref="D33">COUNT(IF(YEAR(date.2007)*(gross.world.2007&gt;=$A33)*(gross.world.2007&lt;$A34),gross.world.2007))</f>
        <v>0</v>
      </c>
      <c r="E33" s="40">
        <f t="array" ref="E33">COUNT(IF(YEAR(date.2008)*(gross.world.2008&gt;=$A33)*(gross.world.2008&lt;$A34),gross.world.2008))</f>
        <v>0</v>
      </c>
      <c r="F33" s="40">
        <f t="array" ref="F33">COUNT(IF(YEAR(date.2009)*(gross.world.2009&gt;=$A33)*(gross.world.2009&lt;$A34),gross.world.2009))</f>
        <v>1</v>
      </c>
      <c r="G33" s="40">
        <f t="array" ref="G33">COUNT(IF(YEAR(date.2010)*(gross.world.2010&gt;=A33)*(gross.world.2010&lt;A34),gross.world.2010))</f>
        <v>1</v>
      </c>
      <c r="H33" s="39">
        <f>SUM(C33:C$45)</f>
        <v>2</v>
      </c>
      <c r="I33" s="39">
        <f>SUM(D33:D$45)</f>
        <v>4</v>
      </c>
      <c r="J33" s="39">
        <f>SUM(E33:E$45)</f>
        <v>2</v>
      </c>
      <c r="K33" s="39">
        <f>SUM(F33:F$45)</f>
        <v>4</v>
      </c>
      <c r="L33" s="39">
        <f>SUM(G33:G$45)</f>
        <v>5</v>
      </c>
      <c r="M33" s="36">
        <f t="array" ref="M33">SUM(IF(YEAR(date.2006)*(gross.world.2006&gt;=$A33)*(gross.world.2006&lt;$A34),gross.world.2006))</f>
        <v>757236138</v>
      </c>
      <c r="N33" s="36">
        <f t="array" ref="N33">SUM(IF(YEAR(date.2007)*(gross.world.2007&gt;=$A33)*(gross.world.2007&lt;$A34),gross.world.2007))</f>
        <v>0</v>
      </c>
      <c r="O33" s="36">
        <f t="array" ref="O33">SUM(IF(YEAR(date.2008)*(gross.world.2008&gt;=$A33)*(gross.world.2008&lt;$A34),gross.world.2008))</f>
        <v>0</v>
      </c>
      <c r="P33" s="36">
        <f t="array" ref="P33">SUM(IF(YEAR(date.2009)*(gross.world.2009&gt;=$A33)*(gross.world.2009&lt;$A34),gross.world.2009))</f>
        <v>766812167</v>
      </c>
      <c r="Q33" s="36">
        <f t="array" ref="Q33">SUM(IF(YEAR(date.2010)*(gross.world.2010&gt;=$A33)*(gross.world.2010&lt;$A34),gross.world.2010))</f>
        <v>752342375</v>
      </c>
      <c r="R33" s="53">
        <f>SUM(C33:C$48)/C$49</f>
        <v>6.4724919093851136E-3</v>
      </c>
      <c r="S33" s="53">
        <f>SUM(D33:D$48)/D$49</f>
        <v>8.948545861297539E-3</v>
      </c>
      <c r="T33" s="53">
        <f>SUM(E33:E$48)/E$49</f>
        <v>4.3196544276457886E-3</v>
      </c>
      <c r="U33" s="53">
        <f>SUM(F33:F$48)/F$49</f>
        <v>1.5923566878980892E-2</v>
      </c>
      <c r="V33" s="53">
        <f>SUM(G33:G$48)/G$49</f>
        <v>2.4271844660194174E-2</v>
      </c>
      <c r="W33" s="53">
        <f>SUM(M33:M$48)/M$49</f>
        <v>9.2944071399452266E-2</v>
      </c>
      <c r="X33" s="53">
        <f>SUM(N33:N$48)/N$49</f>
        <v>0.15882747973049904</v>
      </c>
      <c r="Y33" s="53">
        <f>SUM(O33:O$48)/O$49</f>
        <v>7.684513215970154E-2</v>
      </c>
      <c r="Z33" s="53">
        <f>SUM(P33:P$48)/P$49</f>
        <v>0.24636274741849185</v>
      </c>
      <c r="AA33" s="53">
        <f>SUM(Q33:Q$48)/Q$49</f>
        <v>0.20829906466878154</v>
      </c>
    </row>
    <row r="34" spans="1:27" x14ac:dyDescent="0.2">
      <c r="A34" s="36">
        <f t="shared" si="1"/>
        <v>775000000</v>
      </c>
      <c r="B34" s="36">
        <f t="shared" si="0"/>
        <v>800</v>
      </c>
      <c r="C34" s="40">
        <f t="array" ref="C34">COUNT(IF(YEAR(date.2006)*(gross.world.2006&gt;=$A34)*(gross.world.2006&lt;$A35),gross.world.2006))</f>
        <v>0</v>
      </c>
      <c r="D34" s="40">
        <f t="array" ref="D34">COUNT(IF(YEAR(date.2007)*(gross.world.2007&gt;=$A34)*(gross.world.2007&lt;$A35),gross.world.2007))</f>
        <v>1</v>
      </c>
      <c r="E34" s="40">
        <f t="array" ref="E34">COUNT(IF(YEAR(date.2008)*(gross.world.2008&gt;=$A34)*(gross.world.2008&lt;$A35),gross.world.2008))</f>
        <v>1</v>
      </c>
      <c r="F34" s="40">
        <f t="array" ref="F34">COUNT(IF(YEAR(date.2009)*(gross.world.2009&gt;=$A34)*(gross.world.2009&lt;$A35),gross.world.2009))</f>
        <v>0</v>
      </c>
      <c r="G34" s="40">
        <f t="array" ref="G34">COUNT(IF(YEAR(date.2010)*(gross.world.2010&gt;=A34)*(gross.world.2010&lt;A35),gross.world.2010))</f>
        <v>0</v>
      </c>
      <c r="H34" s="39">
        <f>SUM(C34:C$45)</f>
        <v>1</v>
      </c>
      <c r="I34" s="39">
        <f>SUM(D34:D$45)</f>
        <v>4</v>
      </c>
      <c r="J34" s="39">
        <f>SUM(E34:E$45)</f>
        <v>2</v>
      </c>
      <c r="K34" s="39">
        <f>SUM(F34:F$45)</f>
        <v>3</v>
      </c>
      <c r="L34" s="39">
        <f>SUM(G34:G$45)</f>
        <v>4</v>
      </c>
      <c r="M34" s="36">
        <f t="array" ref="M34">SUM(IF(YEAR(date.2006)*(gross.world.2006&gt;=$A34)*(gross.world.2006&lt;$A35),gross.world.2006))</f>
        <v>0</v>
      </c>
      <c r="N34" s="36">
        <f t="array" ref="N34">SUM(IF(YEAR(date.2007)*(gross.world.2007&gt;=$A34)*(gross.world.2007&lt;$A35),gross.world.2007))</f>
        <v>798958162</v>
      </c>
      <c r="O34" s="36">
        <f t="array" ref="O34">SUM(IF(YEAR(date.2008)*(gross.world.2008&gt;=$A34)*(gross.world.2008&lt;$A35),gross.world.2008))</f>
        <v>786558145</v>
      </c>
      <c r="P34" s="36">
        <f t="array" ref="P34">SUM(IF(YEAR(date.2009)*(gross.world.2009&gt;=$A34)*(gross.world.2009&lt;$A35),gross.world.2009))</f>
        <v>0</v>
      </c>
      <c r="Q34" s="36">
        <f t="array" ref="Q34">SUM(IF(YEAR(date.2010)*(gross.world.2010&gt;=$A34)*(gross.world.2010&lt;$A35),gross.world.2010))</f>
        <v>0</v>
      </c>
      <c r="R34" s="53">
        <f>SUM(C34:C$48)/C$49</f>
        <v>3.2362459546925568E-3</v>
      </c>
      <c r="S34" s="53">
        <f>SUM(D34:D$48)/D$49</f>
        <v>8.948545861297539E-3</v>
      </c>
      <c r="T34" s="53">
        <f>SUM(E34:E$48)/E$49</f>
        <v>4.3196544276457886E-3</v>
      </c>
      <c r="U34" s="53">
        <f>SUM(F34:F$48)/F$49</f>
        <v>1.2738853503184714E-2</v>
      </c>
      <c r="V34" s="53">
        <f>SUM(G34:G$48)/G$49</f>
        <v>1.9417475728155338E-2</v>
      </c>
      <c r="W34" s="53">
        <f>SUM(M34:M$48)/M$49</f>
        <v>5.4334841028120598E-2</v>
      </c>
      <c r="X34" s="53">
        <f>SUM(N34:N$48)/N$49</f>
        <v>0.15882747973049904</v>
      </c>
      <c r="Y34" s="53">
        <f>SUM(O34:O$48)/O$49</f>
        <v>7.684513215970154E-2</v>
      </c>
      <c r="Z34" s="53">
        <f>SUM(P34:P$48)/P$49</f>
        <v>0.21592543410774312</v>
      </c>
      <c r="AA34" s="53">
        <f>SUM(Q34:Q$48)/Q$49</f>
        <v>0.17430300173491559</v>
      </c>
    </row>
    <row r="35" spans="1:27" x14ac:dyDescent="0.2">
      <c r="A35" s="36">
        <f t="shared" si="1"/>
        <v>800000000</v>
      </c>
      <c r="B35" s="36">
        <f t="shared" si="0"/>
        <v>825</v>
      </c>
      <c r="C35" s="40">
        <f t="array" ref="C35">COUNT(IF(YEAR(date.2006)*(gross.world.2006&gt;=$A35)*(gross.world.2006&lt;$A36),gross.world.2006))</f>
        <v>0</v>
      </c>
      <c r="D35" s="40">
        <f t="array" ref="D35">COUNT(IF(YEAR(date.2007)*(gross.world.2007&gt;=$A35)*(gross.world.2007&lt;$A36),gross.world.2007))</f>
        <v>0</v>
      </c>
      <c r="E35" s="40">
        <f t="array" ref="E35">COUNT(IF(YEAR(date.2008)*(gross.world.2008&gt;=$A35)*(gross.world.2008&lt;$A36),gross.world.2008))</f>
        <v>0</v>
      </c>
      <c r="F35" s="40">
        <f t="array" ref="F35">COUNT(IF(YEAR(date.2009)*(gross.world.2009&gt;=$A35)*(gross.world.2009&lt;$A36),gross.world.2009))</f>
        <v>0</v>
      </c>
      <c r="G35" s="40">
        <f t="array" ref="G35">COUNT(IF(YEAR(date.2010)*(gross.world.2010&gt;=A35)*(gross.world.2010&lt;A36),gross.world.2010))</f>
        <v>0</v>
      </c>
      <c r="H35" s="39">
        <f>SUM(C35:C$45)</f>
        <v>1</v>
      </c>
      <c r="I35" s="39">
        <f>SUM(D35:D$45)</f>
        <v>3</v>
      </c>
      <c r="J35" s="39">
        <f>SUM(E35:E$45)</f>
        <v>1</v>
      </c>
      <c r="K35" s="39">
        <f>SUM(F35:F$45)</f>
        <v>3</v>
      </c>
      <c r="L35" s="39">
        <f>SUM(G35:G$45)</f>
        <v>4</v>
      </c>
      <c r="M35" s="36">
        <f t="array" ref="M35">SUM(IF(YEAR(date.2006)*(gross.world.2006&gt;=$A35)*(gross.world.2006&lt;$A36),gross.world.2006))</f>
        <v>0</v>
      </c>
      <c r="N35" s="36">
        <f t="array" ref="N35">SUM(IF(YEAR(date.2007)*(gross.world.2007&gt;=$A35)*(gross.world.2007&lt;$A36),gross.world.2007))</f>
        <v>0</v>
      </c>
      <c r="O35" s="36">
        <f t="array" ref="O35">SUM(IF(YEAR(date.2008)*(gross.world.2008&gt;=$A35)*(gross.world.2008&lt;$A36),gross.world.2008))</f>
        <v>0</v>
      </c>
      <c r="P35" s="36">
        <f t="array" ref="P35">SUM(IF(YEAR(date.2009)*(gross.world.2009&gt;=$A35)*(gross.world.2009&lt;$A36),gross.world.2009))</f>
        <v>0</v>
      </c>
      <c r="Q35" s="36">
        <f t="array" ref="Q35">SUM(IF(YEAR(date.2010)*(gross.world.2010&gt;=$A35)*(gross.world.2010&lt;$A36),gross.world.2010))</f>
        <v>0</v>
      </c>
      <c r="R35" s="53">
        <f>SUM(C35:C$48)/C$49</f>
        <v>3.2362459546925568E-3</v>
      </c>
      <c r="S35" s="53">
        <f>SUM(D35:D$48)/D$49</f>
        <v>6.7114093959731542E-3</v>
      </c>
      <c r="T35" s="53">
        <f>SUM(E35:E$48)/E$49</f>
        <v>2.1598272138228943E-3</v>
      </c>
      <c r="U35" s="53">
        <f>SUM(F35:F$48)/F$49</f>
        <v>1.2738853503184714E-2</v>
      </c>
      <c r="V35" s="53">
        <f>SUM(G35:G$48)/G$49</f>
        <v>1.9417475728155338E-2</v>
      </c>
      <c r="W35" s="53">
        <f>SUM(M35:M$48)/M$49</f>
        <v>5.4334841028120598E-2</v>
      </c>
      <c r="X35" s="53">
        <f>SUM(N35:N$48)/N$49</f>
        <v>0.12347332071331799</v>
      </c>
      <c r="Y35" s="53">
        <f>SUM(O35:O$48)/O$49</f>
        <v>4.304974707802374E-2</v>
      </c>
      <c r="Z35" s="53">
        <f>SUM(P35:P$48)/P$49</f>
        <v>0.21592543410774312</v>
      </c>
      <c r="AA35" s="53">
        <f>SUM(Q35:Q$48)/Q$49</f>
        <v>0.17430300173491559</v>
      </c>
    </row>
    <row r="36" spans="1:27" x14ac:dyDescent="0.2">
      <c r="A36" s="36">
        <f t="shared" si="1"/>
        <v>825000000</v>
      </c>
      <c r="B36" s="36">
        <f t="shared" si="0"/>
        <v>850</v>
      </c>
      <c r="C36" s="40">
        <f t="array" ref="C36">COUNT(IF(YEAR(date.2006)*(gross.world.2006&gt;=$A36)*(gross.world.2006&lt;$A37),gross.world.2006))</f>
        <v>0</v>
      </c>
      <c r="D36" s="40">
        <f t="array" ref="D36">COUNT(IF(YEAR(date.2007)*(gross.world.2007&gt;=$A36)*(gross.world.2007&lt;$A37),gross.world.2007))</f>
        <v>0</v>
      </c>
      <c r="E36" s="40">
        <f t="array" ref="E36">COUNT(IF(YEAR(date.2008)*(gross.world.2008&gt;=$A36)*(gross.world.2008&lt;$A37),gross.world.2008))</f>
        <v>0</v>
      </c>
      <c r="F36" s="40">
        <f t="array" ref="F36">COUNT(IF(YEAR(date.2009)*(gross.world.2009&gt;=$A36)*(gross.world.2009&lt;$A37),gross.world.2009))</f>
        <v>1</v>
      </c>
      <c r="G36" s="40">
        <f t="array" ref="G36">COUNT(IF(YEAR(date.2010)*(gross.world.2010&gt;=A36)*(gross.world.2010&lt;A37),gross.world.2010))</f>
        <v>1</v>
      </c>
      <c r="H36" s="39">
        <f>SUM(C36:C$45)</f>
        <v>1</v>
      </c>
      <c r="I36" s="39">
        <f>SUM(D36:D$45)</f>
        <v>3</v>
      </c>
      <c r="J36" s="39">
        <f>SUM(E36:E$45)</f>
        <v>1</v>
      </c>
      <c r="K36" s="39">
        <f>SUM(F36:F$45)</f>
        <v>3</v>
      </c>
      <c r="L36" s="39">
        <f>SUM(G36:G$45)</f>
        <v>4</v>
      </c>
      <c r="M36" s="36">
        <f t="array" ref="M36">SUM(IF(YEAR(date.2006)*(gross.world.2006&gt;=$A36)*(gross.world.2006&lt;$A37),gross.world.2006))</f>
        <v>0</v>
      </c>
      <c r="N36" s="36">
        <f t="array" ref="N36">SUM(IF(YEAR(date.2007)*(gross.world.2007&gt;=$A36)*(gross.world.2007&lt;$A37),gross.world.2007))</f>
        <v>0</v>
      </c>
      <c r="O36" s="36">
        <f t="array" ref="O36">SUM(IF(YEAR(date.2008)*(gross.world.2008&gt;=$A36)*(gross.world.2008&lt;$A37),gross.world.2008))</f>
        <v>0</v>
      </c>
      <c r="P36" s="36">
        <f t="array" ref="P36">SUM(IF(YEAR(date.2009)*(gross.world.2009&gt;=$A36)*(gross.world.2009&lt;$A37),gross.world.2009))</f>
        <v>836303693</v>
      </c>
      <c r="Q36" s="36">
        <f t="array" ref="Q36">SUM(IF(YEAR(date.2010)*(gross.world.2010&gt;=$A36)*(gross.world.2010&lt;$A37),gross.world.2010))</f>
        <v>825476195</v>
      </c>
      <c r="R36" s="53">
        <f>SUM(C36:C$48)/C$49</f>
        <v>3.2362459546925568E-3</v>
      </c>
      <c r="S36" s="53">
        <f>SUM(D36:D$48)/D$49</f>
        <v>6.7114093959731542E-3</v>
      </c>
      <c r="T36" s="53">
        <f>SUM(E36:E$48)/E$49</f>
        <v>2.1598272138228943E-3</v>
      </c>
      <c r="U36" s="53">
        <f>SUM(F36:F$48)/F$49</f>
        <v>1.2738853503184714E-2</v>
      </c>
      <c r="V36" s="53">
        <f>SUM(G36:G$48)/G$49</f>
        <v>1.9417475728155338E-2</v>
      </c>
      <c r="W36" s="53">
        <f>SUM(M36:M$48)/M$49</f>
        <v>5.4334841028120598E-2</v>
      </c>
      <c r="X36" s="53">
        <f>SUM(N36:N$48)/N$49</f>
        <v>0.12347332071331799</v>
      </c>
      <c r="Y36" s="53">
        <f>SUM(O36:O$48)/O$49</f>
        <v>4.304974707802374E-2</v>
      </c>
      <c r="Z36" s="53">
        <f>SUM(P36:P$48)/P$49</f>
        <v>0.21592543410774312</v>
      </c>
      <c r="AA36" s="53">
        <f>SUM(Q36:Q$48)/Q$49</f>
        <v>0.17430300173491559</v>
      </c>
    </row>
    <row r="37" spans="1:27" x14ac:dyDescent="0.2">
      <c r="A37" s="36">
        <f t="shared" si="1"/>
        <v>850000000</v>
      </c>
      <c r="B37" s="36">
        <f t="shared" si="0"/>
        <v>875</v>
      </c>
      <c r="C37" s="40">
        <f t="array" ref="C37">COUNT(IF(YEAR(date.2006)*(gross.world.2006&gt;=$A37)*(gross.world.2006&lt;$A38),gross.world.2006))</f>
        <v>0</v>
      </c>
      <c r="D37" s="40">
        <f t="array" ref="D37">COUNT(IF(YEAR(date.2007)*(gross.world.2007&gt;=$A37)*(gross.world.2007&lt;$A38),gross.world.2007))</f>
        <v>0</v>
      </c>
      <c r="E37" s="40">
        <f t="array" ref="E37">COUNT(IF(YEAR(date.2008)*(gross.world.2008&gt;=$A37)*(gross.world.2008&lt;$A38),gross.world.2008))</f>
        <v>0</v>
      </c>
      <c r="F37" s="40">
        <f t="array" ref="F37">COUNT(IF(YEAR(date.2009)*(gross.world.2009&gt;=$A37)*(gross.world.2009&lt;$A38),gross.world.2009))</f>
        <v>0</v>
      </c>
      <c r="G37" s="40">
        <f t="array" ref="G37">COUNT(IF(YEAR(date.2010)*(gross.world.2010&gt;=A37)*(gross.world.2010&lt;A38),gross.world.2010))</f>
        <v>0</v>
      </c>
      <c r="H37" s="39">
        <f>SUM(C37:C$45)</f>
        <v>1</v>
      </c>
      <c r="I37" s="39">
        <f>SUM(D37:D$45)</f>
        <v>3</v>
      </c>
      <c r="J37" s="39">
        <f>SUM(E37:E$45)</f>
        <v>1</v>
      </c>
      <c r="K37" s="39">
        <f>SUM(F37:F$45)</f>
        <v>2</v>
      </c>
      <c r="L37" s="39">
        <f>SUM(G37:G$45)</f>
        <v>3</v>
      </c>
      <c r="M37" s="36">
        <f t="array" ref="M37">SUM(IF(YEAR(date.2006)*(gross.world.2006&gt;=$A37)*(gross.world.2006&lt;$A38),gross.world.2006))</f>
        <v>0</v>
      </c>
      <c r="N37" s="36">
        <f t="array" ref="N37">SUM(IF(YEAR(date.2007)*(gross.world.2007&gt;=$A37)*(gross.world.2007&lt;$A38),gross.world.2007))</f>
        <v>0</v>
      </c>
      <c r="O37" s="36">
        <f t="array" ref="O37">SUM(IF(YEAR(date.2008)*(gross.world.2008&gt;=$A37)*(gross.world.2008&lt;$A38),gross.world.2008))</f>
        <v>0</v>
      </c>
      <c r="P37" s="36">
        <f t="array" ref="P37">SUM(IF(YEAR(date.2009)*(gross.world.2009&gt;=$A37)*(gross.world.2009&lt;$A38),gross.world.2009))</f>
        <v>0</v>
      </c>
      <c r="Q37" s="36">
        <f t="array" ref="Q37">SUM(IF(YEAR(date.2010)*(gross.world.2010&gt;=$A37)*(gross.world.2010&lt;$A38),gross.world.2010))</f>
        <v>0</v>
      </c>
      <c r="R37" s="53">
        <f>SUM(C37:C$48)/C$49</f>
        <v>3.2362459546925568E-3</v>
      </c>
      <c r="S37" s="53">
        <f>SUM(D37:D$48)/D$49</f>
        <v>6.7114093959731542E-3</v>
      </c>
      <c r="T37" s="53">
        <f>SUM(E37:E$48)/E$49</f>
        <v>2.1598272138228943E-3</v>
      </c>
      <c r="U37" s="53">
        <f>SUM(F37:F$48)/F$49</f>
        <v>9.5541401273885346E-3</v>
      </c>
      <c r="V37" s="53">
        <f>SUM(G37:G$48)/G$49</f>
        <v>1.4563106796116505E-2</v>
      </c>
      <c r="W37" s="53">
        <f>SUM(M37:M$48)/M$49</f>
        <v>5.4334841028120598E-2</v>
      </c>
      <c r="X37" s="53">
        <f>SUM(N37:N$48)/N$49</f>
        <v>0.12347332071331799</v>
      </c>
      <c r="Y37" s="53">
        <f>SUM(O37:O$48)/O$49</f>
        <v>4.304974707802374E-2</v>
      </c>
      <c r="Z37" s="53">
        <f>SUM(P37:P$48)/P$49</f>
        <v>0.18272977209006255</v>
      </c>
      <c r="AA37" s="53">
        <f>SUM(Q37:Q$48)/Q$49</f>
        <v>0.13700224398399374</v>
      </c>
    </row>
    <row r="38" spans="1:27" x14ac:dyDescent="0.2">
      <c r="A38" s="36">
        <f t="shared" si="1"/>
        <v>875000000</v>
      </c>
      <c r="B38" s="36">
        <f t="shared" si="0"/>
        <v>900</v>
      </c>
      <c r="C38" s="40">
        <f t="array" ref="C38">COUNT(IF(YEAR(date.2006)*(gross.world.2006&gt;=$A38)*(gross.world.2006&lt;$A39),gross.world.2006))</f>
        <v>0</v>
      </c>
      <c r="D38" s="40">
        <f t="array" ref="D38">COUNT(IF(YEAR(date.2007)*(gross.world.2007&gt;=$A38)*(gross.world.2007&lt;$A39),gross.world.2007))</f>
        <v>1</v>
      </c>
      <c r="E38" s="40">
        <f t="array" ref="E38">COUNT(IF(YEAR(date.2008)*(gross.world.2008&gt;=$A38)*(gross.world.2008&lt;$A39),gross.world.2008))</f>
        <v>0</v>
      </c>
      <c r="F38" s="40">
        <f t="array" ref="F38">COUNT(IF(YEAR(date.2009)*(gross.world.2009&gt;=$A38)*(gross.world.2009&lt;$A39),gross.world.2009))</f>
        <v>1</v>
      </c>
      <c r="G38" s="40">
        <f t="array" ref="G38">COUNT(IF(YEAR(date.2010)*(gross.world.2010&gt;=A38)*(gross.world.2010&lt;A39),gross.world.2010))</f>
        <v>0</v>
      </c>
      <c r="H38" s="39">
        <f>SUM(C38:C$45)</f>
        <v>1</v>
      </c>
      <c r="I38" s="39">
        <f>SUM(D38:D$45)</f>
        <v>3</v>
      </c>
      <c r="J38" s="39">
        <f>SUM(E38:E$45)</f>
        <v>1</v>
      </c>
      <c r="K38" s="39">
        <f>SUM(F38:F$45)</f>
        <v>2</v>
      </c>
      <c r="L38" s="39">
        <f>SUM(G38:G$45)</f>
        <v>3</v>
      </c>
      <c r="M38" s="36">
        <f t="array" ref="M38">SUM(IF(YEAR(date.2006)*(gross.world.2006&gt;=$A38)*(gross.world.2006&lt;$A39),gross.world.2006))</f>
        <v>0</v>
      </c>
      <c r="N38" s="36">
        <f t="array" ref="N38">SUM(IF(YEAR(date.2007)*(gross.world.2007&gt;=$A38)*(gross.world.2007&lt;$A39),gross.world.2007))</f>
        <v>890871626</v>
      </c>
      <c r="O38" s="36">
        <f t="array" ref="O38">SUM(IF(YEAR(date.2008)*(gross.world.2008&gt;=$A38)*(gross.world.2008&lt;$A39),gross.world.2008))</f>
        <v>0</v>
      </c>
      <c r="P38" s="36">
        <f t="array" ref="P38">SUM(IF(YEAR(date.2009)*(gross.world.2009&gt;=$A38)*(gross.world.2009&lt;$A39),gross.world.2009))</f>
        <v>886968695</v>
      </c>
      <c r="Q38" s="36">
        <f t="array" ref="Q38">SUM(IF(YEAR(date.2010)*(gross.world.2010&gt;=$A38)*(gross.world.2010&lt;$A39),gross.world.2010))</f>
        <v>0</v>
      </c>
      <c r="R38" s="53">
        <f>SUM(C38:C$48)/C$49</f>
        <v>3.2362459546925568E-3</v>
      </c>
      <c r="S38" s="53">
        <f>SUM(D38:D$48)/D$49</f>
        <v>6.7114093959731542E-3</v>
      </c>
      <c r="T38" s="53">
        <f>SUM(E38:E$48)/E$49</f>
        <v>2.1598272138228943E-3</v>
      </c>
      <c r="U38" s="53">
        <f>SUM(F38:F$48)/F$49</f>
        <v>9.5541401273885346E-3</v>
      </c>
      <c r="V38" s="53">
        <f>SUM(G38:G$48)/G$49</f>
        <v>1.4563106796116505E-2</v>
      </c>
      <c r="W38" s="53">
        <f>SUM(M38:M$48)/M$49</f>
        <v>5.4334841028120598E-2</v>
      </c>
      <c r="X38" s="53">
        <f>SUM(N38:N$48)/N$49</f>
        <v>0.12347332071331799</v>
      </c>
      <c r="Y38" s="53">
        <f>SUM(O38:O$48)/O$49</f>
        <v>4.304974707802374E-2</v>
      </c>
      <c r="Z38" s="53">
        <f>SUM(P38:P$48)/P$49</f>
        <v>0.18272977209006255</v>
      </c>
      <c r="AA38" s="53">
        <f>SUM(Q38:Q$48)/Q$49</f>
        <v>0.13700224398399374</v>
      </c>
    </row>
    <row r="39" spans="1:27" x14ac:dyDescent="0.2">
      <c r="A39" s="36">
        <f t="shared" si="1"/>
        <v>900000000</v>
      </c>
      <c r="B39" s="36">
        <f t="shared" si="0"/>
        <v>925</v>
      </c>
      <c r="C39" s="40">
        <f t="array" ref="C39">COUNT(IF(YEAR(date.2006)*(gross.world.2006&gt;=$A39)*(gross.world.2006&lt;$A40),gross.world.2006))</f>
        <v>0</v>
      </c>
      <c r="D39" s="40">
        <f t="array" ref="D39">COUNT(IF(YEAR(date.2007)*(gross.world.2007&gt;=$A39)*(gross.world.2007&lt;$A40),gross.world.2007))</f>
        <v>0</v>
      </c>
      <c r="E39" s="40">
        <f t="array" ref="E39">COUNT(IF(YEAR(date.2008)*(gross.world.2008&gt;=$A39)*(gross.world.2008&lt;$A40),gross.world.2008))</f>
        <v>0</v>
      </c>
      <c r="F39" s="40">
        <f t="array" ref="F39">COUNT(IF(YEAR(date.2009)*(gross.world.2009&gt;=$A39)*(gross.world.2009&lt;$A40),gross.world.2009))</f>
        <v>0</v>
      </c>
      <c r="G39" s="40">
        <f t="array" ref="G39">COUNT(IF(YEAR(date.2010)*(gross.world.2010&gt;=A39)*(gross.world.2010&lt;A40),gross.world.2010))</f>
        <v>0</v>
      </c>
      <c r="H39" s="39">
        <f>SUM(C39:C$45)</f>
        <v>1</v>
      </c>
      <c r="I39" s="39">
        <f>SUM(D39:D$45)</f>
        <v>2</v>
      </c>
      <c r="J39" s="39">
        <f>SUM(E39:E$45)</f>
        <v>1</v>
      </c>
      <c r="K39" s="39">
        <f>SUM(F39:F$45)</f>
        <v>1</v>
      </c>
      <c r="L39" s="39">
        <f>SUM(G39:G$45)</f>
        <v>3</v>
      </c>
      <c r="M39" s="36">
        <f t="array" ref="M39">SUM(IF(YEAR(date.2006)*(gross.world.2006&gt;=$A39)*(gross.world.2006&lt;$A40),gross.world.2006))</f>
        <v>0</v>
      </c>
      <c r="N39" s="36">
        <f t="array" ref="N39">SUM(IF(YEAR(date.2007)*(gross.world.2007&gt;=$A39)*(gross.world.2007&lt;$A40),gross.world.2007))</f>
        <v>0</v>
      </c>
      <c r="O39" s="36">
        <f t="array" ref="O39">SUM(IF(YEAR(date.2008)*(gross.world.2008&gt;=$A39)*(gross.world.2008&lt;$A40),gross.world.2008))</f>
        <v>0</v>
      </c>
      <c r="P39" s="36">
        <f t="array" ref="P39">SUM(IF(YEAR(date.2009)*(gross.world.2009&gt;=$A39)*(gross.world.2009&lt;$A40),gross.world.2009))</f>
        <v>0</v>
      </c>
      <c r="Q39" s="36">
        <f t="array" ref="Q39">SUM(IF(YEAR(date.2010)*(gross.world.2010&gt;=$A39)*(gross.world.2010&lt;$A40),gross.world.2010))</f>
        <v>0</v>
      </c>
      <c r="R39" s="53">
        <f>SUM(C39:C$48)/C$49</f>
        <v>3.2362459546925568E-3</v>
      </c>
      <c r="S39" s="53">
        <f>SUM(D39:D$48)/D$49</f>
        <v>4.4742729306487695E-3</v>
      </c>
      <c r="T39" s="53">
        <f>SUM(E39:E$48)/E$49</f>
        <v>2.1598272138228943E-3</v>
      </c>
      <c r="U39" s="53">
        <f>SUM(F39:F$48)/F$49</f>
        <v>6.369426751592357E-3</v>
      </c>
      <c r="V39" s="53">
        <f>SUM(G39:G$48)/G$49</f>
        <v>1.4563106796116505E-2</v>
      </c>
      <c r="W39" s="53">
        <f>SUM(M39:M$48)/M$49</f>
        <v>5.4334841028120598E-2</v>
      </c>
      <c r="X39" s="53">
        <f>SUM(N39:N$48)/N$49</f>
        <v>8.4051960963195491E-2</v>
      </c>
      <c r="Y39" s="53">
        <f>SUM(O39:O$48)/O$49</f>
        <v>4.304974707802374E-2</v>
      </c>
      <c r="Z39" s="53">
        <f>SUM(P39:P$48)/P$49</f>
        <v>0.14752304842504677</v>
      </c>
      <c r="AA39" s="53">
        <f>SUM(Q39:Q$48)/Q$49</f>
        <v>0.13700224398399374</v>
      </c>
    </row>
    <row r="40" spans="1:27" x14ac:dyDescent="0.2">
      <c r="A40" s="36">
        <f t="shared" si="1"/>
        <v>925000000</v>
      </c>
      <c r="B40" s="36">
        <f t="shared" si="0"/>
        <v>950</v>
      </c>
      <c r="C40" s="40">
        <f t="array" ref="C40">COUNT(IF(YEAR(date.2006)*(gross.world.2006&gt;=$A40)*(gross.world.2006&lt;$A41),gross.world.2006))</f>
        <v>0</v>
      </c>
      <c r="D40" s="40">
        <f t="array" ref="D40">COUNT(IF(YEAR(date.2007)*(gross.world.2007&gt;=$A40)*(gross.world.2007&lt;$A41),gross.world.2007))</f>
        <v>1</v>
      </c>
      <c r="E40" s="40">
        <f t="array" ref="E40">COUNT(IF(YEAR(date.2008)*(gross.world.2008&gt;=$A40)*(gross.world.2008&lt;$A41),gross.world.2008))</f>
        <v>0</v>
      </c>
      <c r="F40" s="40">
        <f t="array" ref="F40">COUNT(IF(YEAR(date.2009)*(gross.world.2009&gt;=$A40)*(gross.world.2009&lt;$A41),gross.world.2009))</f>
        <v>1</v>
      </c>
      <c r="G40" s="40">
        <f t="array" ref="G40">COUNT(IF(YEAR(date.2010)*(gross.world.2010&gt;=A40)*(gross.world.2010&lt;A41),gross.world.2010))</f>
        <v>1</v>
      </c>
      <c r="H40" s="39">
        <f>SUM(C40:C$45)</f>
        <v>1</v>
      </c>
      <c r="I40" s="39">
        <f>SUM(D40:D$45)</f>
        <v>2</v>
      </c>
      <c r="J40" s="39">
        <f>SUM(E40:E$45)</f>
        <v>1</v>
      </c>
      <c r="K40" s="39">
        <f>SUM(F40:F$45)</f>
        <v>1</v>
      </c>
      <c r="L40" s="39">
        <f>SUM(G40:G$45)</f>
        <v>3</v>
      </c>
      <c r="M40" s="36">
        <f t="array" ref="M40">SUM(IF(YEAR(date.2006)*(gross.world.2006&gt;=$A40)*(gross.world.2006&lt;$A41),gross.world.2006))</f>
        <v>0</v>
      </c>
      <c r="N40" s="36">
        <f t="array" ref="N40">SUM(IF(YEAR(date.2007)*(gross.world.2007&gt;=$A40)*(gross.world.2007&lt;$A41),gross.world.2007))</f>
        <v>938468864</v>
      </c>
      <c r="O40" s="36">
        <f t="array" ref="O40">SUM(IF(YEAR(date.2008)*(gross.world.2008&gt;=$A40)*(gross.world.2008&lt;$A41),gross.world.2008))</f>
        <v>0</v>
      </c>
      <c r="P40" s="36">
        <f t="array" ref="P40">SUM(IF(YEAR(date.2009)*(gross.world.2009&gt;=$A40)*(gross.world.2009&lt;$A41),gross.world.2009))</f>
        <v>933959197</v>
      </c>
      <c r="Q40" s="36">
        <f t="array" ref="Q40">SUM(IF(YEAR(date.2010)*(gross.world.2010&gt;=$A40)*(gross.world.2010&lt;$A41),gross.world.2010))</f>
        <v>943322346</v>
      </c>
      <c r="R40" s="53">
        <f>SUM(C40:C$48)/C$49</f>
        <v>3.2362459546925568E-3</v>
      </c>
      <c r="S40" s="53">
        <f>SUM(D40:D$48)/D$49</f>
        <v>4.4742729306487695E-3</v>
      </c>
      <c r="T40" s="53">
        <f>SUM(E40:E$48)/E$49</f>
        <v>2.1598272138228943E-3</v>
      </c>
      <c r="U40" s="53">
        <f>SUM(F40:F$48)/F$49</f>
        <v>6.369426751592357E-3</v>
      </c>
      <c r="V40" s="53">
        <f>SUM(G40:G$48)/G$49</f>
        <v>1.4563106796116505E-2</v>
      </c>
      <c r="W40" s="53">
        <f>SUM(M40:M$48)/M$49</f>
        <v>5.4334841028120598E-2</v>
      </c>
      <c r="X40" s="53">
        <f>SUM(N40:N$48)/N$49</f>
        <v>8.4051960963195491E-2</v>
      </c>
      <c r="Y40" s="53">
        <f>SUM(O40:O$48)/O$49</f>
        <v>4.304974707802374E-2</v>
      </c>
      <c r="Z40" s="53">
        <f>SUM(P40:P$48)/P$49</f>
        <v>0.14752304842504677</v>
      </c>
      <c r="AA40" s="53">
        <f>SUM(Q40:Q$48)/Q$49</f>
        <v>0.13700224398399374</v>
      </c>
    </row>
    <row r="41" spans="1:27" x14ac:dyDescent="0.2">
      <c r="A41" s="36">
        <f t="shared" si="1"/>
        <v>950000000</v>
      </c>
      <c r="B41" s="36">
        <f t="shared" si="0"/>
        <v>975</v>
      </c>
      <c r="C41" s="40">
        <f t="array" ref="C41">COUNT(IF(YEAR(date.2006)*(gross.world.2006&gt;=$A41)*(gross.world.2006&lt;$A42),gross.world.2006))</f>
        <v>0</v>
      </c>
      <c r="D41" s="40">
        <f t="array" ref="D41">COUNT(IF(YEAR(date.2007)*(gross.world.2007&gt;=$A41)*(gross.world.2007&lt;$A42),gross.world.2007))</f>
        <v>1</v>
      </c>
      <c r="E41" s="40">
        <f t="array" ref="E41">COUNT(IF(YEAR(date.2008)*(gross.world.2008&gt;=$A41)*(gross.world.2008&lt;$A42),gross.world.2008))</f>
        <v>0</v>
      </c>
      <c r="F41" s="40">
        <f t="array" ref="F41">COUNT(IF(YEAR(date.2009)*(gross.world.2009&gt;=$A41)*(gross.world.2009&lt;$A42),gross.world.2009))</f>
        <v>0</v>
      </c>
      <c r="G41" s="40">
        <f t="array" ref="G41">COUNT(IF(YEAR(date.2010)*(gross.world.2010&gt;=A41)*(gross.world.2010&lt;A42),gross.world.2010))</f>
        <v>0</v>
      </c>
      <c r="H41" s="39">
        <f>SUM(C41:C$45)</f>
        <v>1</v>
      </c>
      <c r="I41" s="39">
        <f>SUM(D41:D$45)</f>
        <v>1</v>
      </c>
      <c r="J41" s="39">
        <f>SUM(E41:E$45)</f>
        <v>1</v>
      </c>
      <c r="K41" s="39">
        <f>SUM(F41:F$45)</f>
        <v>0</v>
      </c>
      <c r="L41" s="39">
        <f>SUM(G41:G$45)</f>
        <v>2</v>
      </c>
      <c r="M41" s="36">
        <f t="array" ref="M41">SUM(IF(YEAR(date.2006)*(gross.world.2006&gt;=$A41)*(gross.world.2006&lt;$A42),gross.world.2006))</f>
        <v>0</v>
      </c>
      <c r="N41" s="36">
        <f t="array" ref="N41">SUM(IF(YEAR(date.2007)*(gross.world.2007&gt;=$A41)*(gross.world.2007&lt;$A42),gross.world.2007))</f>
        <v>960996492</v>
      </c>
      <c r="O41" s="36">
        <f t="array" ref="O41">SUM(IF(YEAR(date.2008)*(gross.world.2008&gt;=$A41)*(gross.world.2008&lt;$A42),gross.world.2008))</f>
        <v>0</v>
      </c>
      <c r="P41" s="36">
        <f t="array" ref="P41">SUM(IF(YEAR(date.2009)*(gross.world.2009&gt;=$A41)*(gross.world.2009&lt;$A42),gross.world.2009))</f>
        <v>0</v>
      </c>
      <c r="Q41" s="36">
        <f t="array" ref="Q41">SUM(IF(YEAR(date.2010)*(gross.world.2010&gt;=$A41)*(gross.world.2010&lt;$A42),gross.world.2010))</f>
        <v>0</v>
      </c>
      <c r="R41" s="53">
        <f>SUM(C41:C$48)/C$49</f>
        <v>3.2362459546925568E-3</v>
      </c>
      <c r="S41" s="53">
        <f>SUM(D41:D$48)/D$49</f>
        <v>2.2371364653243847E-3</v>
      </c>
      <c r="T41" s="53">
        <f>SUM(E41:E$48)/E$49</f>
        <v>2.1598272138228943E-3</v>
      </c>
      <c r="U41" s="53">
        <f>SUM(F41:F$48)/F$49</f>
        <v>3.1847133757961785E-3</v>
      </c>
      <c r="V41" s="53">
        <f>SUM(G41:G$48)/G$49</f>
        <v>9.7087378640776691E-3</v>
      </c>
      <c r="W41" s="53">
        <f>SUM(M41:M$48)/M$49</f>
        <v>5.4334841028120598E-2</v>
      </c>
      <c r="X41" s="53">
        <f>SUM(N41:N$48)/N$49</f>
        <v>4.2524407921526633E-2</v>
      </c>
      <c r="Y41" s="53">
        <f>SUM(O41:O$48)/O$49</f>
        <v>4.304974707802374E-2</v>
      </c>
      <c r="Z41" s="53">
        <f>SUM(P41:P$48)/P$49</f>
        <v>0.11045111618150909</v>
      </c>
      <c r="AA41" s="53">
        <f>SUM(Q41:Q$48)/Q$49</f>
        <v>9.4376377214840865E-2</v>
      </c>
    </row>
    <row r="42" spans="1:27" x14ac:dyDescent="0.2">
      <c r="A42" s="36">
        <f t="shared" si="1"/>
        <v>975000000</v>
      </c>
      <c r="B42" s="36">
        <f t="shared" si="0"/>
        <v>1000</v>
      </c>
      <c r="C42" s="40">
        <f t="array" ref="C42">COUNT(IF(YEAR(date.2006)*(gross.world.2006&gt;=$A42)*(gross.world.2006&lt;$A43),gross.world.2006))</f>
        <v>0</v>
      </c>
      <c r="D42" s="40">
        <f t="array" ref="D42">COUNT(IF(YEAR(date.2007)*(gross.world.2007&gt;=$A42)*(gross.world.2007&lt;$A43),gross.world.2007))</f>
        <v>0</v>
      </c>
      <c r="E42" s="40">
        <f t="array" ref="E42">COUNT(IF(YEAR(date.2008)*(gross.world.2008&gt;=$A42)*(gross.world.2008&lt;$A43),gross.world.2008))</f>
        <v>0</v>
      </c>
      <c r="F42" s="40">
        <f t="array" ref="F42">COUNT(IF(YEAR(date.2009)*(gross.world.2009&gt;=$A42)*(gross.world.2009&lt;$A43),gross.world.2009))</f>
        <v>0</v>
      </c>
      <c r="G42" s="40">
        <f t="array" ref="G42">COUNT(IF(YEAR(date.2010)*(gross.world.2010&gt;=A42)*(gross.world.2010&lt;A43),gross.world.2010))</f>
        <v>0</v>
      </c>
      <c r="H42" s="39">
        <f>SUM(C42:C$45)</f>
        <v>1</v>
      </c>
      <c r="I42" s="39">
        <f>SUM(D42:D$45)</f>
        <v>0</v>
      </c>
      <c r="J42" s="39">
        <f>SUM(E42:E$45)</f>
        <v>1</v>
      </c>
      <c r="K42" s="39">
        <f>SUM(F42:F$45)</f>
        <v>0</v>
      </c>
      <c r="L42" s="39">
        <f>SUM(G42:G$45)</f>
        <v>2</v>
      </c>
      <c r="M42" s="36">
        <f t="array" ref="M42">SUM(IF(YEAR(date.2006)*(gross.world.2006&gt;=$A42)*(gross.world.2006&lt;$A43),gross.world.2006))</f>
        <v>0</v>
      </c>
      <c r="N42" s="36">
        <f t="array" ref="N42">SUM(IF(YEAR(date.2007)*(gross.world.2007&gt;=$A42)*(gross.world.2007&lt;$A43),gross.world.2007))</f>
        <v>0</v>
      </c>
      <c r="O42" s="36">
        <f t="array" ref="O42">SUM(IF(YEAR(date.2008)*(gross.world.2008&gt;=$A42)*(gross.world.2008&lt;$A43),gross.world.2008))</f>
        <v>0</v>
      </c>
      <c r="P42" s="36">
        <f t="array" ref="P42">SUM(IF(YEAR(date.2009)*(gross.world.2009&gt;=$A42)*(gross.world.2009&lt;$A43),gross.world.2009))</f>
        <v>0</v>
      </c>
      <c r="Q42" s="36">
        <f t="array" ref="Q42">SUM(IF(YEAR(date.2010)*(gross.world.2010&gt;=$A42)*(gross.world.2010&lt;$A43),gross.world.2010))</f>
        <v>0</v>
      </c>
      <c r="R42" s="53">
        <f>SUM(C42:C$48)/C$49</f>
        <v>3.2362459546925568E-3</v>
      </c>
      <c r="S42" s="53">
        <f>SUM(D42:D$48)/D$49</f>
        <v>0</v>
      </c>
      <c r="T42" s="53">
        <f>SUM(E42:E$48)/E$49</f>
        <v>2.1598272138228943E-3</v>
      </c>
      <c r="U42" s="53">
        <f>SUM(F42:F$48)/F$49</f>
        <v>3.1847133757961785E-3</v>
      </c>
      <c r="V42" s="53">
        <f>SUM(G42:G$48)/G$49</f>
        <v>9.7087378640776691E-3</v>
      </c>
      <c r="W42" s="53">
        <f>SUM(M42:M$48)/M$49</f>
        <v>5.4334841028120598E-2</v>
      </c>
      <c r="X42" s="53">
        <f>SUM(N42:N$48)/N$49</f>
        <v>0</v>
      </c>
      <c r="Y42" s="53">
        <f>SUM(O42:O$48)/O$49</f>
        <v>4.304974707802374E-2</v>
      </c>
      <c r="Z42" s="53">
        <f>SUM(P42:P$48)/P$49</f>
        <v>0.11045111618150909</v>
      </c>
      <c r="AA42" s="53">
        <f>SUM(Q42:Q$48)/Q$49</f>
        <v>9.4376377214840865E-2</v>
      </c>
    </row>
    <row r="43" spans="1:27" x14ac:dyDescent="0.2">
      <c r="A43" s="36">
        <f t="shared" si="1"/>
        <v>1000000000</v>
      </c>
      <c r="B43" s="36">
        <f t="shared" si="0"/>
        <v>1025</v>
      </c>
      <c r="C43" s="40">
        <f t="array" ref="C43">COUNT(IF(YEAR(date.2006)*(gross.world.2006&gt;=$A43)*(gross.world.2006&lt;$A44),gross.world.2006))</f>
        <v>0</v>
      </c>
      <c r="D43" s="40">
        <f t="array" ref="D43">COUNT(IF(YEAR(date.2007)*(gross.world.2007&gt;=$A43)*(gross.world.2007&lt;$A44),gross.world.2007))</f>
        <v>0</v>
      </c>
      <c r="E43" s="40">
        <f t="array" ref="E43">COUNT(IF(YEAR(date.2008)*(gross.world.2008&gt;=$A43)*(gross.world.2008&lt;$A44),gross.world.2008))</f>
        <v>1</v>
      </c>
      <c r="F43" s="40">
        <f t="array" ref="F43">COUNT(IF(YEAR(date.2009)*(gross.world.2009&gt;=$A43)*(gross.world.2009&lt;$A44),gross.world.2009))</f>
        <v>0</v>
      </c>
      <c r="G43" s="40">
        <f t="array" ref="G43">COUNT(IF(YEAR(date.2010)*(gross.world.2010&gt;=A43)*(gross.world.2010&lt;A44),gross.world.2010))</f>
        <v>1</v>
      </c>
      <c r="H43" s="39">
        <f>SUM(C43:C$45)</f>
        <v>1</v>
      </c>
      <c r="I43" s="39">
        <f>SUM(D43:D$45)</f>
        <v>0</v>
      </c>
      <c r="J43" s="39">
        <f>SUM(E43:E$45)</f>
        <v>1</v>
      </c>
      <c r="K43" s="39">
        <f>SUM(F43:F$45)</f>
        <v>0</v>
      </c>
      <c r="L43" s="39">
        <f>SUM(G43:G$45)</f>
        <v>2</v>
      </c>
      <c r="M43" s="36">
        <f t="array" ref="M43">SUM(IF(YEAR(date.2006)*(gross.world.2006&gt;=$A43)*(gross.world.2006&lt;$A44),gross.world.2006))</f>
        <v>0</v>
      </c>
      <c r="N43" s="36">
        <f t="array" ref="N43">SUM(IF(YEAR(date.2007)*(gross.world.2007&gt;=$A43)*(gross.world.2007&lt;$A44),gross.world.2007))</f>
        <v>0</v>
      </c>
      <c r="O43" s="36">
        <f t="array" ref="O43">SUM(IF(YEAR(date.2008)*(gross.world.2008&gt;=$A43)*(gross.world.2008&lt;$A44),gross.world.2008))</f>
        <v>1001945358</v>
      </c>
      <c r="P43" s="36">
        <f t="array" ref="P43">SUM(IF(YEAR(date.2009)*(gross.world.2009&gt;=$A43)*(gross.world.2009&lt;$A44),gross.world.2009))</f>
        <v>0</v>
      </c>
      <c r="Q43" s="36">
        <f t="array" ref="Q43">SUM(IF(YEAR(date.2010)*(gross.world.2010&gt;=$A43)*(gross.world.2010&lt;$A44),gross.world.2010))</f>
        <v>1024391110</v>
      </c>
      <c r="R43" s="53">
        <f>SUM(C43:C$48)/C$49</f>
        <v>3.2362459546925568E-3</v>
      </c>
      <c r="S43" s="53">
        <f>SUM(D43:D$48)/D$49</f>
        <v>0</v>
      </c>
      <c r="T43" s="53">
        <f>SUM(E43:E$48)/E$49</f>
        <v>2.1598272138228943E-3</v>
      </c>
      <c r="U43" s="53">
        <f>SUM(F43:F$48)/F$49</f>
        <v>3.1847133757961785E-3</v>
      </c>
      <c r="V43" s="53">
        <f>SUM(G43:G$48)/G$49</f>
        <v>9.7087378640776691E-3</v>
      </c>
      <c r="W43" s="53">
        <f>SUM(M43:M$48)/M$49</f>
        <v>5.4334841028120598E-2</v>
      </c>
      <c r="X43" s="53">
        <f>SUM(N43:N$48)/N$49</f>
        <v>0</v>
      </c>
      <c r="Y43" s="53">
        <f>SUM(O43:O$48)/O$49</f>
        <v>4.304974707802374E-2</v>
      </c>
      <c r="Z43" s="53">
        <f>SUM(P43:P$48)/P$49</f>
        <v>0.11045111618150909</v>
      </c>
      <c r="AA43" s="53">
        <f>SUM(Q43:Q$48)/Q$49</f>
        <v>9.4376377214840865E-2</v>
      </c>
    </row>
    <row r="44" spans="1:27" x14ac:dyDescent="0.2">
      <c r="A44" s="36">
        <f t="shared" si="1"/>
        <v>1025000000</v>
      </c>
      <c r="B44" s="36">
        <f t="shared" si="0"/>
        <v>1050</v>
      </c>
      <c r="C44" s="40">
        <f t="array" ref="C44">COUNT(IF(YEAR(date.2006)*(gross.world.2006&gt;=$A44)*(gross.world.2006&lt;$A45),gross.world.2006))</f>
        <v>0</v>
      </c>
      <c r="D44" s="40">
        <f t="array" ref="D44">COUNT(IF(YEAR(date.2007)*(gross.world.2007&gt;=$A44)*(gross.world.2007&lt;$A45),gross.world.2007))</f>
        <v>0</v>
      </c>
      <c r="E44" s="40">
        <f t="array" ref="E44">COUNT(IF(YEAR(date.2008)*(gross.world.2008&gt;=$A44)*(gross.world.2008&lt;$A45),gross.world.2008))</f>
        <v>0</v>
      </c>
      <c r="F44" s="40">
        <f t="array" ref="F44">COUNT(IF(YEAR(date.2009)*(gross.world.2009&gt;=$A44)*(gross.world.2009&lt;$A45),gross.world.2009))</f>
        <v>0</v>
      </c>
      <c r="G44" s="40">
        <f t="array" ref="G44">COUNT(IF(YEAR(date.2010)*(gross.world.2010&gt;=A44)*(gross.world.2010&lt;A45),gross.world.2010))</f>
        <v>0</v>
      </c>
      <c r="H44" s="39">
        <f>SUM(C44:C$45)</f>
        <v>1</v>
      </c>
      <c r="I44" s="39">
        <f>SUM(D44:D$45)</f>
        <v>0</v>
      </c>
      <c r="J44" s="39">
        <f>SUM(E44:E$45)</f>
        <v>0</v>
      </c>
      <c r="K44" s="39">
        <f>SUM(F44:F$45)</f>
        <v>0</v>
      </c>
      <c r="L44" s="39">
        <f>SUM(G44:G$45)</f>
        <v>1</v>
      </c>
      <c r="M44" s="36">
        <f t="array" ref="M44">SUM(IF(YEAR(date.2006)*(gross.world.2006&gt;=$A44)*(gross.world.2006&lt;$A45),gross.world.2006))</f>
        <v>0</v>
      </c>
      <c r="N44" s="36">
        <f t="array" ref="N44">SUM(IF(YEAR(date.2007)*(gross.world.2007&gt;=$A44)*(gross.world.2007&lt;$A45),gross.world.2007))</f>
        <v>0</v>
      </c>
      <c r="O44" s="36">
        <f t="array" ref="O44">SUM(IF(YEAR(date.2008)*(gross.world.2008&gt;=$A44)*(gross.world.2008&lt;$A45),gross.world.2008))</f>
        <v>0</v>
      </c>
      <c r="P44" s="36">
        <f t="array" ref="P44">SUM(IF(YEAR(date.2009)*(gross.world.2009&gt;=$A44)*(gross.world.2009&lt;$A45),gross.world.2009))</f>
        <v>0</v>
      </c>
      <c r="Q44" s="36">
        <f t="array" ref="Q44">SUM(IF(YEAR(date.2010)*(gross.world.2010&gt;=$A44)*(gross.world.2010&lt;$A45),gross.world.2010))</f>
        <v>0</v>
      </c>
      <c r="R44" s="53">
        <f>SUM(C44:C$48)/C$49</f>
        <v>3.2362459546925568E-3</v>
      </c>
      <c r="S44" s="53">
        <f>SUM(D44:D$48)/D$49</f>
        <v>0</v>
      </c>
      <c r="T44" s="53">
        <f>SUM(E44:E$48)/E$49</f>
        <v>0</v>
      </c>
      <c r="U44" s="53">
        <f>SUM(F44:F$48)/F$49</f>
        <v>3.1847133757961785E-3</v>
      </c>
      <c r="V44" s="53">
        <f>SUM(G44:G$48)/G$49</f>
        <v>4.8543689320388345E-3</v>
      </c>
      <c r="W44" s="53">
        <f>SUM(M44:M$48)/M$49</f>
        <v>5.4334841028120598E-2</v>
      </c>
      <c r="X44" s="53">
        <f>SUM(N44:N$48)/N$49</f>
        <v>0</v>
      </c>
      <c r="Y44" s="53">
        <f>SUM(O44:O$48)/O$49</f>
        <v>0</v>
      </c>
      <c r="Z44" s="53">
        <f>SUM(P44:P$48)/P$49</f>
        <v>0.11045111618150909</v>
      </c>
      <c r="AA44" s="53">
        <f>SUM(Q44:Q$48)/Q$49</f>
        <v>4.8087259651241193E-2</v>
      </c>
    </row>
    <row r="45" spans="1:27" x14ac:dyDescent="0.2">
      <c r="A45" s="36">
        <f t="shared" si="1"/>
        <v>1050000000</v>
      </c>
      <c r="B45" s="36">
        <f t="shared" si="0"/>
        <v>1075</v>
      </c>
      <c r="C45" s="40">
        <f t="array" ref="C45">COUNT(IF(YEAR(date.2006)*(gross.world.2006&gt;=$A45)*(gross.world.2006&lt;$A46),gross.world.2006))</f>
        <v>1</v>
      </c>
      <c r="D45" s="40">
        <f t="array" ref="D45">COUNT(IF(YEAR(date.2007)*(gross.world.2007&gt;=$A45)*(gross.world.2007&lt;$A46),gross.world.2007))</f>
        <v>0</v>
      </c>
      <c r="E45" s="40">
        <f t="array" ref="E45">COUNT(IF(YEAR(date.2008)*(gross.world.2008&gt;=$A45)*(gross.world.2008&lt;$A46),gross.world.2008))</f>
        <v>0</v>
      </c>
      <c r="F45" s="40">
        <f t="array" ref="F45">COUNT(IF(YEAR(date.2009)*(gross.world.2009&gt;=$A45)*(gross.world.2009&lt;$A46),gross.world.2009))</f>
        <v>0</v>
      </c>
      <c r="G45" s="40">
        <f t="array" ref="G45">COUNT(IF(YEAR(date.2010)*(gross.world.2010&gt;=A45)*(gross.world.2010&lt;A46),gross.world.2010))</f>
        <v>1</v>
      </c>
      <c r="H45" s="39">
        <f>SUM(C45:C$45)</f>
        <v>1</v>
      </c>
      <c r="I45" s="39">
        <f>SUM(D45:D$45)</f>
        <v>0</v>
      </c>
      <c r="J45" s="39">
        <f>SUM(E$45:E45)</f>
        <v>0</v>
      </c>
      <c r="K45" s="39">
        <f>SUM(F$45:F45)</f>
        <v>0</v>
      </c>
      <c r="L45" s="39">
        <f>SUM(G$45:G45)</f>
        <v>1</v>
      </c>
      <c r="M45" s="36">
        <f t="array" ref="M45">SUM(IF(YEAR(date.2006)*(gross.world.2006&gt;=$A45)*(gross.world.2006&lt;$A46),gross.world.2006))</f>
        <v>1065659812</v>
      </c>
      <c r="N45" s="36">
        <f t="array" ref="N45">SUM(IF(YEAR(date.2007)*(gross.world.2007&gt;=$A45)*(gross.world.2007&lt;$A46),gross.world.2007))</f>
        <v>0</v>
      </c>
      <c r="O45" s="36">
        <f t="array" ref="O45">SUM(IF(YEAR(date.2008)*(gross.world.2008&gt;=$A45)*(gross.world.2008&lt;$A46),gross.world.2008))</f>
        <v>0</v>
      </c>
      <c r="P45" s="36">
        <f t="array" ref="P45">SUM(IF(YEAR(date.2009)*(gross.world.2009&gt;=$A45)*(gross.world.2009&lt;$A46),gross.world.2009))</f>
        <v>0</v>
      </c>
      <c r="Q45" s="36">
        <f t="array" ref="Q45">SUM(IF(YEAR(date.2010)*(gross.world.2010&gt;=$A45)*(gross.world.2010&lt;$A46),gross.world.2010))</f>
        <v>1064184497</v>
      </c>
      <c r="R45" s="53">
        <f>SUM(C45:C$48)/C$49</f>
        <v>3.2362459546925568E-3</v>
      </c>
      <c r="S45" s="53">
        <f>SUM(D45:D$48)/D$49</f>
        <v>0</v>
      </c>
      <c r="T45" s="53">
        <f>SUM(E45:E$48)/E$49</f>
        <v>0</v>
      </c>
      <c r="U45" s="53">
        <f>SUM(F45:F$48)/F$49</f>
        <v>3.1847133757961785E-3</v>
      </c>
      <c r="V45" s="53">
        <f>SUM(G45:G$48)/G$49</f>
        <v>4.8543689320388345E-3</v>
      </c>
      <c r="W45" s="53">
        <f>SUM(M45:M$48)/M$49</f>
        <v>5.4334841028120598E-2</v>
      </c>
      <c r="X45" s="53">
        <f>SUM(N45:N$48)/N$49</f>
        <v>0</v>
      </c>
      <c r="Y45" s="53">
        <f>SUM(O45:O$48)/O$49</f>
        <v>0</v>
      </c>
      <c r="Z45" s="53">
        <f>SUM(P45:P$48)/P$49</f>
        <v>0.11045111618150909</v>
      </c>
      <c r="AA45" s="53">
        <f>SUM(Q45:Q$48)/Q$49</f>
        <v>4.8087259651241193E-2</v>
      </c>
    </row>
    <row r="46" spans="1:27" x14ac:dyDescent="0.2">
      <c r="A46" s="36">
        <f t="shared" si="1"/>
        <v>1075000000</v>
      </c>
      <c r="B46" s="36">
        <f t="shared" si="0"/>
        <v>1100</v>
      </c>
      <c r="C46" s="40">
        <f t="array" ref="C46">COUNT(IF(YEAR(date.2006)*(gross.world.2006&gt;=$A46)*(gross.world.2006&lt;$A47),gross.world.2006))</f>
        <v>0</v>
      </c>
      <c r="D46" s="40">
        <f t="array" ref="D46">COUNT(IF(YEAR(date.2007)*(gross.world.2007&gt;=$A46)*(gross.world.2007&lt;$A47),gross.world.2007))</f>
        <v>0</v>
      </c>
      <c r="E46" s="40">
        <f t="array" ref="E46">COUNT(IF(YEAR(date.2008)*(gross.world.2008&gt;=$A46)*(gross.world.2008&lt;$A47),gross.world.2008))</f>
        <v>0</v>
      </c>
      <c r="F46" s="40">
        <f t="array" ref="F46">COUNT(IF(YEAR(date.2009)*(gross.world.2009&gt;=$A46)*(gross.world.2009&lt;$A47),gross.world.2009))</f>
        <v>0</v>
      </c>
      <c r="G46" s="40">
        <f t="array" ref="G46">COUNT(IF(YEAR(date.2010)*(gross.world.2010&gt;=A46)*(gross.world.2010&lt;#REF!),gross.world.2010))</f>
        <v>0</v>
      </c>
      <c r="H46" s="39">
        <f>SUM(C$45:C46)</f>
        <v>1</v>
      </c>
      <c r="I46" s="39">
        <f>SUM(D$45:D46)</f>
        <v>0</v>
      </c>
      <c r="J46" s="39">
        <f>SUM(E$45:E46)</f>
        <v>0</v>
      </c>
      <c r="K46" s="39">
        <f>SUM(F$45:F46)</f>
        <v>0</v>
      </c>
      <c r="L46" s="39">
        <f>SUM(G$45:G46)</f>
        <v>1</v>
      </c>
      <c r="M46" s="36">
        <f t="array" ref="M46">SUM(IF(YEAR(date.2006)*(gross.world.2006&gt;=$A46)*(gross.world.2006&lt;$A47),gross.world.2006))</f>
        <v>0</v>
      </c>
      <c r="N46" s="36">
        <f t="array" ref="N46">SUM(IF(YEAR(date.2007)*(gross.world.2007&gt;=$A46)*(gross.world.2007&lt;$A47),gross.world.2007))</f>
        <v>0</v>
      </c>
      <c r="O46" s="36">
        <f t="array" ref="O46">SUM(IF(YEAR(date.2008)*(gross.world.2008&gt;=$A46)*(gross.world.2008&lt;$A47),gross.world.2008))</f>
        <v>0</v>
      </c>
      <c r="P46" s="36">
        <f t="array" ref="P46">SUM(IF(YEAR(date.2009)*(gross.world.2009&gt;=$A46)*(gross.world.2009&lt;$A47),gross.world.2009))</f>
        <v>0</v>
      </c>
      <c r="Q46" s="36">
        <f t="array" ref="Q46">SUM(IF(YEAR(date.2010)*(gross.world.2010&gt;=$A46)*(gross.world.2010&lt;$A47),gross.world.2010))</f>
        <v>0</v>
      </c>
      <c r="R46" s="53">
        <f>SUM(C46:C$48)/C$49</f>
        <v>0</v>
      </c>
      <c r="S46" s="53">
        <f>SUM(D46:D$48)/D$49</f>
        <v>0</v>
      </c>
      <c r="T46" s="53">
        <f>SUM(E46:E$48)/E$49</f>
        <v>0</v>
      </c>
      <c r="U46" s="53">
        <f>SUM(F46:F$48)/F$49</f>
        <v>3.1847133757961785E-3</v>
      </c>
      <c r="V46" s="53">
        <f>SUM(G46:G$48)/G$49</f>
        <v>0</v>
      </c>
      <c r="W46" s="53">
        <f>SUM(M46:M$48)/M$49</f>
        <v>0</v>
      </c>
      <c r="X46" s="53">
        <f>SUM(N46:N$48)/N$49</f>
        <v>0</v>
      </c>
      <c r="Y46" s="53">
        <f>SUM(O46:O$48)/O$49</f>
        <v>0</v>
      </c>
      <c r="Z46" s="53">
        <f>SUM(P46:P$48)/P$49</f>
        <v>0.11045111618150909</v>
      </c>
      <c r="AA46" s="53">
        <f>SUM(Q46:Q$48)/Q$49</f>
        <v>0</v>
      </c>
    </row>
    <row r="47" spans="1:27" x14ac:dyDescent="0.2">
      <c r="A47" s="36">
        <f t="shared" si="1"/>
        <v>1100000000</v>
      </c>
      <c r="B47" s="36">
        <f t="shared" si="0"/>
        <v>3000</v>
      </c>
      <c r="C47" s="40">
        <f t="array" ref="C47">COUNT(IF(YEAR(date.2006)*(gross.world.2006&gt;=$A47)*(gross.world.2006&lt;$A48),gross.world.2006))</f>
        <v>0</v>
      </c>
      <c r="D47" s="40">
        <f t="array" ref="D47">COUNT(IF(YEAR(date.2007)*(gross.world.2007&gt;=$A47)*(gross.world.2007&lt;$A48),gross.world.2007))</f>
        <v>0</v>
      </c>
      <c r="E47" s="40">
        <f t="array" ref="E47">COUNT(IF(YEAR(date.2008)*(gross.world.2008&gt;=$A47)*(gross.world.2008&lt;$A48),gross.world.2008))</f>
        <v>0</v>
      </c>
      <c r="F47" s="40">
        <f t="array" ref="F47">COUNT(IF(YEAR(date.2009)*(gross.world.2009&gt;=$A47)*(gross.world.2009&lt;$A48),gross.world.2009))</f>
        <v>1</v>
      </c>
      <c r="G47" s="40">
        <f t="array" ref="G47">COUNT(IF(YEAR(date.2010)*(gross.world.2010&gt;=A47)*(gross.world.2010&lt;A49),gross.world.2010))</f>
        <v>0</v>
      </c>
      <c r="H47" s="39">
        <f>SUM(C$45:C47)</f>
        <v>1</v>
      </c>
      <c r="I47" s="39">
        <f>SUM(D$45:D47)</f>
        <v>0</v>
      </c>
      <c r="J47" s="39">
        <f>SUM(E$45:E47)</f>
        <v>0</v>
      </c>
      <c r="K47" s="39">
        <f>SUM(F$45:F47)</f>
        <v>1</v>
      </c>
      <c r="L47" s="39">
        <f>SUM(G$45:G47)</f>
        <v>1</v>
      </c>
      <c r="M47" s="36">
        <f t="array" ref="M47">SUM(IF(YEAR(date.2006)*(gross.world.2006&gt;=$A47)*(gross.world.2006&lt;$A48),gross.world.2006))</f>
        <v>0</v>
      </c>
      <c r="N47" s="36">
        <f t="array" ref="N47">SUM(IF(YEAR(date.2007)*(gross.world.2007&gt;=$A47)*(gross.world.2007&lt;$A48),gross.world.2007))</f>
        <v>0</v>
      </c>
      <c r="O47" s="36">
        <f t="array" ref="O47">SUM(IF(YEAR(date.2008)*(gross.world.2008&gt;=$A47)*(gross.world.2008&lt;$A48),gross.world.2008))</f>
        <v>0</v>
      </c>
      <c r="P47" s="36">
        <f t="array" ref="P47">SUM(IF(YEAR(date.2009)*(gross.world.2009&gt;=$A47)*(gross.world.2009&lt;$A48),gross.world.2009))</f>
        <v>2782612870</v>
      </c>
      <c r="Q47" s="36">
        <f t="array" ref="Q47">SUM(IF(YEAR(date.2010)*(gross.world.2010&gt;=$A47)*(gross.world.2010&lt;$A48),gross.world.2010))</f>
        <v>0</v>
      </c>
      <c r="R47" s="53">
        <f>SUM(C47:C$48)/C$49</f>
        <v>0</v>
      </c>
      <c r="S47" s="53">
        <f>SUM(D47:D$48)/D$49</f>
        <v>0</v>
      </c>
      <c r="T47" s="53">
        <f>SUM(E47:E$48)/E$49</f>
        <v>0</v>
      </c>
      <c r="U47" s="53">
        <f>SUM(F47:F$48)/F$49</f>
        <v>3.1847133757961785E-3</v>
      </c>
      <c r="V47" s="53">
        <f>SUM(G47:G$48)/G$49</f>
        <v>0</v>
      </c>
      <c r="W47" s="53">
        <f>SUM(M47:M$48)/M$49</f>
        <v>0</v>
      </c>
      <c r="X47" s="53">
        <f>SUM(N47:N$48)/N$49</f>
        <v>0</v>
      </c>
      <c r="Y47" s="53">
        <f>SUM(O47:O$48)/O$49</f>
        <v>0</v>
      </c>
      <c r="Z47" s="53">
        <f>SUM(P47:P$48)/P$49</f>
        <v>0.11045111618150909</v>
      </c>
      <c r="AA47" s="53">
        <f>SUM(Q47:Q$48)/Q$49</f>
        <v>0</v>
      </c>
    </row>
    <row r="48" spans="1:27" x14ac:dyDescent="0.2">
      <c r="A48" s="36">
        <v>3000000000</v>
      </c>
      <c r="B48" s="36"/>
      <c r="C48" s="40">
        <f t="array" ref="C48">COUNT(IF(YEAR(date.2006)*(gross.world.2006&gt;=$A48)*(gross.world.2006&lt;$A49),gross.world.2006))</f>
        <v>0</v>
      </c>
      <c r="D48" s="40">
        <f t="array" ref="D48">COUNT(IF(YEAR(date.2007)*(gross.world.2007&gt;=$A48)*(gross.world.2007&lt;$A49),gross.world.2007))</f>
        <v>0</v>
      </c>
      <c r="E48" s="40">
        <f t="array" ref="E48">COUNT(IF(YEAR(date.2008)*(gross.world.2008&gt;=$A48)*(gross.world.2008&lt;$A49),gross.world.2008))</f>
        <v>0</v>
      </c>
      <c r="F48" s="40">
        <f t="array" ref="F48">COUNT(IF(YEAR(date.2009)*(gross.world.2009&gt;=$A48)*(gross.world.2009&lt;#REF!),gross.world.2009))</f>
        <v>0</v>
      </c>
      <c r="G48" s="40">
        <f t="array" ref="G48">COUNT(IF(YEAR(date.2010)*(gross.world.2010&gt;=A48)*(gross.world.2010&lt;A50),gross.world.2010))</f>
        <v>0</v>
      </c>
      <c r="H48" s="39">
        <f>SUM(C$45:C48)</f>
        <v>1</v>
      </c>
      <c r="I48" s="39">
        <f>SUM(D$45:D48)</f>
        <v>0</v>
      </c>
      <c r="J48" s="39">
        <f>SUM(E$45:E48)</f>
        <v>0</v>
      </c>
      <c r="K48" s="39">
        <f>SUM(F$45:F48)</f>
        <v>1</v>
      </c>
      <c r="L48" s="39">
        <f>SUM(G$45:G48)</f>
        <v>1</v>
      </c>
      <c r="M48" s="36">
        <f t="array" ref="M48">SUM(IF(YEAR(date.2006)*(gross.world.2006&gt;=$A48)*(gross.world.2006&lt;$A49),gross.world.2006))</f>
        <v>0</v>
      </c>
      <c r="N48" s="36">
        <f t="array" ref="N48">SUM(IF(YEAR(date.2007)*(gross.world.2007&gt;=$A48)*(gross.world.2007&lt;$A49),gross.world.2007))</f>
        <v>0</v>
      </c>
      <c r="O48" s="36">
        <f t="array" ref="O48">SUM(IF(YEAR(date.2008)*(gross.world.2008&gt;=$A48)*(gross.world.2008&lt;$A49),gross.world.2008))</f>
        <v>0</v>
      </c>
      <c r="P48" s="36">
        <f t="array" ref="P48">SUM(IF(YEAR(date.2009)*(gross.world.2009&gt;=$A48)*(gross.world.2009&lt;$A49),gross.world.2009))</f>
        <v>0</v>
      </c>
      <c r="Q48" s="36">
        <f t="array" ref="Q48">SUM(IF(YEAR(date.2010)*(gross.world.2010&gt;=$A48)*(gross.world.2010&lt;$A49),gross.world.2010))</f>
        <v>0</v>
      </c>
      <c r="R48" s="53">
        <f>SUM(C48:C$48)/C$49</f>
        <v>0</v>
      </c>
      <c r="S48" s="53">
        <f>SUM(D48:D$48)/D$49</f>
        <v>0</v>
      </c>
      <c r="T48" s="53">
        <f>SUM(E48:E$48)/E$49</f>
        <v>0</v>
      </c>
      <c r="U48" s="53">
        <f>SUM(F48:F$48)/F$49</f>
        <v>0</v>
      </c>
      <c r="V48" s="53">
        <f>SUM(G48:G$48)/G$49</f>
        <v>0</v>
      </c>
      <c r="W48" s="53">
        <f>SUM(M48:M$48)/M$49</f>
        <v>0</v>
      </c>
      <c r="X48" s="53">
        <f>SUM(N48:N$48)/N$49</f>
        <v>0</v>
      </c>
      <c r="Y48" s="53">
        <f>SUM(O48:O$48)/O$49</f>
        <v>0</v>
      </c>
      <c r="Z48" s="53">
        <f>SUM(P48:P$48)/P$49</f>
        <v>0</v>
      </c>
      <c r="AA48" s="53">
        <f>SUM(Q48:Q$48)/Q$49</f>
        <v>0</v>
      </c>
    </row>
    <row r="49" spans="1:42" x14ac:dyDescent="0.2">
      <c r="A49" s="43"/>
      <c r="B49" s="43"/>
      <c r="C49" s="44">
        <f>SUM(C3:C48)</f>
        <v>309</v>
      </c>
      <c r="D49" s="44">
        <f>SUM(D3:D48)</f>
        <v>447</v>
      </c>
      <c r="E49" s="44">
        <f>SUM(E3:E48)</f>
        <v>463</v>
      </c>
      <c r="F49" s="44">
        <f>SUM(F3:F48)</f>
        <v>314</v>
      </c>
      <c r="G49" s="44">
        <f>SUM(G3:G48)</f>
        <v>206</v>
      </c>
      <c r="H49" s="44"/>
      <c r="I49" s="44"/>
      <c r="J49" s="45"/>
      <c r="K49" s="46"/>
      <c r="L49" s="46"/>
      <c r="M49" s="45">
        <f>SUM(M3:M48)</f>
        <v>19612826537</v>
      </c>
      <c r="N49" s="45">
        <f>SUM(N3:N48)</f>
        <v>22598703638</v>
      </c>
      <c r="O49" s="45">
        <f>SUM(O3:O48)</f>
        <v>23274128793</v>
      </c>
      <c r="P49" s="45">
        <f>SUM(P3:P48)</f>
        <v>25193162063</v>
      </c>
      <c r="Q49" s="45">
        <f>SUM(Q3:Q48)</f>
        <v>22130279511</v>
      </c>
      <c r="R49" s="45"/>
      <c r="S49" s="45"/>
      <c r="T49" s="45"/>
      <c r="U49" s="45"/>
      <c r="V49" s="45"/>
      <c r="W49" s="45"/>
      <c r="X49" s="45"/>
      <c r="Y49" s="46"/>
      <c r="Z49" s="46"/>
      <c r="AA49" s="46"/>
    </row>
    <row r="50" spans="1:42" x14ac:dyDescent="0.2">
      <c r="A50" s="36"/>
      <c r="B50" s="36"/>
      <c r="C50" s="52">
        <f t="array" ref="C50">COUNT(IF(YEAR(date.2006)*(gross.world.2006&gt;=0),gross.world.2006))</f>
        <v>309</v>
      </c>
      <c r="D50" s="52">
        <f t="array" ref="D50">COUNT(IF(YEAR(date.2007)*(gross.world.2007&gt;=0),gross.world.2007))</f>
        <v>447</v>
      </c>
      <c r="E50" s="52">
        <f t="array" ref="E50">COUNT(IF(YEAR(date.2008)*(gross.world.2008&gt;=0),gross.world.2008))</f>
        <v>463</v>
      </c>
      <c r="F50" s="52">
        <f t="array" ref="F50">COUNT(IF(YEAR(date.2009)*(gross.world.2009&gt;=0),gross.world.2009))</f>
        <v>314</v>
      </c>
      <c r="G50" s="52">
        <f t="array" ref="G50">COUNT(IF(YEAR(date.2010)*(gross.world.2010&gt;=0),gross.world.2010))</f>
        <v>206</v>
      </c>
      <c r="J50" s="41"/>
      <c r="M50" s="45">
        <f t="array" ref="M50">SUM(IF(YEAR(date.2006)*(gross.world.2006&gt;=0),gross.world.2006))</f>
        <v>19612826537</v>
      </c>
      <c r="N50" s="45">
        <f t="array" ref="N50">SUM(IF(YEAR(date.2007)*(gross.world.2007&gt;=0),gross.world.2007))</f>
        <v>22598703638</v>
      </c>
      <c r="O50" s="45">
        <f t="array" ref="O50">SUM(IF(YEAR(date.2008)*(gross.world.2008&gt;=0),gross.world.2008))</f>
        <v>23274128793</v>
      </c>
      <c r="P50" s="45">
        <f t="array" ref="P50">SUM(IF(YEAR(date.2009)*(gross.world.2009&gt;=0),gross.world.2009))</f>
        <v>25193162063</v>
      </c>
      <c r="Q50" s="45">
        <f t="array" ref="Q50">SUM(IF(YEAR(date.2010)*(gross.world.2010&gt;=0),gross.world.2010))</f>
        <v>22130279511</v>
      </c>
      <c r="R50" s="41"/>
      <c r="S50" s="41"/>
      <c r="T50" s="41"/>
      <c r="U50" s="41"/>
      <c r="V50" s="41"/>
      <c r="W50" s="41"/>
      <c r="X50" s="41"/>
    </row>
    <row r="51" spans="1:42" x14ac:dyDescent="0.2">
      <c r="A51" s="36"/>
      <c r="B51" s="36"/>
      <c r="C51" s="39" t="b">
        <f>C49=C50</f>
        <v>1</v>
      </c>
      <c r="D51" s="39" t="b">
        <f>D49=D50</f>
        <v>1</v>
      </c>
      <c r="E51" s="39" t="b">
        <f>E49=E50</f>
        <v>1</v>
      </c>
      <c r="F51" s="39" t="b">
        <f>F49=F50</f>
        <v>1</v>
      </c>
      <c r="G51" s="39" t="b">
        <f>G49=G50</f>
        <v>1</v>
      </c>
      <c r="H51" s="40"/>
      <c r="I51" s="40"/>
      <c r="J51" s="40"/>
      <c r="M51" s="41" t="b">
        <f>M49=M50</f>
        <v>1</v>
      </c>
      <c r="N51" s="41" t="b">
        <f>N49=N50</f>
        <v>1</v>
      </c>
      <c r="O51" s="41" t="b">
        <f>O49=O50</f>
        <v>1</v>
      </c>
      <c r="P51" s="41" t="b">
        <f>P49=P50</f>
        <v>1</v>
      </c>
      <c r="Q51" s="41" t="b">
        <f>Q49=Q50</f>
        <v>1</v>
      </c>
    </row>
    <row r="52" spans="1:42" ht="15" x14ac:dyDescent="0.2">
      <c r="A52" s="36"/>
      <c r="B52" s="36"/>
      <c r="C52" s="90"/>
      <c r="D52" s="90"/>
      <c r="E52" s="90"/>
      <c r="F52" s="90"/>
      <c r="G52" s="90"/>
      <c r="H52" s="40"/>
      <c r="I52" s="40"/>
      <c r="J52" s="40"/>
    </row>
    <row r="53" spans="1:42" ht="15" x14ac:dyDescent="0.25">
      <c r="A53" s="36"/>
      <c r="B53" s="36"/>
      <c r="C53" s="52">
        <v>2006</v>
      </c>
      <c r="D53" s="52">
        <v>2007</v>
      </c>
      <c r="E53" s="57">
        <v>2008</v>
      </c>
      <c r="F53" s="57">
        <v>2009</v>
      </c>
      <c r="G53" s="42">
        <v>2010</v>
      </c>
      <c r="H53" s="52">
        <v>2006</v>
      </c>
      <c r="I53" s="52">
        <v>2007</v>
      </c>
      <c r="J53" s="57">
        <v>2008</v>
      </c>
      <c r="K53" s="57">
        <v>2009</v>
      </c>
      <c r="L53" s="42">
        <v>2010</v>
      </c>
      <c r="M53" s="52">
        <v>2006</v>
      </c>
      <c r="N53" s="52">
        <v>2007</v>
      </c>
      <c r="O53" s="57">
        <v>2008</v>
      </c>
      <c r="P53" s="57">
        <v>2009</v>
      </c>
      <c r="Q53" s="42">
        <v>2010</v>
      </c>
      <c r="R53" s="86" t="s">
        <v>5377</v>
      </c>
      <c r="S53" s="86" t="s">
        <v>5378</v>
      </c>
      <c r="T53" s="86"/>
      <c r="U53" s="86" t="s">
        <v>5379</v>
      </c>
      <c r="V53" s="86" t="s">
        <v>5380</v>
      </c>
      <c r="W53" s="78">
        <v>2006</v>
      </c>
      <c r="X53" s="78">
        <v>2007</v>
      </c>
      <c r="Y53" s="78">
        <v>2008</v>
      </c>
      <c r="Z53" s="79">
        <v>2009</v>
      </c>
      <c r="AA53" s="79">
        <v>2010</v>
      </c>
      <c r="AB53" s="71">
        <v>2006</v>
      </c>
      <c r="AC53" s="71">
        <v>2007</v>
      </c>
      <c r="AD53" s="71">
        <v>2008</v>
      </c>
      <c r="AE53" s="74">
        <v>2009</v>
      </c>
      <c r="AF53" s="74">
        <v>2010</v>
      </c>
      <c r="AG53" s="78">
        <v>2006</v>
      </c>
      <c r="AH53" s="78">
        <v>2007</v>
      </c>
      <c r="AI53" s="78">
        <v>2008</v>
      </c>
      <c r="AJ53" s="79">
        <v>2009</v>
      </c>
      <c r="AK53" s="79">
        <v>2010</v>
      </c>
      <c r="AL53" s="72" t="s">
        <v>5377</v>
      </c>
      <c r="AM53" s="72" t="s">
        <v>5381</v>
      </c>
      <c r="AN53" s="72"/>
      <c r="AO53" s="72" t="s">
        <v>5379</v>
      </c>
      <c r="AP53" s="72" t="s">
        <v>5380</v>
      </c>
    </row>
    <row r="54" spans="1:42" ht="12" customHeight="1" x14ac:dyDescent="0.2">
      <c r="A54" s="47">
        <v>40558</v>
      </c>
      <c r="B54" s="47"/>
      <c r="C54" s="40">
        <f t="array" ref="C54">COUNT(IF(    (MONTH(date.2006)=MONTH($A54))*(gross.world.2006&gt;=0),gross.world.2006))</f>
        <v>15</v>
      </c>
      <c r="D54" s="40">
        <f t="array" ref="D54">COUNT(IF(    (MONTH(date.2007)=MONTH($A54))*(gross.world.2007&gt;=0),gross.world.2007))</f>
        <v>12</v>
      </c>
      <c r="E54" s="40">
        <f t="array" ref="E54">COUNT(IF(    (MONTH(date.2008)=MONTH($A54))*(gross.world.2008&gt;=0),gross.world.2008))</f>
        <v>40</v>
      </c>
      <c r="F54" s="40">
        <f t="array" ref="F54">COUNT(IF(    (MONTH(date.2009)=MONTH($A54))*(gross.world.2009&gt;=0),gross.world.2009))</f>
        <v>17</v>
      </c>
      <c r="G54" s="40">
        <f t="array" ref="G54">COUNT(IF(    (MONTH(date.2010)=MONTH($A54))*(gross.world.2010&gt;=0),gross.world.2010))</f>
        <v>18</v>
      </c>
      <c r="H54" s="62">
        <f>C54/C$66</f>
        <v>4.8543689320388349E-2</v>
      </c>
      <c r="I54" s="62">
        <f t="shared" ref="I54:L65" si="2">D54/D$66</f>
        <v>2.6845637583892617E-2</v>
      </c>
      <c r="J54" s="62">
        <f t="shared" si="2"/>
        <v>8.6393088552915762E-2</v>
      </c>
      <c r="K54" s="62">
        <f t="shared" si="2"/>
        <v>5.4140127388535034E-2</v>
      </c>
      <c r="L54" s="62">
        <f t="shared" si="2"/>
        <v>8.7378640776699032E-2</v>
      </c>
      <c r="M54" s="53">
        <f>SUM(H$54:H54)</f>
        <v>4.8543689320388349E-2</v>
      </c>
      <c r="N54" s="53">
        <f>SUM(I$54:I54)</f>
        <v>2.6845637583892617E-2</v>
      </c>
      <c r="O54" s="53">
        <f>SUM(J$54:J54)</f>
        <v>8.6393088552915762E-2</v>
      </c>
      <c r="P54" s="53">
        <f>SUM(K$54:K54)</f>
        <v>5.4140127388535034E-2</v>
      </c>
      <c r="Q54" s="53">
        <f>SUM(L$54:L54)</f>
        <v>8.7378640776699032E-2</v>
      </c>
      <c r="R54" s="53">
        <f>AVERAGE(H54:L54)</f>
        <v>6.0660236724486158E-2</v>
      </c>
      <c r="S54" s="53">
        <f>STDEV(H54:L54)</f>
        <v>2.6023078411809543E-2</v>
      </c>
      <c r="U54" s="65">
        <f>R54-2*S54</f>
        <v>8.6140799008670721E-3</v>
      </c>
      <c r="V54" s="66">
        <f>R54+2*S54</f>
        <v>0.11270639354810524</v>
      </c>
      <c r="W54" s="75">
        <f t="array" ref="W54">SUM(IF(    (MONTH(date.2006)=MONTH($A54))*(gross.world.2006&gt;=0),gross.world.2006))</f>
        <v>623814782</v>
      </c>
      <c r="X54" s="75">
        <f t="array" ref="X54">SUM(IF(    (MONTH(date.2007)=MONTH($A54))*(gross.world.2007&gt;=0),gross.world.2007))</f>
        <v>374000900</v>
      </c>
      <c r="Y54" s="75">
        <f t="array" ref="Y54">SUM(IF(    (MONTH(date.2008)=MONTH($A54))*(gross.world.2008&gt;=0),gross.world.2008))</f>
        <v>1091414314</v>
      </c>
      <c r="Z54" s="75">
        <f t="array" ref="Z54">SUM(IF(    (MONTH(date.2009)=MONTH($A54))*(gross.world.2009&gt;=0),gross.world.2009))</f>
        <v>1145463189</v>
      </c>
      <c r="AA54" s="75">
        <f t="array" ref="AA54">SUM(IF(    (MONTH(date.2010)=MONTH($A54))*(gross.world.2010&gt;=0),gross.world.2010))</f>
        <v>662714474</v>
      </c>
      <c r="AB54" s="76">
        <f>W54/W$66</f>
        <v>3.1806470159880355E-2</v>
      </c>
      <c r="AC54" s="76">
        <f t="shared" ref="AC54:AF65" si="3">X54/X$66</f>
        <v>1.6549661697014904E-2</v>
      </c>
      <c r="AD54" s="76">
        <f t="shared" si="3"/>
        <v>4.6893884781124745E-2</v>
      </c>
      <c r="AE54" s="76">
        <f t="shared" si="3"/>
        <v>4.5467225834357944E-2</v>
      </c>
      <c r="AF54" s="76">
        <f t="shared" si="3"/>
        <v>2.9946050779457774E-2</v>
      </c>
      <c r="AG54" s="77">
        <f>SUM(AB$54:AB54)</f>
        <v>3.1806470159880355E-2</v>
      </c>
      <c r="AH54" s="77">
        <f>SUM(AC$54:AC54)</f>
        <v>1.6549661697014904E-2</v>
      </c>
      <c r="AI54" s="77">
        <f>SUM(AD$54:AD54)</f>
        <v>4.6893884781124745E-2</v>
      </c>
      <c r="AJ54" s="77">
        <f>SUM(AE$54:AE54)</f>
        <v>4.5467225834357944E-2</v>
      </c>
      <c r="AK54" s="77">
        <f>SUM(AF$54:AF54)</f>
        <v>2.9946050779457774E-2</v>
      </c>
      <c r="AL54" s="73">
        <f t="shared" ref="AL54:AL65" si="4">AVERAGE(AB54:AF54)</f>
        <v>3.4132658650367145E-2</v>
      </c>
      <c r="AM54" s="80">
        <f t="shared" ref="AM54:AM65" si="5">STDEV(AB54:AF54)</f>
        <v>1.2484209284415654E-2</v>
      </c>
      <c r="AN54" s="81"/>
      <c r="AO54" s="82">
        <f>AL54-2*AM54</f>
        <v>9.1642400815358377E-3</v>
      </c>
      <c r="AP54" s="82">
        <f>AL54+2*AM54</f>
        <v>5.9101077219198453E-2</v>
      </c>
    </row>
    <row r="55" spans="1:42" x14ac:dyDescent="0.2">
      <c r="A55" s="47">
        <f>DATE(YEAR(A54),MONTH(A54)+1,15)</f>
        <v>40589</v>
      </c>
      <c r="B55" s="47"/>
      <c r="C55" s="40">
        <f t="array" ref="C55">COUNT(IF(    (MONTH(date.2006)=MONTH($A55))*(gross.world.2006&gt;=0),gross.world.2006))</f>
        <v>21</v>
      </c>
      <c r="D55" s="40">
        <f t="array" ref="D55">COUNT(IF(    (MONTH(date.2007)=MONTH($A55))*(gross.world.2007&gt;=0),gross.world.2007))</f>
        <v>19</v>
      </c>
      <c r="E55" s="40">
        <f t="array" ref="E55">COUNT(IF(    (MONTH(date.2008)=MONTH($A55))*(gross.world.2008&gt;=0),gross.world.2008))</f>
        <v>43</v>
      </c>
      <c r="F55" s="40">
        <f t="array" ref="F55">COUNT(IF(    (MONTH(date.2009)=MONTH($A55))*(gross.world.2009&gt;=0),gross.world.2009))</f>
        <v>17</v>
      </c>
      <c r="G55" s="40">
        <f t="array" ref="G55">COUNT(IF(    (MONTH(date.2010)=MONTH($A55))*(gross.world.2010&gt;=0),gross.world.2010))</f>
        <v>16</v>
      </c>
      <c r="H55" s="62">
        <f t="shared" ref="H55:H65" si="6">C55/C$66</f>
        <v>6.7961165048543687E-2</v>
      </c>
      <c r="I55" s="62">
        <f t="shared" si="2"/>
        <v>4.2505592841163314E-2</v>
      </c>
      <c r="J55" s="62">
        <f t="shared" si="2"/>
        <v>9.2872570194384454E-2</v>
      </c>
      <c r="K55" s="62">
        <f t="shared" si="2"/>
        <v>5.4140127388535034E-2</v>
      </c>
      <c r="L55" s="62">
        <f t="shared" si="2"/>
        <v>7.7669902912621352E-2</v>
      </c>
      <c r="M55" s="53">
        <f>SUM(H$54:H55)</f>
        <v>0.11650485436893204</v>
      </c>
      <c r="N55" s="53">
        <f>SUM(I$54:I55)</f>
        <v>6.9351230425055935E-2</v>
      </c>
      <c r="O55" s="53">
        <f>SUM(J$54:J55)</f>
        <v>0.17926565874730022</v>
      </c>
      <c r="P55" s="53">
        <f>SUM(K$54:K55)</f>
        <v>0.10828025477707007</v>
      </c>
      <c r="Q55" s="53">
        <f>SUM(L$54:L55)</f>
        <v>0.16504854368932037</v>
      </c>
      <c r="R55" s="53">
        <f t="shared" ref="R55:R65" si="7">AVERAGE(H55:L55)</f>
        <v>6.7029871677049574E-2</v>
      </c>
      <c r="S55" s="53">
        <f t="shared" ref="S55:S65" si="8">STDEV(H55:L55)</f>
        <v>1.9681897767613678E-2</v>
      </c>
      <c r="U55" s="65">
        <f t="shared" ref="U55:U65" si="9">R55-2*S55</f>
        <v>2.7666076141822218E-2</v>
      </c>
      <c r="V55" s="66">
        <f t="shared" ref="V55:V65" si="10">R55+2*S55</f>
        <v>0.10639366721227693</v>
      </c>
      <c r="W55" s="75">
        <f t="array" ref="W55">SUM(IF(    (MONTH(date.2006)=MONTH($A55))*(gross.world.2006&gt;=0),gross.world.2006))</f>
        <v>1003861407</v>
      </c>
      <c r="X55" s="75">
        <f t="array" ref="X55">SUM(IF(    (MONTH(date.2007)=MONTH($A55))*(gross.world.2007&gt;=0),gross.world.2007))</f>
        <v>1246171123</v>
      </c>
      <c r="Y55" s="75">
        <f t="array" ref="Y55">SUM(IF(    (MONTH(date.2008)=MONTH($A55))*(gross.world.2008&gt;=0),gross.world.2008))</f>
        <v>1516126329</v>
      </c>
      <c r="Z55" s="75">
        <f t="array" ref="Z55">SUM(IF(    (MONTH(date.2009)=MONTH($A55))*(gross.world.2009&gt;=0),gross.world.2009))</f>
        <v>820875088</v>
      </c>
      <c r="AA55" s="75">
        <f t="array" ref="AA55">SUM(IF(    (MONTH(date.2010)=MONTH($A55))*(gross.world.2010&gt;=0),gross.world.2010))</f>
        <v>1348027176</v>
      </c>
      <c r="AB55" s="76">
        <f t="shared" ref="AB55:AB65" si="11">W55/W$66</f>
        <v>5.1183923189561428E-2</v>
      </c>
      <c r="AC55" s="76">
        <f t="shared" si="3"/>
        <v>5.5143478270344139E-2</v>
      </c>
      <c r="AD55" s="76">
        <f t="shared" si="3"/>
        <v>6.5142130237587886E-2</v>
      </c>
      <c r="AE55" s="76">
        <f t="shared" si="3"/>
        <v>3.2583249611432469E-2</v>
      </c>
      <c r="AF55" s="76">
        <f t="shared" si="3"/>
        <v>6.0913246727405966E-2</v>
      </c>
      <c r="AG55" s="77">
        <f>SUM(AB$54:AB55)</f>
        <v>8.2990393349441777E-2</v>
      </c>
      <c r="AH55" s="77">
        <f>SUM(AC$54:AC55)</f>
        <v>7.1693139967359043E-2</v>
      </c>
      <c r="AI55" s="77">
        <f>SUM(AD$54:AD55)</f>
        <v>0.11203601501871263</v>
      </c>
      <c r="AJ55" s="77">
        <f>SUM(AE$54:AE55)</f>
        <v>7.8050475445790413E-2</v>
      </c>
      <c r="AK55" s="77">
        <f>SUM(AF$54:AF55)</f>
        <v>9.0859297506863737E-2</v>
      </c>
      <c r="AL55" s="73">
        <f t="shared" si="4"/>
        <v>5.2993205607266378E-2</v>
      </c>
      <c r="AM55" s="80">
        <f t="shared" si="5"/>
        <v>1.2597488838677381E-2</v>
      </c>
      <c r="AN55" s="81"/>
      <c r="AO55" s="82">
        <f t="shared" ref="AO55:AO65" si="12">AL55-2*AM55</f>
        <v>2.7798227929911615E-2</v>
      </c>
      <c r="AP55" s="82">
        <f t="shared" ref="AP55:AP65" si="13">AL55+2*AM55</f>
        <v>7.8188183284621141E-2</v>
      </c>
    </row>
    <row r="56" spans="1:42" x14ac:dyDescent="0.2">
      <c r="A56" s="47">
        <f t="shared" ref="A56:A65" si="14">DATE(YEAR(A55),MONTH(A55)+1,15)</f>
        <v>40617</v>
      </c>
      <c r="B56" s="47"/>
      <c r="C56" s="40">
        <f t="array" ref="C56">COUNT(IF(    (MONTH(date.2006)=MONTH($A56))*(gross.world.2006&gt;=0),gross.world.2006))</f>
        <v>24</v>
      </c>
      <c r="D56" s="40">
        <f t="array" ref="D56">COUNT(IF(    (MONTH(date.2007)=MONTH($A56))*(gross.world.2007&gt;=0),gross.world.2007))</f>
        <v>39</v>
      </c>
      <c r="E56" s="40">
        <f t="array" ref="E56">COUNT(IF(    (MONTH(date.2008)=MONTH($A56))*(gross.world.2008&gt;=0),gross.world.2008))</f>
        <v>43</v>
      </c>
      <c r="F56" s="40">
        <f t="array" ref="F56">COUNT(IF(    (MONTH(date.2009)=MONTH($A56))*(gross.world.2009&gt;=0),gross.world.2009))</f>
        <v>43</v>
      </c>
      <c r="G56" s="40">
        <f t="array" ref="G56">COUNT(IF(    (MONTH(date.2010)=MONTH($A56))*(gross.world.2010&gt;=0),gross.world.2010))</f>
        <v>22</v>
      </c>
      <c r="H56" s="62">
        <f t="shared" si="6"/>
        <v>7.7669902912621352E-2</v>
      </c>
      <c r="I56" s="62">
        <f t="shared" si="2"/>
        <v>8.7248322147651006E-2</v>
      </c>
      <c r="J56" s="62">
        <f t="shared" si="2"/>
        <v>9.2872570194384454E-2</v>
      </c>
      <c r="K56" s="62">
        <f t="shared" si="2"/>
        <v>0.13694267515923567</v>
      </c>
      <c r="L56" s="62">
        <f t="shared" si="2"/>
        <v>0.10679611650485436</v>
      </c>
      <c r="M56" s="53">
        <f>SUM(H$54:H56)</f>
        <v>0.1941747572815534</v>
      </c>
      <c r="N56" s="53">
        <f>SUM(I$54:I56)</f>
        <v>0.15659955257270694</v>
      </c>
      <c r="O56" s="53">
        <f>SUM(J$54:J56)</f>
        <v>0.27213822894168466</v>
      </c>
      <c r="P56" s="53">
        <f>SUM(K$54:K56)</f>
        <v>0.24522292993630573</v>
      </c>
      <c r="Q56" s="53">
        <f>SUM(L$54:L56)</f>
        <v>0.27184466019417475</v>
      </c>
      <c r="R56" s="53">
        <f t="shared" si="7"/>
        <v>0.10030591738374936</v>
      </c>
      <c r="S56" s="53">
        <f t="shared" si="8"/>
        <v>2.3035403729128465E-2</v>
      </c>
      <c r="U56" s="65">
        <f t="shared" si="9"/>
        <v>5.4235109925492429E-2</v>
      </c>
      <c r="V56" s="66">
        <f t="shared" si="10"/>
        <v>0.14637672484200628</v>
      </c>
      <c r="W56" s="75">
        <f t="array" ref="W56">SUM(IF(    (MONTH(date.2006)=MONTH($A56))*(gross.world.2006&gt;=0),gross.world.2006))</f>
        <v>1645214385</v>
      </c>
      <c r="X56" s="75">
        <f t="array" ref="X56">SUM(IF(    (MONTH(date.2007)=MONTH($A56))*(gross.world.2007&gt;=0),gross.world.2007))</f>
        <v>1780524957</v>
      </c>
      <c r="Y56" s="75">
        <f t="array" ref="Y56">SUM(IF(    (MONTH(date.2008)=MONTH($A56))*(gross.world.2008&gt;=0),gross.world.2008))</f>
        <v>1427588865</v>
      </c>
      <c r="Z56" s="75">
        <f t="array" ref="Z56">SUM(IF(    (MONTH(date.2009)=MONTH($A56))*(gross.world.2009&gt;=0),gross.world.2009))</f>
        <v>1351452849</v>
      </c>
      <c r="AA56" s="75">
        <f t="array" ref="AA56">SUM(IF(    (MONTH(date.2010)=MONTH($A56))*(gross.world.2010&gt;=0),gross.world.2010))</f>
        <v>2330999625</v>
      </c>
      <c r="AB56" s="76">
        <f t="shared" si="11"/>
        <v>8.3884614076215336E-2</v>
      </c>
      <c r="AC56" s="76">
        <f t="shared" si="3"/>
        <v>7.8788809549501113E-2</v>
      </c>
      <c r="AD56" s="76">
        <f t="shared" si="3"/>
        <v>6.1338015171135692E-2</v>
      </c>
      <c r="AE56" s="76">
        <f t="shared" si="3"/>
        <v>5.3643637333830936E-2</v>
      </c>
      <c r="AF56" s="76">
        <f t="shared" si="3"/>
        <v>0.10533078101618018</v>
      </c>
      <c r="AG56" s="77">
        <f>SUM(AB$54:AB56)</f>
        <v>0.16687500742565711</v>
      </c>
      <c r="AH56" s="77">
        <f>SUM(AC$54:AC56)</f>
        <v>0.15048194951686017</v>
      </c>
      <c r="AI56" s="77">
        <f>SUM(AD$54:AD56)</f>
        <v>0.17337403018984832</v>
      </c>
      <c r="AJ56" s="77">
        <f>SUM(AE$54:AE56)</f>
        <v>0.13169411277962134</v>
      </c>
      <c r="AK56" s="77">
        <f>SUM(AF$54:AF56)</f>
        <v>0.19619007852304393</v>
      </c>
      <c r="AL56" s="73">
        <f t="shared" si="4"/>
        <v>7.6597171429372654E-2</v>
      </c>
      <c r="AM56" s="80">
        <f t="shared" si="5"/>
        <v>2.0268429854432397E-2</v>
      </c>
      <c r="AN56" s="81"/>
      <c r="AO56" s="83">
        <f t="shared" si="12"/>
        <v>3.6060311720507859E-2</v>
      </c>
      <c r="AP56" s="83">
        <f t="shared" si="13"/>
        <v>0.11713403113823745</v>
      </c>
    </row>
    <row r="57" spans="1:42" x14ac:dyDescent="0.2">
      <c r="A57" s="47">
        <f t="shared" si="14"/>
        <v>40648</v>
      </c>
      <c r="B57" s="47"/>
      <c r="C57" s="40">
        <f t="array" ref="C57">COUNT(IF(    (MONTH(date.2006)=MONTH($A57))*(gross.world.2006&gt;=0),gross.world.2006))</f>
        <v>24</v>
      </c>
      <c r="D57" s="40">
        <f t="array" ref="D57">COUNT(IF(    (MONTH(date.2007)=MONTH($A57))*(gross.world.2007&gt;=0),gross.world.2007))</f>
        <v>36</v>
      </c>
      <c r="E57" s="40">
        <f t="array" ref="E57">COUNT(IF(    (MONTH(date.2008)=MONTH($A57))*(gross.world.2008&gt;=0),gross.world.2008))</f>
        <v>46</v>
      </c>
      <c r="F57" s="40">
        <f t="array" ref="F57">COUNT(IF(    (MONTH(date.2009)=MONTH($A57))*(gross.world.2009&gt;=0),gross.world.2009))</f>
        <v>22</v>
      </c>
      <c r="G57" s="40">
        <f t="array" ref="G57">COUNT(IF(    (MONTH(date.2010)=MONTH($A57))*(gross.world.2010&gt;=0),gross.world.2010))</f>
        <v>18</v>
      </c>
      <c r="H57" s="62">
        <f t="shared" si="6"/>
        <v>7.7669902912621352E-2</v>
      </c>
      <c r="I57" s="62">
        <f t="shared" si="2"/>
        <v>8.0536912751677847E-2</v>
      </c>
      <c r="J57" s="62">
        <f t="shared" si="2"/>
        <v>9.9352051835853133E-2</v>
      </c>
      <c r="K57" s="62">
        <f t="shared" si="2"/>
        <v>7.0063694267515922E-2</v>
      </c>
      <c r="L57" s="62">
        <f t="shared" si="2"/>
        <v>8.7378640776699032E-2</v>
      </c>
      <c r="M57" s="53">
        <f>SUM(H$54:H57)</f>
        <v>0.27184466019417475</v>
      </c>
      <c r="N57" s="53">
        <f>SUM(I$54:I57)</f>
        <v>0.23713646532438479</v>
      </c>
      <c r="O57" s="53">
        <f>SUM(J$54:J57)</f>
        <v>0.37149028077753776</v>
      </c>
      <c r="P57" s="53">
        <f>SUM(K$54:K57)</f>
        <v>0.31528662420382164</v>
      </c>
      <c r="Q57" s="53">
        <f>SUM(L$54:L57)</f>
        <v>0.35922330097087379</v>
      </c>
      <c r="R57" s="53">
        <f t="shared" si="7"/>
        <v>8.300024050887346E-2</v>
      </c>
      <c r="S57" s="53">
        <f t="shared" si="8"/>
        <v>1.1049737935383367E-2</v>
      </c>
      <c r="U57" s="65">
        <f t="shared" si="9"/>
        <v>6.090076463810673E-2</v>
      </c>
      <c r="V57" s="66">
        <f t="shared" si="10"/>
        <v>0.10509971637964019</v>
      </c>
      <c r="W57" s="75">
        <f t="array" ref="W57">SUM(IF(    (MONTH(date.2006)=MONTH($A57))*(gross.world.2006&gt;=0),gross.world.2006))</f>
        <v>928827663</v>
      </c>
      <c r="X57" s="75">
        <f t="array" ref="X57">SUM(IF(    (MONTH(date.2007)=MONTH($A57))*(gross.world.2007&gt;=0),gross.world.2007))</f>
        <v>834633187</v>
      </c>
      <c r="Y57" s="75">
        <f t="array" ref="Y57">SUM(IF(    (MONTH(date.2008)=MONTH($A57))*(gross.world.2008&gt;=0),gross.world.2008))</f>
        <v>927113596</v>
      </c>
      <c r="Z57" s="75">
        <f t="array" ref="Z57">SUM(IF(    (MONTH(date.2009)=MONTH($A57))*(gross.world.2009&gt;=0),gross.world.2009))</f>
        <v>1144490878</v>
      </c>
      <c r="AA57" s="75">
        <f t="array" ref="AA57">SUM(IF(    (MONTH(date.2010)=MONTH($A57))*(gross.world.2010&gt;=0),gross.world.2010))</f>
        <v>1315276744</v>
      </c>
      <c r="AB57" s="76">
        <f t="shared" si="11"/>
        <v>4.7358174572530255E-2</v>
      </c>
      <c r="AC57" s="76">
        <f t="shared" si="3"/>
        <v>3.6932790498502489E-2</v>
      </c>
      <c r="AD57" s="76">
        <f t="shared" si="3"/>
        <v>3.9834513431017946E-2</v>
      </c>
      <c r="AE57" s="76">
        <f t="shared" si="3"/>
        <v>4.5428631592096147E-2</v>
      </c>
      <c r="AF57" s="76">
        <f t="shared" si="3"/>
        <v>5.943335434811084E-2</v>
      </c>
      <c r="AG57" s="77">
        <f>SUM(AB$54:AB57)</f>
        <v>0.21423318199818736</v>
      </c>
      <c r="AH57" s="77">
        <f>SUM(AC$54:AC57)</f>
        <v>0.18741474001536265</v>
      </c>
      <c r="AI57" s="77">
        <f>SUM(AD$54:AD57)</f>
        <v>0.21320854362086628</v>
      </c>
      <c r="AJ57" s="77">
        <f>SUM(AE$54:AE57)</f>
        <v>0.17712274437171749</v>
      </c>
      <c r="AK57" s="77">
        <f>SUM(AF$54:AF57)</f>
        <v>0.25562343287115474</v>
      </c>
      <c r="AL57" s="73">
        <f t="shared" si="4"/>
        <v>4.5797492888451537E-2</v>
      </c>
      <c r="AM57" s="80">
        <f t="shared" si="5"/>
        <v>8.698398935926846E-3</v>
      </c>
      <c r="AN57" s="81"/>
      <c r="AO57" s="82">
        <f t="shared" si="12"/>
        <v>2.8400695016597845E-2</v>
      </c>
      <c r="AP57" s="82">
        <f t="shared" si="13"/>
        <v>6.3194290760305222E-2</v>
      </c>
    </row>
    <row r="58" spans="1:42" x14ac:dyDescent="0.2">
      <c r="A58" s="47">
        <f t="shared" si="14"/>
        <v>40678</v>
      </c>
      <c r="B58" s="47"/>
      <c r="C58" s="40">
        <f t="array" ref="C58">COUNT(IF(    (MONTH(date.2006)=MONTH($A58))*(gross.world.2006&gt;=0),gross.world.2006))</f>
        <v>24</v>
      </c>
      <c r="D58" s="40">
        <f t="array" ref="D58">COUNT(IF(    (MONTH(date.2007)=MONTH($A58))*(gross.world.2007&gt;=0),gross.world.2007))</f>
        <v>26</v>
      </c>
      <c r="E58" s="40">
        <f t="array" ref="E58">COUNT(IF(    (MONTH(date.2008)=MONTH($A58))*(gross.world.2008&gt;=0),gross.world.2008))</f>
        <v>34</v>
      </c>
      <c r="F58" s="40">
        <f t="array" ref="F58">COUNT(IF(    (MONTH(date.2009)=MONTH($A58))*(gross.world.2009&gt;=0),gross.world.2009))</f>
        <v>24</v>
      </c>
      <c r="G58" s="40">
        <f t="array" ref="G58">COUNT(IF(    (MONTH(date.2010)=MONTH($A58))*(gross.world.2010&gt;=0),gross.world.2010))</f>
        <v>13</v>
      </c>
      <c r="H58" s="62">
        <f t="shared" si="6"/>
        <v>7.7669902912621352E-2</v>
      </c>
      <c r="I58" s="62">
        <f t="shared" si="2"/>
        <v>5.8165548098434001E-2</v>
      </c>
      <c r="J58" s="62">
        <f t="shared" si="2"/>
        <v>7.3434125269978404E-2</v>
      </c>
      <c r="K58" s="62">
        <f t="shared" si="2"/>
        <v>7.6433121019108277E-2</v>
      </c>
      <c r="L58" s="62">
        <f t="shared" si="2"/>
        <v>6.3106796116504854E-2</v>
      </c>
      <c r="M58" s="53">
        <f>SUM(H$54:H58)</f>
        <v>0.34951456310679607</v>
      </c>
      <c r="N58" s="53">
        <f>SUM(I$54:I58)</f>
        <v>0.29530201342281881</v>
      </c>
      <c r="O58" s="53">
        <f>SUM(J$54:J58)</f>
        <v>0.44492440604751615</v>
      </c>
      <c r="P58" s="53">
        <f>SUM(K$54:K58)</f>
        <v>0.3917197452229299</v>
      </c>
      <c r="Q58" s="53">
        <f>SUM(L$54:L58)</f>
        <v>0.42233009708737868</v>
      </c>
      <c r="R58" s="53">
        <f t="shared" si="7"/>
        <v>6.9761898683329382E-2</v>
      </c>
      <c r="S58" s="53">
        <f t="shared" si="8"/>
        <v>8.6500393569963249E-3</v>
      </c>
      <c r="U58" s="65">
        <f t="shared" si="9"/>
        <v>5.2461819969336729E-2</v>
      </c>
      <c r="V58" s="66">
        <f t="shared" si="10"/>
        <v>8.7061977397322035E-2</v>
      </c>
      <c r="W58" s="75">
        <f t="array" ref="W58">SUM(IF(    (MONTH(date.2006)=MONTH($A58))*(gross.world.2006&gt;=0),gross.world.2006))</f>
        <v>2470977756</v>
      </c>
      <c r="X58" s="75">
        <f t="array" ref="X58">SUM(IF(    (MONTH(date.2007)=MONTH($A58))*(gross.world.2007&gt;=0),gross.world.2007))</f>
        <v>2861427605</v>
      </c>
      <c r="Y58" s="75">
        <f t="array" ref="Y58">SUM(IF(    (MONTH(date.2008)=MONTH($A58))*(gross.world.2008&gt;=0),gross.world.2008))</f>
        <v>2855455391</v>
      </c>
      <c r="Z58" s="75">
        <f t="array" ref="Z58">SUM(IF(    (MONTH(date.2009)=MONTH($A58))*(gross.world.2009&gt;=0),gross.world.2009))</f>
        <v>3209359758</v>
      </c>
      <c r="AA58" s="75">
        <f t="array" ref="AA58">SUM(IF(    (MONTH(date.2010)=MONTH($A58))*(gross.world.2010&gt;=0),gross.world.2010))</f>
        <v>2514620566</v>
      </c>
      <c r="AB58" s="76">
        <f t="shared" si="11"/>
        <v>0.12598784531839149</v>
      </c>
      <c r="AC58" s="76">
        <f t="shared" si="3"/>
        <v>0.12661910394667392</v>
      </c>
      <c r="AD58" s="76">
        <f t="shared" si="3"/>
        <v>0.12268796036992008</v>
      </c>
      <c r="AE58" s="76">
        <f t="shared" si="3"/>
        <v>0.12739011283992152</v>
      </c>
      <c r="AF58" s="76">
        <f t="shared" si="3"/>
        <v>0.11362805267552502</v>
      </c>
      <c r="AG58" s="77">
        <f>SUM(AB$54:AB58)</f>
        <v>0.34022102731657888</v>
      </c>
      <c r="AH58" s="77">
        <f>SUM(AC$54:AC58)</f>
        <v>0.3140338439620366</v>
      </c>
      <c r="AI58" s="77">
        <f>SUM(AD$54:AD58)</f>
        <v>0.33589650399078635</v>
      </c>
      <c r="AJ58" s="77">
        <f>SUM(AE$54:AE58)</f>
        <v>0.30451285721163901</v>
      </c>
      <c r="AK58" s="77">
        <f>SUM(AF$54:AF58)</f>
        <v>0.36925148554667975</v>
      </c>
      <c r="AL58" s="73">
        <f t="shared" si="4"/>
        <v>0.12326261503008643</v>
      </c>
      <c r="AM58" s="80">
        <f t="shared" si="5"/>
        <v>5.6763578966632791E-3</v>
      </c>
      <c r="AN58" s="81"/>
      <c r="AO58" s="84">
        <f t="shared" si="12"/>
        <v>0.11190989923675987</v>
      </c>
      <c r="AP58" s="84">
        <f t="shared" si="13"/>
        <v>0.13461533082341298</v>
      </c>
    </row>
    <row r="59" spans="1:42" x14ac:dyDescent="0.2">
      <c r="A59" s="47">
        <f t="shared" si="14"/>
        <v>40709</v>
      </c>
      <c r="B59" s="47"/>
      <c r="C59" s="40">
        <f t="array" ref="C59">COUNT(IF(    (MONTH(date.2006)=MONTH($A59))*(gross.world.2006&gt;=0),gross.world.2006))</f>
        <v>29</v>
      </c>
      <c r="D59" s="40">
        <f t="array" ref="D59">COUNT(IF(    (MONTH(date.2007)=MONTH($A59))*(gross.world.2007&gt;=0),gross.world.2007))</f>
        <v>48</v>
      </c>
      <c r="E59" s="40">
        <f t="array" ref="E59">COUNT(IF(    (MONTH(date.2008)=MONTH($A59))*(gross.world.2008&gt;=0),gross.world.2008))</f>
        <v>41</v>
      </c>
      <c r="F59" s="40">
        <f t="array" ref="F59">COUNT(IF(    (MONTH(date.2009)=MONTH($A59))*(gross.world.2009&gt;=0),gross.world.2009))</f>
        <v>27</v>
      </c>
      <c r="G59" s="40">
        <f t="array" ref="G59">COUNT(IF(    (MONTH(date.2010)=MONTH($A59))*(gross.world.2010&gt;=0),gross.world.2010))</f>
        <v>16</v>
      </c>
      <c r="H59" s="62">
        <f t="shared" si="6"/>
        <v>9.3851132686084138E-2</v>
      </c>
      <c r="I59" s="62">
        <f t="shared" si="2"/>
        <v>0.10738255033557047</v>
      </c>
      <c r="J59" s="62">
        <f t="shared" si="2"/>
        <v>8.8552915766738655E-2</v>
      </c>
      <c r="K59" s="62">
        <f t="shared" si="2"/>
        <v>8.598726114649681E-2</v>
      </c>
      <c r="L59" s="62">
        <f t="shared" si="2"/>
        <v>7.7669902912621352E-2</v>
      </c>
      <c r="M59" s="53">
        <f>SUM(H$54:H59)</f>
        <v>0.44336569579288021</v>
      </c>
      <c r="N59" s="53">
        <f>SUM(I$54:I59)</f>
        <v>0.40268456375838929</v>
      </c>
      <c r="O59" s="53">
        <f>SUM(J$54:J59)</f>
        <v>0.53347732181425478</v>
      </c>
      <c r="P59" s="53">
        <f>SUM(K$54:K59)</f>
        <v>0.4777070063694267</v>
      </c>
      <c r="Q59" s="53">
        <f>SUM(L$54:L59)</f>
        <v>0.5</v>
      </c>
      <c r="R59" s="53">
        <f t="shared" si="7"/>
        <v>9.068875256950229E-2</v>
      </c>
      <c r="S59" s="53">
        <f t="shared" si="8"/>
        <v>1.1009539030918112E-2</v>
      </c>
      <c r="U59" s="65">
        <f t="shared" si="9"/>
        <v>6.8669674507666062E-2</v>
      </c>
      <c r="V59" s="66">
        <f t="shared" si="10"/>
        <v>0.11270783063133852</v>
      </c>
      <c r="W59" s="75">
        <f t="array" ref="W59">SUM(IF(    (MONTH(date.2006)=MONTH($A59))*(gross.world.2006&gt;=0),gross.world.2006))</f>
        <v>2438490413</v>
      </c>
      <c r="X59" s="75">
        <f t="array" ref="X59">SUM(IF(    (MONTH(date.2007)=MONTH($A59))*(gross.world.2007&gt;=0),gross.world.2007))</f>
        <v>2682067185</v>
      </c>
      <c r="Y59" s="75">
        <f t="array" ref="Y59">SUM(IF(    (MONTH(date.2008)=MONTH($A59))*(gross.world.2008&gt;=0),gross.world.2008))</f>
        <v>2670158816</v>
      </c>
      <c r="Z59" s="75">
        <f t="array" ref="Z59">SUM(IF(    (MONTH(date.2009)=MONTH($A59))*(gross.world.2009&gt;=0),gross.world.2009))</f>
        <v>2186577054</v>
      </c>
      <c r="AA59" s="75">
        <f t="array" ref="AA59">SUM(IF(    (MONTH(date.2010)=MONTH($A59))*(gross.world.2010&gt;=0),gross.world.2010))</f>
        <v>3163837391</v>
      </c>
      <c r="AB59" s="76">
        <f t="shared" si="11"/>
        <v>0.12433141181357708</v>
      </c>
      <c r="AC59" s="76">
        <f t="shared" si="3"/>
        <v>0.1186823469152483</v>
      </c>
      <c r="AD59" s="76">
        <f t="shared" si="3"/>
        <v>0.1147264776159134</v>
      </c>
      <c r="AE59" s="76">
        <f t="shared" si="3"/>
        <v>8.6792481568295152E-2</v>
      </c>
      <c r="AF59" s="76">
        <f t="shared" si="3"/>
        <v>0.14296418576310316</v>
      </c>
      <c r="AG59" s="77">
        <f>SUM(AB$54:AB59)</f>
        <v>0.46455243913015598</v>
      </c>
      <c r="AH59" s="77">
        <f>SUM(AC$54:AC59)</f>
        <v>0.43271619087728491</v>
      </c>
      <c r="AI59" s="77">
        <f>SUM(AD$54:AD59)</f>
        <v>0.45062298160669978</v>
      </c>
      <c r="AJ59" s="77">
        <f>SUM(AE$54:AE59)</f>
        <v>0.39130533877993418</v>
      </c>
      <c r="AK59" s="77">
        <f>SUM(AF$54:AF59)</f>
        <v>0.51221567130978296</v>
      </c>
      <c r="AL59" s="73">
        <f t="shared" si="4"/>
        <v>0.11749938073522741</v>
      </c>
      <c r="AM59" s="80">
        <f t="shared" si="5"/>
        <v>2.0292455500158037E-2</v>
      </c>
      <c r="AN59" s="81"/>
      <c r="AO59" s="84">
        <f t="shared" si="12"/>
        <v>7.6914469734911339E-2</v>
      </c>
      <c r="AP59" s="84">
        <f t="shared" si="13"/>
        <v>0.15808429173554348</v>
      </c>
    </row>
    <row r="60" spans="1:42" x14ac:dyDescent="0.2">
      <c r="A60" s="47">
        <f t="shared" si="14"/>
        <v>40739</v>
      </c>
      <c r="B60" s="47"/>
      <c r="C60" s="40">
        <f t="array" ref="C60">COUNT(IF(    (MONTH(date.2006)=MONTH($A60))*(gross.world.2006&gt;=0),gross.world.2006))</f>
        <v>28</v>
      </c>
      <c r="D60" s="40">
        <f t="array" ref="D60">COUNT(IF(    (MONTH(date.2007)=MONTH($A60))*(gross.world.2007&gt;=0),gross.world.2007))</f>
        <v>30</v>
      </c>
      <c r="E60" s="40">
        <f t="array" ref="E60">COUNT(IF(    (MONTH(date.2008)=MONTH($A60))*(gross.world.2008&gt;=0),gross.world.2008))</f>
        <v>36</v>
      </c>
      <c r="F60" s="40">
        <f t="array" ref="F60">COUNT(IF(    (MONTH(date.2009)=MONTH($A60))*(gross.world.2009&gt;=0),gross.world.2009))</f>
        <v>26</v>
      </c>
      <c r="G60" s="40">
        <f t="array" ref="G60">COUNT(IF(    (MONTH(date.2010)=MONTH($A60))*(gross.world.2010&gt;=0),gross.world.2010))</f>
        <v>19</v>
      </c>
      <c r="H60" s="62">
        <f t="shared" si="6"/>
        <v>9.0614886731391592E-2</v>
      </c>
      <c r="I60" s="62">
        <f t="shared" si="2"/>
        <v>6.7114093959731544E-2</v>
      </c>
      <c r="J60" s="62">
        <f t="shared" si="2"/>
        <v>7.775377969762419E-2</v>
      </c>
      <c r="K60" s="62">
        <f t="shared" si="2"/>
        <v>8.2802547770700632E-2</v>
      </c>
      <c r="L60" s="62">
        <f t="shared" si="2"/>
        <v>9.2233009708737865E-2</v>
      </c>
      <c r="M60" s="53">
        <f>SUM(H$54:H60)</f>
        <v>0.53398058252427183</v>
      </c>
      <c r="N60" s="53">
        <f>SUM(I$54:I60)</f>
        <v>0.46979865771812085</v>
      </c>
      <c r="O60" s="53">
        <f>SUM(J$54:J60)</f>
        <v>0.61123110151187898</v>
      </c>
      <c r="P60" s="53">
        <f>SUM(K$54:K60)</f>
        <v>0.56050955414012738</v>
      </c>
      <c r="Q60" s="53">
        <f>SUM(L$54:L60)</f>
        <v>0.59223300970873782</v>
      </c>
      <c r="R60" s="53">
        <f t="shared" si="7"/>
        <v>8.2103663573637159E-2</v>
      </c>
      <c r="S60" s="53">
        <f t="shared" si="8"/>
        <v>1.023647520916748E-2</v>
      </c>
      <c r="U60" s="65">
        <f t="shared" si="9"/>
        <v>6.1630713155302198E-2</v>
      </c>
      <c r="V60" s="66">
        <f t="shared" si="10"/>
        <v>0.10257661399197213</v>
      </c>
      <c r="W60" s="75">
        <f t="array" ref="W60">SUM(IF(    (MONTH(date.2006)=MONTH($A60))*(gross.world.2006&gt;=0),gross.world.2006))</f>
        <v>2237053879</v>
      </c>
      <c r="X60" s="75">
        <f t="array" ref="X60">SUM(IF(    (MONTH(date.2007)=MONTH($A60))*(gross.world.2007&gt;=0),gross.world.2007))</f>
        <v>2954351512</v>
      </c>
      <c r="Y60" s="75">
        <f t="array" ref="Y60">SUM(IF(    (MONTH(date.2008)=MONTH($A60))*(gross.world.2008&gt;=0),gross.world.2008))</f>
        <v>3417221262</v>
      </c>
      <c r="Z60" s="75">
        <f t="array" ref="Z60">SUM(IF(    (MONTH(date.2009)=MONTH($A60))*(gross.world.2009&gt;=0),gross.world.2009))</f>
        <v>3193671200</v>
      </c>
      <c r="AA60" s="75">
        <f t="array" ref="AA60">SUM(IF(    (MONTH(date.2010)=MONTH($A60))*(gross.world.2010&gt;=0),gross.world.2010))</f>
        <v>2707030378</v>
      </c>
      <c r="AB60" s="76">
        <f t="shared" si="11"/>
        <v>0.11406075890080157</v>
      </c>
      <c r="AC60" s="76">
        <f t="shared" si="3"/>
        <v>0.13073101711162854</v>
      </c>
      <c r="AD60" s="76">
        <f t="shared" si="3"/>
        <v>0.14682488407590896</v>
      </c>
      <c r="AE60" s="76">
        <f t="shared" si="3"/>
        <v>0.1267673820385728</v>
      </c>
      <c r="AF60" s="76">
        <f t="shared" si="3"/>
        <v>0.12232246667532838</v>
      </c>
      <c r="AG60" s="77">
        <f>SUM(AB$54:AB60)</f>
        <v>0.57861319803095757</v>
      </c>
      <c r="AH60" s="77">
        <f>SUM(AC$54:AC60)</f>
        <v>0.56344720798891346</v>
      </c>
      <c r="AI60" s="77">
        <f>SUM(AD$54:AD60)</f>
        <v>0.59744786568260877</v>
      </c>
      <c r="AJ60" s="77">
        <f>SUM(AE$54:AE60)</f>
        <v>0.51807272081850697</v>
      </c>
      <c r="AK60" s="77">
        <f>SUM(AF$54:AF60)</f>
        <v>0.63453813798511138</v>
      </c>
      <c r="AL60" s="73">
        <f t="shared" si="4"/>
        <v>0.12814130176044808</v>
      </c>
      <c r="AM60" s="80">
        <f t="shared" si="5"/>
        <v>1.2142807110704083E-2</v>
      </c>
      <c r="AN60" s="81"/>
      <c r="AO60" s="83">
        <f t="shared" si="12"/>
        <v>0.10385568753903991</v>
      </c>
      <c r="AP60" s="83">
        <f t="shared" si="13"/>
        <v>0.15242691598185626</v>
      </c>
    </row>
    <row r="61" spans="1:42" x14ac:dyDescent="0.2">
      <c r="A61" s="47">
        <f t="shared" si="14"/>
        <v>40770</v>
      </c>
      <c r="B61" s="47"/>
      <c r="C61" s="40">
        <f t="array" ref="C61">COUNT(IF(    (MONTH(date.2006)=MONTH($A61))*(gross.world.2006&gt;=0),gross.world.2006))</f>
        <v>37</v>
      </c>
      <c r="D61" s="40">
        <f t="array" ref="D61">COUNT(IF(    (MONTH(date.2007)=MONTH($A61))*(gross.world.2007&gt;=0),gross.world.2007))</f>
        <v>54</v>
      </c>
      <c r="E61" s="40">
        <f t="array" ref="E61">COUNT(IF(    (MONTH(date.2008)=MONTH($A61))*(gross.world.2008&gt;=0),gross.world.2008))</f>
        <v>51</v>
      </c>
      <c r="F61" s="40">
        <f t="array" ref="F61">COUNT(IF(    (MONTH(date.2009)=MONTH($A61))*(gross.world.2009&gt;=0),gross.world.2009))</f>
        <v>22</v>
      </c>
      <c r="G61" s="40">
        <f t="array" ref="G61">COUNT(IF(    (MONTH(date.2010)=MONTH($A61))*(gross.world.2010&gt;=0),gross.world.2010))</f>
        <v>16</v>
      </c>
      <c r="H61" s="62">
        <f t="shared" si="6"/>
        <v>0.11974110032362459</v>
      </c>
      <c r="I61" s="62">
        <f t="shared" si="2"/>
        <v>0.12080536912751678</v>
      </c>
      <c r="J61" s="62">
        <f t="shared" si="2"/>
        <v>0.1101511879049676</v>
      </c>
      <c r="K61" s="62">
        <f t="shared" si="2"/>
        <v>7.0063694267515922E-2</v>
      </c>
      <c r="L61" s="62">
        <f t="shared" si="2"/>
        <v>7.7669902912621352E-2</v>
      </c>
      <c r="M61" s="53">
        <f>SUM(H$54:H61)</f>
        <v>0.65372168284789645</v>
      </c>
      <c r="N61" s="53">
        <f>SUM(I$54:I61)</f>
        <v>0.59060402684563762</v>
      </c>
      <c r="O61" s="53">
        <f>SUM(J$54:J61)</f>
        <v>0.72138228941684657</v>
      </c>
      <c r="P61" s="53">
        <f>SUM(K$54:K61)</f>
        <v>0.63057324840764328</v>
      </c>
      <c r="Q61" s="53">
        <f>SUM(L$54:L61)</f>
        <v>0.66990291262135915</v>
      </c>
      <c r="R61" s="53">
        <f t="shared" si="7"/>
        <v>9.9686250907249252E-2</v>
      </c>
      <c r="S61" s="53">
        <f t="shared" si="8"/>
        <v>2.4082901023216155E-2</v>
      </c>
      <c r="U61" s="65">
        <f t="shared" si="9"/>
        <v>5.1520448860816942E-2</v>
      </c>
      <c r="V61" s="66">
        <f t="shared" si="10"/>
        <v>0.14785205295368156</v>
      </c>
      <c r="W61" s="75">
        <f t="array" ref="W61">SUM(IF(    (MONTH(date.2006)=MONTH($A61))*(gross.world.2006&gt;=0),gross.world.2006))</f>
        <v>1042300015</v>
      </c>
      <c r="X61" s="75">
        <f t="array" ref="X61">SUM(IF(    (MONTH(date.2007)=MONTH($A61))*(gross.world.2007&gt;=0),gross.world.2007))</f>
        <v>1878451660</v>
      </c>
      <c r="Y61" s="75">
        <f t="array" ref="Y61">SUM(IF(    (MONTH(date.2008)=MONTH($A61))*(gross.world.2008&gt;=0),gross.world.2008))</f>
        <v>1552389464</v>
      </c>
      <c r="Z61" s="75">
        <f t="array" ref="Z61">SUM(IF(    (MONTH(date.2009)=MONTH($A61))*(gross.world.2009&gt;=0),gross.world.2009))</f>
        <v>1654043679</v>
      </c>
      <c r="AA61" s="75">
        <f t="array" ref="AA61">SUM(IF(    (MONTH(date.2010)=MONTH($A61))*(gross.world.2010&gt;=0),gross.world.2010))</f>
        <v>1261752307</v>
      </c>
      <c r="AB61" s="76">
        <f t="shared" si="11"/>
        <v>5.3143794089734062E-2</v>
      </c>
      <c r="AC61" s="76">
        <f t="shared" si="3"/>
        <v>8.3122098067667932E-2</v>
      </c>
      <c r="AD61" s="76">
        <f t="shared" si="3"/>
        <v>6.6700217989121957E-2</v>
      </c>
      <c r="AE61" s="76">
        <f t="shared" si="3"/>
        <v>6.5654469052505937E-2</v>
      </c>
      <c r="AF61" s="76">
        <f t="shared" si="3"/>
        <v>5.7014747887519347E-2</v>
      </c>
      <c r="AG61" s="77">
        <f>SUM(AB$54:AB61)</f>
        <v>0.63175699212069159</v>
      </c>
      <c r="AH61" s="77">
        <f>SUM(AC$54:AC61)</f>
        <v>0.64656930605658136</v>
      </c>
      <c r="AI61" s="77">
        <f>SUM(AD$54:AD61)</f>
        <v>0.66414808367173073</v>
      </c>
      <c r="AJ61" s="77">
        <f>SUM(AE$54:AE61)</f>
        <v>0.58372718987101291</v>
      </c>
      <c r="AK61" s="77">
        <f>SUM(AF$54:AF61)</f>
        <v>0.69155288587263075</v>
      </c>
      <c r="AL61" s="73">
        <f t="shared" si="4"/>
        <v>6.5127065417309851E-2</v>
      </c>
      <c r="AM61" s="80">
        <f t="shared" si="5"/>
        <v>1.1575649561801203E-2</v>
      </c>
      <c r="AN61" s="81"/>
      <c r="AO61" s="82">
        <f t="shared" si="12"/>
        <v>4.1975766293707445E-2</v>
      </c>
      <c r="AP61" s="82">
        <f t="shared" si="13"/>
        <v>8.8278364540912257E-2</v>
      </c>
    </row>
    <row r="62" spans="1:42" x14ac:dyDescent="0.2">
      <c r="A62" s="47">
        <f t="shared" si="14"/>
        <v>40801</v>
      </c>
      <c r="B62" s="47"/>
      <c r="C62" s="40">
        <f t="array" ref="C62">COUNT(IF(    (MONTH(date.2006)=MONTH($A62))*(gross.world.2006&gt;=0),gross.world.2006))</f>
        <v>40</v>
      </c>
      <c r="D62" s="40">
        <f t="array" ref="D62">COUNT(IF(    (MONTH(date.2007)=MONTH($A62))*(gross.world.2007&gt;=0),gross.world.2007))</f>
        <v>37</v>
      </c>
      <c r="E62" s="40">
        <f t="array" ref="E62">COUNT(IF(    (MONTH(date.2008)=MONTH($A62))*(gross.world.2008&gt;=0),gross.world.2008))</f>
        <v>37</v>
      </c>
      <c r="F62" s="40">
        <f t="array" ref="F62">COUNT(IF(    (MONTH(date.2009)=MONTH($A62))*(gross.world.2009&gt;=0),gross.world.2009))</f>
        <v>32</v>
      </c>
      <c r="G62" s="40">
        <f t="array" ref="G62">COUNT(IF(    (MONTH(date.2010)=MONTH($A62))*(gross.world.2010&gt;=0),gross.world.2010))</f>
        <v>15</v>
      </c>
      <c r="H62" s="62">
        <f t="shared" si="6"/>
        <v>0.12944983818770225</v>
      </c>
      <c r="I62" s="62">
        <f t="shared" si="2"/>
        <v>8.2774049217002238E-2</v>
      </c>
      <c r="J62" s="62">
        <f t="shared" si="2"/>
        <v>7.9913606911447083E-2</v>
      </c>
      <c r="K62" s="62">
        <f t="shared" si="2"/>
        <v>0.10191082802547771</v>
      </c>
      <c r="L62" s="62">
        <f t="shared" si="2"/>
        <v>7.281553398058252E-2</v>
      </c>
      <c r="M62" s="53">
        <f>SUM(H$54:H62)</f>
        <v>0.78317152103559873</v>
      </c>
      <c r="N62" s="53">
        <f>SUM(I$54:I62)</f>
        <v>0.67337807606263989</v>
      </c>
      <c r="O62" s="53">
        <f>SUM(J$54:J62)</f>
        <v>0.80129589632829368</v>
      </c>
      <c r="P62" s="53">
        <f>SUM(K$54:K62)</f>
        <v>0.73248407643312097</v>
      </c>
      <c r="Q62" s="53">
        <f>SUM(L$54:L62)</f>
        <v>0.74271844660194164</v>
      </c>
      <c r="R62" s="53">
        <f t="shared" si="7"/>
        <v>9.337277126444235E-2</v>
      </c>
      <c r="S62" s="53">
        <f t="shared" si="8"/>
        <v>2.2861185390880313E-2</v>
      </c>
      <c r="U62" s="65">
        <f t="shared" si="9"/>
        <v>4.7650400482681723E-2</v>
      </c>
      <c r="V62" s="66">
        <f t="shared" si="10"/>
        <v>0.13909514204620299</v>
      </c>
      <c r="W62" s="75">
        <f t="array" ref="W62">SUM(IF(    (MONTH(date.2006)=MONTH($A62))*(gross.world.2006&gt;=0),gross.world.2006))</f>
        <v>1044015081</v>
      </c>
      <c r="X62" s="75">
        <f t="array" ref="X62">SUM(IF(    (MONTH(date.2007)=MONTH($A62))*(gross.world.2007&gt;=0),gross.world.2007))</f>
        <v>1183366758</v>
      </c>
      <c r="Y62" s="75">
        <f t="array" ref="Y62">SUM(IF(    (MONTH(date.2008)=MONTH($A62))*(gross.world.2008&gt;=0),gross.world.2008))</f>
        <v>984459027</v>
      </c>
      <c r="Z62" s="75">
        <f t="array" ref="Z62">SUM(IF(    (MONTH(date.2009)=MONTH($A62))*(gross.world.2009&gt;=0),gross.world.2009))</f>
        <v>1116085552</v>
      </c>
      <c r="AA62" s="75">
        <f t="array" ref="AA62">SUM(IF(    (MONTH(date.2010)=MONTH($A62))*(gross.world.2010&gt;=0),gross.world.2010))</f>
        <v>1060875709</v>
      </c>
      <c r="AB62" s="76">
        <f t="shared" si="11"/>
        <v>5.3231240231001078E-2</v>
      </c>
      <c r="AC62" s="76">
        <f t="shared" si="3"/>
        <v>5.2364364653650047E-2</v>
      </c>
      <c r="AD62" s="76">
        <f t="shared" si="3"/>
        <v>4.2298426538573124E-2</v>
      </c>
      <c r="AE62" s="76">
        <f t="shared" si="3"/>
        <v>4.4301130172108953E-2</v>
      </c>
      <c r="AF62" s="76">
        <f t="shared" si="3"/>
        <v>4.793774558846782E-2</v>
      </c>
      <c r="AG62" s="77">
        <f>SUM(AB$54:AB62)</f>
        <v>0.68498823235169271</v>
      </c>
      <c r="AH62" s="77">
        <f>SUM(AC$54:AC62)</f>
        <v>0.69893367071023138</v>
      </c>
      <c r="AI62" s="77">
        <f>SUM(AD$54:AD62)</f>
        <v>0.7064465102103038</v>
      </c>
      <c r="AJ62" s="77">
        <f>SUM(AE$54:AE62)</f>
        <v>0.62802832004312181</v>
      </c>
      <c r="AK62" s="77">
        <f>SUM(AF$54:AF62)</f>
        <v>0.73949063146109861</v>
      </c>
      <c r="AL62" s="73">
        <f t="shared" si="4"/>
        <v>4.802658143676021E-2</v>
      </c>
      <c r="AM62" s="80">
        <f t="shared" si="5"/>
        <v>4.8115349388749675E-3</v>
      </c>
      <c r="AN62" s="81"/>
      <c r="AO62" s="82">
        <f t="shared" si="12"/>
        <v>3.8403511559010277E-2</v>
      </c>
      <c r="AP62" s="82">
        <f t="shared" si="13"/>
        <v>5.7649651314510143E-2</v>
      </c>
    </row>
    <row r="63" spans="1:42" x14ac:dyDescent="0.2">
      <c r="A63" s="47">
        <f t="shared" si="14"/>
        <v>40831</v>
      </c>
      <c r="B63" s="47"/>
      <c r="C63" s="40">
        <f t="array" ref="C63">COUNT(IF(    (MONTH(date.2006)=MONTH($A63))*(gross.world.2006&gt;=0),gross.world.2006))</f>
        <v>21</v>
      </c>
      <c r="D63" s="40">
        <f t="array" ref="D63">COUNT(IF(    (MONTH(date.2007)=MONTH($A63))*(gross.world.2007&gt;=0),gross.world.2007))</f>
        <v>46</v>
      </c>
      <c r="E63" s="40">
        <f t="array" ref="E63">COUNT(IF(    (MONTH(date.2008)=MONTH($A63))*(gross.world.2008&gt;=0),gross.world.2008))</f>
        <v>47</v>
      </c>
      <c r="F63" s="40">
        <f t="array" ref="F63">COUNT(IF(    (MONTH(date.2009)=MONTH($A63))*(gross.world.2009&gt;=0),gross.world.2009))</f>
        <v>27</v>
      </c>
      <c r="G63" s="40">
        <f t="array" ref="G63">COUNT(IF(    (MONTH(date.2010)=MONTH($A63))*(gross.world.2010&gt;=0),gross.world.2010))</f>
        <v>14</v>
      </c>
      <c r="H63" s="62">
        <f t="shared" si="6"/>
        <v>6.7961165048543687E-2</v>
      </c>
      <c r="I63" s="62">
        <f t="shared" si="2"/>
        <v>0.1029082774049217</v>
      </c>
      <c r="J63" s="62">
        <f t="shared" si="2"/>
        <v>0.10151187904967603</v>
      </c>
      <c r="K63" s="62">
        <f t="shared" si="2"/>
        <v>8.598726114649681E-2</v>
      </c>
      <c r="L63" s="62">
        <f t="shared" si="2"/>
        <v>6.7961165048543687E-2</v>
      </c>
      <c r="M63" s="53">
        <f>SUM(H$54:H63)</f>
        <v>0.85113268608414239</v>
      </c>
      <c r="N63" s="53">
        <f>SUM(I$54:I63)</f>
        <v>0.77628635346756159</v>
      </c>
      <c r="O63" s="53">
        <f>SUM(J$54:J63)</f>
        <v>0.90280777537796975</v>
      </c>
      <c r="P63" s="53">
        <f>SUM(K$54:K63)</f>
        <v>0.81847133757961776</v>
      </c>
      <c r="Q63" s="53">
        <f>SUM(L$54:L63)</f>
        <v>0.8106796116504853</v>
      </c>
      <c r="R63" s="53">
        <f t="shared" si="7"/>
        <v>8.5265949539636371E-2</v>
      </c>
      <c r="S63" s="53">
        <f t="shared" si="8"/>
        <v>1.7136316561267722E-2</v>
      </c>
      <c r="U63" s="65">
        <f t="shared" si="9"/>
        <v>5.0993316417100927E-2</v>
      </c>
      <c r="V63" s="66">
        <f t="shared" si="10"/>
        <v>0.11953858266217182</v>
      </c>
      <c r="W63" s="75">
        <f t="array" ref="W63">SUM(IF(    (MONTH(date.2006)=MONTH($A63))*(gross.world.2006&gt;=0),gross.world.2006))</f>
        <v>1138707046</v>
      </c>
      <c r="X63" s="75">
        <f t="array" ref="X63">SUM(IF(    (MONTH(date.2007)=MONTH($A63))*(gross.world.2007&gt;=0),gross.world.2007))</f>
        <v>1007645779</v>
      </c>
      <c r="Y63" s="75">
        <f t="array" ref="Y63">SUM(IF(    (MONTH(date.2008)=MONTH($A63))*(gross.world.2008&gt;=0),gross.world.2008))</f>
        <v>1348233701</v>
      </c>
      <c r="Z63" s="75">
        <f t="array" ref="Z63">SUM(IF(    (MONTH(date.2009)=MONTH($A63))*(gross.world.2009&gt;=0),gross.world.2009))</f>
        <v>1158731224</v>
      </c>
      <c r="AA63" s="75">
        <f t="array" ref="AA63">SUM(IF(    (MONTH(date.2010)=MONTH($A63))*(gross.world.2010&gt;=0),gross.world.2010))</f>
        <v>1086225060</v>
      </c>
      <c r="AB63" s="76">
        <f t="shared" si="11"/>
        <v>5.8059303377399771E-2</v>
      </c>
      <c r="AC63" s="76">
        <f t="shared" si="3"/>
        <v>4.4588654072423482E-2</v>
      </c>
      <c r="AD63" s="76">
        <f t="shared" si="3"/>
        <v>5.7928428298699583E-2</v>
      </c>
      <c r="AE63" s="76">
        <f t="shared" si="3"/>
        <v>4.5993878065102974E-2</v>
      </c>
      <c r="AF63" s="76">
        <f t="shared" si="3"/>
        <v>4.908320563507048E-2</v>
      </c>
      <c r="AG63" s="77">
        <f>SUM(AB$54:AB63)</f>
        <v>0.74304753572909243</v>
      </c>
      <c r="AH63" s="77">
        <f>SUM(AC$54:AC63)</f>
        <v>0.7435223247826549</v>
      </c>
      <c r="AI63" s="77">
        <f>SUM(AD$54:AD63)</f>
        <v>0.7643749385090034</v>
      </c>
      <c r="AJ63" s="77">
        <f>SUM(AE$54:AE63)</f>
        <v>0.67402219810822483</v>
      </c>
      <c r="AK63" s="77">
        <f>SUM(AF$54:AF63)</f>
        <v>0.78857383709616913</v>
      </c>
      <c r="AL63" s="73">
        <f t="shared" si="4"/>
        <v>5.1130693889739252E-2</v>
      </c>
      <c r="AM63" s="80">
        <f t="shared" si="5"/>
        <v>6.4728701606753987E-3</v>
      </c>
      <c r="AN63" s="81"/>
      <c r="AO63" s="82">
        <f t="shared" si="12"/>
        <v>3.8184953568388455E-2</v>
      </c>
      <c r="AP63" s="82">
        <f t="shared" si="13"/>
        <v>6.407643421109005E-2</v>
      </c>
    </row>
    <row r="64" spans="1:42" x14ac:dyDescent="0.2">
      <c r="A64" s="47">
        <f t="shared" si="14"/>
        <v>40862</v>
      </c>
      <c r="B64" s="47"/>
      <c r="C64" s="40">
        <f t="array" ref="C64">COUNT(IF(    (MONTH(date.2006)=MONTH($A64))*(gross.world.2006&gt;=0),gross.world.2006))</f>
        <v>21</v>
      </c>
      <c r="D64" s="40">
        <f t="array" ref="D64">COUNT(IF(    (MONTH(date.2007)=MONTH($A64))*(gross.world.2007&gt;=0),gross.world.2007))</f>
        <v>49</v>
      </c>
      <c r="E64" s="40">
        <f t="array" ref="E64">COUNT(IF(    (MONTH(date.2008)=MONTH($A64))*(gross.world.2008&gt;=0),gross.world.2008))</f>
        <v>19</v>
      </c>
      <c r="F64" s="40">
        <f t="array" ref="F64">COUNT(IF(    (MONTH(date.2009)=MONTH($A64))*(gross.world.2009&gt;=0),gross.world.2009))</f>
        <v>26</v>
      </c>
      <c r="G64" s="40">
        <f t="array" ref="G64">COUNT(IF(    (MONTH(date.2010)=MONTH($A64))*(gross.world.2010&gt;=0),gross.world.2010))</f>
        <v>13</v>
      </c>
      <c r="H64" s="62">
        <f t="shared" si="6"/>
        <v>6.7961165048543687E-2</v>
      </c>
      <c r="I64" s="62">
        <f t="shared" si="2"/>
        <v>0.10961968680089486</v>
      </c>
      <c r="J64" s="62">
        <f t="shared" si="2"/>
        <v>4.1036717062634988E-2</v>
      </c>
      <c r="K64" s="62">
        <f t="shared" si="2"/>
        <v>8.2802547770700632E-2</v>
      </c>
      <c r="L64" s="62">
        <f t="shared" si="2"/>
        <v>6.3106796116504854E-2</v>
      </c>
      <c r="M64" s="53">
        <f>SUM(H$54:H64)</f>
        <v>0.91909385113268605</v>
      </c>
      <c r="N64" s="53">
        <f>SUM(I$54:I64)</f>
        <v>0.88590604026845643</v>
      </c>
      <c r="O64" s="53">
        <f>SUM(J$54:J64)</f>
        <v>0.94384449244060475</v>
      </c>
      <c r="P64" s="53">
        <f>SUM(K$54:K64)</f>
        <v>0.90127388535031838</v>
      </c>
      <c r="Q64" s="53">
        <f>SUM(L$54:L64)</f>
        <v>0.87378640776699013</v>
      </c>
      <c r="R64" s="53">
        <f t="shared" si="7"/>
        <v>7.2905382559855819E-2</v>
      </c>
      <c r="S64" s="53">
        <f t="shared" si="8"/>
        <v>2.5406512151292374E-2</v>
      </c>
      <c r="U64" s="65">
        <f t="shared" si="9"/>
        <v>2.2092358257271072E-2</v>
      </c>
      <c r="V64" s="66">
        <f t="shared" si="10"/>
        <v>0.12371840686244057</v>
      </c>
      <c r="W64" s="75">
        <f t="array" ref="W64">SUM(IF(    (MONTH(date.2006)=MONTH($A64))*(gross.world.2006&gt;=0),gross.world.2006))</f>
        <v>2123912942</v>
      </c>
      <c r="X64" s="75">
        <f t="array" ref="X64">SUM(IF(    (MONTH(date.2007)=MONTH($A64))*(gross.world.2007&gt;=0),gross.world.2007))</f>
        <v>2176475596</v>
      </c>
      <c r="Y64" s="75">
        <f t="array" ref="Y64">SUM(IF(    (MONTH(date.2008)=MONTH($A64))*(gross.world.2008&gt;=0),gross.world.2008))</f>
        <v>2954314437</v>
      </c>
      <c r="Z64" s="75">
        <f t="array" ref="Z64">SUM(IF(    (MONTH(date.2009)=MONTH($A64))*(gross.world.2009&gt;=0),gross.world.2009))</f>
        <v>3169736502</v>
      </c>
      <c r="AA64" s="75">
        <f t="array" ref="AA64">SUM(IF(    (MONTH(date.2010)=MONTH($A64))*(gross.world.2010&gt;=0),gross.world.2010))</f>
        <v>2529072015</v>
      </c>
      <c r="AB64" s="76">
        <f t="shared" si="11"/>
        <v>0.10829203725394677</v>
      </c>
      <c r="AC64" s="76">
        <f t="shared" si="3"/>
        <v>9.630975434981276E-2</v>
      </c>
      <c r="AD64" s="76">
        <f t="shared" si="3"/>
        <v>0.12693555420594513</v>
      </c>
      <c r="AE64" s="76">
        <f t="shared" si="3"/>
        <v>0.12581733464316658</v>
      </c>
      <c r="AF64" s="76">
        <f t="shared" si="3"/>
        <v>0.11428106968747992</v>
      </c>
      <c r="AG64" s="77">
        <f>SUM(AB$54:AB64)</f>
        <v>0.85133957298303919</v>
      </c>
      <c r="AH64" s="77">
        <f>SUM(AC$54:AC64)</f>
        <v>0.8398320791324676</v>
      </c>
      <c r="AI64" s="77">
        <f>SUM(AD$54:AD64)</f>
        <v>0.89131049271494855</v>
      </c>
      <c r="AJ64" s="77">
        <f>SUM(AE$54:AE64)</f>
        <v>0.79983953275139141</v>
      </c>
      <c r="AK64" s="77">
        <f>SUM(AF$54:AF64)</f>
        <v>0.9028549067836491</v>
      </c>
      <c r="AL64" s="73">
        <f t="shared" si="4"/>
        <v>0.11432715002807022</v>
      </c>
      <c r="AM64" s="80">
        <f t="shared" si="5"/>
        <v>1.2767609946880405E-2</v>
      </c>
      <c r="AN64" s="81"/>
      <c r="AO64" s="83">
        <f t="shared" si="12"/>
        <v>8.8791930134309402E-2</v>
      </c>
      <c r="AP64" s="83">
        <f t="shared" si="13"/>
        <v>0.13986236992183101</v>
      </c>
    </row>
    <row r="65" spans="1:42" x14ac:dyDescent="0.2">
      <c r="A65" s="47">
        <f t="shared" si="14"/>
        <v>40892</v>
      </c>
      <c r="B65" s="47"/>
      <c r="C65" s="40">
        <f t="array" ref="C65">COUNT(IF(    (MONTH(date.2006)=MONTH($A65))*(gross.world.2006&gt;=0),gross.world.2006))</f>
        <v>25</v>
      </c>
      <c r="D65" s="40">
        <f t="array" ref="D65">COUNT(IF(    (MONTH(date.2007)=MONTH($A65))*(gross.world.2007&gt;=0),gross.world.2007))</f>
        <v>51</v>
      </c>
      <c r="E65" s="40">
        <f t="array" ref="E65">COUNT(IF(    (MONTH(date.2008)=MONTH($A65))*(gross.world.2008&gt;=0),gross.world.2008))</f>
        <v>26</v>
      </c>
      <c r="F65" s="40">
        <f t="array" ref="F65">COUNT(IF(    (MONTH(date.2009)=MONTH($A65))*(gross.world.2009&gt;=0),gross.world.2009))</f>
        <v>31</v>
      </c>
      <c r="G65" s="40">
        <f t="array" ref="G65">COUNT(IF(    (MONTH(date.2010)=MONTH($A65))*(gross.world.2010&gt;=0),gross.world.2010))</f>
        <v>26</v>
      </c>
      <c r="H65" s="62">
        <f t="shared" si="6"/>
        <v>8.0906148867313912E-2</v>
      </c>
      <c r="I65" s="62">
        <f t="shared" si="2"/>
        <v>0.11409395973154363</v>
      </c>
      <c r="J65" s="62">
        <f t="shared" si="2"/>
        <v>5.6155507559395246E-2</v>
      </c>
      <c r="K65" s="62">
        <f t="shared" si="2"/>
        <v>9.8726114649681534E-2</v>
      </c>
      <c r="L65" s="62">
        <f t="shared" si="2"/>
        <v>0.12621359223300971</v>
      </c>
      <c r="M65" s="53">
        <f>SUM(H$54:H65)</f>
        <v>1</v>
      </c>
      <c r="N65" s="53">
        <f>SUM(I$54:I65)</f>
        <v>1</v>
      </c>
      <c r="O65" s="53">
        <f>SUM(J$54:J65)</f>
        <v>1</v>
      </c>
      <c r="P65" s="53">
        <f>SUM(K$54:K65)</f>
        <v>0.99999999999999989</v>
      </c>
      <c r="Q65" s="53">
        <f>SUM(L$54:L65)</f>
        <v>0.99999999999999978</v>
      </c>
      <c r="R65" s="53">
        <f t="shared" si="7"/>
        <v>9.5219064608188797E-2</v>
      </c>
      <c r="S65" s="53">
        <f t="shared" si="8"/>
        <v>2.7658827049003333E-2</v>
      </c>
      <c r="U65" s="65">
        <f t="shared" si="9"/>
        <v>3.9901410510182131E-2</v>
      </c>
      <c r="V65" s="66">
        <f t="shared" si="10"/>
        <v>0.15053671870619545</v>
      </c>
      <c r="W65" s="75">
        <f t="array" ref="W65">SUM(IF(    (MONTH(date.2006)=MONTH($A65))*(gross.world.2006&gt;=0),gross.world.2006))</f>
        <v>2915651168</v>
      </c>
      <c r="X65" s="75">
        <f t="array" ref="X65">SUM(IF(    (MONTH(date.2007)=MONTH($A65))*(gross.world.2007&gt;=0),gross.world.2007))</f>
        <v>3619587376</v>
      </c>
      <c r="Y65" s="75">
        <f t="array" ref="Y65">SUM(IF(    (MONTH(date.2008)=MONTH($A65))*(gross.world.2008&gt;=0),gross.world.2008))</f>
        <v>2529653591</v>
      </c>
      <c r="Z65" s="75">
        <f t="array" ref="Z65">SUM(IF(    (MONTH(date.2009)=MONTH($A65))*(gross.world.2009&gt;=0),gross.world.2009))</f>
        <v>5042675090</v>
      </c>
      <c r="AA65" s="75">
        <f t="array" ref="AA65">SUM(IF(    (MONTH(date.2010)=MONTH($A65))*(gross.world.2010&gt;=0),gross.world.2010))</f>
        <v>2149848066</v>
      </c>
      <c r="AB65" s="76">
        <f t="shared" si="11"/>
        <v>0.14866042701696078</v>
      </c>
      <c r="AC65" s="76">
        <f t="shared" si="3"/>
        <v>0.16016792086753237</v>
      </c>
      <c r="AD65" s="76">
        <f t="shared" si="3"/>
        <v>0.10868950728505149</v>
      </c>
      <c r="AE65" s="76">
        <f t="shared" si="3"/>
        <v>0.20016046724860859</v>
      </c>
      <c r="AF65" s="76">
        <f t="shared" si="3"/>
        <v>9.7145093216351106E-2</v>
      </c>
      <c r="AG65" s="77">
        <f>SUM(AB$54:AB65)</f>
        <v>1</v>
      </c>
      <c r="AH65" s="77">
        <f>SUM(AC$54:AC65)</f>
        <v>1</v>
      </c>
      <c r="AI65" s="77">
        <f>SUM(AD$54:AD65)</f>
        <v>1</v>
      </c>
      <c r="AJ65" s="77">
        <f>SUM(AE$54:AE65)</f>
        <v>1</v>
      </c>
      <c r="AK65" s="77">
        <f>SUM(AF$54:AF65)</f>
        <v>1.0000000000000002</v>
      </c>
      <c r="AL65" s="73">
        <f t="shared" si="4"/>
        <v>0.14296468312690086</v>
      </c>
      <c r="AM65" s="80">
        <f t="shared" si="5"/>
        <v>4.1454713565164884E-2</v>
      </c>
      <c r="AN65" s="81"/>
      <c r="AO65" s="83">
        <f t="shared" si="12"/>
        <v>6.0055255996571091E-2</v>
      </c>
      <c r="AP65" s="83">
        <f t="shared" si="13"/>
        <v>0.22587411025723064</v>
      </c>
    </row>
    <row r="66" spans="1:42" x14ac:dyDescent="0.2">
      <c r="C66" s="48">
        <f>SUM(C54:C65)</f>
        <v>309</v>
      </c>
      <c r="D66" s="48">
        <f>SUM(D54:D65)</f>
        <v>447</v>
      </c>
      <c r="E66" s="48">
        <f>SUM(E54:E65)</f>
        <v>463</v>
      </c>
      <c r="F66" s="48">
        <f>SUM(F54:F65)</f>
        <v>314</v>
      </c>
      <c r="G66" s="48">
        <f>SUM(G54:G65)</f>
        <v>206</v>
      </c>
      <c r="H66" s="58"/>
      <c r="I66" s="58"/>
      <c r="W66" s="45">
        <f t="array" ref="W66">SUM(IF(    (gross.world.2006&gt;=0),gross.world.2006))</f>
        <v>19612826537</v>
      </c>
      <c r="X66" s="45">
        <f t="array" ref="X66">SUM(IF(    (gross.world.2007&gt;=0),gross.world.2007))</f>
        <v>22598703638</v>
      </c>
      <c r="Y66" s="45">
        <f t="array" ref="Y66">SUM(IF(    (gross.world.2008&gt;=0),gross.world.2008))</f>
        <v>23274128793</v>
      </c>
      <c r="Z66" s="45">
        <f t="array" ref="Z66">SUM(IF(    (gross.world.2009&gt;=0),gross.world.2009))</f>
        <v>25193162063</v>
      </c>
      <c r="AA66" s="45">
        <f t="array" ref="AA66">SUM(IF(    (gross.world.2010&gt;=0),gross.world.2010))</f>
        <v>22130279511</v>
      </c>
    </row>
    <row r="67" spans="1:42" x14ac:dyDescent="0.2">
      <c r="C67" s="40">
        <f t="array" ref="C67">COUNT(IF(    (gross.world.2006&gt;=0),gross.world.2006))</f>
        <v>309</v>
      </c>
      <c r="D67" s="40">
        <f t="array" ref="D67">COUNT(IF(    (gross.world.2007&gt;=0),gross.world.2007))</f>
        <v>447</v>
      </c>
      <c r="E67" s="40">
        <f t="array" ref="E67">COUNT(IF(    (gross.world.2008&gt;=0),gross.world.2008))</f>
        <v>463</v>
      </c>
      <c r="F67" s="40">
        <f t="array" ref="F67">COUNT(IF(    (gross.world.2009&gt;=0),gross.world.2009))</f>
        <v>314</v>
      </c>
      <c r="G67" s="40">
        <f t="array" ref="G67">COUNT(IF(    (gross.world.2010&gt;=0),gross.world.2010))</f>
        <v>206</v>
      </c>
      <c r="H67" s="59"/>
      <c r="I67" s="59"/>
      <c r="W67" s="45">
        <f>SUM(W54:W65)</f>
        <v>19612826537</v>
      </c>
      <c r="X67" s="45">
        <f>SUM(X54:X65)</f>
        <v>22598703638</v>
      </c>
      <c r="Y67" s="45">
        <f>SUM(Y54:Y65)</f>
        <v>23274128793</v>
      </c>
      <c r="Z67" s="45">
        <f>SUM(Z54:Z65)</f>
        <v>25193162063</v>
      </c>
      <c r="AA67" s="45">
        <f>SUM(AA54:AA65)</f>
        <v>22130279511</v>
      </c>
    </row>
    <row r="68" spans="1:42" x14ac:dyDescent="0.2">
      <c r="A68" s="63">
        <v>250000000</v>
      </c>
      <c r="B68" s="63"/>
      <c r="C68" s="36"/>
      <c r="D68" s="36"/>
      <c r="H68" s="59"/>
      <c r="I68" s="59"/>
      <c r="W68" s="39" t="b">
        <f>W66=W67</f>
        <v>1</v>
      </c>
      <c r="X68" s="39" t="b">
        <f>X66=X67</f>
        <v>1</v>
      </c>
      <c r="Y68" s="39" t="b">
        <f>Y66=Y67</f>
        <v>1</v>
      </c>
      <c r="Z68" s="39" t="b">
        <f>Z66=Z67</f>
        <v>1</v>
      </c>
      <c r="AA68" s="39" t="b">
        <f>AA66=AA67</f>
        <v>1</v>
      </c>
    </row>
    <row r="69" spans="1:42" ht="15" x14ac:dyDescent="0.25">
      <c r="A69" s="36"/>
      <c r="B69" s="36"/>
      <c r="C69" s="60">
        <v>2006</v>
      </c>
      <c r="D69" s="60">
        <v>2007</v>
      </c>
      <c r="E69" s="61">
        <v>2008</v>
      </c>
      <c r="F69" s="49">
        <v>2009</v>
      </c>
      <c r="G69" s="49">
        <v>2010</v>
      </c>
      <c r="H69" s="60">
        <v>2006</v>
      </c>
      <c r="I69" s="60">
        <v>2007</v>
      </c>
      <c r="J69" s="61">
        <v>2008</v>
      </c>
      <c r="K69" s="49">
        <v>2009</v>
      </c>
      <c r="L69" s="49">
        <v>2010</v>
      </c>
      <c r="M69" s="60">
        <v>2006</v>
      </c>
      <c r="N69" s="60">
        <v>2007</v>
      </c>
      <c r="O69" s="61">
        <v>2008</v>
      </c>
      <c r="P69" s="49">
        <v>2009</v>
      </c>
      <c r="Q69" s="49">
        <v>2010</v>
      </c>
      <c r="R69" s="86" t="s">
        <v>5377</v>
      </c>
      <c r="S69" s="86" t="s">
        <v>5378</v>
      </c>
      <c r="T69" s="86"/>
      <c r="U69" s="86" t="s">
        <v>5379</v>
      </c>
      <c r="V69" s="86" t="s">
        <v>5380</v>
      </c>
      <c r="W69" s="78">
        <v>2006</v>
      </c>
      <c r="X69" s="78">
        <v>2007</v>
      </c>
      <c r="Y69" s="78">
        <v>2008</v>
      </c>
      <c r="Z69" s="79">
        <v>2009</v>
      </c>
      <c r="AA69" s="79">
        <v>2010</v>
      </c>
      <c r="AB69" s="71">
        <v>2006</v>
      </c>
      <c r="AC69" s="71">
        <v>2007</v>
      </c>
      <c r="AD69" s="71">
        <v>2008</v>
      </c>
      <c r="AE69" s="74">
        <v>2009</v>
      </c>
      <c r="AF69" s="74">
        <v>2010</v>
      </c>
      <c r="AG69" s="78">
        <v>2006</v>
      </c>
      <c r="AH69" s="78">
        <v>2007</v>
      </c>
      <c r="AI69" s="78">
        <v>2008</v>
      </c>
      <c r="AJ69" s="79">
        <v>2009</v>
      </c>
      <c r="AK69" s="79">
        <v>2010</v>
      </c>
      <c r="AL69" s="72" t="s">
        <v>5377</v>
      </c>
      <c r="AM69" s="72" t="s">
        <v>5381</v>
      </c>
      <c r="AN69" s="72"/>
      <c r="AO69" s="72" t="s">
        <v>5379</v>
      </c>
      <c r="AP69" s="72" t="s">
        <v>5380</v>
      </c>
    </row>
    <row r="70" spans="1:42" x14ac:dyDescent="0.2">
      <c r="A70" s="47">
        <v>40558</v>
      </c>
      <c r="B70" s="47"/>
      <c r="C70" s="40">
        <f t="array" ref="C70">COUNT(IF(    (MONTH(date.2006)=MONTH($A70))*(gross.world.2006&gt;=250000000),gross.world.2006))</f>
        <v>0</v>
      </c>
      <c r="D70" s="40">
        <f t="array" ref="D70">COUNT(IF(    (MONTH(date.2007)=MONTH($A70))*(gross.world.2007&gt;=250000000),gross.world.2007))</f>
        <v>0</v>
      </c>
      <c r="E70" s="40">
        <f t="array" ref="E70">COUNT(IF(    (MONTH(date.2008)=MONTH($A70))*(gross.world.2008&gt;=250000000),gross.world.2008))</f>
        <v>0</v>
      </c>
      <c r="F70" s="40">
        <f t="array" ref="F70">COUNT(IF(    (MONTH(date.2009)=MONTH($A70))*(gross.world.2009&gt;=$A$68),gross.world.2009))</f>
        <v>0</v>
      </c>
      <c r="G70" s="40">
        <f t="array" ref="G70">COUNT(IF(    (MONTH(date.2010)=MONTH($A70))*(gross.world.2010&gt;=250000000),gross.world.2010))</f>
        <v>0</v>
      </c>
      <c r="H70" s="62">
        <f>C70/C$82</f>
        <v>0</v>
      </c>
      <c r="I70" s="62">
        <f t="shared" ref="I70:L70" si="15">D70/D$82</f>
        <v>0</v>
      </c>
      <c r="J70" s="62">
        <f t="shared" si="15"/>
        <v>0</v>
      </c>
      <c r="K70" s="62">
        <f t="shared" si="15"/>
        <v>0</v>
      </c>
      <c r="L70" s="62">
        <f t="shared" si="15"/>
        <v>0</v>
      </c>
      <c r="M70" s="53">
        <f>SUM(H$70:H70)</f>
        <v>0</v>
      </c>
      <c r="N70" s="53">
        <f>SUM(I$70:I70)</f>
        <v>0</v>
      </c>
      <c r="O70" s="53">
        <f>SUM(J$70:J70)</f>
        <v>0</v>
      </c>
      <c r="P70" s="53">
        <f>SUM(K$70:K70)</f>
        <v>0</v>
      </c>
      <c r="Q70" s="53">
        <f>SUM(L$70:L70)</f>
        <v>0</v>
      </c>
      <c r="R70" s="53">
        <f>AVERAGE(H70:L70)</f>
        <v>0</v>
      </c>
      <c r="S70" s="53">
        <f>STDEV(H70:L70)</f>
        <v>0</v>
      </c>
      <c r="U70" s="69">
        <f>R70-2*S70</f>
        <v>0</v>
      </c>
      <c r="V70" s="70">
        <f>R70+2*S70</f>
        <v>0</v>
      </c>
      <c r="W70" s="75">
        <f t="array" ref="W70">SUM(IF(    (MONTH(date.2006)=MONTH($A70))*(gross.world.2006&gt;=$A$68),gross.world.2006))</f>
        <v>0</v>
      </c>
      <c r="X70" s="75">
        <f t="array" ref="X70">SUM(IF(    (MONTH(date.2007)=MONTH($A70))*(gross.world.2007&gt;=$A$68),gross.world.2007))</f>
        <v>0</v>
      </c>
      <c r="Y70" s="75">
        <f t="array" ref="Y70">SUM(IF(    (MONTH(date.2008)=MONTH($A70))*(gross.world.2008&gt;=$A$68),gross.world.2008))</f>
        <v>0</v>
      </c>
      <c r="Z70" s="75">
        <f t="array" ref="Z70">SUM(IF(    (MONTH(date.2009)=MONTH($A70))*(gross.world.2009&gt;=$A$68),gross.world.2009))</f>
        <v>0</v>
      </c>
      <c r="AA70" s="75">
        <f t="array" ref="AA70">SUM(IF(    (MONTH(date.2010)=MONTH($A70))*(gross.world.2010&gt;=$A$68),gross.world.2010))</f>
        <v>0</v>
      </c>
      <c r="AB70" s="76">
        <f>W70/W$82</f>
        <v>0</v>
      </c>
      <c r="AC70" s="76">
        <f t="shared" ref="AC70:AF81" si="16">X70/X$82</f>
        <v>0</v>
      </c>
      <c r="AD70" s="76">
        <f t="shared" si="16"/>
        <v>0</v>
      </c>
      <c r="AE70" s="76">
        <f t="shared" si="16"/>
        <v>0</v>
      </c>
      <c r="AF70" s="76">
        <f t="shared" si="16"/>
        <v>0</v>
      </c>
      <c r="AG70" s="77">
        <f>SUM(AB$70:AB70)</f>
        <v>0</v>
      </c>
      <c r="AH70" s="77">
        <f>SUM(AC$70:AC70)</f>
        <v>0</v>
      </c>
      <c r="AI70" s="77">
        <f>SUM(AD$70:AD70)</f>
        <v>0</v>
      </c>
      <c r="AJ70" s="77">
        <f>SUM(AE$70:AE70)</f>
        <v>0</v>
      </c>
      <c r="AK70" s="77">
        <f>SUM(AF$70:AF70)</f>
        <v>0</v>
      </c>
      <c r="AL70" s="73">
        <f t="shared" ref="AL70:AL81" si="17">AVERAGE(AB70:AF70)</f>
        <v>0</v>
      </c>
      <c r="AM70" s="80">
        <f t="shared" ref="AM70:AM81" si="18">STDEV(AB70:AF70)</f>
        <v>0</v>
      </c>
      <c r="AN70" s="81"/>
      <c r="AO70" s="82">
        <f>AL70-2*AM70</f>
        <v>0</v>
      </c>
      <c r="AP70" s="82">
        <f>AL70+2*AM70</f>
        <v>0</v>
      </c>
    </row>
    <row r="71" spans="1:42" x14ac:dyDescent="0.2">
      <c r="A71" s="47">
        <f>DATE(YEAR(A70),MONTH(A70)+1,15)</f>
        <v>40589</v>
      </c>
      <c r="B71" s="47"/>
      <c r="C71" s="40">
        <f t="array" ref="C71">COUNT(IF(    (MONTH(date.2006)=MONTH($A71))*(gross.world.2006&gt;=250000000),gross.world.2006))</f>
        <v>0</v>
      </c>
      <c r="D71" s="40">
        <f t="array" ref="D71">COUNT(IF(    (MONTH(date.2007)=MONTH($A71))*(gross.world.2007&gt;=250000000),gross.world.2007))</f>
        <v>0</v>
      </c>
      <c r="E71" s="40">
        <f t="array" ref="E71">COUNT(IF(    (MONTH(date.2008)=MONTH($A71))*(gross.world.2008&gt;=250000000),gross.world.2008))</f>
        <v>0</v>
      </c>
      <c r="F71" s="40">
        <f t="array" ref="F71">COUNT(IF(    (MONTH(date.2009)=MONTH($A71))*(gross.world.2009&gt;=$A$68),gross.world.2009))</f>
        <v>0</v>
      </c>
      <c r="G71" s="40">
        <f t="array" ref="G71">COUNT(IF(    (MONTH(date.2010)=MONTH($A71))*(gross.world.2010&gt;=250000000),gross.world.2010))</f>
        <v>1</v>
      </c>
      <c r="H71" s="62">
        <f t="shared" ref="H71:H81" si="19">C71/C$82</f>
        <v>0</v>
      </c>
      <c r="I71" s="62">
        <f t="shared" ref="I71:I81" si="20">D71/D$82</f>
        <v>0</v>
      </c>
      <c r="J71" s="62">
        <f t="shared" ref="J71:J81" si="21">E71/E$82</f>
        <v>0</v>
      </c>
      <c r="K71" s="62">
        <f t="shared" ref="K71:K81" si="22">F71/F$82</f>
        <v>0</v>
      </c>
      <c r="L71" s="62">
        <f t="shared" ref="L71:L81" si="23">G71/G$82</f>
        <v>3.8461538461538464E-2</v>
      </c>
      <c r="M71" s="53">
        <f>SUM(H$70:H71)</f>
        <v>0</v>
      </c>
      <c r="N71" s="53">
        <f>SUM(I$70:I71)</f>
        <v>0</v>
      </c>
      <c r="O71" s="53">
        <f>SUM(J$70:J71)</f>
        <v>0</v>
      </c>
      <c r="P71" s="53">
        <f>SUM(K$70:K71)</f>
        <v>0</v>
      </c>
      <c r="Q71" s="53">
        <f>SUM(L$70:L71)</f>
        <v>3.8461538461538464E-2</v>
      </c>
      <c r="R71" s="53">
        <f t="shared" ref="R71:R81" si="24">AVERAGE(H71:L71)</f>
        <v>7.6923076923076927E-3</v>
      </c>
      <c r="S71" s="53">
        <f t="shared" ref="S71:S81" si="25">STDEV(H71:L71)</f>
        <v>1.7200522903844537E-2</v>
      </c>
      <c r="U71" s="69">
        <f t="shared" ref="U71:U81" si="26">R71-2*S71</f>
        <v>-2.6708738115381381E-2</v>
      </c>
      <c r="V71" s="70">
        <f t="shared" ref="V71:V81" si="27">R71+2*S71</f>
        <v>4.2093353499996766E-2</v>
      </c>
      <c r="W71" s="75">
        <f t="array" ref="W71">SUM(IF(    (MONTH(date.2006)=MONTH($A71))*(gross.world.2006&gt;=$A$68),gross.world.2006))</f>
        <v>0</v>
      </c>
      <c r="X71" s="75">
        <f t="array" ref="X71">SUM(IF(    (MONTH(date.2007)=MONTH($A71))*(gross.world.2007&gt;=$A$68),gross.world.2007))</f>
        <v>0</v>
      </c>
      <c r="Y71" s="75">
        <f t="array" ref="Y71">SUM(IF(    (MONTH(date.2008)=MONTH($A71))*(gross.world.2008&gt;=$A$68),gross.world.2008))</f>
        <v>0</v>
      </c>
      <c r="Z71" s="75">
        <f t="array" ref="Z71">SUM(IF(    (MONTH(date.2009)=MONTH($A71))*(gross.world.2009&gt;=$A$68),gross.world.2009))</f>
        <v>0</v>
      </c>
      <c r="AA71" s="75">
        <f t="array" ref="AA71">SUM(IF(    (MONTH(date.2010)=MONTH($A71))*(gross.world.2010&gt;=$A$68),gross.world.2010))</f>
        <v>296831073</v>
      </c>
      <c r="AB71" s="76">
        <f t="shared" ref="AB71:AB81" si="28">W71/W$82</f>
        <v>0</v>
      </c>
      <c r="AC71" s="76">
        <f t="shared" si="16"/>
        <v>0</v>
      </c>
      <c r="AD71" s="76">
        <f t="shared" si="16"/>
        <v>0</v>
      </c>
      <c r="AE71" s="76">
        <f t="shared" si="16"/>
        <v>0</v>
      </c>
      <c r="AF71" s="76">
        <f t="shared" si="16"/>
        <v>2.3556620027209745E-2</v>
      </c>
      <c r="AG71" s="77">
        <f>SUM(AB$70:AB71)</f>
        <v>0</v>
      </c>
      <c r="AH71" s="77">
        <f>SUM(AC$70:AC71)</f>
        <v>0</v>
      </c>
      <c r="AI71" s="77">
        <f>SUM(AD$70:AD71)</f>
        <v>0</v>
      </c>
      <c r="AJ71" s="77">
        <f>SUM(AE$70:AE71)</f>
        <v>0</v>
      </c>
      <c r="AK71" s="77">
        <f>SUM(AF$70:AF71)</f>
        <v>2.3556620027209745E-2</v>
      </c>
      <c r="AL71" s="73">
        <f t="shared" si="17"/>
        <v>4.7113240054419492E-3</v>
      </c>
      <c r="AM71" s="80">
        <f t="shared" si="18"/>
        <v>1.0534840740194786E-2</v>
      </c>
      <c r="AN71" s="81"/>
      <c r="AO71" s="82">
        <f t="shared" ref="AO71:AO81" si="29">AL71-2*AM71</f>
        <v>-1.6358357474947623E-2</v>
      </c>
      <c r="AP71" s="82">
        <f t="shared" ref="AP71:AP81" si="30">AL71+2*AM71</f>
        <v>2.578100548583152E-2</v>
      </c>
    </row>
    <row r="72" spans="1:42" x14ac:dyDescent="0.2">
      <c r="A72" s="47">
        <f t="shared" ref="A72:A81" si="31">DATE(YEAR(A71),MONTH(A71)+1,15)</f>
        <v>40617</v>
      </c>
      <c r="B72" s="47"/>
      <c r="C72" s="40">
        <f t="array" ref="C72">COUNT(IF(    (MONTH(date.2006)=MONTH($A72))*(gross.world.2006&gt;=250000000),gross.world.2006))</f>
        <v>1</v>
      </c>
      <c r="D72" s="40">
        <f t="array" ref="D72">COUNT(IF(    (MONTH(date.2007)=MONTH($A72))*(gross.world.2007&gt;=250000000),gross.world.2007))</f>
        <v>2</v>
      </c>
      <c r="E72" s="40">
        <f t="array" ref="E72">COUNT(IF(    (MONTH(date.2008)=MONTH($A72))*(gross.world.2008&gt;=250000000),gross.world.2008))</f>
        <v>2</v>
      </c>
      <c r="F72" s="40">
        <f t="array" ref="F72">COUNT(IF(    (MONTH(date.2009)=MONTH($A72))*(gross.world.2009&gt;=$A$68),gross.world.2009))</f>
        <v>1</v>
      </c>
      <c r="G72" s="40">
        <f t="array" ref="G72">COUNT(IF(    (MONTH(date.2010)=MONTH($A72))*(gross.world.2010&gt;=250000000),gross.world.2010))</f>
        <v>2</v>
      </c>
      <c r="H72" s="62">
        <f t="shared" si="19"/>
        <v>6.6666666666666666E-2</v>
      </c>
      <c r="I72" s="62">
        <f t="shared" si="20"/>
        <v>9.5238095238095233E-2</v>
      </c>
      <c r="J72" s="62">
        <f t="shared" si="21"/>
        <v>9.0909090909090912E-2</v>
      </c>
      <c r="K72" s="62">
        <f t="shared" si="22"/>
        <v>0.04</v>
      </c>
      <c r="L72" s="62">
        <f t="shared" si="23"/>
        <v>7.6923076923076927E-2</v>
      </c>
      <c r="M72" s="53">
        <f>SUM(H$70:H72)</f>
        <v>6.6666666666666666E-2</v>
      </c>
      <c r="N72" s="53">
        <f>SUM(I$70:I72)</f>
        <v>9.5238095238095233E-2</v>
      </c>
      <c r="O72" s="53">
        <f>SUM(J$70:J72)</f>
        <v>9.0909090909090912E-2</v>
      </c>
      <c r="P72" s="53">
        <f>SUM(K$70:K72)</f>
        <v>0.04</v>
      </c>
      <c r="Q72" s="53">
        <f>SUM(L$70:L72)</f>
        <v>0.11538461538461539</v>
      </c>
      <c r="R72" s="53">
        <f t="shared" si="24"/>
        <v>7.3947385947385952E-2</v>
      </c>
      <c r="S72" s="53">
        <f t="shared" si="25"/>
        <v>2.2109287415007534E-2</v>
      </c>
      <c r="U72" s="65">
        <f t="shared" si="26"/>
        <v>2.9728811117370885E-2</v>
      </c>
      <c r="V72" s="66">
        <f t="shared" si="27"/>
        <v>0.11816596077740102</v>
      </c>
      <c r="W72" s="75">
        <f t="array" ref="W72">SUM(IF(    (MONTH(date.2006)=MONTH($A72))*(gross.world.2006&gt;=$A$68),gross.world.2006))</f>
        <v>651899282</v>
      </c>
      <c r="X72" s="75">
        <f t="array" ref="X72">SUM(IF(    (MONTH(date.2007)=MONTH($A72))*(gross.world.2007&gt;=$A$68),gross.world.2007))</f>
        <v>709081765</v>
      </c>
      <c r="Y72" s="75">
        <f t="array" ref="Y72">SUM(IF(    (MONTH(date.2008)=MONTH($A72))*(gross.world.2008&gt;=$A$68),gross.world.2008))</f>
        <v>566199625</v>
      </c>
      <c r="Z72" s="75">
        <f t="array" ref="Z72">SUM(IF(    (MONTH(date.2009)=MONTH($A72))*(gross.world.2009&gt;=$A$68),gross.world.2009))</f>
        <v>381687380</v>
      </c>
      <c r="AA72" s="75">
        <f t="array" ref="AA72">SUM(IF(    (MONTH(date.2010)=MONTH($A72))*(gross.world.2010&gt;=$A$68),gross.world.2010))</f>
        <v>1519270717</v>
      </c>
      <c r="AB72" s="76">
        <f t="shared" si="28"/>
        <v>8.9776508113547912E-2</v>
      </c>
      <c r="AC72" s="76">
        <f t="shared" si="16"/>
        <v>6.7494850470937104E-2</v>
      </c>
      <c r="AD72" s="76">
        <f t="shared" si="16"/>
        <v>5.5199082890749492E-2</v>
      </c>
      <c r="AE72" s="76">
        <f t="shared" si="16"/>
        <v>2.6811924416765578E-2</v>
      </c>
      <c r="AF72" s="76">
        <f t="shared" si="16"/>
        <v>0.12056986701939897</v>
      </c>
      <c r="AG72" s="77">
        <f>SUM(AB$70:AB72)</f>
        <v>8.9776508113547912E-2</v>
      </c>
      <c r="AH72" s="77">
        <f>SUM(AC$70:AC72)</f>
        <v>6.7494850470937104E-2</v>
      </c>
      <c r="AI72" s="77">
        <f>SUM(AD$70:AD72)</f>
        <v>5.5199082890749492E-2</v>
      </c>
      <c r="AJ72" s="77">
        <f>SUM(AE$70:AE72)</f>
        <v>2.6811924416765578E-2</v>
      </c>
      <c r="AK72" s="77">
        <f>SUM(AF$70:AF72)</f>
        <v>0.14412648704660871</v>
      </c>
      <c r="AL72" s="73">
        <f t="shared" si="17"/>
        <v>7.1970446582279815E-2</v>
      </c>
      <c r="AM72" s="80">
        <f t="shared" si="18"/>
        <v>3.5424430901843267E-2</v>
      </c>
      <c r="AN72" s="81"/>
      <c r="AO72" s="83">
        <f t="shared" si="29"/>
        <v>1.121584778593282E-3</v>
      </c>
      <c r="AP72" s="83">
        <f t="shared" si="30"/>
        <v>0.14281930838596635</v>
      </c>
    </row>
    <row r="73" spans="1:42" x14ac:dyDescent="0.2">
      <c r="A73" s="47">
        <f t="shared" si="31"/>
        <v>40648</v>
      </c>
      <c r="B73" s="47"/>
      <c r="C73" s="40">
        <f t="array" ref="C73">COUNT(IF(    (MONTH(date.2006)=MONTH($A73))*(gross.world.2006&gt;=250000000),gross.world.2006))</f>
        <v>0</v>
      </c>
      <c r="D73" s="40">
        <f t="array" ref="D73">COUNT(IF(    (MONTH(date.2007)=MONTH($A73))*(gross.world.2007&gt;=250000000),gross.world.2007))</f>
        <v>0</v>
      </c>
      <c r="E73" s="40">
        <f t="array" ref="E73">COUNT(IF(    (MONTH(date.2008)=MONTH($A73))*(gross.world.2008&gt;=250000000),gross.world.2008))</f>
        <v>0</v>
      </c>
      <c r="F73" s="40">
        <f t="array" ref="F73">COUNT(IF(    (MONTH(date.2009)=MONTH($A73))*(gross.world.2009&gt;=$A$68),gross.world.2009))</f>
        <v>1</v>
      </c>
      <c r="G73" s="40">
        <f t="array" ref="G73">COUNT(IF(    (MONTH(date.2010)=MONTH($A73))*(gross.world.2010&gt;=250000000),gross.world.2010))</f>
        <v>1</v>
      </c>
      <c r="H73" s="62">
        <f t="shared" si="19"/>
        <v>0</v>
      </c>
      <c r="I73" s="62">
        <f t="shared" si="20"/>
        <v>0</v>
      </c>
      <c r="J73" s="62">
        <f t="shared" si="21"/>
        <v>0</v>
      </c>
      <c r="K73" s="62">
        <f t="shared" si="22"/>
        <v>0.04</v>
      </c>
      <c r="L73" s="62">
        <f t="shared" si="23"/>
        <v>3.8461538461538464E-2</v>
      </c>
      <c r="M73" s="53">
        <f>SUM(H$70:H73)</f>
        <v>6.6666666666666666E-2</v>
      </c>
      <c r="N73" s="53">
        <f>SUM(I$70:I73)</f>
        <v>9.5238095238095233E-2</v>
      </c>
      <c r="O73" s="53">
        <f>SUM(J$70:J73)</f>
        <v>9.0909090909090912E-2</v>
      </c>
      <c r="P73" s="53">
        <f>SUM(K$70:K73)</f>
        <v>0.08</v>
      </c>
      <c r="Q73" s="53">
        <f>SUM(L$70:L73)</f>
        <v>0.15384615384615385</v>
      </c>
      <c r="R73" s="53">
        <f t="shared" si="24"/>
        <v>1.5692307692307693E-2</v>
      </c>
      <c r="S73" s="53">
        <f t="shared" si="25"/>
        <v>2.1494460549628284E-2</v>
      </c>
      <c r="U73" s="69">
        <f t="shared" si="26"/>
        <v>-2.7296613406948875E-2</v>
      </c>
      <c r="V73" s="70">
        <f t="shared" si="27"/>
        <v>5.8681228791564261E-2</v>
      </c>
      <c r="W73" s="75">
        <f t="array" ref="W73">SUM(IF(    (MONTH(date.2006)=MONTH($A73))*(gross.world.2006&gt;=$A$68),gross.world.2006))</f>
        <v>0</v>
      </c>
      <c r="X73" s="75">
        <f t="array" ref="X73">SUM(IF(    (MONTH(date.2007)=MONTH($A73))*(gross.world.2007&gt;=$A$68),gross.world.2007))</f>
        <v>0</v>
      </c>
      <c r="Y73" s="75">
        <f t="array" ref="Y73">SUM(IF(    (MONTH(date.2008)=MONTH($A73))*(gross.world.2008&gt;=$A$68),gross.world.2008))</f>
        <v>0</v>
      </c>
      <c r="Z73" s="75">
        <f t="array" ref="Z73">SUM(IF(    (MONTH(date.2009)=MONTH($A73))*(gross.world.2009&gt;=$A$68),gross.world.2009))</f>
        <v>360161740</v>
      </c>
      <c r="AA73" s="75">
        <f t="array" ref="AA73">SUM(IF(    (MONTH(date.2010)=MONTH($A73))*(gross.world.2010&gt;=$A$68),gross.world.2010))</f>
        <v>493214888</v>
      </c>
      <c r="AB73" s="76">
        <f t="shared" si="28"/>
        <v>0</v>
      </c>
      <c r="AC73" s="76">
        <f t="shared" si="16"/>
        <v>0</v>
      </c>
      <c r="AD73" s="76">
        <f t="shared" si="16"/>
        <v>0</v>
      </c>
      <c r="AE73" s="76">
        <f t="shared" si="16"/>
        <v>2.5299839231495615E-2</v>
      </c>
      <c r="AF73" s="76">
        <f t="shared" si="16"/>
        <v>3.9141709764256426E-2</v>
      </c>
      <c r="AG73" s="77">
        <f>SUM(AB$70:AB73)</f>
        <v>8.9776508113547912E-2</v>
      </c>
      <c r="AH73" s="77">
        <f>SUM(AC$70:AC73)</f>
        <v>6.7494850470937104E-2</v>
      </c>
      <c r="AI73" s="77">
        <f>SUM(AD$70:AD73)</f>
        <v>5.5199082890749492E-2</v>
      </c>
      <c r="AJ73" s="77">
        <f>SUM(AE$70:AE73)</f>
        <v>5.2111763648261193E-2</v>
      </c>
      <c r="AK73" s="77">
        <f>SUM(AF$70:AF73)</f>
        <v>0.18326819681086515</v>
      </c>
      <c r="AL73" s="73">
        <f t="shared" si="17"/>
        <v>1.2888309799150408E-2</v>
      </c>
      <c r="AM73" s="80">
        <f t="shared" si="18"/>
        <v>1.8314015541480991E-2</v>
      </c>
      <c r="AN73" s="81"/>
      <c r="AO73" s="82">
        <f t="shared" si="29"/>
        <v>-2.3739721283811577E-2</v>
      </c>
      <c r="AP73" s="82">
        <f t="shared" si="30"/>
        <v>4.9516340882112389E-2</v>
      </c>
    </row>
    <row r="74" spans="1:42" x14ac:dyDescent="0.2">
      <c r="A74" s="47">
        <f t="shared" si="31"/>
        <v>40678</v>
      </c>
      <c r="B74" s="47"/>
      <c r="C74" s="40">
        <f t="array" ref="C74">COUNT(IF(    (MONTH(date.2006)=MONTH($A74))*(gross.world.2006&gt;=250000000),gross.world.2006))</f>
        <v>4</v>
      </c>
      <c r="D74" s="40">
        <f t="array" ref="D74">COUNT(IF(    (MONTH(date.2007)=MONTH($A74))*(gross.world.2007&gt;=250000000),gross.world.2007))</f>
        <v>3</v>
      </c>
      <c r="E74" s="40">
        <f t="array" ref="E74">COUNT(IF(    (MONTH(date.2008)=MONTH($A74))*(gross.world.2008&gt;=250000000),gross.world.2008))</f>
        <v>4</v>
      </c>
      <c r="F74" s="40">
        <f t="array" ref="F74">COUNT(IF(    (MONTH(date.2009)=MONTH($A74))*(gross.world.2009&gt;=$A$68),gross.world.2009))</f>
        <v>6</v>
      </c>
      <c r="G74" s="40">
        <f t="array" ref="G74">COUNT(IF(    (MONTH(date.2010)=MONTH($A74))*(gross.world.2010&gt;=250000000),gross.world.2010))</f>
        <v>5</v>
      </c>
      <c r="H74" s="62">
        <f t="shared" si="19"/>
        <v>0.26666666666666666</v>
      </c>
      <c r="I74" s="62">
        <f t="shared" si="20"/>
        <v>0.14285714285714285</v>
      </c>
      <c r="J74" s="62">
        <f t="shared" si="21"/>
        <v>0.18181818181818182</v>
      </c>
      <c r="K74" s="62">
        <f t="shared" si="22"/>
        <v>0.24</v>
      </c>
      <c r="L74" s="62">
        <f t="shared" si="23"/>
        <v>0.19230769230769232</v>
      </c>
      <c r="M74" s="53">
        <f>SUM(H$70:H74)</f>
        <v>0.33333333333333331</v>
      </c>
      <c r="N74" s="53">
        <f>SUM(I$70:I74)</f>
        <v>0.23809523809523808</v>
      </c>
      <c r="O74" s="53">
        <f>SUM(J$70:J74)</f>
        <v>0.27272727272727271</v>
      </c>
      <c r="P74" s="53">
        <f>SUM(K$70:K74)</f>
        <v>0.32</v>
      </c>
      <c r="Q74" s="53">
        <f>SUM(L$70:L74)</f>
        <v>0.34615384615384615</v>
      </c>
      <c r="R74" s="53">
        <f t="shared" si="24"/>
        <v>0.20472993672993672</v>
      </c>
      <c r="S74" s="53">
        <f t="shared" si="25"/>
        <v>4.89582453974233E-2</v>
      </c>
      <c r="U74" s="67">
        <f t="shared" si="26"/>
        <v>0.10681344593509012</v>
      </c>
      <c r="V74" s="68">
        <f t="shared" si="27"/>
        <v>0.30264642752478332</v>
      </c>
      <c r="W74" s="75">
        <f t="array" ref="W74">SUM(IF(    (MONTH(date.2006)=MONTH($A74))*(gross.world.2006&gt;=$A$68),gross.world.2006))</f>
        <v>1950100022</v>
      </c>
      <c r="X74" s="75">
        <f t="array" ref="X74">SUM(IF(    (MONTH(date.2007)=MONTH($A74))*(gross.world.2007&gt;=$A$68),gross.world.2007))</f>
        <v>2650826280</v>
      </c>
      <c r="Y74" s="75">
        <f t="array" ref="Y74">SUM(IF(    (MONTH(date.2008)=MONTH($A74))*(gross.world.2008&gt;=$A$68),gross.world.2008))</f>
        <v>2199337281</v>
      </c>
      <c r="Z74" s="75">
        <f t="array" ref="Z74">SUM(IF(    (MONTH(date.2009)=MONTH($A74))*(gross.world.2009&gt;=$A$68),gross.world.2009))</f>
        <v>2762469831</v>
      </c>
      <c r="AA74" s="75">
        <f t="array" ref="AA74">SUM(IF(    (MONTH(date.2010)=MONTH($A74))*(gross.world.2010&gt;=$A$68),gross.world.2010))</f>
        <v>2327800045</v>
      </c>
      <c r="AB74" s="76">
        <f t="shared" si="28"/>
        <v>0.26855861830403577</v>
      </c>
      <c r="AC74" s="76">
        <f t="shared" si="16"/>
        <v>0.25232227399477752</v>
      </c>
      <c r="AD74" s="76">
        <f t="shared" si="16"/>
        <v>0.21441448478287956</v>
      </c>
      <c r="AE74" s="76">
        <f t="shared" si="16"/>
        <v>0.19405182406703406</v>
      </c>
      <c r="AF74" s="76">
        <f t="shared" si="16"/>
        <v>0.18473504342110014</v>
      </c>
      <c r="AG74" s="77">
        <f>SUM(AB$70:AB74)</f>
        <v>0.35833512641758369</v>
      </c>
      <c r="AH74" s="77">
        <f>SUM(AC$70:AC74)</f>
        <v>0.31981712446571464</v>
      </c>
      <c r="AI74" s="77">
        <f>SUM(AD$70:AD74)</f>
        <v>0.26961356767362904</v>
      </c>
      <c r="AJ74" s="77">
        <f>SUM(AE$70:AE74)</f>
        <v>0.24616358771529526</v>
      </c>
      <c r="AK74" s="77">
        <f>SUM(AF$70:AF74)</f>
        <v>0.36800324023196529</v>
      </c>
      <c r="AL74" s="73">
        <f t="shared" si="17"/>
        <v>0.22281644891396538</v>
      </c>
      <c r="AM74" s="80">
        <f t="shared" si="18"/>
        <v>3.6438749506419191E-2</v>
      </c>
      <c r="AN74" s="81"/>
      <c r="AO74" s="84">
        <f t="shared" si="29"/>
        <v>0.14993894990112699</v>
      </c>
      <c r="AP74" s="84">
        <f t="shared" si="30"/>
        <v>0.29569394792680376</v>
      </c>
    </row>
    <row r="75" spans="1:42" x14ac:dyDescent="0.2">
      <c r="A75" s="47">
        <f t="shared" si="31"/>
        <v>40709</v>
      </c>
      <c r="B75" s="47"/>
      <c r="C75" s="40">
        <f t="array" ref="C75">COUNT(IF(    (MONTH(date.2006)=MONTH($A75))*(gross.world.2006&gt;=250000000),gross.world.2006))</f>
        <v>3</v>
      </c>
      <c r="D75" s="40">
        <f t="array" ref="D75">COUNT(IF(    (MONTH(date.2007)=MONTH($A75))*(gross.world.2007&gt;=250000000),gross.world.2007))</f>
        <v>4</v>
      </c>
      <c r="E75" s="40">
        <f t="array" ref="E75">COUNT(IF(    (MONTH(date.2008)=MONTH($A75))*(gross.world.2008&gt;=250000000),gross.world.2008))</f>
        <v>4</v>
      </c>
      <c r="F75" s="40">
        <f t="array" ref="F75">COUNT(IF(    (MONTH(date.2009)=MONTH($A75))*(gross.world.2009&gt;=$A$68),gross.world.2009))</f>
        <v>3</v>
      </c>
      <c r="G75" s="40">
        <f t="array" ref="G75">COUNT(IF(    (MONTH(date.2010)=MONTH($A75))*(gross.world.2010&gt;=250000000),gross.world.2010))</f>
        <v>5</v>
      </c>
      <c r="H75" s="62">
        <f t="shared" si="19"/>
        <v>0.2</v>
      </c>
      <c r="I75" s="62">
        <f t="shared" si="20"/>
        <v>0.19047619047619047</v>
      </c>
      <c r="J75" s="62">
        <f t="shared" si="21"/>
        <v>0.18181818181818182</v>
      </c>
      <c r="K75" s="62">
        <f t="shared" si="22"/>
        <v>0.12</v>
      </c>
      <c r="L75" s="62">
        <f t="shared" si="23"/>
        <v>0.19230769230769232</v>
      </c>
      <c r="M75" s="53">
        <f>SUM(H$70:H75)</f>
        <v>0.53333333333333333</v>
      </c>
      <c r="N75" s="53">
        <f>SUM(I$70:I75)</f>
        <v>0.42857142857142855</v>
      </c>
      <c r="O75" s="53">
        <f>SUM(J$70:J75)</f>
        <v>0.45454545454545453</v>
      </c>
      <c r="P75" s="53">
        <f>SUM(K$70:K75)</f>
        <v>0.44</v>
      </c>
      <c r="Q75" s="53">
        <f>SUM(L$70:L75)</f>
        <v>0.53846153846153844</v>
      </c>
      <c r="R75" s="53">
        <f t="shared" si="24"/>
        <v>0.17692041292041291</v>
      </c>
      <c r="S75" s="53">
        <f t="shared" si="25"/>
        <v>3.2469664146147319E-2</v>
      </c>
      <c r="U75" s="67">
        <f t="shared" si="26"/>
        <v>0.11198108462811827</v>
      </c>
      <c r="V75" s="68">
        <f t="shared" si="27"/>
        <v>0.24185974121270754</v>
      </c>
      <c r="W75" s="75">
        <f t="array" ref="W75">SUM(IF(    (MONTH(date.2006)=MONTH($A75))*(gross.world.2006&gt;=$A$68),gross.world.2006))</f>
        <v>1179653975</v>
      </c>
      <c r="X75" s="75">
        <f t="array" ref="X75">SUM(IF(    (MONTH(date.2007)=MONTH($A75))*(gross.world.2007&gt;=$A$68),gross.world.2007))</f>
        <v>1607936902</v>
      </c>
      <c r="Y75" s="75">
        <f t="array" ref="Y75">SUM(IF(    (MONTH(date.2008)=MONTH($A75))*(gross.world.2008&gt;=$A$68),gross.world.2008))</f>
        <v>1768937659</v>
      </c>
      <c r="Z75" s="75">
        <f t="array" ref="Z75">SUM(IF(    (MONTH(date.2009)=MONTH($A75))*(gross.world.2009&gt;=$A$68),gross.world.2009))</f>
        <v>1623215195</v>
      </c>
      <c r="AA75" s="75">
        <f t="array" ref="AA75">SUM(IF(    (MONTH(date.2010)=MONTH($A75))*(gross.world.2010&gt;=$A$68),gross.world.2010))</f>
        <v>2643123531</v>
      </c>
      <c r="AB75" s="76">
        <f t="shared" si="28"/>
        <v>0.16245640635291655</v>
      </c>
      <c r="AC75" s="76">
        <f t="shared" si="16"/>
        <v>0.15305352093942487</v>
      </c>
      <c r="AD75" s="76">
        <f t="shared" si="16"/>
        <v>0.17245461168878265</v>
      </c>
      <c r="AE75" s="76">
        <f t="shared" si="16"/>
        <v>0.11402400341474585</v>
      </c>
      <c r="AF75" s="76">
        <f t="shared" si="16"/>
        <v>0.20975922795233751</v>
      </c>
      <c r="AG75" s="77">
        <f>SUM(AB$70:AB75)</f>
        <v>0.52079153277050028</v>
      </c>
      <c r="AH75" s="77">
        <f>SUM(AC$70:AC75)</f>
        <v>0.47287064540513951</v>
      </c>
      <c r="AI75" s="77">
        <f>SUM(AD$70:AD75)</f>
        <v>0.44206817936241172</v>
      </c>
      <c r="AJ75" s="77">
        <f>SUM(AE$70:AE75)</f>
        <v>0.36018759113004112</v>
      </c>
      <c r="AK75" s="77">
        <f>SUM(AF$70:AF75)</f>
        <v>0.57776246818430277</v>
      </c>
      <c r="AL75" s="73">
        <f t="shared" si="17"/>
        <v>0.16234955406964147</v>
      </c>
      <c r="AM75" s="80">
        <f t="shared" si="18"/>
        <v>3.4538297086774458E-2</v>
      </c>
      <c r="AN75" s="81"/>
      <c r="AO75" s="84">
        <f t="shared" si="29"/>
        <v>9.327295989609255E-2</v>
      </c>
      <c r="AP75" s="84">
        <f t="shared" si="30"/>
        <v>0.23142614824319038</v>
      </c>
    </row>
    <row r="76" spans="1:42" x14ac:dyDescent="0.2">
      <c r="A76" s="47">
        <f t="shared" si="31"/>
        <v>40739</v>
      </c>
      <c r="B76" s="47"/>
      <c r="C76" s="40">
        <f t="array" ref="C76">COUNT(IF(    (MONTH(date.2006)=MONTH($A76))*(gross.world.2006&gt;=250000000),gross.world.2006))</f>
        <v>1</v>
      </c>
      <c r="D76" s="40">
        <f t="array" ref="D76">COUNT(IF(    (MONTH(date.2007)=MONTH($A76))*(gross.world.2007&gt;=250000000),gross.world.2007))</f>
        <v>3</v>
      </c>
      <c r="E76" s="40">
        <f t="array" ref="E76">COUNT(IF(    (MONTH(date.2008)=MONTH($A76))*(gross.world.2008&gt;=250000000),gross.world.2008))</f>
        <v>3</v>
      </c>
      <c r="F76" s="40">
        <f t="array" ref="F76">COUNT(IF(    (MONTH(date.2009)=MONTH($A76))*(gross.world.2009&gt;=$A$68),gross.world.2009))</f>
        <v>3</v>
      </c>
      <c r="G76" s="40">
        <f t="array" ref="G76">COUNT(IF(    (MONTH(date.2010)=MONTH($A76))*(gross.world.2010&gt;=250000000),gross.world.2010))</f>
        <v>4</v>
      </c>
      <c r="H76" s="62">
        <f t="shared" si="19"/>
        <v>6.6666666666666666E-2</v>
      </c>
      <c r="I76" s="62">
        <f t="shared" si="20"/>
        <v>0.14285714285714285</v>
      </c>
      <c r="J76" s="62">
        <f t="shared" si="21"/>
        <v>0.13636363636363635</v>
      </c>
      <c r="K76" s="62">
        <f t="shared" si="22"/>
        <v>0.12</v>
      </c>
      <c r="L76" s="62">
        <f t="shared" si="23"/>
        <v>0.15384615384615385</v>
      </c>
      <c r="M76" s="53">
        <f>SUM(H$70:H76)</f>
        <v>0.6</v>
      </c>
      <c r="N76" s="53">
        <f>SUM(I$70:I76)</f>
        <v>0.5714285714285714</v>
      </c>
      <c r="O76" s="53">
        <f>SUM(J$70:J76)</f>
        <v>0.59090909090909083</v>
      </c>
      <c r="P76" s="53">
        <f>SUM(K$70:K76)</f>
        <v>0.56000000000000005</v>
      </c>
      <c r="Q76" s="53">
        <f>SUM(L$70:L76)</f>
        <v>0.69230769230769229</v>
      </c>
      <c r="R76" s="53">
        <f t="shared" si="24"/>
        <v>0.12394671994671995</v>
      </c>
      <c r="S76" s="53">
        <f t="shared" si="25"/>
        <v>3.4286809262331179E-2</v>
      </c>
      <c r="U76" s="65">
        <f t="shared" si="26"/>
        <v>5.5373101422057591E-2</v>
      </c>
      <c r="V76" s="66">
        <f t="shared" si="27"/>
        <v>0.19252033847138231</v>
      </c>
      <c r="W76" s="75">
        <f t="array" ref="W76">SUM(IF(    (MONTH(date.2006)=MONTH($A76))*(gross.world.2006&gt;=$A$68),gross.world.2006))</f>
        <v>1065659812</v>
      </c>
      <c r="X76" s="75">
        <f t="array" ref="X76">SUM(IF(    (MONTH(date.2007)=MONTH($A76))*(gross.world.2007&gt;=$A$68),gross.world.2007))</f>
        <v>2173812478</v>
      </c>
      <c r="Y76" s="75">
        <f t="array" ref="Y76">SUM(IF(    (MONTH(date.2008)=MONTH($A76))*(gross.world.2008&gt;=$A$68),gross.world.2008))</f>
        <v>2228792192</v>
      </c>
      <c r="Z76" s="75">
        <f t="array" ref="Z76">SUM(IF(    (MONTH(date.2009)=MONTH($A76))*(gross.world.2009&gt;=$A$68),gross.world.2009))</f>
        <v>2108317577</v>
      </c>
      <c r="AA76" s="75">
        <f t="array" ref="AA76">SUM(IF(    (MONTH(date.2010)=MONTH($A76))*(gross.world.2010&gt;=$A$68),gross.world.2010))</f>
        <v>1982446380</v>
      </c>
      <c r="AB76" s="76">
        <f t="shared" si="28"/>
        <v>0.14675766548596988</v>
      </c>
      <c r="AC76" s="76">
        <f t="shared" si="16"/>
        <v>0.20691710800723701</v>
      </c>
      <c r="AD76" s="76">
        <f t="shared" si="16"/>
        <v>0.21728605869787226</v>
      </c>
      <c r="AE76" s="76">
        <f t="shared" si="16"/>
        <v>0.14810039441456602</v>
      </c>
      <c r="AF76" s="76">
        <f t="shared" si="16"/>
        <v>0.15732765315300215</v>
      </c>
      <c r="AG76" s="77">
        <f>SUM(AB$70:AB76)</f>
        <v>0.66754919825647019</v>
      </c>
      <c r="AH76" s="77">
        <f>SUM(AC$70:AC76)</f>
        <v>0.67978775341237652</v>
      </c>
      <c r="AI76" s="77">
        <f>SUM(AD$70:AD76)</f>
        <v>0.65935423806028393</v>
      </c>
      <c r="AJ76" s="77">
        <f>SUM(AE$70:AE76)</f>
        <v>0.50828798554460719</v>
      </c>
      <c r="AK76" s="77">
        <f>SUM(AF$70:AF76)</f>
        <v>0.73509012133730489</v>
      </c>
      <c r="AL76" s="73">
        <f t="shared" si="17"/>
        <v>0.17527777595172944</v>
      </c>
      <c r="AM76" s="80">
        <f t="shared" si="18"/>
        <v>3.4058614288031655E-2</v>
      </c>
      <c r="AN76" s="81"/>
      <c r="AO76" s="83">
        <f t="shared" si="29"/>
        <v>0.10716054737566613</v>
      </c>
      <c r="AP76" s="83">
        <f t="shared" si="30"/>
        <v>0.24339500452779275</v>
      </c>
    </row>
    <row r="77" spans="1:42" x14ac:dyDescent="0.2">
      <c r="A77" s="47">
        <f t="shared" si="31"/>
        <v>40770</v>
      </c>
      <c r="B77" s="47"/>
      <c r="C77" s="40">
        <f t="array" ref="C77">COUNT(IF(    (MONTH(date.2006)=MONTH($A77))*(gross.world.2006&gt;=250000000),gross.world.2006))</f>
        <v>0</v>
      </c>
      <c r="D77" s="40">
        <f t="array" ref="D77">COUNT(IF(    (MONTH(date.2007)=MONTH($A77))*(gross.world.2007&gt;=250000000),gross.world.2007))</f>
        <v>2</v>
      </c>
      <c r="E77" s="40">
        <f t="array" ref="E77">COUNT(IF(    (MONTH(date.2008)=MONTH($A77))*(gross.world.2008&gt;=250000000),gross.world.2008))</f>
        <v>1</v>
      </c>
      <c r="F77" s="40">
        <f t="array" ref="F77">COUNT(IF(    (MONTH(date.2009)=MONTH($A77))*(gross.world.2009&gt;=$A$68),gross.world.2009))</f>
        <v>2</v>
      </c>
      <c r="G77" s="40">
        <f t="array" ref="G77">COUNT(IF(    (MONTH(date.2010)=MONTH($A77))*(gross.world.2010&gt;=250000000),gross.world.2010))</f>
        <v>1</v>
      </c>
      <c r="H77" s="62">
        <f t="shared" si="19"/>
        <v>0</v>
      </c>
      <c r="I77" s="62">
        <f t="shared" si="20"/>
        <v>9.5238095238095233E-2</v>
      </c>
      <c r="J77" s="62">
        <f t="shared" si="21"/>
        <v>4.5454545454545456E-2</v>
      </c>
      <c r="K77" s="62">
        <f t="shared" si="22"/>
        <v>0.08</v>
      </c>
      <c r="L77" s="62">
        <f t="shared" si="23"/>
        <v>3.8461538461538464E-2</v>
      </c>
      <c r="M77" s="53">
        <f>SUM(H$70:H77)</f>
        <v>0.6</v>
      </c>
      <c r="N77" s="53">
        <f>SUM(I$70:I77)</f>
        <v>0.66666666666666663</v>
      </c>
      <c r="O77" s="53">
        <f>SUM(J$70:J77)</f>
        <v>0.63636363636363624</v>
      </c>
      <c r="P77" s="53">
        <f>SUM(K$70:K77)</f>
        <v>0.64</v>
      </c>
      <c r="Q77" s="53">
        <f>SUM(L$70:L77)</f>
        <v>0.73076923076923073</v>
      </c>
      <c r="R77" s="53">
        <f t="shared" si="24"/>
        <v>5.1830835830835829E-2</v>
      </c>
      <c r="S77" s="53">
        <f t="shared" si="25"/>
        <v>3.7361486564619462E-2</v>
      </c>
      <c r="U77" s="65">
        <f t="shared" si="26"/>
        <v>-2.2892137298403094E-2</v>
      </c>
      <c r="V77" s="66">
        <f t="shared" si="27"/>
        <v>0.12655380896007476</v>
      </c>
      <c r="W77" s="75">
        <f t="array" ref="W77">SUM(IF(    (MONTH(date.2006)=MONTH($A77))*(gross.world.2006&gt;=$A$68),gross.world.2006))</f>
        <v>0</v>
      </c>
      <c r="X77" s="75">
        <f t="array" ref="X77">SUM(IF(    (MONTH(date.2007)=MONTH($A77))*(gross.world.2007&gt;=$A$68),gross.world.2007))</f>
        <v>695187530</v>
      </c>
      <c r="Y77" s="75">
        <f t="array" ref="Y77">SUM(IF(    (MONTH(date.2008)=MONTH($A77))*(gross.world.2008&gt;=$A$68),gross.world.2008))</f>
        <v>397912118</v>
      </c>
      <c r="Z77" s="75">
        <f t="array" ref="Z77">SUM(IF(    (MONTH(date.2009)=MONTH($A77))*(gross.world.2009&gt;=$A$68),gross.world.2009))</f>
        <v>622858455</v>
      </c>
      <c r="AA77" s="75">
        <f t="array" ref="AA77">SUM(IF(    (MONTH(date.2010)=MONTH($A77))*(gross.world.2010&gt;=$A$68),gross.world.2010))</f>
        <v>251068524</v>
      </c>
      <c r="AB77" s="76">
        <f t="shared" si="28"/>
        <v>0</v>
      </c>
      <c r="AC77" s="76">
        <f t="shared" si="16"/>
        <v>6.6172310024937814E-2</v>
      </c>
      <c r="AD77" s="76">
        <f t="shared" si="16"/>
        <v>3.8792650180076847E-2</v>
      </c>
      <c r="AE77" s="76">
        <f t="shared" si="16"/>
        <v>4.3753172603724501E-2</v>
      </c>
      <c r="AF77" s="76">
        <f t="shared" si="16"/>
        <v>1.9924887785115374E-2</v>
      </c>
      <c r="AG77" s="77">
        <f>SUM(AB$70:AB77)</f>
        <v>0.66754919825647019</v>
      </c>
      <c r="AH77" s="77">
        <f>SUM(AC$70:AC77)</f>
        <v>0.74596006343731436</v>
      </c>
      <c r="AI77" s="77">
        <f>SUM(AD$70:AD77)</f>
        <v>0.69814688824036075</v>
      </c>
      <c r="AJ77" s="77">
        <f>SUM(AE$70:AE77)</f>
        <v>0.55204115814833166</v>
      </c>
      <c r="AK77" s="77">
        <f>SUM(AF$70:AF77)</f>
        <v>0.75501500912242026</v>
      </c>
      <c r="AL77" s="73">
        <f t="shared" si="17"/>
        <v>3.3728604118770905E-2</v>
      </c>
      <c r="AM77" s="80">
        <f t="shared" si="18"/>
        <v>2.5034435829309195E-2</v>
      </c>
      <c r="AN77" s="81"/>
      <c r="AO77" s="82">
        <f t="shared" si="29"/>
        <v>-1.6340267539847485E-2</v>
      </c>
      <c r="AP77" s="82">
        <f t="shared" si="30"/>
        <v>8.3797475777389302E-2</v>
      </c>
    </row>
    <row r="78" spans="1:42" x14ac:dyDescent="0.2">
      <c r="A78" s="47">
        <f t="shared" si="31"/>
        <v>40801</v>
      </c>
      <c r="B78" s="47"/>
      <c r="C78" s="40">
        <f t="array" ref="C78">COUNT(IF(    (MONTH(date.2006)=MONTH($A78))*(gross.world.2006&gt;=250000000),gross.world.2006))</f>
        <v>0</v>
      </c>
      <c r="D78" s="40">
        <f t="array" ref="D78">COUNT(IF(    (MONTH(date.2007)=MONTH($A78))*(gross.world.2007&gt;=250000000),gross.world.2007))</f>
        <v>0</v>
      </c>
      <c r="E78" s="40">
        <f t="array" ref="E78">COUNT(IF(    (MONTH(date.2008)=MONTH($A78))*(gross.world.2008&gt;=250000000),gross.world.2008))</f>
        <v>0</v>
      </c>
      <c r="F78" s="40">
        <f t="array" ref="F78">COUNT(IF(    (MONTH(date.2009)=MONTH($A78))*(gross.world.2009&gt;=$A$68),gross.world.2009))</f>
        <v>0</v>
      </c>
      <c r="G78" s="40">
        <f t="array" ref="G78">COUNT(IF(    (MONTH(date.2010)=MONTH($A78))*(gross.world.2010&gt;=250000000),gross.world.2010))</f>
        <v>1</v>
      </c>
      <c r="H78" s="62">
        <f t="shared" si="19"/>
        <v>0</v>
      </c>
      <c r="I78" s="62">
        <f t="shared" si="20"/>
        <v>0</v>
      </c>
      <c r="J78" s="62">
        <f t="shared" si="21"/>
        <v>0</v>
      </c>
      <c r="K78" s="62">
        <f t="shared" si="22"/>
        <v>0</v>
      </c>
      <c r="L78" s="62">
        <f t="shared" si="23"/>
        <v>3.8461538461538464E-2</v>
      </c>
      <c r="M78" s="53">
        <f>SUM(H$70:H78)</f>
        <v>0.6</v>
      </c>
      <c r="N78" s="53">
        <f>SUM(I$70:I78)</f>
        <v>0.66666666666666663</v>
      </c>
      <c r="O78" s="53">
        <f>SUM(J$70:J78)</f>
        <v>0.63636363636363624</v>
      </c>
      <c r="P78" s="53">
        <f>SUM(K$70:K78)</f>
        <v>0.64</v>
      </c>
      <c r="Q78" s="53">
        <f>SUM(L$70:L78)</f>
        <v>0.76923076923076916</v>
      </c>
      <c r="R78" s="53">
        <f t="shared" si="24"/>
        <v>7.6923076923076927E-3</v>
      </c>
      <c r="S78" s="53">
        <f t="shared" si="25"/>
        <v>1.7200522903844537E-2</v>
      </c>
      <c r="U78" s="69">
        <f t="shared" si="26"/>
        <v>-2.6708738115381381E-2</v>
      </c>
      <c r="V78" s="70">
        <f t="shared" si="27"/>
        <v>4.2093353499996766E-2</v>
      </c>
      <c r="W78" s="75">
        <f t="array" ref="W78">SUM(IF(    (MONTH(date.2006)=MONTH($A78))*(gross.world.2006&gt;=$A$68),gross.world.2006))</f>
        <v>0</v>
      </c>
      <c r="X78" s="75">
        <f t="array" ref="X78">SUM(IF(    (MONTH(date.2007)=MONTH($A78))*(gross.world.2007&gt;=$A$68),gross.world.2007))</f>
        <v>0</v>
      </c>
      <c r="Y78" s="75">
        <f t="array" ref="Y78">SUM(IF(    (MONTH(date.2008)=MONTH($A78))*(gross.world.2008&gt;=$A$68),gross.world.2008))</f>
        <v>0</v>
      </c>
      <c r="Z78" s="75">
        <f t="array" ref="Z78">SUM(IF(    (MONTH(date.2009)=MONTH($A78))*(gross.world.2009&gt;=$A$68),gross.world.2009))</f>
        <v>0</v>
      </c>
      <c r="AA78" s="75">
        <f t="array" ref="AA78">SUM(IF(    (MONTH(date.2010)=MONTH($A78))*(gross.world.2010&gt;=$A$68),gross.world.2010))</f>
        <v>296128566</v>
      </c>
      <c r="AB78" s="76">
        <f t="shared" si="28"/>
        <v>0</v>
      </c>
      <c r="AC78" s="76">
        <f t="shared" si="16"/>
        <v>0</v>
      </c>
      <c r="AD78" s="76">
        <f t="shared" si="16"/>
        <v>0</v>
      </c>
      <c r="AE78" s="76">
        <f t="shared" si="16"/>
        <v>0</v>
      </c>
      <c r="AF78" s="76">
        <f t="shared" si="16"/>
        <v>2.3500868820645684E-2</v>
      </c>
      <c r="AG78" s="77">
        <f>SUM(AB$70:AB78)</f>
        <v>0.66754919825647019</v>
      </c>
      <c r="AH78" s="77">
        <f>SUM(AC$70:AC78)</f>
        <v>0.74596006343731436</v>
      </c>
      <c r="AI78" s="77">
        <f>SUM(AD$70:AD78)</f>
        <v>0.69814688824036075</v>
      </c>
      <c r="AJ78" s="77">
        <f>SUM(AE$70:AE78)</f>
        <v>0.55204115814833166</v>
      </c>
      <c r="AK78" s="77">
        <f>SUM(AF$70:AF78)</f>
        <v>0.77851587794306598</v>
      </c>
      <c r="AL78" s="73">
        <f t="shared" si="17"/>
        <v>4.7001737641291369E-3</v>
      </c>
      <c r="AM78" s="80">
        <f t="shared" si="18"/>
        <v>1.0509908042653813E-2</v>
      </c>
      <c r="AN78" s="81"/>
      <c r="AO78" s="82">
        <f t="shared" si="29"/>
        <v>-1.6319642321178489E-2</v>
      </c>
      <c r="AP78" s="82">
        <f t="shared" si="30"/>
        <v>2.5719989849436763E-2</v>
      </c>
    </row>
    <row r="79" spans="1:42" x14ac:dyDescent="0.2">
      <c r="A79" s="47">
        <f t="shared" si="31"/>
        <v>40831</v>
      </c>
      <c r="B79" s="47"/>
      <c r="C79" s="40">
        <f t="array" ref="C79">COUNT(IF(    (MONTH(date.2006)=MONTH($A79))*(gross.world.2006&gt;=250000000),gross.world.2006))</f>
        <v>1</v>
      </c>
      <c r="D79" s="40">
        <f t="array" ref="D79">COUNT(IF(    (MONTH(date.2007)=MONTH($A79))*(gross.world.2007&gt;=250000000),gross.world.2007))</f>
        <v>0</v>
      </c>
      <c r="E79" s="40">
        <f t="array" ref="E79">COUNT(IF(    (MONTH(date.2008)=MONTH($A79))*(gross.world.2008&gt;=250000000),gross.world.2008))</f>
        <v>1</v>
      </c>
      <c r="F79" s="40">
        <f t="array" ref="F79">COUNT(IF(    (MONTH(date.2009)=MONTH($A79))*(gross.world.2009&gt;=$A$68),gross.world.2009))</f>
        <v>1</v>
      </c>
      <c r="G79" s="40">
        <f t="array" ref="G79">COUNT(IF(    (MONTH(date.2010)=MONTH($A79))*(gross.world.2010&gt;=250000000),gross.world.2010))</f>
        <v>0</v>
      </c>
      <c r="H79" s="62">
        <f t="shared" si="19"/>
        <v>6.6666666666666666E-2</v>
      </c>
      <c r="I79" s="62">
        <f t="shared" si="20"/>
        <v>0</v>
      </c>
      <c r="J79" s="62">
        <f t="shared" si="21"/>
        <v>4.5454545454545456E-2</v>
      </c>
      <c r="K79" s="62">
        <f t="shared" si="22"/>
        <v>0.04</v>
      </c>
      <c r="L79" s="62">
        <f t="shared" si="23"/>
        <v>0</v>
      </c>
      <c r="M79" s="53">
        <f>SUM(H$70:H79)</f>
        <v>0.66666666666666663</v>
      </c>
      <c r="N79" s="53">
        <f>SUM(I$70:I79)</f>
        <v>0.66666666666666663</v>
      </c>
      <c r="O79" s="53">
        <f>SUM(J$70:J79)</f>
        <v>0.68181818181818166</v>
      </c>
      <c r="P79" s="53">
        <f>SUM(K$70:K79)</f>
        <v>0.68</v>
      </c>
      <c r="Q79" s="53">
        <f>SUM(L$70:L79)</f>
        <v>0.76923076923076916</v>
      </c>
      <c r="R79" s="53">
        <f t="shared" si="24"/>
        <v>3.0424242424242427E-2</v>
      </c>
      <c r="S79" s="53">
        <f t="shared" si="25"/>
        <v>2.950587870017778E-2</v>
      </c>
      <c r="U79" s="65">
        <f t="shared" si="26"/>
        <v>-2.8587514976113133E-2</v>
      </c>
      <c r="V79" s="66">
        <f t="shared" si="27"/>
        <v>8.9435999824597989E-2</v>
      </c>
      <c r="W79" s="75">
        <f t="array" ref="W79">SUM(IF(    (MONTH(date.2006)=MONTH($A79))*(gross.world.2006&gt;=$A$68),gross.world.2006))</f>
        <v>290539042</v>
      </c>
      <c r="X79" s="75">
        <f t="array" ref="X79">SUM(IF(    (MONTH(date.2007)=MONTH($A79))*(gross.world.2007&gt;=$A$68),gross.world.2007))</f>
        <v>0</v>
      </c>
      <c r="Y79" s="75">
        <f t="array" ref="Y79">SUM(IF(    (MONTH(date.2008)=MONTH($A79))*(gross.world.2008&gt;=$A$68),gross.world.2008))</f>
        <v>251056401</v>
      </c>
      <c r="Z79" s="75">
        <f t="array" ref="Z79">SUM(IF(    (MONTH(date.2009)=MONTH($A79))*(gross.world.2009&gt;=$A$68),gross.world.2009))</f>
        <v>252091016</v>
      </c>
      <c r="AA79" s="75">
        <f t="array" ref="AA79">SUM(IF(    (MONTH(date.2010)=MONTH($A79))*(gross.world.2010&gt;=$A$68),gross.world.2010))</f>
        <v>0</v>
      </c>
      <c r="AB79" s="76">
        <f t="shared" si="28"/>
        <v>4.0011672633527208E-2</v>
      </c>
      <c r="AC79" s="76">
        <f t="shared" si="16"/>
        <v>0</v>
      </c>
      <c r="AD79" s="76">
        <f t="shared" si="16"/>
        <v>2.4475613329931548E-2</v>
      </c>
      <c r="AE79" s="76">
        <f t="shared" si="16"/>
        <v>1.770832786543176E-2</v>
      </c>
      <c r="AF79" s="76">
        <f t="shared" si="16"/>
        <v>0</v>
      </c>
      <c r="AG79" s="77">
        <f>SUM(AB$70:AB79)</f>
        <v>0.70756087088999742</v>
      </c>
      <c r="AH79" s="77">
        <f>SUM(AC$70:AC79)</f>
        <v>0.74596006343731436</v>
      </c>
      <c r="AI79" s="77">
        <f>SUM(AD$70:AD79)</f>
        <v>0.72262250157029229</v>
      </c>
      <c r="AJ79" s="77">
        <f>SUM(AE$70:AE79)</f>
        <v>0.56974948601376341</v>
      </c>
      <c r="AK79" s="77">
        <f>SUM(AF$70:AF79)</f>
        <v>0.77851587794306598</v>
      </c>
      <c r="AL79" s="73">
        <f t="shared" si="17"/>
        <v>1.6439122765778105E-2</v>
      </c>
      <c r="AM79" s="80">
        <f t="shared" si="18"/>
        <v>1.7046632248459519E-2</v>
      </c>
      <c r="AN79" s="81"/>
      <c r="AO79" s="82">
        <f t="shared" si="29"/>
        <v>-1.7654141731140934E-2</v>
      </c>
      <c r="AP79" s="82">
        <f t="shared" si="30"/>
        <v>5.053238726269714E-2</v>
      </c>
    </row>
    <row r="80" spans="1:42" x14ac:dyDescent="0.2">
      <c r="A80" s="47">
        <f t="shared" si="31"/>
        <v>40862</v>
      </c>
      <c r="B80" s="47"/>
      <c r="C80" s="40">
        <f t="array" ref="C80">COUNT(IF(    (MONTH(date.2006)=MONTH($A80))*(gross.world.2006&gt;=250000000),gross.world.2006))</f>
        <v>3</v>
      </c>
      <c r="D80" s="40">
        <f t="array" ref="D80">COUNT(IF(    (MONTH(date.2007)=MONTH($A80))*(gross.world.2007&gt;=250000000),gross.world.2007))</f>
        <v>3</v>
      </c>
      <c r="E80" s="40">
        <f t="array" ref="E80">COUNT(IF(    (MONTH(date.2008)=MONTH($A80))*(gross.world.2008&gt;=250000000),gross.world.2008))</f>
        <v>5</v>
      </c>
      <c r="F80" s="40">
        <f t="array" ref="F80">COUNT(IF(    (MONTH(date.2009)=MONTH($A80))*(gross.world.2009&gt;=$A$68),gross.world.2009))</f>
        <v>5</v>
      </c>
      <c r="G80" s="40">
        <f t="array" ref="G80">COUNT(IF(    (MONTH(date.2010)=MONTH($A80))*(gross.world.2010&gt;=250000000),gross.world.2010))</f>
        <v>3</v>
      </c>
      <c r="H80" s="62">
        <f t="shared" si="19"/>
        <v>0.2</v>
      </c>
      <c r="I80" s="62">
        <f t="shared" si="20"/>
        <v>0.14285714285714285</v>
      </c>
      <c r="J80" s="62">
        <f t="shared" si="21"/>
        <v>0.22727272727272727</v>
      </c>
      <c r="K80" s="62">
        <f t="shared" si="22"/>
        <v>0.2</v>
      </c>
      <c r="L80" s="62">
        <f t="shared" si="23"/>
        <v>0.11538461538461539</v>
      </c>
      <c r="M80" s="53">
        <f>SUM(H$70:H80)</f>
        <v>0.8666666666666667</v>
      </c>
      <c r="N80" s="53">
        <f>SUM(I$70:I80)</f>
        <v>0.80952380952380953</v>
      </c>
      <c r="O80" s="53">
        <f>SUM(J$70:J80)</f>
        <v>0.90909090909090895</v>
      </c>
      <c r="P80" s="53">
        <f>SUM(K$70:K80)</f>
        <v>0.88000000000000012</v>
      </c>
      <c r="Q80" s="53">
        <f>SUM(L$70:L80)</f>
        <v>0.88461538461538458</v>
      </c>
      <c r="R80" s="53">
        <f t="shared" si="24"/>
        <v>0.17710289710289712</v>
      </c>
      <c r="S80" s="53">
        <f t="shared" si="25"/>
        <v>4.6226303344384975E-2</v>
      </c>
      <c r="U80" s="65">
        <f t="shared" si="26"/>
        <v>8.4650290414127166E-2</v>
      </c>
      <c r="V80" s="66">
        <f t="shared" si="27"/>
        <v>0.26955550379166704</v>
      </c>
      <c r="W80" s="75">
        <f t="array" ref="W80">SUM(IF(    (MONTH(date.2006)=MONTH($A80))*(gross.world.2006&gt;=$A$68),gross.world.2006))</f>
        <v>1242938061</v>
      </c>
      <c r="X80" s="75">
        <f t="array" ref="X80">SUM(IF(    (MONTH(date.2007)=MONTH($A80))*(gross.world.2007&gt;=$A$68),gross.world.2007))</f>
        <v>893676543</v>
      </c>
      <c r="Y80" s="75">
        <f t="array" ref="Y80">SUM(IF(    (MONTH(date.2008)=MONTH($A80))*(gross.world.2008&gt;=$A$68),gross.world.2008))</f>
        <v>2253020099</v>
      </c>
      <c r="Z80" s="75">
        <f t="array" ref="Z80">SUM(IF(    (MONTH(date.2009)=MONTH($A80))*(gross.world.2009&gt;=$A$68),gross.world.2009))</f>
        <v>2374806402</v>
      </c>
      <c r="AA80" s="75">
        <f t="array" ref="AA80">SUM(IF(    (MONTH(date.2010)=MONTH($A80))*(gross.world.2010&gt;=$A$68),gross.world.2010))</f>
        <v>1738061258</v>
      </c>
      <c r="AB80" s="76">
        <f t="shared" si="28"/>
        <v>0.17117159352539985</v>
      </c>
      <c r="AC80" s="76">
        <f t="shared" si="16"/>
        <v>8.5065739406186794E-2</v>
      </c>
      <c r="AD80" s="76">
        <f t="shared" si="16"/>
        <v>0.2196480493946382</v>
      </c>
      <c r="AE80" s="76">
        <f t="shared" si="16"/>
        <v>0.16682010747873038</v>
      </c>
      <c r="AF80" s="76">
        <f t="shared" si="16"/>
        <v>0.13793316253895077</v>
      </c>
      <c r="AG80" s="77">
        <f>SUM(AB$70:AB80)</f>
        <v>0.87873246441539732</v>
      </c>
      <c r="AH80" s="77">
        <f>SUM(AC$70:AC80)</f>
        <v>0.83102580284350114</v>
      </c>
      <c r="AI80" s="77">
        <f>SUM(AD$70:AD80)</f>
        <v>0.94227055096493051</v>
      </c>
      <c r="AJ80" s="77">
        <f>SUM(AE$70:AE80)</f>
        <v>0.73656959349249385</v>
      </c>
      <c r="AK80" s="77">
        <f>SUM(AF$70:AF80)</f>
        <v>0.9164490404820167</v>
      </c>
      <c r="AL80" s="73">
        <f t="shared" si="17"/>
        <v>0.1561277304687812</v>
      </c>
      <c r="AM80" s="80">
        <f t="shared" si="18"/>
        <v>4.9387054311239457E-2</v>
      </c>
      <c r="AN80" s="81"/>
      <c r="AO80" s="83">
        <f t="shared" si="29"/>
        <v>5.7353621846302286E-2</v>
      </c>
      <c r="AP80" s="83">
        <f t="shared" si="30"/>
        <v>0.25490183909126013</v>
      </c>
    </row>
    <row r="81" spans="1:42" x14ac:dyDescent="0.2">
      <c r="A81" s="47">
        <f t="shared" si="31"/>
        <v>40892</v>
      </c>
      <c r="B81" s="47"/>
      <c r="C81" s="40">
        <f t="array" ref="C81">COUNT(IF(    (MONTH(date.2006)=MONTH($A81))*(gross.world.2006&gt;=250000000),gross.world.2006))</f>
        <v>2</v>
      </c>
      <c r="D81" s="40">
        <f t="array" ref="D81">COUNT(IF(    (MONTH(date.2007)=MONTH($A81))*(gross.world.2007&gt;=250000000),gross.world.2007))</f>
        <v>4</v>
      </c>
      <c r="E81" s="40">
        <f t="array" ref="E81">COUNT(IF(    (MONTH(date.2008)=MONTH($A81))*(gross.world.2008&gt;=250000000),gross.world.2008))</f>
        <v>2</v>
      </c>
      <c r="F81" s="40">
        <f t="array" ref="F81">COUNT(IF(    (MONTH(date.2009)=MONTH($A81))*(gross.world.2009&gt;=$A$68),gross.world.2009))</f>
        <v>3</v>
      </c>
      <c r="G81" s="40">
        <f t="array" ref="G81">COUNT(IF(    (MONTH(date.2010)=MONTH($A81))*(gross.world.2010&gt;=250000000),gross.world.2010))</f>
        <v>3</v>
      </c>
      <c r="H81" s="62">
        <f t="shared" si="19"/>
        <v>0.13333333333333333</v>
      </c>
      <c r="I81" s="62">
        <f t="shared" si="20"/>
        <v>0.19047619047619047</v>
      </c>
      <c r="J81" s="62">
        <f t="shared" si="21"/>
        <v>9.0909090909090912E-2</v>
      </c>
      <c r="K81" s="62">
        <f t="shared" si="22"/>
        <v>0.12</v>
      </c>
      <c r="L81" s="62">
        <f t="shared" si="23"/>
        <v>0.11538461538461539</v>
      </c>
      <c r="M81" s="53">
        <f>SUM(H$70:H81)</f>
        <v>1</v>
      </c>
      <c r="N81" s="53">
        <f>SUM(I$70:I81)</f>
        <v>1</v>
      </c>
      <c r="O81" s="53">
        <f>SUM(J$70:J81)</f>
        <v>0.99999999999999989</v>
      </c>
      <c r="P81" s="53">
        <f>SUM(K$70:K81)</f>
        <v>1</v>
      </c>
      <c r="Q81" s="53">
        <f>SUM(L$70:L81)</f>
        <v>1</v>
      </c>
      <c r="R81" s="53">
        <f t="shared" si="24"/>
        <v>0.13002064602064603</v>
      </c>
      <c r="S81" s="53">
        <f t="shared" si="25"/>
        <v>3.7115317711633782E-2</v>
      </c>
      <c r="U81" s="65">
        <f t="shared" si="26"/>
        <v>5.5790010597378467E-2</v>
      </c>
      <c r="V81" s="66">
        <f t="shared" si="27"/>
        <v>0.20425128144391358</v>
      </c>
      <c r="W81" s="75">
        <f t="array" ref="W81">SUM(IF(    (MONTH(date.2006)=MONTH($A81))*(gross.world.2006&gt;=$A$68),gross.world.2006))</f>
        <v>880566877</v>
      </c>
      <c r="X81" s="75">
        <f t="array" ref="X81">SUM(IF(    (MONTH(date.2007)=MONTH($A81))*(gross.world.2007&gt;=$A$68),gross.world.2007))</f>
        <v>1775195013</v>
      </c>
      <c r="Y81" s="75">
        <f t="array" ref="Y81">SUM(IF(    (MONTH(date.2008)=MONTH($A81))*(gross.world.2008&gt;=$A$68),gross.world.2008))</f>
        <v>592154628</v>
      </c>
      <c r="Z81" s="75">
        <f t="array" ref="Z81">SUM(IF(    (MONTH(date.2009)=MONTH($A81))*(gross.world.2009&gt;=$A$68),gross.world.2009))</f>
        <v>3750124762</v>
      </c>
      <c r="AA81" s="75">
        <f t="array" ref="AA81">SUM(IF(    (MONTH(date.2010)=MONTH($A81))*(gross.world.2010&gt;=$A$68),gross.world.2010))</f>
        <v>1052804729</v>
      </c>
      <c r="AB81" s="76">
        <f t="shared" si="28"/>
        <v>0.12126753558460285</v>
      </c>
      <c r="AC81" s="76">
        <f t="shared" si="16"/>
        <v>0.16897419715649892</v>
      </c>
      <c r="AD81" s="76">
        <f t="shared" si="16"/>
        <v>5.7729449035069443E-2</v>
      </c>
      <c r="AE81" s="76">
        <f t="shared" si="16"/>
        <v>0.26343040650750621</v>
      </c>
      <c r="AF81" s="76">
        <f t="shared" si="16"/>
        <v>8.3550959517983234E-2</v>
      </c>
      <c r="AG81" s="77">
        <f>SUM(AB$70:AB81)</f>
        <v>1.0000000000000002</v>
      </c>
      <c r="AH81" s="77">
        <f>SUM(AC$70:AC81)</f>
        <v>1</v>
      </c>
      <c r="AI81" s="77">
        <f>SUM(AD$70:AD81)</f>
        <v>1</v>
      </c>
      <c r="AJ81" s="77">
        <f>SUM(AE$70:AE81)</f>
        <v>1</v>
      </c>
      <c r="AK81" s="77">
        <f>SUM(AF$70:AF81)</f>
        <v>0.99999999999999989</v>
      </c>
      <c r="AL81" s="73">
        <f t="shared" si="17"/>
        <v>0.13899050956033213</v>
      </c>
      <c r="AM81" s="80">
        <f t="shared" si="18"/>
        <v>8.1202396742985253E-2</v>
      </c>
      <c r="AN81" s="81"/>
      <c r="AO81" s="83">
        <f t="shared" si="29"/>
        <v>-2.3414283925638379E-2</v>
      </c>
      <c r="AP81" s="83">
        <f t="shared" si="30"/>
        <v>0.30139530304630263</v>
      </c>
    </row>
    <row r="82" spans="1:42" x14ac:dyDescent="0.2">
      <c r="C82" s="48">
        <f t="array" ref="C82">COUNT(IF(    (gross.world.2006&gt;=$A$68),gross.world.2006))</f>
        <v>15</v>
      </c>
      <c r="D82" s="48">
        <f t="array" ref="D82">COUNT(IF(    (gross.world.2007&gt;=$A$68),gross.world.2007))</f>
        <v>21</v>
      </c>
      <c r="E82" s="48">
        <f t="array" ref="E82">COUNT(IF(    (gross.world.2008&gt;=$A$68),gross.world.2008))</f>
        <v>22</v>
      </c>
      <c r="F82" s="48">
        <f t="array" ref="F82">COUNT(IF(    (gross.world.2009&gt;=$A$68),gross.world.2009))</f>
        <v>25</v>
      </c>
      <c r="G82" s="48">
        <f t="array" ref="G82">COUNT(IF(    (gross.world.2010&gt;=$A$68),gross.world.2010))</f>
        <v>26</v>
      </c>
      <c r="H82" s="58"/>
      <c r="I82" s="58"/>
      <c r="W82" s="45">
        <f t="array" ref="W82">SUM(IF(    (gross.world.2006&gt;=$A$68),gross.world.2006))</f>
        <v>7261357071</v>
      </c>
      <c r="X82" s="45">
        <f t="array" ref="X82">SUM(IF(    (gross.world.2007&gt;=$A$68),gross.world.2007))</f>
        <v>10505716511</v>
      </c>
      <c r="Y82" s="45">
        <f t="array" ref="Y82">SUM(IF(    (gross.world.2008&gt;=$A$68),gross.world.2008))</f>
        <v>10257410003</v>
      </c>
      <c r="Z82" s="45">
        <f t="array" ref="Z82">SUM(IF(    (gross.world.2009&gt;=$A$68),gross.world.2009))</f>
        <v>14235732358</v>
      </c>
      <c r="AA82" s="45">
        <f t="array" ref="AA82">SUM(IF(    (gross.world.2010&gt;=$A$68),gross.world.2010))</f>
        <v>12600749711</v>
      </c>
    </row>
    <row r="83" spans="1:42" x14ac:dyDescent="0.2">
      <c r="C83" s="56">
        <f t="shared" ref="C83:L83" si="32">SUM(C70:C81)</f>
        <v>15</v>
      </c>
      <c r="D83" s="56">
        <f t="shared" si="32"/>
        <v>21</v>
      </c>
      <c r="E83" s="56">
        <f t="shared" si="32"/>
        <v>22</v>
      </c>
      <c r="F83" s="56">
        <f t="shared" si="32"/>
        <v>25</v>
      </c>
      <c r="G83" s="56">
        <f t="shared" si="32"/>
        <v>26</v>
      </c>
      <c r="H83" s="56">
        <f t="shared" si="32"/>
        <v>1</v>
      </c>
      <c r="I83" s="56">
        <f t="shared" si="32"/>
        <v>1</v>
      </c>
      <c r="J83" s="56">
        <f t="shared" si="32"/>
        <v>0.99999999999999989</v>
      </c>
      <c r="K83" s="56">
        <f t="shared" si="32"/>
        <v>1</v>
      </c>
      <c r="L83" s="56">
        <f t="shared" si="32"/>
        <v>1</v>
      </c>
      <c r="U83" s="54">
        <f>100/12</f>
        <v>8.3333333333333339</v>
      </c>
      <c r="W83" s="45">
        <f>SUM(W70:W81)</f>
        <v>7261357071</v>
      </c>
      <c r="X83" s="45">
        <f>SUM(X70:X81)</f>
        <v>10505716511</v>
      </c>
      <c r="Y83" s="45">
        <f>SUM(Y70:Y81)</f>
        <v>10257410003</v>
      </c>
      <c r="Z83" s="45">
        <f>SUM(Z70:Z81)</f>
        <v>14235732358</v>
      </c>
      <c r="AA83" s="45">
        <f>SUM(AA70:AA81)</f>
        <v>12600749711</v>
      </c>
    </row>
    <row r="84" spans="1:42" x14ac:dyDescent="0.2">
      <c r="C84" s="39" t="b">
        <f>C82=C83</f>
        <v>1</v>
      </c>
      <c r="D84" s="39" t="b">
        <f>D82=D83</f>
        <v>1</v>
      </c>
      <c r="E84" s="39" t="b">
        <f>E82=E83</f>
        <v>1</v>
      </c>
      <c r="F84" s="39" t="b">
        <f>F82=F83</f>
        <v>1</v>
      </c>
      <c r="G84" s="39" t="b">
        <f>G82=G83</f>
        <v>1</v>
      </c>
      <c r="H84" s="39"/>
      <c r="W84" s="39" t="b">
        <f>W82=W83</f>
        <v>1</v>
      </c>
      <c r="X84" s="39" t="b">
        <f>X82=X83</f>
        <v>1</v>
      </c>
      <c r="Y84" s="39" t="b">
        <f>Y82=Y83</f>
        <v>1</v>
      </c>
      <c r="Z84" s="39" t="b">
        <f>Z82=Z83</f>
        <v>1</v>
      </c>
      <c r="AA84" s="39" t="b">
        <f>AA82=AA83</f>
        <v>1</v>
      </c>
    </row>
    <row r="87" spans="1:42" x14ac:dyDescent="0.2">
      <c r="R87" s="85"/>
      <c r="S87" s="85"/>
      <c r="T87" s="85"/>
    </row>
    <row r="88" spans="1:42" x14ac:dyDescent="0.2">
      <c r="R88" s="85"/>
      <c r="S88" s="85"/>
      <c r="T88" s="85"/>
    </row>
    <row r="89" spans="1:42" x14ac:dyDescent="0.2">
      <c r="R89" s="85"/>
      <c r="S89" s="85"/>
      <c r="T89" s="85"/>
    </row>
    <row r="90" spans="1:42" x14ac:dyDescent="0.2">
      <c r="R90" s="85"/>
      <c r="S90" s="85"/>
      <c r="T90" s="85"/>
    </row>
    <row r="91" spans="1:42" x14ac:dyDescent="0.2">
      <c r="R91" s="85"/>
      <c r="S91" s="85"/>
      <c r="T91" s="85"/>
    </row>
    <row r="92" spans="1:42" x14ac:dyDescent="0.2">
      <c r="R92" s="85"/>
      <c r="S92" s="85"/>
      <c r="T92" s="85"/>
    </row>
    <row r="93" spans="1:42" x14ac:dyDescent="0.2">
      <c r="R93" s="85"/>
      <c r="S93" s="85"/>
      <c r="T93" s="85"/>
    </row>
    <row r="94" spans="1:42" x14ac:dyDescent="0.2">
      <c r="R94" s="85"/>
      <c r="S94" s="85"/>
      <c r="T94" s="85"/>
    </row>
    <row r="95" spans="1:42" x14ac:dyDescent="0.2">
      <c r="R95" s="85"/>
      <c r="S95" s="85"/>
      <c r="T95" s="85"/>
    </row>
    <row r="96" spans="1:42" x14ac:dyDescent="0.2">
      <c r="R96" s="85"/>
      <c r="S96" s="85"/>
      <c r="T96" s="85"/>
    </row>
    <row r="97" spans="18:20" x14ac:dyDescent="0.2">
      <c r="R97" s="85"/>
      <c r="S97" s="85"/>
      <c r="T97" s="85"/>
    </row>
    <row r="98" spans="18:20" x14ac:dyDescent="0.2">
      <c r="R98" s="85"/>
      <c r="S98" s="85"/>
      <c r="T98" s="85"/>
    </row>
    <row r="99" spans="18:20" x14ac:dyDescent="0.2">
      <c r="R99" s="85"/>
      <c r="S99" s="85"/>
      <c r="T99" s="85"/>
    </row>
    <row r="100" spans="18:20" x14ac:dyDescent="0.2">
      <c r="R100" s="85"/>
      <c r="S100" s="85"/>
      <c r="T100" s="85"/>
    </row>
    <row r="144" spans="46:46" x14ac:dyDescent="0.2">
      <c r="AT144" s="87">
        <f>1/12</f>
        <v>8.3333333333333329E-2</v>
      </c>
    </row>
    <row r="145" spans="46:46" x14ac:dyDescent="0.2">
      <c r="AT145" s="87">
        <f t="shared" ref="AT145:AT155" si="33">1/12</f>
        <v>8.3333333333333329E-2</v>
      </c>
    </row>
    <row r="146" spans="46:46" x14ac:dyDescent="0.2">
      <c r="AT146" s="87">
        <f t="shared" si="33"/>
        <v>8.3333333333333329E-2</v>
      </c>
    </row>
    <row r="147" spans="46:46" x14ac:dyDescent="0.2">
      <c r="AT147" s="87">
        <f t="shared" si="33"/>
        <v>8.3333333333333329E-2</v>
      </c>
    </row>
    <row r="148" spans="46:46" x14ac:dyDescent="0.2">
      <c r="AT148" s="87">
        <f t="shared" si="33"/>
        <v>8.3333333333333329E-2</v>
      </c>
    </row>
    <row r="149" spans="46:46" x14ac:dyDescent="0.2">
      <c r="AT149" s="87">
        <f t="shared" si="33"/>
        <v>8.3333333333333329E-2</v>
      </c>
    </row>
    <row r="150" spans="46:46" x14ac:dyDescent="0.2">
      <c r="AT150" s="87">
        <f t="shared" si="33"/>
        <v>8.3333333333333329E-2</v>
      </c>
    </row>
    <row r="151" spans="46:46" x14ac:dyDescent="0.2">
      <c r="AT151" s="87">
        <f t="shared" si="33"/>
        <v>8.3333333333333329E-2</v>
      </c>
    </row>
    <row r="152" spans="46:46" x14ac:dyDescent="0.2">
      <c r="AT152" s="87">
        <f t="shared" si="33"/>
        <v>8.3333333333333329E-2</v>
      </c>
    </row>
    <row r="153" spans="46:46" x14ac:dyDescent="0.2">
      <c r="AT153" s="87">
        <f t="shared" si="33"/>
        <v>8.3333333333333329E-2</v>
      </c>
    </row>
    <row r="154" spans="46:46" x14ac:dyDescent="0.2">
      <c r="AT154" s="87">
        <f t="shared" si="33"/>
        <v>8.3333333333333329E-2</v>
      </c>
    </row>
    <row r="155" spans="46:46" x14ac:dyDescent="0.2">
      <c r="AT155" s="87">
        <f t="shared" si="33"/>
        <v>8.3333333333333329E-2</v>
      </c>
    </row>
  </sheetData>
  <mergeCells count="8">
    <mergeCell ref="R1:V1"/>
    <mergeCell ref="W1:AA1"/>
    <mergeCell ref="AB1:AF1"/>
    <mergeCell ref="AG1:AK1"/>
    <mergeCell ref="C52:G52"/>
    <mergeCell ref="C1:G1"/>
    <mergeCell ref="H1:L1"/>
    <mergeCell ref="M1:Q1"/>
  </mergeCells>
  <conditionalFormatting sqref="Y3:Y48">
    <cfRule type="colorScale" priority="36">
      <colorScale>
        <cfvo type="min"/>
        <cfvo type="max"/>
        <color rgb="FFFFEF9C"/>
        <color rgb="FF63BE7B"/>
      </colorScale>
    </cfRule>
  </conditionalFormatting>
  <conditionalFormatting sqref="Z3:Z48">
    <cfRule type="colorScale" priority="35">
      <colorScale>
        <cfvo type="min"/>
        <cfvo type="max"/>
        <color rgb="FFFFEF9C"/>
        <color rgb="FF63BE7B"/>
      </colorScale>
    </cfRule>
  </conditionalFormatting>
  <conditionalFormatting sqref="AA3:AA48">
    <cfRule type="colorScale" priority="34">
      <colorScale>
        <cfvo type="min"/>
        <cfvo type="max"/>
        <color rgb="FFFFEF9C"/>
        <color rgb="FF63BE7B"/>
      </colorScale>
    </cfRule>
  </conditionalFormatting>
  <conditionalFormatting sqref="T3:T48">
    <cfRule type="colorScale" priority="33">
      <colorScale>
        <cfvo type="min"/>
        <cfvo type="max"/>
        <color rgb="FFFFEF9C"/>
        <color rgb="FF63BE7B"/>
      </colorScale>
    </cfRule>
  </conditionalFormatting>
  <conditionalFormatting sqref="U3:U48">
    <cfRule type="colorScale" priority="32">
      <colorScale>
        <cfvo type="min"/>
        <cfvo type="max"/>
        <color rgb="FFFFEF9C"/>
        <color rgb="FF63BE7B"/>
      </colorScale>
    </cfRule>
  </conditionalFormatting>
  <conditionalFormatting sqref="V3:X48">
    <cfRule type="colorScale" priority="31">
      <colorScale>
        <cfvo type="min"/>
        <cfvo type="max"/>
        <color rgb="FFFFEF9C"/>
        <color rgb="FF63BE7B"/>
      </colorScale>
    </cfRule>
  </conditionalFormatting>
  <conditionalFormatting sqref="S3:S48">
    <cfRule type="colorScale" priority="30">
      <colorScale>
        <cfvo type="min"/>
        <cfvo type="max"/>
        <color rgb="FFFFEF9C"/>
        <color rgb="FF63BE7B"/>
      </colorScale>
    </cfRule>
  </conditionalFormatting>
  <conditionalFormatting sqref="R3:R48">
    <cfRule type="colorScale" priority="29">
      <colorScale>
        <cfvo type="min"/>
        <cfvo type="max"/>
        <color rgb="FFFFEF9C"/>
        <color rgb="FF63BE7B"/>
      </colorScale>
    </cfRule>
  </conditionalFormatting>
  <conditionalFormatting sqref="X3:X48">
    <cfRule type="colorScale" priority="28">
      <colorScale>
        <cfvo type="min"/>
        <cfvo type="max"/>
        <color rgb="FFFFEF9C"/>
        <color rgb="FF63BE7B"/>
      </colorScale>
    </cfRule>
  </conditionalFormatting>
  <conditionalFormatting sqref="W3:W48">
    <cfRule type="colorScale" priority="27">
      <colorScale>
        <cfvo type="min"/>
        <cfvo type="max"/>
        <color rgb="FFFFEF9C"/>
        <color rgb="FF63BE7B"/>
      </colorScale>
    </cfRule>
  </conditionalFormatting>
  <conditionalFormatting sqref="M51">
    <cfRule type="cellIs" dxfId="51" priority="26" operator="equal">
      <formula>TRUE</formula>
    </cfRule>
  </conditionalFormatting>
  <conditionalFormatting sqref="N51">
    <cfRule type="cellIs" dxfId="50" priority="25" operator="equal">
      <formula>TRUE</formula>
    </cfRule>
  </conditionalFormatting>
  <conditionalFormatting sqref="O51">
    <cfRule type="cellIs" dxfId="49" priority="24" operator="equal">
      <formula>TRUE</formula>
    </cfRule>
  </conditionalFormatting>
  <conditionalFormatting sqref="P51">
    <cfRule type="cellIs" dxfId="48" priority="23" operator="equal">
      <formula>TRUE</formula>
    </cfRule>
  </conditionalFormatting>
  <conditionalFormatting sqref="Q51">
    <cfRule type="cellIs" dxfId="47" priority="22" operator="equal">
      <formula>TRUE</formula>
    </cfRule>
  </conditionalFormatting>
  <conditionalFormatting sqref="C51">
    <cfRule type="cellIs" dxfId="46" priority="21" operator="equal">
      <formula>TRUE</formula>
    </cfRule>
  </conditionalFormatting>
  <conditionalFormatting sqref="D51">
    <cfRule type="cellIs" dxfId="45" priority="20" operator="equal">
      <formula>TRUE</formula>
    </cfRule>
  </conditionalFormatting>
  <conditionalFormatting sqref="E51">
    <cfRule type="cellIs" dxfId="44" priority="19" operator="equal">
      <formula>TRUE</formula>
    </cfRule>
  </conditionalFormatting>
  <conditionalFormatting sqref="F51">
    <cfRule type="cellIs" dxfId="43" priority="18" operator="equal">
      <formula>TRUE</formula>
    </cfRule>
  </conditionalFormatting>
  <conditionalFormatting sqref="G51">
    <cfRule type="cellIs" dxfId="42" priority="17" operator="equal">
      <formula>TRUE</formula>
    </cfRule>
  </conditionalFormatting>
  <conditionalFormatting sqref="C84">
    <cfRule type="cellIs" dxfId="41" priority="16" operator="equal">
      <formula>TRUE</formula>
    </cfRule>
  </conditionalFormatting>
  <conditionalFormatting sqref="D84">
    <cfRule type="cellIs" dxfId="40" priority="15" operator="equal">
      <formula>TRUE</formula>
    </cfRule>
  </conditionalFormatting>
  <conditionalFormatting sqref="E84">
    <cfRule type="cellIs" dxfId="39" priority="14" operator="equal">
      <formula>TRUE</formula>
    </cfRule>
  </conditionalFormatting>
  <conditionalFormatting sqref="F84">
    <cfRule type="cellIs" dxfId="38" priority="13" operator="equal">
      <formula>TRUE</formula>
    </cfRule>
  </conditionalFormatting>
  <conditionalFormatting sqref="G84">
    <cfRule type="cellIs" dxfId="37" priority="12" operator="equal">
      <formula>TRUE</formula>
    </cfRule>
  </conditionalFormatting>
  <conditionalFormatting sqref="H84">
    <cfRule type="cellIs" dxfId="36" priority="11" operator="equal">
      <formula>TRUE</formula>
    </cfRule>
  </conditionalFormatting>
  <conditionalFormatting sqref="W68">
    <cfRule type="cellIs" dxfId="35" priority="10" operator="equal">
      <formula>TRUE</formula>
    </cfRule>
  </conditionalFormatting>
  <conditionalFormatting sqref="X68">
    <cfRule type="cellIs" dxfId="34" priority="9" operator="equal">
      <formula>TRUE</formula>
    </cfRule>
  </conditionalFormatting>
  <conditionalFormatting sqref="Y68">
    <cfRule type="cellIs" dxfId="33" priority="8" operator="equal">
      <formula>TRUE</formula>
    </cfRule>
  </conditionalFormatting>
  <conditionalFormatting sqref="Z68">
    <cfRule type="cellIs" dxfId="32" priority="7" operator="equal">
      <formula>TRUE</formula>
    </cfRule>
  </conditionalFormatting>
  <conditionalFormatting sqref="AA68">
    <cfRule type="cellIs" dxfId="31" priority="6" operator="equal">
      <formula>TRUE</formula>
    </cfRule>
  </conditionalFormatting>
  <conditionalFormatting sqref="W84">
    <cfRule type="cellIs" dxfId="30" priority="5" operator="equal">
      <formula>TRUE</formula>
    </cfRule>
  </conditionalFormatting>
  <conditionalFormatting sqref="X84">
    <cfRule type="cellIs" dxfId="29" priority="4" operator="equal">
      <formula>TRUE</formula>
    </cfRule>
  </conditionalFormatting>
  <conditionalFormatting sqref="Y84">
    <cfRule type="cellIs" dxfId="28" priority="3" operator="equal">
      <formula>TRUE</formula>
    </cfRule>
  </conditionalFormatting>
  <conditionalFormatting sqref="Z84">
    <cfRule type="cellIs" dxfId="27" priority="2" operator="equal">
      <formula>TRUE</formula>
    </cfRule>
  </conditionalFormatting>
  <conditionalFormatting sqref="AA84">
    <cfRule type="cellIs" dxfId="26" priority="1" operator="equal">
      <formula>TRUE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X118"/>
  <sheetViews>
    <sheetView workbookViewId="0">
      <pane xSplit="1" ySplit="2" topLeftCell="B3" activePane="bottomRight" state="frozenSplit"/>
      <selection pane="topRight" activeCell="L1" sqref="L1"/>
      <selection pane="bottomLeft" activeCell="A38" sqref="A38"/>
      <selection pane="bottomRight" activeCell="B3" sqref="B3"/>
    </sheetView>
  </sheetViews>
  <sheetFormatPr defaultRowHeight="12.75" outlineLevelCol="1" x14ac:dyDescent="0.2"/>
  <cols>
    <col min="1" max="1" width="16" bestFit="1" customWidth="1"/>
    <col min="2" max="2" width="16" customWidth="1" outlineLevel="1"/>
    <col min="3" max="4" width="7.7109375" bestFit="1" customWidth="1"/>
    <col min="5" max="7" width="5.85546875" bestFit="1" customWidth="1"/>
    <col min="8" max="9" width="5" bestFit="1" customWidth="1"/>
    <col min="10" max="12" width="5" style="39" bestFit="1" customWidth="1"/>
    <col min="13" max="14" width="16" style="41" bestFit="1" customWidth="1"/>
    <col min="15" max="17" width="16" style="36" bestFit="1" customWidth="1"/>
    <col min="18" max="20" width="5.7109375" style="39" bestFit="1" customWidth="1"/>
    <col min="21" max="21" width="6.28515625" style="39" bestFit="1" customWidth="1"/>
    <col min="22" max="22" width="5.7109375" style="39" bestFit="1" customWidth="1"/>
    <col min="23" max="25" width="18" style="39" bestFit="1" customWidth="1"/>
    <col min="26" max="27" width="18.85546875" style="39" bestFit="1" customWidth="1"/>
    <col min="28" max="37" width="9.28515625" bestFit="1" customWidth="1"/>
    <col min="38" max="38" width="5.140625" bestFit="1" customWidth="1"/>
    <col min="39" max="39" width="4.85546875" bestFit="1" customWidth="1"/>
    <col min="41" max="41" width="4.5703125" bestFit="1" customWidth="1"/>
    <col min="42" max="42" width="4.7109375" bestFit="1" customWidth="1"/>
  </cols>
  <sheetData>
    <row r="1" spans="1:37" ht="15" x14ac:dyDescent="0.2">
      <c r="A1" s="51"/>
      <c r="B1" s="51"/>
      <c r="C1" s="89" t="s">
        <v>3493</v>
      </c>
      <c r="D1" s="89"/>
      <c r="E1" s="89"/>
      <c r="F1" s="89"/>
      <c r="G1" s="89"/>
      <c r="H1" s="88" t="s">
        <v>3491</v>
      </c>
      <c r="I1" s="88"/>
      <c r="J1" s="88"/>
      <c r="K1" s="88"/>
      <c r="L1" s="88"/>
      <c r="M1" s="91" t="s">
        <v>3492</v>
      </c>
      <c r="N1" s="91"/>
      <c r="O1" s="91"/>
      <c r="P1" s="91"/>
      <c r="Q1" s="91"/>
      <c r="R1" s="88" t="s">
        <v>5375</v>
      </c>
      <c r="S1" s="88"/>
      <c r="T1" s="88"/>
      <c r="U1" s="88"/>
      <c r="V1" s="88"/>
      <c r="W1" s="89" t="s">
        <v>5376</v>
      </c>
      <c r="X1" s="89"/>
      <c r="Y1" s="89"/>
      <c r="Z1" s="89"/>
      <c r="AA1" s="89"/>
      <c r="AB1" s="88"/>
      <c r="AC1" s="88"/>
      <c r="AD1" s="88"/>
      <c r="AE1" s="88"/>
      <c r="AF1" s="88"/>
      <c r="AG1" s="89"/>
      <c r="AH1" s="89"/>
      <c r="AI1" s="89"/>
      <c r="AJ1" s="89"/>
      <c r="AK1" s="89"/>
    </row>
    <row r="2" spans="1:37" ht="15" x14ac:dyDescent="0.2">
      <c r="A2" s="49"/>
      <c r="B2" s="49"/>
      <c r="C2" s="50">
        <v>2006</v>
      </c>
      <c r="D2" s="50">
        <v>2007</v>
      </c>
      <c r="E2" s="50">
        <v>2008</v>
      </c>
      <c r="F2" s="50">
        <v>2009</v>
      </c>
      <c r="G2" s="50">
        <v>2010</v>
      </c>
      <c r="H2" s="50">
        <v>2006</v>
      </c>
      <c r="I2" s="50">
        <v>2007</v>
      </c>
      <c r="J2" s="50">
        <v>2008</v>
      </c>
      <c r="K2" s="50">
        <v>2009</v>
      </c>
      <c r="L2" s="50">
        <v>2010</v>
      </c>
      <c r="M2" s="55">
        <v>2006</v>
      </c>
      <c r="N2" s="55">
        <v>2007</v>
      </c>
      <c r="O2" s="55">
        <v>2008</v>
      </c>
      <c r="P2" s="55">
        <v>2009</v>
      </c>
      <c r="Q2" s="55">
        <v>2010</v>
      </c>
      <c r="R2" s="50">
        <v>2006</v>
      </c>
      <c r="S2" s="50">
        <v>2007</v>
      </c>
      <c r="T2" s="50">
        <v>2008</v>
      </c>
      <c r="U2" s="50">
        <v>2009</v>
      </c>
      <c r="V2" s="50">
        <v>2010</v>
      </c>
      <c r="W2" s="50">
        <v>2006</v>
      </c>
      <c r="X2" s="50">
        <v>2007</v>
      </c>
      <c r="Y2" s="50">
        <v>2008</v>
      </c>
      <c r="Z2" s="50">
        <v>2009</v>
      </c>
      <c r="AA2" s="50">
        <v>2010</v>
      </c>
      <c r="AB2" s="50">
        <v>2006</v>
      </c>
      <c r="AC2" s="50">
        <v>2007</v>
      </c>
      <c r="AD2" s="50">
        <v>2008</v>
      </c>
      <c r="AE2" s="50">
        <v>2009</v>
      </c>
      <c r="AF2" s="50">
        <v>2010</v>
      </c>
      <c r="AG2" s="50">
        <v>2006</v>
      </c>
      <c r="AH2" s="50">
        <v>2007</v>
      </c>
      <c r="AI2" s="50">
        <v>2008</v>
      </c>
      <c r="AJ2" s="50">
        <v>2009</v>
      </c>
      <c r="AK2" s="50">
        <v>2010</v>
      </c>
    </row>
    <row r="3" spans="1:37" x14ac:dyDescent="0.2">
      <c r="A3" s="36">
        <v>0</v>
      </c>
      <c r="B3" s="36">
        <f>A4/1000/1000</f>
        <v>12.5</v>
      </c>
      <c r="C3" s="40">
        <f t="array" ref="C3">COUNT(IF(YEAR(date.2006)*(gross.us.2006&gt;=$A3)*(gross.us.2006&lt;$A4),gross.us.2006))</f>
        <v>462</v>
      </c>
      <c r="D3" s="40">
        <f t="array" ref="D3">COUNT(IF(YEAR(date.2007)*(gross.us.2007&gt;=$A3)*(gross.us.2007&lt;$A4),gross.us.2007))</f>
        <v>501</v>
      </c>
      <c r="E3" s="40">
        <f t="array" ref="E3">COUNT(IF(YEAR(date.2008)*(gross.us.2008&gt;=$A3)*(gross.us.2008&lt;$A4),gross.us.2008))</f>
        <v>484</v>
      </c>
      <c r="F3" s="40">
        <f t="array" ref="F3">COUNT(IF(YEAR(date.2009)*(gross.us.2009&gt;=$A3)*(gross.us.2009&lt;$A4),gross.us.2009))</f>
        <v>419</v>
      </c>
      <c r="G3" s="40">
        <f t="array" ref="G3">COUNT(IF(YEAR(date.2010)*(gross.us.2010&gt;=$A3)*(gross.us.2010&lt;$A4),gross.us.2010))</f>
        <v>402</v>
      </c>
      <c r="H3" s="39">
        <f>SUM(C3:C$45)</f>
        <v>609</v>
      </c>
      <c r="I3" s="39">
        <f>SUM(D3:D$45)</f>
        <v>636</v>
      </c>
      <c r="J3" s="39">
        <f>SUM(E3:E$45)</f>
        <v>620</v>
      </c>
      <c r="K3" s="39">
        <f>SUM(F3:F$45)</f>
        <v>550</v>
      </c>
      <c r="L3" s="39">
        <f>SUM(G3:G$45)</f>
        <v>530</v>
      </c>
      <c r="M3" s="36">
        <f t="array" ref="M3">SUM(IF(YEAR(date.2006)*(gross.us.2006&gt;=$A3)*(gross.us.2006&lt;$A4),gross.us.2006))</f>
        <v>474519854</v>
      </c>
      <c r="N3" s="36">
        <f t="array" ref="N3">SUM(IF(YEAR(date.2007)*(gross.us.2007&gt;=$A3)*(gross.us.2007&lt;$A4),gross.us.2007))</f>
        <v>556388486</v>
      </c>
      <c r="O3" s="36">
        <f t="array" ref="O3">SUM(IF(YEAR(date.2008)*(gross.us.2008&gt;=$A3)*(gross.us.2008&lt;$A4),gross.us.2008))</f>
        <v>484687223</v>
      </c>
      <c r="P3" s="36">
        <f t="array" ref="P3">SUM(IF(YEAR(date.2009)*(gross.us.2009&gt;=$A3)*(gross.us.2009&lt;$A4),gross.us.2009))</f>
        <v>425438003</v>
      </c>
      <c r="Q3" s="36">
        <f t="array" ref="Q3">SUM(IF(YEAR(date.2010)*(gross.us.2010&gt;=$A3)*(gross.us.2010&lt;$A4),gross.us.2010))</f>
        <v>304841654</v>
      </c>
      <c r="R3" s="53">
        <f>SUM(C3:C$63)/C$65</f>
        <v>1</v>
      </c>
      <c r="S3" s="53">
        <f>SUM(D3:D$63)/D$65</f>
        <v>1</v>
      </c>
      <c r="T3" s="53">
        <f>SUM(E3:E$63)/E$65</f>
        <v>1</v>
      </c>
      <c r="U3" s="53">
        <f>SUM(F3:F$63)/F$65</f>
        <v>1.0018181818181817</v>
      </c>
      <c r="V3" s="53">
        <f>SUM(G3:G$63)/G$65</f>
        <v>1</v>
      </c>
      <c r="W3" s="53">
        <f>SUM(M3:M$63)/M$65</f>
        <v>1</v>
      </c>
      <c r="X3" s="53">
        <f>SUM(N3:N$63)/N$65</f>
        <v>1</v>
      </c>
      <c r="Y3" s="53">
        <f>SUM(O3:O$63)/O$65</f>
        <v>1</v>
      </c>
      <c r="Z3" s="53">
        <f>SUM(P3:P$63)/P$65</f>
        <v>1</v>
      </c>
      <c r="AA3" s="53">
        <f>SUM(Q3:Q$63)/Q$65</f>
        <v>1</v>
      </c>
    </row>
    <row r="4" spans="1:37" x14ac:dyDescent="0.2">
      <c r="A4" s="36">
        <f>A3+12500000</f>
        <v>12500000</v>
      </c>
      <c r="B4" s="36">
        <f t="shared" ref="B4:B63" si="0">A5/1000/1000</f>
        <v>25</v>
      </c>
      <c r="C4" s="40">
        <f t="array" ref="C4">COUNT(IF(YEAR(date.2006)*(gross.us.2006&gt;=$A4)*(gross.us.2006&lt;$A5),gross.us.2006))</f>
        <v>45</v>
      </c>
      <c r="D4" s="40">
        <f t="array" ref="D4">COUNT(IF(YEAR(date.2007)*(gross.us.2007&gt;=$A4)*(gross.us.2007&lt;$A5),gross.us.2007))</f>
        <v>39</v>
      </c>
      <c r="E4" s="40">
        <f t="array" ref="E4">COUNT(IF(YEAR(date.2008)*(gross.us.2008&gt;=$A4)*(gross.us.2008&lt;$A5),gross.us.2008))</f>
        <v>28</v>
      </c>
      <c r="F4" s="40">
        <f t="array" ref="F4">COUNT(IF(YEAR(date.2009)*(gross.us.2009&gt;=$A4)*(gross.us.2009&lt;$A5),gross.us.2009))</f>
        <v>30</v>
      </c>
      <c r="G4" s="40">
        <f t="array" ref="G4">COUNT(IF(YEAR(date.2010)*(gross.us.2010&gt;=A4)*(gross.us.2010&lt;A5),gross.us.2010))</f>
        <v>24</v>
      </c>
      <c r="H4" s="39">
        <f>SUM(C4:C$45)</f>
        <v>147</v>
      </c>
      <c r="I4" s="39">
        <f>SUM(D4:D$45)</f>
        <v>135</v>
      </c>
      <c r="J4" s="39">
        <f>SUM(E4:E$45)</f>
        <v>136</v>
      </c>
      <c r="K4" s="39">
        <f>SUM(F4:F$45)</f>
        <v>131</v>
      </c>
      <c r="L4" s="39">
        <f>SUM(G4:G$45)</f>
        <v>128</v>
      </c>
      <c r="M4" s="36">
        <f t="array" ref="M4">SUM(IF(YEAR(date.2006)*(gross.us.2006&gt;=$A4)*(gross.us.2006&lt;$A5),gross.us.2006))</f>
        <v>818573534</v>
      </c>
      <c r="N4" s="36">
        <f t="array" ref="N4">SUM(IF(YEAR(date.2007)*(gross.us.2007&gt;=$A4)*(gross.us.2007&lt;$A5),gross.us.2007))</f>
        <v>701048865</v>
      </c>
      <c r="O4" s="36">
        <f t="array" ref="O4">SUM(IF(YEAR(date.2008)*(gross.us.2008&gt;=$A4)*(gross.us.2008&lt;$A5),gross.us.2008))</f>
        <v>490974946</v>
      </c>
      <c r="P4" s="36">
        <f t="array" ref="P4">SUM(IF(YEAR(date.2009)*(gross.us.2009&gt;=$A4)*(gross.us.2009&lt;$A5),gross.us.2009))</f>
        <v>522039125</v>
      </c>
      <c r="Q4" s="36">
        <f t="array" ref="Q4">SUM(IF(YEAR(date.2010)*(gross.us.2010&gt;=$A4)*(gross.us.2010&lt;$A5),gross.us.2010))</f>
        <v>458703144</v>
      </c>
      <c r="R4" s="53">
        <f>SUM(C4:C$63)/C$65</f>
        <v>0.2413793103448276</v>
      </c>
      <c r="S4" s="53">
        <f>SUM(D4:D$63)/D$65</f>
        <v>0.21226415094339623</v>
      </c>
      <c r="T4" s="53">
        <f>SUM(E4:E$63)/E$65</f>
        <v>0.21935483870967742</v>
      </c>
      <c r="U4" s="53">
        <f>SUM(F4:F$63)/F$65</f>
        <v>0.24</v>
      </c>
      <c r="V4" s="53">
        <f>SUM(G4:G$63)/G$65</f>
        <v>0.24150943396226415</v>
      </c>
      <c r="W4" s="53">
        <f>SUM(M4:M$63)/M$65</f>
        <v>0.94860276419843559</v>
      </c>
      <c r="X4" s="53">
        <f>SUM(N4:N$63)/N$65</f>
        <v>0.94245372370564595</v>
      </c>
      <c r="Y4" s="53">
        <f>SUM(O4:O$63)/O$65</f>
        <v>0.95008414826432419</v>
      </c>
      <c r="Z4" s="53">
        <f>SUM(P4:P$63)/P$65</f>
        <v>0.96083824055545741</v>
      </c>
      <c r="AA4" s="53">
        <f>SUM(Q4:Q$63)/Q$65</f>
        <v>0.96965042003995472</v>
      </c>
    </row>
    <row r="5" spans="1:37" x14ac:dyDescent="0.2">
      <c r="A5" s="36">
        <f t="shared" ref="A5:A43" si="1">A4+12500000</f>
        <v>25000000</v>
      </c>
      <c r="B5" s="36">
        <f t="shared" si="0"/>
        <v>37.5</v>
      </c>
      <c r="C5" s="40">
        <f t="array" ref="C5">COUNT(IF(YEAR(date.2006)*(gross.us.2006&gt;=$A5)*(gross.us.2006&lt;$A6),gross.us.2006))</f>
        <v>19</v>
      </c>
      <c r="D5" s="40">
        <f t="array" ref="D5">COUNT(IF(YEAR(date.2007)*(gross.us.2007&gt;=$A5)*(gross.us.2007&lt;$A6),gross.us.2007))</f>
        <v>25</v>
      </c>
      <c r="E5" s="40">
        <f t="array" ref="E5">COUNT(IF(YEAR(date.2008)*(gross.us.2008&gt;=$A5)*(gross.us.2008&lt;$A6),gross.us.2008))</f>
        <v>31</v>
      </c>
      <c r="F5" s="40">
        <f t="array" ref="F5">COUNT(IF(YEAR(date.2009)*(gross.us.2009&gt;=$A5)*(gross.us.2009&lt;$A6),gross.us.2009))</f>
        <v>25</v>
      </c>
      <c r="G5" s="40">
        <f t="array" ref="G5">COUNT(IF(YEAR(date.2010)*(gross.us.2010&gt;=A5)*(gross.us.2010&lt;A6),gross.us.2010))</f>
        <v>24</v>
      </c>
      <c r="H5" s="39">
        <f>SUM(C5:C$45)</f>
        <v>102</v>
      </c>
      <c r="I5" s="39">
        <f>SUM(D5:D$45)</f>
        <v>96</v>
      </c>
      <c r="J5" s="39">
        <f>SUM(E5:E$45)</f>
        <v>108</v>
      </c>
      <c r="K5" s="39">
        <f>SUM(F5:F$45)</f>
        <v>101</v>
      </c>
      <c r="L5" s="39">
        <f>SUM(G5:G$45)</f>
        <v>104</v>
      </c>
      <c r="M5" s="36">
        <f t="array" ref="M5">SUM(IF(YEAR(date.2006)*(gross.us.2006&gt;=$A5)*(gross.us.2006&lt;$A6),gross.us.2006))</f>
        <v>623140222</v>
      </c>
      <c r="N5" s="36">
        <f t="array" ref="N5">SUM(IF(YEAR(date.2007)*(gross.us.2007&gt;=$A5)*(gross.us.2007&lt;$A6),gross.us.2007))</f>
        <v>775433490</v>
      </c>
      <c r="O5" s="36">
        <f t="array" ref="O5">SUM(IF(YEAR(date.2008)*(gross.us.2008&gt;=$A5)*(gross.us.2008&lt;$A6),gross.us.2008))</f>
        <v>955940919</v>
      </c>
      <c r="P5" s="36">
        <f t="array" ref="P5">SUM(IF(YEAR(date.2009)*(gross.us.2009&gt;=$A5)*(gross.us.2009&lt;$A6),gross.us.2009))</f>
        <v>775454344</v>
      </c>
      <c r="Q5" s="36">
        <f t="array" ref="Q5">SUM(IF(YEAR(date.2010)*(gross.us.2010&gt;=$A5)*(gross.us.2010&lt;$A6),gross.us.2010))</f>
        <v>735086133</v>
      </c>
      <c r="R5" s="53">
        <f>SUM(C5:C$63)/C$65</f>
        <v>0.16748768472906403</v>
      </c>
      <c r="S5" s="53">
        <f>SUM(D5:D$63)/D$65</f>
        <v>0.15094339622641509</v>
      </c>
      <c r="T5" s="53">
        <f>SUM(E5:E$63)/E$65</f>
        <v>0.17419354838709677</v>
      </c>
      <c r="U5" s="53">
        <f>SUM(F5:F$63)/F$65</f>
        <v>0.18545454545454546</v>
      </c>
      <c r="V5" s="53">
        <f>SUM(G5:G$63)/G$65</f>
        <v>0.19622641509433963</v>
      </c>
      <c r="W5" s="53">
        <f>SUM(M5:M$63)/M$65</f>
        <v>0.85993963115296801</v>
      </c>
      <c r="X5" s="53">
        <f>SUM(N5:N$63)/N$65</f>
        <v>0.86994548046149434</v>
      </c>
      <c r="Y5" s="53">
        <f>SUM(O5:O$63)/O$65</f>
        <v>0.89952075098973283</v>
      </c>
      <c r="Z5" s="53">
        <f>SUM(P5:P$63)/P$65</f>
        <v>0.91278430440088798</v>
      </c>
      <c r="AA5" s="53">
        <f>SUM(Q5:Q$63)/Q$65</f>
        <v>0.92398261984243901</v>
      </c>
    </row>
    <row r="6" spans="1:37" x14ac:dyDescent="0.2">
      <c r="A6" s="36">
        <f t="shared" si="1"/>
        <v>37500000</v>
      </c>
      <c r="B6" s="36">
        <f t="shared" si="0"/>
        <v>50</v>
      </c>
      <c r="C6" s="40">
        <f t="array" ref="C6">COUNT(IF(YEAR(date.2006)*(gross.us.2006&gt;=$A6)*(gross.us.2006&lt;$A7),gross.us.2006))</f>
        <v>20</v>
      </c>
      <c r="D6" s="40">
        <f t="array" ref="D6">COUNT(IF(YEAR(date.2007)*(gross.us.2007&gt;=$A6)*(gross.us.2007&lt;$A7),gross.us.2007))</f>
        <v>19</v>
      </c>
      <c r="E6" s="40">
        <f t="array" ref="E6">COUNT(IF(YEAR(date.2008)*(gross.us.2008&gt;=$A6)*(gross.us.2008&lt;$A7),gross.us.2008))</f>
        <v>20</v>
      </c>
      <c r="F6" s="40">
        <f t="array" ref="F6">COUNT(IF(YEAR(date.2009)*(gross.us.2009&gt;=$A6)*(gross.us.2009&lt;$A7),gross.us.2009))</f>
        <v>16</v>
      </c>
      <c r="G6" s="40">
        <f t="array" ref="G6">COUNT(IF(YEAR(date.2010)*(gross.us.2010&gt;=A6)*(gross.us.2010&lt;A7),gross.us.2010))</f>
        <v>14</v>
      </c>
      <c r="H6" s="39">
        <f>SUM(C6:C$45)</f>
        <v>83</v>
      </c>
      <c r="I6" s="39">
        <f>SUM(D6:D$45)</f>
        <v>71</v>
      </c>
      <c r="J6" s="39">
        <f>SUM(E6:E$45)</f>
        <v>77</v>
      </c>
      <c r="K6" s="39">
        <f>SUM(F6:F$45)</f>
        <v>76</v>
      </c>
      <c r="L6" s="39">
        <f>SUM(G6:G$45)</f>
        <v>80</v>
      </c>
      <c r="M6" s="36">
        <f t="array" ref="M6">SUM(IF(YEAR(date.2006)*(gross.us.2006&gt;=$A6)*(gross.us.2006&lt;$A7),gross.us.2006))</f>
        <v>852524251</v>
      </c>
      <c r="N6" s="36">
        <f t="array" ref="N6">SUM(IF(YEAR(date.2007)*(gross.us.2007&gt;=$A6)*(gross.us.2007&lt;$A7),gross.us.2007))</f>
        <v>830172912</v>
      </c>
      <c r="O6" s="36">
        <f t="array" ref="O6">SUM(IF(YEAR(date.2008)*(gross.us.2008&gt;=$A6)*(gross.us.2008&lt;$A7),gross.us.2008))</f>
        <v>849808220</v>
      </c>
      <c r="P6" s="36">
        <f t="array" ref="P6">SUM(IF(YEAR(date.2009)*(gross.us.2009&gt;=$A6)*(gross.us.2009&lt;$A7),gross.us.2009))</f>
        <v>698516916</v>
      </c>
      <c r="Q6" s="36">
        <f t="array" ref="Q6">SUM(IF(YEAR(date.2010)*(gross.us.2010&gt;=$A6)*(gross.us.2010&lt;$A7),gross.us.2010))</f>
        <v>596838285</v>
      </c>
      <c r="R6" s="53">
        <f>SUM(C6:C$63)/C$65</f>
        <v>0.13628899835796388</v>
      </c>
      <c r="S6" s="53">
        <f>SUM(D6:D$63)/D$65</f>
        <v>0.11163522012578617</v>
      </c>
      <c r="T6" s="53">
        <f>SUM(E6:E$63)/E$65</f>
        <v>0.12419354838709677</v>
      </c>
      <c r="U6" s="53">
        <f>SUM(F6:F$63)/F$65</f>
        <v>0.14000000000000001</v>
      </c>
      <c r="V6" s="53">
        <f>SUM(G6:G$63)/G$65</f>
        <v>0.15094339622641509</v>
      </c>
      <c r="W6" s="53">
        <f>SUM(M6:M$63)/M$65</f>
        <v>0.79244469989225585</v>
      </c>
      <c r="X6" s="53">
        <f>SUM(N6:N$63)/N$65</f>
        <v>0.78974376711504812</v>
      </c>
      <c r="Y6" s="53">
        <f>SUM(O6:O$63)/O$65</f>
        <v>0.8010725086665188</v>
      </c>
      <c r="Z6" s="53">
        <f>SUM(P6:P$63)/P$65</f>
        <v>0.84140338340696907</v>
      </c>
      <c r="AA6" s="53">
        <f>SUM(Q6:Q$63)/Q$65</f>
        <v>0.8507985418850218</v>
      </c>
    </row>
    <row r="7" spans="1:37" x14ac:dyDescent="0.2">
      <c r="A7" s="36">
        <f t="shared" si="1"/>
        <v>50000000</v>
      </c>
      <c r="B7" s="36">
        <f t="shared" si="0"/>
        <v>62.5</v>
      </c>
      <c r="C7" s="40">
        <f t="array" ref="C7">COUNT(IF(YEAR(date.2006)*(gross.us.2006&gt;=$A7)*(gross.us.2006&lt;$A8),gross.us.2006))</f>
        <v>17</v>
      </c>
      <c r="D7" s="40">
        <f t="array" ref="D7">COUNT(IF(YEAR(date.2007)*(gross.us.2007&gt;=$A7)*(gross.us.2007&lt;$A8),gross.us.2007))</f>
        <v>11</v>
      </c>
      <c r="E7" s="40">
        <f t="array" ref="E7">COUNT(IF(YEAR(date.2008)*(gross.us.2008&gt;=$A7)*(gross.us.2008&lt;$A8),gross.us.2008))</f>
        <v>7</v>
      </c>
      <c r="F7" s="40">
        <f t="array" ref="F7">COUNT(IF(YEAR(date.2009)*(gross.us.2009&gt;=$A7)*(gross.us.2009&lt;$A8),gross.us.2009))</f>
        <v>7</v>
      </c>
      <c r="G7" s="40">
        <f t="array" ref="G7">COUNT(IF(YEAR(date.2010)*(gross.us.2010&gt;=A7)*(gross.us.2010&lt;A8),gross.us.2010))</f>
        <v>14</v>
      </c>
      <c r="H7" s="39">
        <f>SUM(C7:C$45)</f>
        <v>63</v>
      </c>
      <c r="I7" s="39">
        <f>SUM(D7:D$45)</f>
        <v>52</v>
      </c>
      <c r="J7" s="39">
        <f>SUM(E7:E$45)</f>
        <v>57</v>
      </c>
      <c r="K7" s="39">
        <f>SUM(F7:F$45)</f>
        <v>60</v>
      </c>
      <c r="L7" s="39">
        <f>SUM(G7:G$45)</f>
        <v>66</v>
      </c>
      <c r="M7" s="36">
        <f t="array" ref="M7">SUM(IF(YEAR(date.2006)*(gross.us.2006&gt;=$A7)*(gross.us.2006&lt;$A8),gross.us.2006))</f>
        <v>972667226</v>
      </c>
      <c r="N7" s="36">
        <f t="array" ref="N7">SUM(IF(YEAR(date.2007)*(gross.us.2007&gt;=$A7)*(gross.us.2007&lt;$A8),gross.us.2007))</f>
        <v>600248913</v>
      </c>
      <c r="O7" s="36">
        <f t="array" ref="O7">SUM(IF(YEAR(date.2008)*(gross.us.2008&gt;=$A7)*(gross.us.2008&lt;$A8),gross.us.2008))</f>
        <v>391164136</v>
      </c>
      <c r="P7" s="36">
        <f t="array" ref="P7">SUM(IF(YEAR(date.2009)*(gross.us.2009&gt;=$A7)*(gross.us.2009&lt;$A8),gross.us.2009))</f>
        <v>384544500</v>
      </c>
      <c r="Q7" s="36">
        <f t="array" ref="Q7">SUM(IF(YEAR(date.2010)*(gross.us.2010&gt;=$A7)*(gross.us.2010&lt;$A8),gross.us.2010))</f>
        <v>796263391</v>
      </c>
      <c r="R7" s="53">
        <f>SUM(C7:C$63)/C$65</f>
        <v>0.10344827586206896</v>
      </c>
      <c r="S7" s="53">
        <f>SUM(D7:D$63)/D$65</f>
        <v>8.1761006289308172E-2</v>
      </c>
      <c r="T7" s="53">
        <f>SUM(E7:E$63)/E$65</f>
        <v>9.1935483870967741E-2</v>
      </c>
      <c r="U7" s="53">
        <f>SUM(F7:F$63)/F$65</f>
        <v>0.11090909090909092</v>
      </c>
      <c r="V7" s="53">
        <f>SUM(G7:G$63)/G$65</f>
        <v>0.12452830188679245</v>
      </c>
      <c r="W7" s="53">
        <f>SUM(M7:M$63)/M$65</f>
        <v>0.70010422227928104</v>
      </c>
      <c r="X7" s="53">
        <f>SUM(N7:N$63)/N$65</f>
        <v>0.7038804522404114</v>
      </c>
      <c r="Y7" s="53">
        <f>SUM(O7:O$63)/O$65</f>
        <v>0.71355441637862171</v>
      </c>
      <c r="Z7" s="53">
        <f>SUM(P7:P$63)/P$65</f>
        <v>0.77710458724997467</v>
      </c>
      <c r="AA7" s="53">
        <f>SUM(Q7:Q$63)/Q$65</f>
        <v>0.7913782132778826</v>
      </c>
    </row>
    <row r="8" spans="1:37" x14ac:dyDescent="0.2">
      <c r="A8" s="36">
        <f t="shared" si="1"/>
        <v>62500000</v>
      </c>
      <c r="B8" s="36">
        <f t="shared" si="0"/>
        <v>75</v>
      </c>
      <c r="C8" s="40">
        <f t="array" ref="C8">COUNT(IF(YEAR(date.2006)*(gross.us.2006&gt;=$A8)*(gross.us.2006&lt;$A9),gross.us.2006))</f>
        <v>15</v>
      </c>
      <c r="D8" s="40">
        <f t="array" ref="D8">COUNT(IF(YEAR(date.2007)*(gross.us.2007&gt;=$A8)*(gross.us.2007&lt;$A9),gross.us.2007))</f>
        <v>6</v>
      </c>
      <c r="E8" s="40">
        <f t="array" ref="E8">COUNT(IF(YEAR(date.2008)*(gross.us.2008&gt;=$A8)*(gross.us.2008&lt;$A9),gross.us.2008))</f>
        <v>8</v>
      </c>
      <c r="F8" s="40">
        <f t="array" ref="F8">COUNT(IF(YEAR(date.2009)*(gross.us.2009&gt;=$A8)*(gross.us.2009&lt;$A9),gross.us.2009))</f>
        <v>11</v>
      </c>
      <c r="G8" s="40">
        <f t="array" ref="G8">COUNT(IF(YEAR(date.2010)*(gross.us.2010&gt;=A8)*(gross.us.2010&lt;A9),gross.us.2010))</f>
        <v>7</v>
      </c>
      <c r="H8" s="39">
        <f>SUM(C8:C$45)</f>
        <v>46</v>
      </c>
      <c r="I8" s="39">
        <f>SUM(D8:D$45)</f>
        <v>41</v>
      </c>
      <c r="J8" s="39">
        <f>SUM(E8:E$45)</f>
        <v>50</v>
      </c>
      <c r="K8" s="39">
        <f>SUM(F8:F$45)</f>
        <v>53</v>
      </c>
      <c r="L8" s="39">
        <f>SUM(G8:G$45)</f>
        <v>52</v>
      </c>
      <c r="M8" s="36">
        <f t="array" ref="M8">SUM(IF(YEAR(date.2006)*(gross.us.2006&gt;=$A8)*(gross.us.2006&lt;$A9),gross.us.2006))</f>
        <v>1018833715</v>
      </c>
      <c r="N8" s="36">
        <f t="array" ref="N8">SUM(IF(YEAR(date.2007)*(gross.us.2007&gt;=$A8)*(gross.us.2007&lt;$A9),gross.us.2007))</f>
        <v>418334828</v>
      </c>
      <c r="O8" s="36">
        <f t="array" ref="O8">SUM(IF(YEAR(date.2008)*(gross.us.2008&gt;=$A8)*(gross.us.2008&lt;$A9),gross.us.2008))</f>
        <v>543906297</v>
      </c>
      <c r="P8" s="36">
        <f t="array" ref="P8">SUM(IF(YEAR(date.2009)*(gross.us.2009&gt;=$A8)*(gross.us.2009&lt;$A9),gross.us.2009))</f>
        <v>749871398</v>
      </c>
      <c r="Q8" s="36">
        <f t="array" ref="Q8">SUM(IF(YEAR(date.2010)*(gross.us.2010&gt;=$A8)*(gross.us.2010&lt;$A9),gross.us.2010))</f>
        <v>460109070</v>
      </c>
      <c r="R8" s="53">
        <f>SUM(C8:C$63)/C$65</f>
        <v>7.5533661740558297E-2</v>
      </c>
      <c r="S8" s="53">
        <f>SUM(D8:D$63)/D$65</f>
        <v>6.4465408805031446E-2</v>
      </c>
      <c r="T8" s="53">
        <f>SUM(E8:E$63)/E$65</f>
        <v>8.0645161290322578E-2</v>
      </c>
      <c r="U8" s="53">
        <f>SUM(F8:F$63)/F$65</f>
        <v>9.8181818181818176E-2</v>
      </c>
      <c r="V8" s="53">
        <f>SUM(G8:G$63)/G$65</f>
        <v>9.8113207547169817E-2</v>
      </c>
      <c r="W8" s="53">
        <f>SUM(M8:M$63)/M$65</f>
        <v>0.59475055509389185</v>
      </c>
      <c r="X8" s="53">
        <f>SUM(N8:N$63)/N$65</f>
        <v>0.64179776961479784</v>
      </c>
      <c r="Y8" s="53">
        <f>SUM(O8:O$63)/O$65</f>
        <v>0.67327010499109063</v>
      </c>
      <c r="Z8" s="53">
        <f>SUM(P8:P$63)/P$65</f>
        <v>0.74170709314148076</v>
      </c>
      <c r="AA8" s="53">
        <f>SUM(Q8:Q$63)/Q$65</f>
        <v>0.71210341884834139</v>
      </c>
    </row>
    <row r="9" spans="1:37" x14ac:dyDescent="0.2">
      <c r="A9" s="36">
        <f t="shared" si="1"/>
        <v>75000000</v>
      </c>
      <c r="B9" s="36">
        <f t="shared" si="0"/>
        <v>87.5</v>
      </c>
      <c r="C9" s="40">
        <f t="array" ref="C9">COUNT(IF(YEAR(date.2006)*(gross.us.2006&gt;=$A9)*(gross.us.2006&lt;$A10),gross.us.2006))</f>
        <v>9</v>
      </c>
      <c r="D9" s="40">
        <f t="array" ref="D9">COUNT(IF(YEAR(date.2007)*(gross.us.2007&gt;=$A9)*(gross.us.2007&lt;$A10),gross.us.2007))</f>
        <v>3</v>
      </c>
      <c r="E9" s="40">
        <f t="array" ref="E9">COUNT(IF(YEAR(date.2008)*(gross.us.2008&gt;=$A9)*(gross.us.2008&lt;$A10),gross.us.2008))</f>
        <v>9</v>
      </c>
      <c r="F9" s="40">
        <f t="array" ref="F9">COUNT(IF(YEAR(date.2009)*(gross.us.2009&gt;=$A9)*(gross.us.2009&lt;$A10),gross.us.2009))</f>
        <v>6</v>
      </c>
      <c r="G9" s="40">
        <f t="array" ref="G9">COUNT(IF(YEAR(date.2010)*(gross.us.2010&gt;=A9)*(gross.us.2010&lt;A10),gross.us.2010))</f>
        <v>8</v>
      </c>
      <c r="H9" s="39">
        <f>SUM(C9:C$45)</f>
        <v>31</v>
      </c>
      <c r="I9" s="39">
        <f>SUM(D9:D$45)</f>
        <v>35</v>
      </c>
      <c r="J9" s="39">
        <f>SUM(E9:E$45)</f>
        <v>42</v>
      </c>
      <c r="K9" s="39">
        <f>SUM(F9:F$45)</f>
        <v>42</v>
      </c>
      <c r="L9" s="39">
        <f>SUM(G9:G$45)</f>
        <v>45</v>
      </c>
      <c r="M9" s="36">
        <f t="array" ref="M9">SUM(IF(YEAR(date.2006)*(gross.us.2006&gt;=$A9)*(gross.us.2006&lt;$A10),gross.us.2006))</f>
        <v>727699018</v>
      </c>
      <c r="N9" s="36">
        <f t="array" ref="N9">SUM(IF(YEAR(date.2007)*(gross.us.2007&gt;=$A9)*(gross.us.2007&lt;$A10),gross.us.2007))</f>
        <v>244639046</v>
      </c>
      <c r="O9" s="36">
        <f t="array" ref="O9">SUM(IF(YEAR(date.2008)*(gross.us.2008&gt;=$A9)*(gross.us.2008&lt;$A10),gross.us.2008))</f>
        <v>724235364</v>
      </c>
      <c r="P9" s="36">
        <f t="array" ref="P9">SUM(IF(YEAR(date.2009)*(gross.us.2009&gt;=$A9)*(gross.us.2009&lt;$A10),gross.us.2009))</f>
        <v>471467186</v>
      </c>
      <c r="Q9" s="36">
        <f t="array" ref="Q9">SUM(IF(YEAR(date.2010)*(gross.us.2010&gt;=$A9)*(gross.us.2010&lt;$A10),gross.us.2010))</f>
        <v>648108458</v>
      </c>
      <c r="R9" s="53">
        <f>SUM(C9:C$63)/C$65</f>
        <v>5.090311986863711E-2</v>
      </c>
      <c r="S9" s="53">
        <f>SUM(D9:D$63)/D$65</f>
        <v>5.5031446540880505E-2</v>
      </c>
      <c r="T9" s="53">
        <f>SUM(E9:E$63)/E$65</f>
        <v>6.7741935483870974E-2</v>
      </c>
      <c r="U9" s="53">
        <f>SUM(F9:F$63)/F$65</f>
        <v>7.8181818181818186E-2</v>
      </c>
      <c r="V9" s="53">
        <f>SUM(G9:G$63)/G$65</f>
        <v>8.4905660377358486E-2</v>
      </c>
      <c r="W9" s="53">
        <f>SUM(M9:M$63)/M$65</f>
        <v>0.48439640183555666</v>
      </c>
      <c r="X9" s="53">
        <f>SUM(N9:N$63)/N$65</f>
        <v>0.59853013881116712</v>
      </c>
      <c r="Y9" s="53">
        <f>SUM(O9:O$63)/O$65</f>
        <v>0.61725553561352642</v>
      </c>
      <c r="Z9" s="53">
        <f>SUM(P9:P$63)/P$65</f>
        <v>0.67268109382844132</v>
      </c>
      <c r="AA9" s="53">
        <f>SUM(Q9:Q$63)/Q$65</f>
        <v>0.66629564675723763</v>
      </c>
    </row>
    <row r="10" spans="1:37" x14ac:dyDescent="0.2">
      <c r="A10" s="36">
        <f t="shared" si="1"/>
        <v>87500000</v>
      </c>
      <c r="B10" s="36">
        <f t="shared" si="0"/>
        <v>100</v>
      </c>
      <c r="C10" s="40">
        <f t="array" ref="C10">COUNT(IF(YEAR(date.2006)*(gross.us.2006&gt;=$A10)*(gross.us.2006&lt;$A11),gross.us.2006))</f>
        <v>3</v>
      </c>
      <c r="D10" s="40">
        <f t="array" ref="D10">COUNT(IF(YEAR(date.2007)*(gross.us.2007&gt;=$A10)*(gross.us.2007&lt;$A11),gross.us.2007))</f>
        <v>4</v>
      </c>
      <c r="E10" s="40">
        <f t="array" ref="E10">COUNT(IF(YEAR(date.2008)*(gross.us.2008&gt;=$A10)*(gross.us.2008&lt;$A11),gross.us.2008))</f>
        <v>4</v>
      </c>
      <c r="F10" s="40">
        <f t="array" ref="F10">COUNT(IF(YEAR(date.2009)*(gross.us.2009&gt;=$A10)*(gross.us.2009&lt;$A11),gross.us.2009))</f>
        <v>5</v>
      </c>
      <c r="G10" s="40">
        <f t="array" ref="G10">COUNT(IF(YEAR(date.2010)*(gross.us.2010&gt;=A10)*(gross.us.2010&lt;A11),gross.us.2010))</f>
        <v>10</v>
      </c>
      <c r="H10" s="39">
        <f>SUM(C10:C$45)</f>
        <v>22</v>
      </c>
      <c r="I10" s="39">
        <f>SUM(D10:D$45)</f>
        <v>32</v>
      </c>
      <c r="J10" s="39">
        <f>SUM(E10:E$45)</f>
        <v>33</v>
      </c>
      <c r="K10" s="39">
        <f>SUM(F10:F$45)</f>
        <v>36</v>
      </c>
      <c r="L10" s="39">
        <f>SUM(G10:G$45)</f>
        <v>37</v>
      </c>
      <c r="M10" s="36">
        <f t="array" ref="M10">SUM(IF(YEAR(date.2006)*(gross.us.2006&gt;=$A10)*(gross.us.2006&lt;$A11),gross.us.2006))</f>
        <v>268060049</v>
      </c>
      <c r="N10" s="36">
        <f t="array" ref="N10">SUM(IF(YEAR(date.2007)*(gross.us.2007&gt;=$A10)*(gross.us.2007&lt;$A11),gross.us.2007))</f>
        <v>377610482</v>
      </c>
      <c r="O10" s="36">
        <f t="array" ref="O10">SUM(IF(YEAR(date.2008)*(gross.us.2008&gt;=$A10)*(gross.us.2008&lt;$A11),gross.us.2008))</f>
        <v>377528849</v>
      </c>
      <c r="P10" s="36">
        <f t="array" ref="P10">SUM(IF(YEAR(date.2009)*(gross.us.2009&gt;=$A10)*(gross.us.2009&lt;$A11),gross.us.2009))</f>
        <v>464607249</v>
      </c>
      <c r="Q10" s="36">
        <f t="array" ref="Q10">SUM(IF(YEAR(date.2010)*(gross.us.2010&gt;=$A10)*(gross.us.2010&lt;$A11),gross.us.2010))</f>
        <v>939605345</v>
      </c>
      <c r="R10" s="53">
        <f>SUM(C10:C$63)/C$65</f>
        <v>3.6124794745484398E-2</v>
      </c>
      <c r="S10" s="53">
        <f>SUM(D10:D$63)/D$65</f>
        <v>5.0314465408805034E-2</v>
      </c>
      <c r="T10" s="53">
        <f>SUM(E10:E$63)/E$65</f>
        <v>5.32258064516129E-2</v>
      </c>
      <c r="U10" s="53">
        <f>SUM(F10:F$63)/F$65</f>
        <v>6.7272727272727276E-2</v>
      </c>
      <c r="V10" s="53">
        <f>SUM(G10:G$63)/G$65</f>
        <v>6.981132075471698E-2</v>
      </c>
      <c r="W10" s="53">
        <f>SUM(M10:M$63)/M$65</f>
        <v>0.40557626879911507</v>
      </c>
      <c r="X10" s="53">
        <f>SUM(N10:N$63)/N$65</f>
        <v>0.57322755529669955</v>
      </c>
      <c r="Y10" s="53">
        <f>SUM(O10:O$63)/O$65</f>
        <v>0.54266965148932866</v>
      </c>
      <c r="Z10" s="53">
        <f>SUM(P10:P$63)/P$65</f>
        <v>0.62928232739495127</v>
      </c>
      <c r="AA10" s="53">
        <f>SUM(Q10:Q$63)/Q$65</f>
        <v>0.60177093626982947</v>
      </c>
    </row>
    <row r="11" spans="1:37" x14ac:dyDescent="0.2">
      <c r="A11" s="36">
        <f t="shared" si="1"/>
        <v>100000000</v>
      </c>
      <c r="B11" s="36">
        <f t="shared" si="0"/>
        <v>112.5</v>
      </c>
      <c r="C11" s="40">
        <f t="array" ref="C11">COUNT(IF(YEAR(date.2006)*(gross.us.2006&gt;=$A11)*(gross.us.2006&lt;$A12),gross.us.2006))</f>
        <v>1</v>
      </c>
      <c r="D11" s="40">
        <f t="array" ref="D11">COUNT(IF(YEAR(date.2007)*(gross.us.2007&gt;=$A11)*(gross.us.2007&lt;$A12),gross.us.2007))</f>
        <v>1</v>
      </c>
      <c r="E11" s="40">
        <f t="array" ref="E11">COUNT(IF(YEAR(date.2008)*(gross.us.2008&gt;=$A11)*(gross.us.2008&lt;$A12),gross.us.2008))</f>
        <v>7</v>
      </c>
      <c r="F11" s="40">
        <f t="array" ref="F11">COUNT(IF(YEAR(date.2009)*(gross.us.2009&gt;=$A11)*(gross.us.2009&lt;$A12),gross.us.2009))</f>
        <v>4</v>
      </c>
      <c r="G11" s="40">
        <f t="array" ref="G11">COUNT(IF(YEAR(date.2010)*(gross.us.2010&gt;=A11)*(gross.us.2010&lt;A12),gross.us.2010))</f>
        <v>5</v>
      </c>
      <c r="H11" s="39">
        <f>SUM(C11:C$45)</f>
        <v>19</v>
      </c>
      <c r="I11" s="39">
        <f>SUM(D11:D$45)</f>
        <v>28</v>
      </c>
      <c r="J11" s="39">
        <f>SUM(E11:E$45)</f>
        <v>29</v>
      </c>
      <c r="K11" s="39">
        <f>SUM(F11:F$45)</f>
        <v>31</v>
      </c>
      <c r="L11" s="39">
        <f>SUM(G11:G$45)</f>
        <v>27</v>
      </c>
      <c r="M11" s="36">
        <f t="array" ref="M11">SUM(IF(YEAR(date.2006)*(gross.us.2006&gt;=$A11)*(gross.us.2006&lt;$A12),gross.us.2006))</f>
        <v>103365956</v>
      </c>
      <c r="N11" s="36">
        <f t="array" ref="N11">SUM(IF(YEAR(date.2007)*(gross.us.2007&gt;=$A11)*(gross.us.2007&lt;$A12),gross.us.2007))</f>
        <v>100289690</v>
      </c>
      <c r="O11" s="36">
        <f t="array" ref="O11">SUM(IF(YEAR(date.2008)*(gross.us.2008&gt;=$A11)*(gross.us.2008&lt;$A12),gross.us.2008))</f>
        <v>726687801</v>
      </c>
      <c r="P11" s="36">
        <f t="array" ref="P11">SUM(IF(YEAR(date.2009)*(gross.us.2009&gt;=$A11)*(gross.us.2009&lt;$A12),gross.us.2009))</f>
        <v>429008376</v>
      </c>
      <c r="Q11" s="36">
        <f t="array" ref="Q11">SUM(IF(YEAR(date.2010)*(gross.us.2010&gt;=$A11)*(gross.us.2010&lt;$A12),gross.us.2010))</f>
        <v>522208515</v>
      </c>
      <c r="R11" s="53">
        <f>SUM(C11:C$63)/C$65</f>
        <v>3.1198686371100164E-2</v>
      </c>
      <c r="S11" s="53">
        <f>SUM(D11:D$63)/D$65</f>
        <v>4.40251572327044E-2</v>
      </c>
      <c r="T11" s="53">
        <f>SUM(E11:E$63)/E$65</f>
        <v>4.6774193548387098E-2</v>
      </c>
      <c r="U11" s="53">
        <f>SUM(F11:F$63)/F$65</f>
        <v>5.8181818181818182E-2</v>
      </c>
      <c r="V11" s="53">
        <f>SUM(G11:G$63)/G$65</f>
        <v>5.0943396226415097E-2</v>
      </c>
      <c r="W11" s="53">
        <f>SUM(M11:M$63)/M$65</f>
        <v>0.37654156049072063</v>
      </c>
      <c r="X11" s="53">
        <f>SUM(N11:N$63)/N$65</f>
        <v>0.53417197151739004</v>
      </c>
      <c r="Y11" s="53">
        <f>SUM(O11:O$63)/O$65</f>
        <v>0.50378957964426507</v>
      </c>
      <c r="Z11" s="53">
        <f>SUM(P11:P$63)/P$65</f>
        <v>0.58651502124640131</v>
      </c>
      <c r="AA11" s="53">
        <f>SUM(Q11:Q$63)/Q$65</f>
        <v>0.50822523090187643</v>
      </c>
    </row>
    <row r="12" spans="1:37" x14ac:dyDescent="0.2">
      <c r="A12" s="36">
        <f t="shared" si="1"/>
        <v>112500000</v>
      </c>
      <c r="B12" s="36">
        <f t="shared" si="0"/>
        <v>125</v>
      </c>
      <c r="C12" s="40">
        <f t="array" ref="C12">COUNT(IF(YEAR(date.2006)*(gross.us.2006&gt;=$A12)*(gross.us.2006&lt;$A13),gross.us.2006))</f>
        <v>2</v>
      </c>
      <c r="D12" s="40">
        <f t="array" ref="D12">COUNT(IF(YEAR(date.2007)*(gross.us.2007&gt;=$A12)*(gross.us.2007&lt;$A13),gross.us.2007))</f>
        <v>6</v>
      </c>
      <c r="E12" s="40">
        <f t="array" ref="E12">COUNT(IF(YEAR(date.2008)*(gross.us.2008&gt;=$A12)*(gross.us.2008&lt;$A13),gross.us.2008))</f>
        <v>2</v>
      </c>
      <c r="F12" s="40">
        <f t="array" ref="F12">COUNT(IF(YEAR(date.2009)*(gross.us.2009&gt;=$A12)*(gross.us.2009&lt;$A13),gross.us.2009))</f>
        <v>5</v>
      </c>
      <c r="G12" s="40">
        <f t="array" ref="G12">COUNT(IF(YEAR(date.2010)*(gross.us.2010&gt;=A12)*(gross.us.2010&lt;A13),gross.us.2010))</f>
        <v>3</v>
      </c>
      <c r="H12" s="39">
        <f>SUM(C12:C$45)</f>
        <v>18</v>
      </c>
      <c r="I12" s="39">
        <f>SUM(D12:D$45)</f>
        <v>27</v>
      </c>
      <c r="J12" s="39">
        <f>SUM(E12:E$45)</f>
        <v>22</v>
      </c>
      <c r="K12" s="39">
        <f>SUM(F12:F$45)</f>
        <v>27</v>
      </c>
      <c r="L12" s="39">
        <f>SUM(G12:G$45)</f>
        <v>22</v>
      </c>
      <c r="M12" s="36">
        <f t="array" ref="M12">SUM(IF(YEAR(date.2006)*(gross.us.2006&gt;=$A12)*(gross.us.2006&lt;$A13),gross.us.2006))</f>
        <v>243547159</v>
      </c>
      <c r="N12" s="36">
        <f t="array" ref="N12">SUM(IF(YEAR(date.2007)*(gross.us.2007&gt;=$A12)*(gross.us.2007&lt;$A13),gross.us.2007))</f>
        <v>711553206</v>
      </c>
      <c r="O12" s="36">
        <f t="array" ref="O12">SUM(IF(YEAR(date.2008)*(gross.us.2008&gt;=$A12)*(gross.us.2008&lt;$A13),gross.us.2008))</f>
        <v>234199619</v>
      </c>
      <c r="P12" s="36">
        <f t="array" ref="P12">SUM(IF(YEAR(date.2009)*(gross.us.2009&gt;=$A12)*(gross.us.2009&lt;$A13),gross.us.2009))</f>
        <v>593519705</v>
      </c>
      <c r="Q12" s="36">
        <f t="array" ref="Q12">SUM(IF(YEAR(date.2010)*(gross.us.2010&gt;=$A12)*(gross.us.2010&lt;$A13),gross.us.2010))</f>
        <v>354761038</v>
      </c>
      <c r="R12" s="53">
        <f>SUM(C12:C$63)/C$65</f>
        <v>2.9556650246305417E-2</v>
      </c>
      <c r="S12" s="53">
        <f>SUM(D12:D$63)/D$65</f>
        <v>4.2452830188679243E-2</v>
      </c>
      <c r="T12" s="53">
        <f>SUM(E12:E$63)/E$65</f>
        <v>3.5483870967741936E-2</v>
      </c>
      <c r="U12" s="53">
        <f>SUM(F12:F$63)/F$65</f>
        <v>5.0909090909090911E-2</v>
      </c>
      <c r="V12" s="53">
        <f>SUM(G12:G$63)/G$65</f>
        <v>4.1509433962264149E-2</v>
      </c>
      <c r="W12" s="53">
        <f>SUM(M12:M$63)/M$65</f>
        <v>0.36534556021886244</v>
      </c>
      <c r="X12" s="53">
        <f>SUM(N12:N$63)/N$65</f>
        <v>0.52379918639434364</v>
      </c>
      <c r="Y12" s="53">
        <f>SUM(O12:O$63)/O$65</f>
        <v>0.42895112958501874</v>
      </c>
      <c r="Z12" s="53">
        <f>SUM(P12:P$63)/P$65</f>
        <v>0.54702460736204062</v>
      </c>
      <c r="AA12" s="53">
        <f>SUM(Q12:Q$63)/Q$65</f>
        <v>0.45623493077770427</v>
      </c>
    </row>
    <row r="13" spans="1:37" x14ac:dyDescent="0.2">
      <c r="A13" s="36">
        <f t="shared" si="1"/>
        <v>125000000</v>
      </c>
      <c r="B13" s="36">
        <f t="shared" si="0"/>
        <v>137.5</v>
      </c>
      <c r="C13" s="40">
        <f t="array" ref="C13">COUNT(IF(YEAR(date.2006)*(gross.us.2006&gt;=$A13)*(gross.us.2006&lt;$A14),gross.us.2006))</f>
        <v>4</v>
      </c>
      <c r="D13" s="40">
        <f t="array" ref="D13">COUNT(IF(YEAR(date.2007)*(gross.us.2007&gt;=$A13)*(gross.us.2007&lt;$A14),gross.us.2007))</f>
        <v>5</v>
      </c>
      <c r="E13" s="40">
        <f t="array" ref="E13">COUNT(IF(YEAR(date.2008)*(gross.us.2008&gt;=$A13)*(gross.us.2008&lt;$A14),gross.us.2008))</f>
        <v>4</v>
      </c>
      <c r="F13" s="40">
        <f t="array" ref="F13">COUNT(IF(YEAR(date.2009)*(gross.us.2009&gt;=$A13)*(gross.us.2009&lt;$A14),gross.us.2009))</f>
        <v>2</v>
      </c>
      <c r="G13" s="40">
        <f t="array" ref="G13">COUNT(IF(YEAR(date.2010)*(gross.us.2010&gt;=A13)*(gross.us.2010&lt;A14),gross.us.2010))</f>
        <v>2</v>
      </c>
      <c r="H13" s="39">
        <f>SUM(C13:C$45)</f>
        <v>16</v>
      </c>
      <c r="I13" s="39">
        <f>SUM(D13:D$45)</f>
        <v>21</v>
      </c>
      <c r="J13" s="39">
        <f>SUM(E13:E$45)</f>
        <v>20</v>
      </c>
      <c r="K13" s="39">
        <f>SUM(F13:F$45)</f>
        <v>22</v>
      </c>
      <c r="L13" s="39">
        <f>SUM(G13:G$45)</f>
        <v>19</v>
      </c>
      <c r="M13" s="36">
        <f t="array" ref="M13">SUM(IF(YEAR(date.2006)*(gross.us.2006&gt;=$A13)*(gross.us.2006&lt;$A14),gross.us.2006))</f>
        <v>532673939</v>
      </c>
      <c r="N13" s="36">
        <f t="array" ref="N13">SUM(IF(YEAR(date.2007)*(gross.us.2007&gt;=$A13)*(gross.us.2007&lt;$A14),gross.us.2007))</f>
        <v>650953940</v>
      </c>
      <c r="O13" s="36">
        <f t="array" ref="O13">SUM(IF(YEAR(date.2008)*(gross.us.2008&gt;=$A13)*(gross.us.2008&lt;$A14),gross.us.2008))</f>
        <v>527143998</v>
      </c>
      <c r="P13" s="36">
        <f t="array" ref="P13">SUM(IF(YEAR(date.2009)*(gross.us.2009&gt;=$A13)*(gross.us.2009&lt;$A14),gross.us.2009))</f>
        <v>258698315</v>
      </c>
      <c r="Q13" s="36">
        <f t="array" ref="Q13">SUM(IF(YEAR(date.2010)*(gross.us.2010&gt;=$A13)*(gross.us.2010&lt;$A14),gross.us.2010))</f>
        <v>259785121</v>
      </c>
      <c r="R13" s="53">
        <f>SUM(C13:C$63)/C$65</f>
        <v>2.6272577996715927E-2</v>
      </c>
      <c r="S13" s="53">
        <f>SUM(D13:D$63)/D$65</f>
        <v>3.3018867924528301E-2</v>
      </c>
      <c r="T13" s="53">
        <f>SUM(E13:E$63)/E$65</f>
        <v>3.2258064516129031E-2</v>
      </c>
      <c r="U13" s="53">
        <f>SUM(F13:F$63)/F$65</f>
        <v>4.1818181818181817E-2</v>
      </c>
      <c r="V13" s="53">
        <f>SUM(G13:G$63)/G$65</f>
        <v>3.5849056603773584E-2</v>
      </c>
      <c r="W13" s="53">
        <f>SUM(M13:M$63)/M$65</f>
        <v>0.33896594584781842</v>
      </c>
      <c r="X13" s="53">
        <f>SUM(N13:N$63)/N$65</f>
        <v>0.45020449775333998</v>
      </c>
      <c r="Y13" s="53">
        <f>SUM(O13:O$63)/O$65</f>
        <v>0.40483191846532357</v>
      </c>
      <c r="Z13" s="53">
        <f>SUM(P13:P$63)/P$65</f>
        <v>0.49239085168223617</v>
      </c>
      <c r="AA13" s="53">
        <f>SUM(Q13:Q$63)/Q$65</f>
        <v>0.42091545147357456</v>
      </c>
    </row>
    <row r="14" spans="1:37" x14ac:dyDescent="0.2">
      <c r="A14" s="36">
        <f t="shared" si="1"/>
        <v>137500000</v>
      </c>
      <c r="B14" s="36">
        <f t="shared" si="0"/>
        <v>150</v>
      </c>
      <c r="C14" s="40">
        <f t="array" ref="C14">COUNT(IF(YEAR(date.2006)*(gross.us.2006&gt;=$A14)*(gross.us.2006&lt;$A15),gross.us.2006))</f>
        <v>1</v>
      </c>
      <c r="D14" s="40">
        <f t="array" ref="D14">COUNT(IF(YEAR(date.2007)*(gross.us.2007&gt;=$A14)*(gross.us.2007&lt;$A15),gross.us.2007))</f>
        <v>3</v>
      </c>
      <c r="E14" s="40">
        <f t="array" ref="E14">COUNT(IF(YEAR(date.2008)*(gross.us.2008&gt;=$A14)*(gross.us.2008&lt;$A15),gross.us.2008))</f>
        <v>5</v>
      </c>
      <c r="F14" s="40">
        <f t="array" ref="F14">COUNT(IF(YEAR(date.2009)*(gross.us.2009&gt;=$A14)*(gross.us.2009&lt;$A15),gross.us.2009))</f>
        <v>3</v>
      </c>
      <c r="G14" s="40">
        <f t="array" ref="G14">COUNT(IF(YEAR(date.2010)*(gross.us.2010&gt;=A14)*(gross.us.2010&lt;A15),gross.us.2010))</f>
        <v>2</v>
      </c>
      <c r="H14" s="39">
        <f>SUM(C14:C$45)</f>
        <v>12</v>
      </c>
      <c r="I14" s="39">
        <f>SUM(D14:D$45)</f>
        <v>16</v>
      </c>
      <c r="J14" s="39">
        <f>SUM(E14:E$45)</f>
        <v>16</v>
      </c>
      <c r="K14" s="39">
        <f>SUM(F14:F$45)</f>
        <v>20</v>
      </c>
      <c r="L14" s="39">
        <f>SUM(G14:G$45)</f>
        <v>17</v>
      </c>
      <c r="M14" s="36">
        <f t="array" ref="M14">SUM(IF(YEAR(date.2006)*(gross.us.2006&gt;=$A14)*(gross.us.2006&lt;$A15),gross.us.2006))</f>
        <v>148213377</v>
      </c>
      <c r="N14" s="36">
        <f t="array" ref="N14">SUM(IF(YEAR(date.2007)*(gross.us.2007&gt;=$A14)*(gross.us.2007&lt;$A15),gross.us.2007))</f>
        <v>432382998</v>
      </c>
      <c r="O14" s="36">
        <f t="array" ref="O14">SUM(IF(YEAR(date.2008)*(gross.us.2008&gt;=$A14)*(gross.us.2008&lt;$A15),gross.us.2008))</f>
        <v>718320534</v>
      </c>
      <c r="P14" s="36">
        <f t="array" ref="P14">SUM(IF(YEAR(date.2009)*(gross.us.2009&gt;=$A14)*(gross.us.2009&lt;$A15),gross.us.2009))</f>
        <v>429193030</v>
      </c>
      <c r="Q14" s="36">
        <f t="array" ref="Q14">SUM(IF(YEAR(date.2010)*(gross.us.2010&gt;=$A14)*(gross.us.2010&lt;$A15),gross.us.2010))</f>
        <v>294227257</v>
      </c>
      <c r="R14" s="53">
        <f>SUM(C14:C$63)/C$65</f>
        <v>1.9704433497536946E-2</v>
      </c>
      <c r="S14" s="53">
        <f>SUM(D14:D$63)/D$65</f>
        <v>2.5157232704402517E-2</v>
      </c>
      <c r="T14" s="53">
        <f>SUM(E14:E$63)/E$65</f>
        <v>2.5806451612903226E-2</v>
      </c>
      <c r="U14" s="53">
        <f>SUM(F14:F$63)/F$65</f>
        <v>3.8181818181818185E-2</v>
      </c>
      <c r="V14" s="53">
        <f>SUM(G14:G$63)/G$65</f>
        <v>3.2075471698113207E-2</v>
      </c>
      <c r="W14" s="53">
        <f>SUM(M14:M$63)/M$65</f>
        <v>0.28126979716753348</v>
      </c>
      <c r="X14" s="53">
        <f>SUM(N14:N$63)/N$65</f>
        <v>0.38287748393347038</v>
      </c>
      <c r="Y14" s="53">
        <f>SUM(O14:O$63)/O$65</f>
        <v>0.35054362614217444</v>
      </c>
      <c r="Z14" s="53">
        <f>SUM(P14:P$63)/P$65</f>
        <v>0.46857755548091279</v>
      </c>
      <c r="AA14" s="53">
        <f>SUM(Q14:Q$63)/Q$65</f>
        <v>0.39505163267202864</v>
      </c>
    </row>
    <row r="15" spans="1:37" x14ac:dyDescent="0.2">
      <c r="A15" s="36">
        <f t="shared" si="1"/>
        <v>150000000</v>
      </c>
      <c r="B15" s="36">
        <f t="shared" si="0"/>
        <v>162.5</v>
      </c>
      <c r="C15" s="40">
        <f t="array" ref="C15">COUNT(IF(YEAR(date.2006)*(gross.us.2006&gt;=$A15)*(gross.us.2006&lt;$A16),gross.us.2006))</f>
        <v>1</v>
      </c>
      <c r="D15" s="40">
        <f t="array" ref="D15">COUNT(IF(YEAR(date.2007)*(gross.us.2007&gt;=$A15)*(gross.us.2007&lt;$A16),gross.us.2007))</f>
        <v>0</v>
      </c>
      <c r="E15" s="40">
        <f t="array" ref="E15">COUNT(IF(YEAR(date.2008)*(gross.us.2008&gt;=$A15)*(gross.us.2008&lt;$A16),gross.us.2008))</f>
        <v>2</v>
      </c>
      <c r="F15" s="40">
        <f t="array" ref="F15">COUNT(IF(YEAR(date.2009)*(gross.us.2009&gt;=$A15)*(gross.us.2009&lt;$A16),gross.us.2009))</f>
        <v>2</v>
      </c>
      <c r="G15" s="40">
        <f t="array" ref="G15">COUNT(IF(YEAR(date.2010)*(gross.us.2010&gt;=A15)*(gross.us.2010&lt;A16),gross.us.2010))</f>
        <v>2</v>
      </c>
      <c r="H15" s="39">
        <f>SUM(C15:C$45)</f>
        <v>11</v>
      </c>
      <c r="I15" s="39">
        <f>SUM(D15:D$45)</f>
        <v>13</v>
      </c>
      <c r="J15" s="39">
        <f>SUM(E15:E$45)</f>
        <v>11</v>
      </c>
      <c r="K15" s="39">
        <f>SUM(F15:F$45)</f>
        <v>17</v>
      </c>
      <c r="L15" s="39">
        <f>SUM(G15:G$45)</f>
        <v>15</v>
      </c>
      <c r="M15" s="36">
        <f t="array" ref="M15">SUM(IF(YEAR(date.2006)*(gross.us.2006&gt;=$A15)*(gross.us.2006&lt;$A16),gross.us.2006))</f>
        <v>155019340</v>
      </c>
      <c r="N15" s="36">
        <f t="array" ref="N15">SUM(IF(YEAR(date.2007)*(gross.us.2007&gt;=$A15)*(gross.us.2007&lt;$A16),gross.us.2007))</f>
        <v>0</v>
      </c>
      <c r="O15" s="36">
        <f t="array" ref="O15">SUM(IF(YEAR(date.2008)*(gross.us.2008&gt;=$A15)*(gross.us.2008&lt;$A16),gross.us.2008))</f>
        <v>307176697</v>
      </c>
      <c r="P15" s="36">
        <f t="array" ref="P15">SUM(IF(YEAR(date.2009)*(gross.us.2009&gt;=$A15)*(gross.us.2009&lt;$A16),gross.us.2009))</f>
        <v>305265763</v>
      </c>
      <c r="Q15" s="36">
        <f t="array" ref="Q15">SUM(IF(YEAR(date.2010)*(gross.us.2010&gt;=$A15)*(gross.us.2010&lt;$A16),gross.us.2010))</f>
        <v>317741687</v>
      </c>
      <c r="R15" s="53">
        <f>SUM(C15:C$63)/C$65</f>
        <v>1.8062397372742199E-2</v>
      </c>
      <c r="S15" s="53">
        <f>SUM(D15:D$63)/D$65</f>
        <v>2.0440251572327043E-2</v>
      </c>
      <c r="T15" s="53">
        <f>SUM(E15:E$63)/E$65</f>
        <v>1.7741935483870968E-2</v>
      </c>
      <c r="U15" s="53">
        <f>SUM(F15:F$63)/F$65</f>
        <v>3.272727272727273E-2</v>
      </c>
      <c r="V15" s="53">
        <f>SUM(G15:G$63)/G$65</f>
        <v>2.8301886792452831E-2</v>
      </c>
      <c r="W15" s="53">
        <f>SUM(M15:M$63)/M$65</f>
        <v>0.26521618461075486</v>
      </c>
      <c r="X15" s="53">
        <f>SUM(N15:N$63)/N$65</f>
        <v>0.33815687577212694</v>
      </c>
      <c r="Y15" s="53">
        <f>SUM(O15:O$63)/O$65</f>
        <v>0.27656688491118997</v>
      </c>
      <c r="Z15" s="53">
        <f>SUM(P15:P$63)/P$65</f>
        <v>0.42907014411283534</v>
      </c>
      <c r="AA15" s="53">
        <f>SUM(Q15:Q$63)/Q$65</f>
        <v>0.36575880623057944</v>
      </c>
    </row>
    <row r="16" spans="1:37" x14ac:dyDescent="0.2">
      <c r="A16" s="36">
        <f t="shared" si="1"/>
        <v>162500000</v>
      </c>
      <c r="B16" s="36">
        <f t="shared" si="0"/>
        <v>175</v>
      </c>
      <c r="C16" s="40">
        <f t="array" ref="C16">COUNT(IF(YEAR(date.2006)*(gross.us.2006&gt;=$A16)*(gross.us.2006&lt;$A17),gross.us.2006))</f>
        <v>2</v>
      </c>
      <c r="D16" s="40">
        <f t="array" ref="D16">COUNT(IF(YEAR(date.2007)*(gross.us.2007&gt;=$A16)*(gross.us.2007&lt;$A17),gross.us.2007))</f>
        <v>1</v>
      </c>
      <c r="E16" s="40">
        <f t="array" ref="E16">COUNT(IF(YEAR(date.2008)*(gross.us.2008&gt;=$A16)*(gross.us.2008&lt;$A17),gross.us.2008))</f>
        <v>1</v>
      </c>
      <c r="F16" s="40">
        <f t="array" ref="F16">COUNT(IF(YEAR(date.2009)*(gross.us.2009&gt;=$A16)*(gross.us.2009&lt;$A17),gross.us.2009))</f>
        <v>2</v>
      </c>
      <c r="G16" s="40">
        <f t="array" ref="G16">COUNT(IF(YEAR(date.2010)*(gross.us.2010&gt;=A16)*(gross.us.2010&lt;A17),gross.us.2010))</f>
        <v>2</v>
      </c>
      <c r="H16" s="39">
        <f>SUM(C16:C$45)</f>
        <v>10</v>
      </c>
      <c r="I16" s="39">
        <f>SUM(D16:D$45)</f>
        <v>13</v>
      </c>
      <c r="J16" s="39">
        <f>SUM(E16:E$45)</f>
        <v>9</v>
      </c>
      <c r="K16" s="39">
        <f>SUM(F16:F$45)</f>
        <v>15</v>
      </c>
      <c r="L16" s="39">
        <f>SUM(G16:G$45)</f>
        <v>13</v>
      </c>
      <c r="M16" s="36">
        <f t="array" ref="M16">SUM(IF(YEAR(date.2006)*(gross.us.2006&gt;=$A16)*(gross.us.2006&lt;$A17),gross.us.2006))</f>
        <v>329951036</v>
      </c>
      <c r="N16" s="36">
        <f t="array" ref="N16">SUM(IF(YEAR(date.2007)*(gross.us.2007&gt;=$A16)*(gross.us.2007&lt;$A17),gross.us.2007))</f>
        <v>168213584</v>
      </c>
      <c r="O16" s="36">
        <f t="array" ref="O16">SUM(IF(YEAR(date.2008)*(gross.us.2008&gt;=$A16)*(gross.us.2008&lt;$A17),gross.us.2008))</f>
        <v>169368427</v>
      </c>
      <c r="P16" s="36">
        <f t="array" ref="P16">SUM(IF(YEAR(date.2009)*(gross.us.2009&gt;=$A16)*(gross.us.2009&lt;$A17),gross.us.2009))</f>
        <v>330070198</v>
      </c>
      <c r="Q16" s="36">
        <f t="array" ref="Q16">SUM(IF(YEAR(date.2010)*(gross.us.2010&gt;=$A16)*(gross.us.2010&lt;$A17),gross.us.2010))</f>
        <v>331973126</v>
      </c>
      <c r="R16" s="53">
        <f>SUM(C16:C$63)/C$65</f>
        <v>1.6420361247947456E-2</v>
      </c>
      <c r="S16" s="53">
        <f>SUM(D16:D$63)/D$65</f>
        <v>2.0440251572327043E-2</v>
      </c>
      <c r="T16" s="53">
        <f>SUM(E16:E$63)/E$65</f>
        <v>1.4516129032258065E-2</v>
      </c>
      <c r="U16" s="53">
        <f>SUM(F16:F$63)/F$65</f>
        <v>2.9090909090909091E-2</v>
      </c>
      <c r="V16" s="53">
        <f>SUM(G16:G$63)/G$65</f>
        <v>2.4528301886792454E-2</v>
      </c>
      <c r="W16" s="53">
        <f>SUM(M16:M$63)/M$65</f>
        <v>0.24842538965324212</v>
      </c>
      <c r="X16" s="53">
        <f>SUM(N16:N$63)/N$65</f>
        <v>0.33815687577212694</v>
      </c>
      <c r="Y16" s="53">
        <f>SUM(O16:O$63)/O$65</f>
        <v>0.24493207851129728</v>
      </c>
      <c r="Z16" s="53">
        <f>SUM(P16:P$63)/P$65</f>
        <v>0.40097029338732137</v>
      </c>
      <c r="AA16" s="53">
        <f>SUM(Q16:Q$63)/Q$65</f>
        <v>0.33412491824410961</v>
      </c>
    </row>
    <row r="17" spans="1:27" x14ac:dyDescent="0.2">
      <c r="A17" s="36">
        <f t="shared" si="1"/>
        <v>175000000</v>
      </c>
      <c r="B17" s="36">
        <f t="shared" si="0"/>
        <v>187.5</v>
      </c>
      <c r="C17" s="40">
        <f t="array" ref="C17">COUNT(IF(YEAR(date.2006)*(gross.us.2006&gt;=$A17)*(gross.us.2006&lt;$A18),gross.us.2006))</f>
        <v>0</v>
      </c>
      <c r="D17" s="40">
        <f t="array" ref="D17">COUNT(IF(YEAR(date.2007)*(gross.us.2007&gt;=$A17)*(gross.us.2007&lt;$A18),gross.us.2007))</f>
        <v>1</v>
      </c>
      <c r="E17" s="40">
        <f t="array" ref="E17">COUNT(IF(YEAR(date.2008)*(gross.us.2008&gt;=$A17)*(gross.us.2008&lt;$A18),gross.us.2008))</f>
        <v>1</v>
      </c>
      <c r="F17" s="40">
        <f t="array" ref="F17">COUNT(IF(YEAR(date.2009)*(gross.us.2009&gt;=$A17)*(gross.us.2009&lt;$A18),gross.us.2009))</f>
        <v>2</v>
      </c>
      <c r="G17" s="40">
        <f t="array" ref="G17">COUNT(IF(YEAR(date.2010)*(gross.us.2010&gt;=A17)*(gross.us.2010&lt;A18),gross.us.2010))</f>
        <v>1</v>
      </c>
      <c r="H17" s="39">
        <f>SUM(C17:C$45)</f>
        <v>8</v>
      </c>
      <c r="I17" s="39">
        <f>SUM(D17:D$45)</f>
        <v>12</v>
      </c>
      <c r="J17" s="39">
        <f>SUM(E17:E$45)</f>
        <v>8</v>
      </c>
      <c r="K17" s="39">
        <f>SUM(F17:F$45)</f>
        <v>13</v>
      </c>
      <c r="L17" s="39">
        <f>SUM(G17:G$45)</f>
        <v>11</v>
      </c>
      <c r="M17" s="36">
        <f t="array" ref="M17">SUM(IF(YEAR(date.2006)*(gross.us.2006&gt;=$A17)*(gross.us.2006&lt;$A18),gross.us.2006))</f>
        <v>0</v>
      </c>
      <c r="N17" s="36">
        <f t="array" ref="N17">SUM(IF(YEAR(date.2007)*(gross.us.2007&gt;=$A17)*(gross.us.2007&lt;$A18),gross.us.2007))</f>
        <v>183135014</v>
      </c>
      <c r="O17" s="36">
        <f t="array" ref="O17">SUM(IF(YEAR(date.2008)*(gross.us.2008&gt;=$A17)*(gross.us.2008&lt;$A18),gross.us.2008))</f>
        <v>180010950</v>
      </c>
      <c r="P17" s="36">
        <f t="array" ref="P17">SUM(IF(YEAR(date.2009)*(gross.us.2009&gt;=$A17)*(gross.us.2009&lt;$A18),gross.us.2009))</f>
        <v>357126878</v>
      </c>
      <c r="Q17" s="36">
        <f t="array" ref="Q17">SUM(IF(YEAR(date.2010)*(gross.us.2010&gt;=$A17)*(gross.us.2010&lt;$A18),gross.us.2010))</f>
        <v>176591618</v>
      </c>
      <c r="R17" s="53">
        <f>SUM(C17:C$63)/C$65</f>
        <v>1.3136288998357963E-2</v>
      </c>
      <c r="S17" s="53">
        <f>SUM(D17:D$63)/D$65</f>
        <v>1.8867924528301886E-2</v>
      </c>
      <c r="T17" s="53">
        <f>SUM(E17:E$63)/E$65</f>
        <v>1.2903225806451613E-2</v>
      </c>
      <c r="U17" s="53">
        <f>SUM(F17:F$63)/F$65</f>
        <v>2.5454545454545455E-2</v>
      </c>
      <c r="V17" s="53">
        <f>SUM(G17:G$63)/G$65</f>
        <v>2.0754716981132074E-2</v>
      </c>
      <c r="W17" s="53">
        <f>SUM(M17:M$63)/M$65</f>
        <v>0.21268700893574646</v>
      </c>
      <c r="X17" s="53">
        <f>SUM(N17:N$63)/N$65</f>
        <v>0.32075884251856407</v>
      </c>
      <c r="Y17" s="53">
        <f>SUM(O17:O$63)/O$65</f>
        <v>0.22748955292023865</v>
      </c>
      <c r="Z17" s="53">
        <f>SUM(P17:P$63)/P$65</f>
        <v>0.37058718326848095</v>
      </c>
      <c r="AA17" s="53">
        <f>SUM(Q17:Q$63)/Q$65</f>
        <v>0.30107416943757281</v>
      </c>
    </row>
    <row r="18" spans="1:27" x14ac:dyDescent="0.2">
      <c r="A18" s="36">
        <f t="shared" si="1"/>
        <v>187500000</v>
      </c>
      <c r="B18" s="36">
        <f t="shared" si="0"/>
        <v>200</v>
      </c>
      <c r="C18" s="40">
        <f t="array" ref="C18">COUNT(IF(YEAR(date.2006)*(gross.us.2006&gt;=$A18)*(gross.us.2006&lt;$A19),gross.us.2006))</f>
        <v>2</v>
      </c>
      <c r="D18" s="40">
        <f t="array" ref="D18">COUNT(IF(YEAR(date.2007)*(gross.us.2007&gt;=$A18)*(gross.us.2007&lt;$A19),gross.us.2007))</f>
        <v>0</v>
      </c>
      <c r="E18" s="40">
        <f t="array" ref="E18">COUNT(IF(YEAR(date.2008)*(gross.us.2008&gt;=$A18)*(gross.us.2008&lt;$A19),gross.us.2008))</f>
        <v>1</v>
      </c>
      <c r="F18" s="40">
        <f t="array" ref="F18">COUNT(IF(YEAR(date.2009)*(gross.us.2009&gt;=$A18)*(gross.us.2009&lt;$A19),gross.us.2009))</f>
        <v>2</v>
      </c>
      <c r="G18" s="40">
        <f t="array" ref="G18">COUNT(IF(YEAR(date.2010)*(gross.us.2010&gt;=A18)*(gross.us.2010&lt;A19),gross.us.2010))</f>
        <v>1</v>
      </c>
      <c r="H18" s="39">
        <f>SUM(C18:C$45)</f>
        <v>8</v>
      </c>
      <c r="I18" s="39">
        <f>SUM(D18:D$45)</f>
        <v>11</v>
      </c>
      <c r="J18" s="39">
        <f>SUM(E18:E$45)</f>
        <v>7</v>
      </c>
      <c r="K18" s="39">
        <f>SUM(F18:F$45)</f>
        <v>11</v>
      </c>
      <c r="L18" s="39">
        <f>SUM(G18:G$45)</f>
        <v>10</v>
      </c>
      <c r="M18" s="36">
        <f t="array" ref="M18">SUM(IF(YEAR(date.2006)*(gross.us.2006&gt;=$A18)*(gross.us.2006&lt;$A19),gross.us.2006))</f>
        <v>393330938</v>
      </c>
      <c r="N18" s="36">
        <f t="array" ref="N18">SUM(IF(YEAR(date.2007)*(gross.us.2007&gt;=$A18)*(gross.us.2007&lt;$A19),gross.us.2007))</f>
        <v>0</v>
      </c>
      <c r="O18" s="36">
        <f t="array" ref="O18">SUM(IF(YEAR(date.2008)*(gross.us.2008&gt;=$A18)*(gross.us.2008&lt;$A19),gross.us.2008))</f>
        <v>192769854</v>
      </c>
      <c r="P18" s="36">
        <f t="array" ref="P18">SUM(IF(YEAR(date.2009)*(gross.us.2009&gt;=$A18)*(gross.us.2009&lt;$A19),gross.us.2009))</f>
        <v>394925231</v>
      </c>
      <c r="Q18" s="36">
        <f t="array" ref="Q18">SUM(IF(YEAR(date.2010)*(gross.us.2010&gt;=$A18)*(gross.us.2010&lt;$A19),gross.us.2010))</f>
        <v>192130000</v>
      </c>
      <c r="R18" s="53">
        <f>SUM(C18:C$63)/C$65</f>
        <v>1.3136288998357963E-2</v>
      </c>
      <c r="S18" s="53">
        <f>SUM(D18:D$63)/D$65</f>
        <v>1.7295597484276729E-2</v>
      </c>
      <c r="T18" s="53">
        <f>SUM(E18:E$63)/E$65</f>
        <v>1.1290322580645161E-2</v>
      </c>
      <c r="U18" s="53">
        <f>SUM(F18:F$63)/F$65</f>
        <v>2.181818181818182E-2</v>
      </c>
      <c r="V18" s="53">
        <f>SUM(G18:G$63)/G$65</f>
        <v>1.8867924528301886E-2</v>
      </c>
      <c r="W18" s="53">
        <f>SUM(M18:M$63)/M$65</f>
        <v>0.21268700893574646</v>
      </c>
      <c r="X18" s="53">
        <f>SUM(N18:N$63)/N$65</f>
        <v>0.30181751217116648</v>
      </c>
      <c r="Y18" s="53">
        <f>SUM(O18:O$63)/O$65</f>
        <v>0.20895099967474048</v>
      </c>
      <c r="Z18" s="53">
        <f>SUM(P18:P$63)/P$65</f>
        <v>0.33771349359149994</v>
      </c>
      <c r="AA18" s="53">
        <f>SUM(Q18:Q$63)/Q$65</f>
        <v>0.28349297159128117</v>
      </c>
    </row>
    <row r="19" spans="1:27" x14ac:dyDescent="0.2">
      <c r="A19" s="36">
        <f t="shared" si="1"/>
        <v>200000000</v>
      </c>
      <c r="B19" s="36">
        <f t="shared" si="0"/>
        <v>212.5</v>
      </c>
      <c r="C19" s="40">
        <f t="array" ref="C19">COUNT(IF(YEAR(date.2006)*(gross.us.2006&gt;=$A19)*(gross.us.2006&lt;$A20),gross.us.2006))</f>
        <v>1</v>
      </c>
      <c r="D19" s="40">
        <f t="array" ref="D19">COUNT(IF(YEAR(date.2007)*(gross.us.2007&gt;=$A19)*(gross.us.2007&lt;$A20),gross.us.2007))</f>
        <v>2</v>
      </c>
      <c r="E19" s="40">
        <f t="array" ref="E19">COUNT(IF(YEAR(date.2008)*(gross.us.2008&gt;=$A19)*(gross.us.2008&lt;$A20),gross.us.2008))</f>
        <v>0</v>
      </c>
      <c r="F19" s="40">
        <f t="array" ref="F19">COUNT(IF(YEAR(date.2009)*(gross.us.2009&gt;=$A19)*(gross.us.2009&lt;$A20),gross.us.2009))</f>
        <v>1</v>
      </c>
      <c r="G19" s="40">
        <f t="array" ref="G19">COUNT(IF(YEAR(date.2010)*(gross.us.2010&gt;=A19)*(gross.us.2010&lt;A20),gross.us.2010))</f>
        <v>0</v>
      </c>
      <c r="H19" s="39">
        <f>SUM(C19:C$45)</f>
        <v>6</v>
      </c>
      <c r="I19" s="39">
        <f>SUM(D19:D$45)</f>
        <v>11</v>
      </c>
      <c r="J19" s="39">
        <f>SUM(E19:E$45)</f>
        <v>6</v>
      </c>
      <c r="K19" s="39">
        <f>SUM(F19:F$45)</f>
        <v>9</v>
      </c>
      <c r="L19" s="39">
        <f>SUM(G19:G$45)</f>
        <v>9</v>
      </c>
      <c r="M19" s="36">
        <f t="array" ref="M19">SUM(IF(YEAR(date.2006)*(gross.us.2006&gt;=$A19)*(gross.us.2006&lt;$A20),gross.us.2006))</f>
        <v>200120000</v>
      </c>
      <c r="N19" s="36">
        <f t="array" ref="N19">SUM(IF(YEAR(date.2007)*(gross.us.2007&gt;=$A19)*(gross.us.2007&lt;$A20),gross.us.2007))</f>
        <v>417060593</v>
      </c>
      <c r="O19" s="36">
        <f t="array" ref="O19">SUM(IF(YEAR(date.2008)*(gross.us.2008&gt;=$A19)*(gross.us.2008&lt;$A20),gross.us.2008))</f>
        <v>0</v>
      </c>
      <c r="P19" s="36">
        <f t="array" ref="P19">SUM(IF(YEAR(date.2009)*(gross.us.2009&gt;=$A19)*(gross.us.2009&lt;$A20),gross.us.2009))</f>
        <v>209028679</v>
      </c>
      <c r="Q19" s="36">
        <f t="array" ref="Q19">SUM(IF(YEAR(date.2010)*(gross.us.2010&gt;=$A19)*(gross.us.2010&lt;$A20),gross.us.2010))</f>
        <v>0</v>
      </c>
      <c r="R19" s="53">
        <f>SUM(C19:C$63)/C$65</f>
        <v>9.852216748768473E-3</v>
      </c>
      <c r="S19" s="53">
        <f>SUM(D19:D$63)/D$65</f>
        <v>1.7295597484276729E-2</v>
      </c>
      <c r="T19" s="53">
        <f>SUM(E19:E$63)/E$65</f>
        <v>9.6774193548387101E-3</v>
      </c>
      <c r="U19" s="53">
        <f>SUM(F19:F$63)/F$65</f>
        <v>1.8181818181818181E-2</v>
      </c>
      <c r="V19" s="53">
        <f>SUM(G19:G$63)/G$65</f>
        <v>1.6981132075471698E-2</v>
      </c>
      <c r="W19" s="53">
        <f>SUM(M19:M$63)/M$65</f>
        <v>0.17008368518011599</v>
      </c>
      <c r="X19" s="53">
        <f>SUM(N19:N$63)/N$65</f>
        <v>0.30181751217116648</v>
      </c>
      <c r="Y19" s="53">
        <f>SUM(O19:O$63)/O$65</f>
        <v>0.18909846180131717</v>
      </c>
      <c r="Z19" s="53">
        <f>SUM(P19:P$63)/P$65</f>
        <v>0.30136044852748756</v>
      </c>
      <c r="AA19" s="53">
        <f>SUM(Q19:Q$63)/Q$65</f>
        <v>0.26436479563103821</v>
      </c>
    </row>
    <row r="20" spans="1:27" x14ac:dyDescent="0.2">
      <c r="A20" s="36">
        <f t="shared" si="1"/>
        <v>212500000</v>
      </c>
      <c r="B20" s="36">
        <f t="shared" si="0"/>
        <v>225</v>
      </c>
      <c r="C20" s="40">
        <f t="array" ref="C20">COUNT(IF(YEAR(date.2006)*(gross.us.2006&gt;=$A20)*(gross.us.2006&lt;$A21),gross.us.2006))</f>
        <v>1</v>
      </c>
      <c r="D20" s="40">
        <f t="array" ref="D20">COUNT(IF(YEAR(date.2007)*(gross.us.2007&gt;=$A20)*(gross.us.2007&lt;$A21),gross.us.2007))</f>
        <v>2</v>
      </c>
      <c r="E20" s="40">
        <f t="array" ref="E20">COUNT(IF(YEAR(date.2008)*(gross.us.2008&gt;=$A20)*(gross.us.2008&lt;$A21),gross.us.2008))</f>
        <v>2</v>
      </c>
      <c r="F20" s="40">
        <f t="array" ref="F20">COUNT(IF(YEAR(date.2009)*(gross.us.2009&gt;=$A20)*(gross.us.2009&lt;$A21),gross.us.2009))</f>
        <v>1</v>
      </c>
      <c r="G20" s="40">
        <f t="array" ref="G20">COUNT(IF(YEAR(date.2010)*(gross.us.2010&gt;=A20)*(gross.us.2010&lt;A21),gross.us.2010))</f>
        <v>1</v>
      </c>
      <c r="H20" s="39">
        <f>SUM(C20:C$45)</f>
        <v>5</v>
      </c>
      <c r="I20" s="39">
        <f>SUM(D20:D$45)</f>
        <v>9</v>
      </c>
      <c r="J20" s="39">
        <f>SUM(E20:E$45)</f>
        <v>6</v>
      </c>
      <c r="K20" s="39">
        <f>SUM(F20:F$45)</f>
        <v>8</v>
      </c>
      <c r="L20" s="39">
        <f>SUM(G20:G$45)</f>
        <v>9</v>
      </c>
      <c r="M20" s="36">
        <f t="array" ref="M20">SUM(IF(YEAR(date.2006)*(gross.us.2006&gt;=$A20)*(gross.us.2006&lt;$A21),gross.us.2006))</f>
        <v>217536138</v>
      </c>
      <c r="N20" s="36">
        <f t="array" ref="N20">SUM(IF(YEAR(date.2007)*(gross.us.2007&gt;=$A20)*(gross.us.2007&lt;$A21),gross.us.2007))</f>
        <v>437288475</v>
      </c>
      <c r="O20" s="36">
        <f t="array" ref="O20">SUM(IF(YEAR(date.2008)*(gross.us.2008&gt;=$A20)*(gross.us.2008&lt;$A21),gross.us.2008))</f>
        <v>439242755</v>
      </c>
      <c r="P20" s="36">
        <f t="array" ref="P20">SUM(IF(YEAR(date.2009)*(gross.us.2009&gt;=$A20)*(gross.us.2009&lt;$A21),gross.us.2009))</f>
        <v>219614612</v>
      </c>
      <c r="Q20" s="36">
        <f t="array" ref="Q20">SUM(IF(YEAR(date.2010)*(gross.us.2010&gt;=$A20)*(gross.us.2010&lt;$A21),gross.us.2010))</f>
        <v>217581231</v>
      </c>
      <c r="R20" s="53">
        <f>SUM(C20:C$63)/C$65</f>
        <v>8.2101806239737278E-3</v>
      </c>
      <c r="S20" s="53">
        <f>SUM(D20:D$63)/D$65</f>
        <v>1.4150943396226415E-2</v>
      </c>
      <c r="T20" s="53">
        <f>SUM(E20:E$63)/E$65</f>
        <v>9.6774193548387101E-3</v>
      </c>
      <c r="U20" s="53">
        <f>SUM(F20:F$63)/F$65</f>
        <v>1.6363636363636365E-2</v>
      </c>
      <c r="V20" s="53">
        <f>SUM(G20:G$63)/G$65</f>
        <v>1.6981132075471698E-2</v>
      </c>
      <c r="W20" s="53">
        <f>SUM(M20:M$63)/M$65</f>
        <v>0.14840784855935985</v>
      </c>
      <c r="X20" s="53">
        <f>SUM(N20:N$63)/N$65</f>
        <v>0.25868167323817837</v>
      </c>
      <c r="Y20" s="53">
        <f>SUM(O20:O$63)/O$65</f>
        <v>0.18909846180131717</v>
      </c>
      <c r="Z20" s="53">
        <f>SUM(P20:P$63)/P$65</f>
        <v>0.28211926465043624</v>
      </c>
      <c r="AA20" s="53">
        <f>SUM(Q20:Q$63)/Q$65</f>
        <v>0.26436479563103821</v>
      </c>
    </row>
    <row r="21" spans="1:27" x14ac:dyDescent="0.2">
      <c r="A21" s="36">
        <f t="shared" si="1"/>
        <v>225000000</v>
      </c>
      <c r="B21" s="36">
        <f t="shared" si="0"/>
        <v>237.5</v>
      </c>
      <c r="C21" s="40">
        <f t="array" ref="C21">COUNT(IF(YEAR(date.2006)*(gross.us.2006&gt;=$A21)*(gross.us.2006&lt;$A22),gross.us.2006))</f>
        <v>1</v>
      </c>
      <c r="D21" s="40">
        <f t="array" ref="D21">COUNT(IF(YEAR(date.2007)*(gross.us.2007&gt;=$A21)*(gross.us.2007&lt;$A22),gross.us.2007))</f>
        <v>1</v>
      </c>
      <c r="E21" s="40">
        <f t="array" ref="E21">COUNT(IF(YEAR(date.2008)*(gross.us.2008&gt;=$A21)*(gross.us.2008&lt;$A22),gross.us.2008))</f>
        <v>1</v>
      </c>
      <c r="F21" s="40">
        <f t="array" ref="F21">COUNT(IF(YEAR(date.2009)*(gross.us.2009&gt;=$A21)*(gross.us.2009&lt;$A22),gross.us.2009))</f>
        <v>0</v>
      </c>
      <c r="G21" s="40">
        <f t="array" ref="G21">COUNT(IF(YEAR(date.2010)*(gross.us.2010&gt;=A21)*(gross.us.2010&lt;A22),gross.us.2010))</f>
        <v>0</v>
      </c>
      <c r="H21" s="39">
        <f>SUM(C21:C$45)</f>
        <v>4</v>
      </c>
      <c r="I21" s="39">
        <f>SUM(D21:D$45)</f>
        <v>7</v>
      </c>
      <c r="J21" s="39">
        <f>SUM(E21:E$45)</f>
        <v>4</v>
      </c>
      <c r="K21" s="39">
        <f>SUM(F21:F$45)</f>
        <v>7</v>
      </c>
      <c r="L21" s="39">
        <f>SUM(G21:G$45)</f>
        <v>8</v>
      </c>
      <c r="M21" s="36">
        <f t="array" ref="M21">SUM(IF(YEAR(date.2006)*(gross.us.2006&gt;=$A21)*(gross.us.2006&lt;$A22),gross.us.2006))</f>
        <v>234362462</v>
      </c>
      <c r="N21" s="36">
        <f t="array" ref="N21">SUM(IF(YEAR(date.2007)*(gross.us.2007&gt;=$A21)*(gross.us.2007&lt;$A22),gross.us.2007))</f>
        <v>227471070</v>
      </c>
      <c r="O21" s="36">
        <f t="array" ref="O21">SUM(IF(YEAR(date.2008)*(gross.us.2008&gt;=$A21)*(gross.us.2008&lt;$A22),gross.us.2008))</f>
        <v>227946274</v>
      </c>
      <c r="P21" s="36">
        <f t="array" ref="P21">SUM(IF(YEAR(date.2009)*(gross.us.2009&gt;=$A21)*(gross.us.2009&lt;$A22),gross.us.2009))</f>
        <v>0</v>
      </c>
      <c r="Q21" s="36">
        <f t="array" ref="Q21">SUM(IF(YEAR(date.2010)*(gross.us.2010&gt;=$A21)*(gross.us.2010&lt;$A22),gross.us.2010))</f>
        <v>0</v>
      </c>
      <c r="R21" s="53">
        <f>SUM(C21:C$63)/C$65</f>
        <v>6.5681444991789817E-3</v>
      </c>
      <c r="S21" s="53">
        <f>SUM(D21:D$63)/D$65</f>
        <v>1.10062893081761E-2</v>
      </c>
      <c r="T21" s="53">
        <f>SUM(E21:E$63)/E$65</f>
        <v>6.4516129032258064E-3</v>
      </c>
      <c r="U21" s="53">
        <f>SUM(F21:F$63)/F$65</f>
        <v>1.4545454545454545E-2</v>
      </c>
      <c r="V21" s="53">
        <f>SUM(G21:G$63)/G$65</f>
        <v>1.509433962264151E-2</v>
      </c>
      <c r="W21" s="53">
        <f>SUM(M21:M$63)/M$65</f>
        <v>0.12484559697831715</v>
      </c>
      <c r="X21" s="53">
        <f>SUM(N21:N$63)/N$65</f>
        <v>0.21345370027346336</v>
      </c>
      <c r="Y21" s="53">
        <f>SUM(O21:O$63)/O$65</f>
        <v>0.14386274030067062</v>
      </c>
      <c r="Z21" s="53">
        <f>SUM(P21:P$63)/P$65</f>
        <v>0.26190364088151175</v>
      </c>
      <c r="AA21" s="53">
        <f>SUM(Q21:Q$63)/Q$65</f>
        <v>0.24270273310975429</v>
      </c>
    </row>
    <row r="22" spans="1:27" x14ac:dyDescent="0.2">
      <c r="A22" s="36">
        <f t="shared" si="1"/>
        <v>237500000</v>
      </c>
      <c r="B22" s="36">
        <f t="shared" si="0"/>
        <v>250</v>
      </c>
      <c r="C22" s="40">
        <f t="array" ref="C22">COUNT(IF(YEAR(date.2006)*(gross.us.2006&gt;=$A22)*(gross.us.2006&lt;$A23),gross.us.2006))</f>
        <v>1</v>
      </c>
      <c r="D22" s="40">
        <f t="array" ref="D22">COUNT(IF(YEAR(date.2007)*(gross.us.2007&gt;=$A22)*(gross.us.2007&lt;$A23),gross.us.2007))</f>
        <v>0</v>
      </c>
      <c r="E22" s="40">
        <f t="array" ref="E22">COUNT(IF(YEAR(date.2008)*(gross.us.2008&gt;=$A22)*(gross.us.2008&lt;$A23),gross.us.2008))</f>
        <v>0</v>
      </c>
      <c r="F22" s="40">
        <f t="array" ref="F22">COUNT(IF(YEAR(date.2009)*(gross.us.2009&gt;=$A22)*(gross.us.2009&lt;$A23),gross.us.2009))</f>
        <v>0</v>
      </c>
      <c r="G22" s="40">
        <f t="array" ref="G22">COUNT(IF(YEAR(date.2010)*(gross.us.2010&gt;=A22)*(gross.us.2010&lt;A23),gross.us.2010))</f>
        <v>1</v>
      </c>
      <c r="H22" s="39">
        <f>SUM(C22:C$45)</f>
        <v>3</v>
      </c>
      <c r="I22" s="39">
        <f>SUM(D22:D$45)</f>
        <v>6</v>
      </c>
      <c r="J22" s="39">
        <f>SUM(E22:E$45)</f>
        <v>3</v>
      </c>
      <c r="K22" s="39">
        <f>SUM(F22:F$45)</f>
        <v>7</v>
      </c>
      <c r="L22" s="39">
        <f>SUM(G22:G$45)</f>
        <v>8</v>
      </c>
      <c r="M22" s="36">
        <f t="array" ref="M22">SUM(IF(YEAR(date.2006)*(gross.us.2006&gt;=$A22)*(gross.us.2006&lt;$A23),gross.us.2006))</f>
        <v>244082982</v>
      </c>
      <c r="N22" s="36">
        <f t="array" ref="N22">SUM(IF(YEAR(date.2007)*(gross.us.2007&gt;=$A22)*(gross.us.2007&lt;$A23),gross.us.2007))</f>
        <v>0</v>
      </c>
      <c r="O22" s="36">
        <f t="array" ref="O22">SUM(IF(YEAR(date.2008)*(gross.us.2008&gt;=$A22)*(gross.us.2008&lt;$A23),gross.us.2008))</f>
        <v>0</v>
      </c>
      <c r="P22" s="36">
        <f t="array" ref="P22">SUM(IF(YEAR(date.2009)*(gross.us.2009&gt;=$A22)*(gross.us.2009&lt;$A23),gross.us.2009))</f>
        <v>0</v>
      </c>
      <c r="Q22" s="36">
        <f t="array" ref="Q22">SUM(IF(YEAR(date.2010)*(gross.us.2010&gt;=$A22)*(gross.us.2010&lt;$A23),gross.us.2010))</f>
        <v>238736787</v>
      </c>
      <c r="R22" s="53">
        <f>SUM(C22:C$63)/C$65</f>
        <v>4.9261083743842365E-3</v>
      </c>
      <c r="S22" s="53">
        <f>SUM(D22:D$63)/D$65</f>
        <v>9.433962264150943E-3</v>
      </c>
      <c r="T22" s="53">
        <f>SUM(E22:E$63)/E$65</f>
        <v>4.8387096774193551E-3</v>
      </c>
      <c r="U22" s="53">
        <f>SUM(F22:F$63)/F$65</f>
        <v>1.4545454545454545E-2</v>
      </c>
      <c r="V22" s="53">
        <f>SUM(G22:G$63)/G$65</f>
        <v>1.509433962264151E-2</v>
      </c>
      <c r="W22" s="53">
        <f>SUM(M22:M$63)/M$65</f>
        <v>9.9460815665354071E-2</v>
      </c>
      <c r="X22" s="53">
        <f>SUM(N22:N$63)/N$65</f>
        <v>0.18992677012920381</v>
      </c>
      <c r="Y22" s="53">
        <f>SUM(O22:O$63)/O$65</f>
        <v>0.12038753427758191</v>
      </c>
      <c r="Z22" s="53">
        <f>SUM(P22:P$63)/P$65</f>
        <v>0.26190364088151175</v>
      </c>
      <c r="AA22" s="53">
        <f>SUM(Q22:Q$63)/Q$65</f>
        <v>0.24270273310975429</v>
      </c>
    </row>
    <row r="23" spans="1:27" x14ac:dyDescent="0.2">
      <c r="A23" s="36">
        <f t="shared" si="1"/>
        <v>250000000</v>
      </c>
      <c r="B23" s="36">
        <f t="shared" si="0"/>
        <v>262.5</v>
      </c>
      <c r="C23" s="40">
        <f t="array" ref="C23">COUNT(IF(YEAR(date.2006)*(gross.us.2006&gt;=$A23)*(gross.us.2006&lt;$A24),gross.us.2006))</f>
        <v>1</v>
      </c>
      <c r="D23" s="40">
        <f t="array" ref="D23">COUNT(IF(YEAR(date.2007)*(gross.us.2007&gt;=$A23)*(gross.us.2007&lt;$A24),gross.us.2007))</f>
        <v>1</v>
      </c>
      <c r="E23" s="40">
        <f t="array" ref="E23">COUNT(IF(YEAR(date.2008)*(gross.us.2008&gt;=$A23)*(gross.us.2008&lt;$A24),gross.us.2008))</f>
        <v>0</v>
      </c>
      <c r="F23" s="40">
        <f t="array" ref="F23">COUNT(IF(YEAR(date.2009)*(gross.us.2009&gt;=$A23)*(gross.us.2009&lt;$A24),gross.us.2009))</f>
        <v>2</v>
      </c>
      <c r="G23" s="40">
        <f t="array" ref="G23">COUNT(IF(YEAR(date.2010)*(gross.us.2010&gt;=A23)*(gross.us.2010&lt;A24),gross.us.2010))</f>
        <v>1</v>
      </c>
      <c r="H23" s="39">
        <f>SUM(C23:C$45)</f>
        <v>2</v>
      </c>
      <c r="I23" s="39">
        <f>SUM(D23:D$45)</f>
        <v>6</v>
      </c>
      <c r="J23" s="39">
        <f>SUM(E23:E$45)</f>
        <v>3</v>
      </c>
      <c r="K23" s="39">
        <f>SUM(F23:F$45)</f>
        <v>7</v>
      </c>
      <c r="L23" s="39">
        <f>SUM(G23:G$45)</f>
        <v>7</v>
      </c>
      <c r="M23" s="36">
        <f t="array" ref="M23">SUM(IF(YEAR(date.2006)*(gross.us.2006&gt;=$A23)*(gross.us.2006&lt;$A24),gross.us.2006))</f>
        <v>250863268</v>
      </c>
      <c r="N23" s="36">
        <f t="array" ref="N23">SUM(IF(YEAR(date.2007)*(gross.us.2007&gt;=$A23)*(gross.us.2007&lt;$A24),gross.us.2007))</f>
        <v>256393010</v>
      </c>
      <c r="O23" s="36">
        <f t="array" ref="O23">SUM(IF(YEAR(date.2008)*(gross.us.2008&gt;=$A23)*(gross.us.2008&lt;$A24),gross.us.2008))</f>
        <v>0</v>
      </c>
      <c r="P23" s="36">
        <f t="array" ref="P23">SUM(IF(YEAR(date.2009)*(gross.us.2009&gt;=$A23)*(gross.us.2009&lt;$A24),gross.us.2009))</f>
        <v>513689494</v>
      </c>
      <c r="Q23" s="36">
        <f t="array" ref="Q23">SUM(IF(YEAR(date.2010)*(gross.us.2010&gt;=$A23)*(gross.us.2010&lt;$A24),gross.us.2010))</f>
        <v>251513985</v>
      </c>
      <c r="R23" s="53">
        <f>SUM(C23:C$63)/C$65</f>
        <v>3.2840722495894909E-3</v>
      </c>
      <c r="S23" s="53">
        <f>SUM(D23:D$63)/D$65</f>
        <v>9.433962264150943E-3</v>
      </c>
      <c r="T23" s="53">
        <f>SUM(E23:E$63)/E$65</f>
        <v>4.8387096774193551E-3</v>
      </c>
      <c r="U23" s="53">
        <f>SUM(F23:F$63)/F$65</f>
        <v>1.4545454545454545E-2</v>
      </c>
      <c r="V23" s="53">
        <f>SUM(G23:G$63)/G$65</f>
        <v>1.3207547169811321E-2</v>
      </c>
      <c r="W23" s="53">
        <f>SUM(M23:M$63)/M$65</f>
        <v>7.3023164057623879E-2</v>
      </c>
      <c r="X23" s="53">
        <f>SUM(N23:N$63)/N$65</f>
        <v>0.18992677012920381</v>
      </c>
      <c r="Y23" s="53">
        <f>SUM(O23:O$63)/O$65</f>
        <v>0.12038753427758191</v>
      </c>
      <c r="Z23" s="53">
        <f>SUM(P23:P$63)/P$65</f>
        <v>0.26190364088151175</v>
      </c>
      <c r="AA23" s="53">
        <f>SUM(Q23:Q$63)/Q$65</f>
        <v>0.21893445501721773</v>
      </c>
    </row>
    <row r="24" spans="1:27" x14ac:dyDescent="0.2">
      <c r="A24" s="36">
        <f t="shared" si="1"/>
        <v>262500000</v>
      </c>
      <c r="B24" s="36">
        <f t="shared" si="0"/>
        <v>275</v>
      </c>
      <c r="C24" s="40">
        <f t="array" ref="C24">COUNT(IF(YEAR(date.2006)*(gross.us.2006&gt;=$A24)*(gross.us.2006&lt;$A25),gross.us.2006))</f>
        <v>0</v>
      </c>
      <c r="D24" s="40">
        <f t="array" ref="D24">COUNT(IF(YEAR(date.2007)*(gross.us.2007&gt;=$A24)*(gross.us.2007&lt;$A25),gross.us.2007))</f>
        <v>0</v>
      </c>
      <c r="E24" s="40">
        <f t="array" ref="E24">COUNT(IF(YEAR(date.2008)*(gross.us.2008&gt;=$A24)*(gross.us.2008&lt;$A25),gross.us.2008))</f>
        <v>0</v>
      </c>
      <c r="F24" s="40">
        <f t="array" ref="F24">COUNT(IF(YEAR(date.2009)*(gross.us.2009&gt;=$A24)*(gross.us.2009&lt;$A25),gross.us.2009))</f>
        <v>0</v>
      </c>
      <c r="G24" s="40">
        <f t="array" ref="G24">COUNT(IF(YEAR(date.2010)*(gross.us.2010&gt;=A24)*(gross.us.2010&lt;A25),gross.us.2010))</f>
        <v>0</v>
      </c>
      <c r="H24" s="39">
        <f>SUM(C24:C$45)</f>
        <v>1</v>
      </c>
      <c r="I24" s="39">
        <f>SUM(D24:D$45)</f>
        <v>5</v>
      </c>
      <c r="J24" s="39">
        <f>SUM(E24:E$45)</f>
        <v>3</v>
      </c>
      <c r="K24" s="39">
        <f>SUM(F24:F$45)</f>
        <v>5</v>
      </c>
      <c r="L24" s="39">
        <f>SUM(G24:G$45)</f>
        <v>6</v>
      </c>
      <c r="M24" s="36">
        <f t="array" ref="M24">SUM(IF(YEAR(date.2006)*(gross.us.2006&gt;=$A24)*(gross.us.2006&lt;$A25),gross.us.2006))</f>
        <v>0</v>
      </c>
      <c r="N24" s="36">
        <f t="array" ref="N24">SUM(IF(YEAR(date.2007)*(gross.us.2007&gt;=$A24)*(gross.us.2007&lt;$A25),gross.us.2007))</f>
        <v>0</v>
      </c>
      <c r="O24" s="36">
        <f t="array" ref="O24">SUM(IF(YEAR(date.2008)*(gross.us.2008&gt;=$A24)*(gross.us.2008&lt;$A25),gross.us.2008))</f>
        <v>0</v>
      </c>
      <c r="P24" s="36">
        <f t="array" ref="P24">SUM(IF(YEAR(date.2009)*(gross.us.2009&gt;=$A24)*(gross.us.2009&lt;$A25),gross.us.2009))</f>
        <v>0</v>
      </c>
      <c r="Q24" s="36">
        <f t="array" ref="Q24">SUM(IF(YEAR(date.2010)*(gross.us.2010&gt;=$A24)*(gross.us.2010&lt;$A25),gross.us.2010))</f>
        <v>0</v>
      </c>
      <c r="R24" s="53">
        <f>SUM(C24:C$63)/C$65</f>
        <v>1.6420361247947454E-3</v>
      </c>
      <c r="S24" s="53">
        <f>SUM(D24:D$63)/D$65</f>
        <v>7.8616352201257862E-3</v>
      </c>
      <c r="T24" s="53">
        <f>SUM(E24:E$63)/E$65</f>
        <v>4.8387096774193551E-3</v>
      </c>
      <c r="U24" s="53">
        <f>SUM(F24:F$63)/F$65</f>
        <v>1.090909090909091E-2</v>
      </c>
      <c r="V24" s="53">
        <f>SUM(G24:G$63)/G$65</f>
        <v>1.1320754716981131E-2</v>
      </c>
      <c r="W24" s="53">
        <f>SUM(M24:M$63)/M$65</f>
        <v>4.5851111232733992E-2</v>
      </c>
      <c r="X24" s="53">
        <f>SUM(N24:N$63)/N$65</f>
        <v>0.16340849492283824</v>
      </c>
      <c r="Y24" s="53">
        <f>SUM(O24:O$63)/O$65</f>
        <v>0.12038753427758191</v>
      </c>
      <c r="Z24" s="53">
        <f>SUM(P24:P$63)/P$65</f>
        <v>0.21461829201431895</v>
      </c>
      <c r="AA24" s="53">
        <f>SUM(Q24:Q$63)/Q$65</f>
        <v>0.19389409816747061</v>
      </c>
    </row>
    <row r="25" spans="1:27" x14ac:dyDescent="0.2">
      <c r="A25" s="36">
        <f t="shared" si="1"/>
        <v>275000000</v>
      </c>
      <c r="B25" s="36">
        <f t="shared" si="0"/>
        <v>287.5</v>
      </c>
      <c r="C25" s="40">
        <f t="array" ref="C25">COUNT(IF(YEAR(date.2006)*(gross.us.2006&gt;=$A25)*(gross.us.2006&lt;$A26),gross.us.2006))</f>
        <v>0</v>
      </c>
      <c r="D25" s="40">
        <f t="array" ref="D25">COUNT(IF(YEAR(date.2007)*(gross.us.2007&gt;=$A25)*(gross.us.2007&lt;$A26),gross.us.2007))</f>
        <v>0</v>
      </c>
      <c r="E25" s="40">
        <f t="array" ref="E25">COUNT(IF(YEAR(date.2008)*(gross.us.2008&gt;=$A25)*(gross.us.2008&lt;$A26),gross.us.2008))</f>
        <v>0</v>
      </c>
      <c r="F25" s="40">
        <f t="array" ref="F25">COUNT(IF(YEAR(date.2009)*(gross.us.2009&gt;=$A25)*(gross.us.2009&lt;$A26),gross.us.2009))</f>
        <v>1</v>
      </c>
      <c r="G25" s="40">
        <f t="array" ref="G25">COUNT(IF(YEAR(date.2010)*(gross.us.2010&gt;=A25)*(gross.us.2010&lt;A26),gross.us.2010))</f>
        <v>0</v>
      </c>
      <c r="H25" s="39">
        <f>SUM(C25:C$45)</f>
        <v>1</v>
      </c>
      <c r="I25" s="39">
        <f>SUM(D25:D$45)</f>
        <v>5</v>
      </c>
      <c r="J25" s="39">
        <f>SUM(E25:E$45)</f>
        <v>3</v>
      </c>
      <c r="K25" s="39">
        <f>SUM(F25:F$45)</f>
        <v>5</v>
      </c>
      <c r="L25" s="39">
        <f>SUM(G25:G$45)</f>
        <v>6</v>
      </c>
      <c r="M25" s="36">
        <f t="array" ref="M25">SUM(IF(YEAR(date.2006)*(gross.us.2006&gt;=$A25)*(gross.us.2006&lt;$A26),gross.us.2006))</f>
        <v>0</v>
      </c>
      <c r="N25" s="36">
        <f t="array" ref="N25">SUM(IF(YEAR(date.2007)*(gross.us.2007&gt;=$A25)*(gross.us.2007&lt;$A26),gross.us.2007))</f>
        <v>0</v>
      </c>
      <c r="O25" s="36">
        <f t="array" ref="O25">SUM(IF(YEAR(date.2008)*(gross.us.2008&gt;=$A25)*(gross.us.2008&lt;$A26),gross.us.2008))</f>
        <v>0</v>
      </c>
      <c r="P25" s="36">
        <f t="array" ref="P25">SUM(IF(YEAR(date.2009)*(gross.us.2009&gt;=$A25)*(gross.us.2009&lt;$A26),gross.us.2009))</f>
        <v>277322503</v>
      </c>
      <c r="Q25" s="36">
        <f t="array" ref="Q25">SUM(IF(YEAR(date.2010)*(gross.us.2010&gt;=$A25)*(gross.us.2010&lt;$A26),gross.us.2010))</f>
        <v>0</v>
      </c>
      <c r="R25" s="53">
        <f>SUM(C25:C$63)/C$65</f>
        <v>1.6420361247947454E-3</v>
      </c>
      <c r="S25" s="53">
        <f>SUM(D25:D$63)/D$65</f>
        <v>7.8616352201257862E-3</v>
      </c>
      <c r="T25" s="53">
        <f>SUM(E25:E$63)/E$65</f>
        <v>4.8387096774193551E-3</v>
      </c>
      <c r="U25" s="53">
        <f>SUM(F25:F$63)/F$65</f>
        <v>1.090909090909091E-2</v>
      </c>
      <c r="V25" s="53">
        <f>SUM(G25:G$63)/G$65</f>
        <v>1.1320754716981131E-2</v>
      </c>
      <c r="W25" s="53">
        <f>SUM(M25:M$63)/M$65</f>
        <v>4.5851111232733992E-2</v>
      </c>
      <c r="X25" s="53">
        <f>SUM(N25:N$63)/N$65</f>
        <v>0.16340849492283824</v>
      </c>
      <c r="Y25" s="53">
        <f>SUM(O25:O$63)/O$65</f>
        <v>0.12038753427758191</v>
      </c>
      <c r="Z25" s="53">
        <f>SUM(P25:P$63)/P$65</f>
        <v>0.21461829201431895</v>
      </c>
      <c r="AA25" s="53">
        <f>SUM(Q25:Q$63)/Q$65</f>
        <v>0.19389409816747061</v>
      </c>
    </row>
    <row r="26" spans="1:27" x14ac:dyDescent="0.2">
      <c r="A26" s="36">
        <f t="shared" si="1"/>
        <v>287500000</v>
      </c>
      <c r="B26" s="36">
        <f t="shared" si="0"/>
        <v>300</v>
      </c>
      <c r="C26" s="40">
        <f t="array" ref="C26">COUNT(IF(YEAR(date.2006)*(gross.us.2006&gt;=$A26)*(gross.us.2006&lt;$A27),gross.us.2006))</f>
        <v>0</v>
      </c>
      <c r="D26" s="40">
        <f t="array" ref="D26">COUNT(IF(YEAR(date.2007)*(gross.us.2007&gt;=$A26)*(gross.us.2007&lt;$A27),gross.us.2007))</f>
        <v>1</v>
      </c>
      <c r="E26" s="40">
        <f t="array" ref="E26">COUNT(IF(YEAR(date.2008)*(gross.us.2008&gt;=$A26)*(gross.us.2008&lt;$A27),gross.us.2008))</f>
        <v>0</v>
      </c>
      <c r="F26" s="40">
        <f t="array" ref="F26">COUNT(IF(YEAR(date.2009)*(gross.us.2009&gt;=$A26)*(gross.us.2009&lt;$A27),gross.us.2009))</f>
        <v>2</v>
      </c>
      <c r="G26" s="40">
        <f t="array" ref="G26">COUNT(IF(YEAR(date.2010)*(gross.us.2010&gt;=A26)*(gross.us.2010&lt;A27),gross.us.2010))</f>
        <v>2</v>
      </c>
      <c r="H26" s="39">
        <f>SUM(C26:C$45)</f>
        <v>1</v>
      </c>
      <c r="I26" s="39">
        <f>SUM(D26:D$45)</f>
        <v>5</v>
      </c>
      <c r="J26" s="39">
        <f>SUM(E26:E$45)</f>
        <v>3</v>
      </c>
      <c r="K26" s="39">
        <f>SUM(F26:F$45)</f>
        <v>4</v>
      </c>
      <c r="L26" s="39">
        <f>SUM(G26:G$45)</f>
        <v>6</v>
      </c>
      <c r="M26" s="36">
        <f t="array" ref="M26">SUM(IF(YEAR(date.2006)*(gross.us.2006&gt;=$A26)*(gross.us.2006&lt;$A27),gross.us.2006))</f>
        <v>0</v>
      </c>
      <c r="N26" s="36">
        <f t="array" ref="N26">SUM(IF(YEAR(date.2007)*(gross.us.2007&gt;=$A26)*(gross.us.2007&lt;$A27),gross.us.2007))</f>
        <v>292004738</v>
      </c>
      <c r="O26" s="36">
        <f t="array" ref="O26">SUM(IF(YEAR(date.2008)*(gross.us.2008&gt;=$A26)*(gross.us.2008&lt;$A27),gross.us.2008))</f>
        <v>0</v>
      </c>
      <c r="P26" s="36">
        <f t="array" ref="P26">SUM(IF(YEAR(date.2009)*(gross.us.2009&gt;=$A26)*(gross.us.2009&lt;$A27),gross.us.2009))</f>
        <v>589627798</v>
      </c>
      <c r="Q26" s="36">
        <f t="array" ref="Q26">SUM(IF(YEAR(date.2010)*(gross.us.2010&gt;=$A26)*(gross.us.2010&lt;$A27),gross.us.2010))</f>
        <v>585398541</v>
      </c>
      <c r="R26" s="53">
        <f>SUM(C26:C$63)/C$65</f>
        <v>1.6420361247947454E-3</v>
      </c>
      <c r="S26" s="53">
        <f>SUM(D26:D$63)/D$65</f>
        <v>7.8616352201257862E-3</v>
      </c>
      <c r="T26" s="53">
        <f>SUM(E26:E$63)/E$65</f>
        <v>4.8387096774193551E-3</v>
      </c>
      <c r="U26" s="53">
        <f>SUM(F26:F$63)/F$65</f>
        <v>9.0909090909090905E-3</v>
      </c>
      <c r="V26" s="53">
        <f>SUM(G26:G$63)/G$65</f>
        <v>1.1320754716981131E-2</v>
      </c>
      <c r="W26" s="53">
        <f>SUM(M26:M$63)/M$65</f>
        <v>4.5851111232733992E-2</v>
      </c>
      <c r="X26" s="53">
        <f>SUM(N26:N$63)/N$65</f>
        <v>0.16340849492283824</v>
      </c>
      <c r="Y26" s="53">
        <f>SUM(O26:O$63)/O$65</f>
        <v>0.12038753427758191</v>
      </c>
      <c r="Z26" s="53">
        <f>SUM(P26:P$63)/P$65</f>
        <v>0.18909063093453418</v>
      </c>
      <c r="AA26" s="53">
        <f>SUM(Q26:Q$63)/Q$65</f>
        <v>0.19389409816747061</v>
      </c>
    </row>
    <row r="27" spans="1:27" x14ac:dyDescent="0.2">
      <c r="A27" s="36">
        <f t="shared" si="1"/>
        <v>300000000</v>
      </c>
      <c r="B27" s="36">
        <f t="shared" si="0"/>
        <v>312.5</v>
      </c>
      <c r="C27" s="40">
        <f t="array" ref="C27">COUNT(IF(YEAR(date.2006)*(gross.us.2006&gt;=$A27)*(gross.us.2006&lt;$A28),gross.us.2006))</f>
        <v>0</v>
      </c>
      <c r="D27" s="40">
        <f t="array" ref="D27">COUNT(IF(YEAR(date.2007)*(gross.us.2007&gt;=$A27)*(gross.us.2007&lt;$A28),gross.us.2007))</f>
        <v>1</v>
      </c>
      <c r="E27" s="40">
        <f t="array" ref="E27">COUNT(IF(YEAR(date.2008)*(gross.us.2008&gt;=$A27)*(gross.us.2008&lt;$A28),gross.us.2008))</f>
        <v>0</v>
      </c>
      <c r="F27" s="40">
        <f t="array" ref="F27">COUNT(IF(YEAR(date.2009)*(gross.us.2009&gt;=$A27)*(gross.us.2009&lt;$A28),gross.us.2009))</f>
        <v>1</v>
      </c>
      <c r="G27" s="40">
        <f t="array" ref="G27">COUNT(IF(YEAR(date.2010)*(gross.us.2010&gt;=A27)*(gross.us.2010&lt;A28),gross.us.2010))</f>
        <v>2</v>
      </c>
      <c r="H27" s="39">
        <f>SUM(C27:C$45)</f>
        <v>1</v>
      </c>
      <c r="I27" s="39">
        <f>SUM(D27:D$45)</f>
        <v>4</v>
      </c>
      <c r="J27" s="39">
        <f>SUM(E27:E$45)</f>
        <v>3</v>
      </c>
      <c r="K27" s="39">
        <f>SUM(F27:F$45)</f>
        <v>2</v>
      </c>
      <c r="L27" s="39">
        <f>SUM(G27:G$45)</f>
        <v>4</v>
      </c>
      <c r="M27" s="36">
        <f t="array" ref="M27">SUM(IF(YEAR(date.2006)*(gross.us.2006&gt;=$A27)*(gross.us.2006&lt;$A28),gross.us.2006))</f>
        <v>0</v>
      </c>
      <c r="N27" s="36">
        <f t="array" ref="N27">SUM(IF(YEAR(date.2007)*(gross.us.2007&gt;=$A27)*(gross.us.2007&lt;$A28),gross.us.2007))</f>
        <v>309420425</v>
      </c>
      <c r="O27" s="36">
        <f t="array" ref="O27">SUM(IF(YEAR(date.2008)*(gross.us.2008&gt;=$A27)*(gross.us.2008&lt;$A28),gross.us.2008))</f>
        <v>0</v>
      </c>
      <c r="P27" s="36">
        <f t="array" ref="P27">SUM(IF(YEAR(date.2009)*(gross.us.2009&gt;=$A27)*(gross.us.2009&lt;$A28),gross.us.2009))</f>
        <v>301959197</v>
      </c>
      <c r="Q27" s="36">
        <f t="array" ref="Q27">SUM(IF(YEAR(date.2010)*(gross.us.2010&gt;=$A27)*(gross.us.2010&lt;$A28),gross.us.2010))</f>
        <v>612965082</v>
      </c>
      <c r="R27" s="53">
        <f>SUM(C27:C$63)/C$65</f>
        <v>1.6420361247947454E-3</v>
      </c>
      <c r="S27" s="53">
        <f>SUM(D27:D$63)/D$65</f>
        <v>6.2893081761006293E-3</v>
      </c>
      <c r="T27" s="53">
        <f>SUM(E27:E$63)/E$65</f>
        <v>4.8387096774193551E-3</v>
      </c>
      <c r="U27" s="53">
        <f>SUM(F27:F$63)/F$65</f>
        <v>5.454545454545455E-3</v>
      </c>
      <c r="V27" s="53">
        <f>SUM(G27:G$63)/G$65</f>
        <v>7.5471698113207548E-3</v>
      </c>
      <c r="W27" s="53">
        <f>SUM(M27:M$63)/M$65</f>
        <v>4.5851111232733992E-2</v>
      </c>
      <c r="X27" s="53">
        <f>SUM(N27:N$63)/N$65</f>
        <v>0.13320696172251165</v>
      </c>
      <c r="Y27" s="53">
        <f>SUM(O27:O$63)/O$65</f>
        <v>0.12038753427758191</v>
      </c>
      <c r="Z27" s="53">
        <f>SUM(P27:P$63)/P$65</f>
        <v>0.13481512704380311</v>
      </c>
      <c r="AA27" s="53">
        <f>SUM(Q27:Q$63)/Q$65</f>
        <v>0.13561269339404888</v>
      </c>
    </row>
    <row r="28" spans="1:27" x14ac:dyDescent="0.2">
      <c r="A28" s="36">
        <f t="shared" si="1"/>
        <v>312500000</v>
      </c>
      <c r="B28" s="36">
        <f t="shared" si="0"/>
        <v>325</v>
      </c>
      <c r="C28" s="40">
        <f t="array" ref="C28">COUNT(IF(YEAR(date.2006)*(gross.us.2006&gt;=$A28)*(gross.us.2006&lt;$A29),gross.us.2006))</f>
        <v>0</v>
      </c>
      <c r="D28" s="40">
        <f t="array" ref="D28">COUNT(IF(YEAR(date.2007)*(gross.us.2007&gt;=$A28)*(gross.us.2007&lt;$A29),gross.us.2007))</f>
        <v>2</v>
      </c>
      <c r="E28" s="40">
        <f t="array" ref="E28">COUNT(IF(YEAR(date.2008)*(gross.us.2008&gt;=$A28)*(gross.us.2008&lt;$A29),gross.us.2008))</f>
        <v>2</v>
      </c>
      <c r="F28" s="40">
        <f t="array" ref="F28">COUNT(IF(YEAR(date.2009)*(gross.us.2009&gt;=$A28)*(gross.us.2009&lt;$A29),gross.us.2009))</f>
        <v>0</v>
      </c>
      <c r="G28" s="40">
        <f t="array" ref="G28">COUNT(IF(YEAR(date.2010)*(gross.us.2010&gt;=A28)*(gross.us.2010&lt;A29),gross.us.2010))</f>
        <v>0</v>
      </c>
      <c r="H28" s="39">
        <f>SUM(C28:C$45)</f>
        <v>1</v>
      </c>
      <c r="I28" s="39">
        <f>SUM(D28:D$45)</f>
        <v>3</v>
      </c>
      <c r="J28" s="39">
        <f>SUM(E28:E$45)</f>
        <v>3</v>
      </c>
      <c r="K28" s="39">
        <f>SUM(F28:F$45)</f>
        <v>1</v>
      </c>
      <c r="L28" s="39">
        <f>SUM(G28:G$45)</f>
        <v>2</v>
      </c>
      <c r="M28" s="36">
        <f t="array" ref="M28">SUM(IF(YEAR(date.2006)*(gross.us.2006&gt;=$A28)*(gross.us.2006&lt;$A29),gross.us.2006))</f>
        <v>0</v>
      </c>
      <c r="N28" s="36">
        <f t="array" ref="N28">SUM(IF(YEAR(date.2007)*(gross.us.2007&gt;=$A28)*(gross.us.2007&lt;$A29),gross.us.2007))</f>
        <v>641966137</v>
      </c>
      <c r="O28" s="36">
        <f t="array" ref="O28">SUM(IF(YEAR(date.2008)*(gross.us.2008&gt;=$A28)*(gross.us.2008&lt;$A29),gross.us.2008))</f>
        <v>635627977</v>
      </c>
      <c r="P28" s="36">
        <f t="array" ref="P28">SUM(IF(YEAR(date.2009)*(gross.us.2009&gt;=$A28)*(gross.us.2009&lt;$A29),gross.us.2009))</f>
        <v>0</v>
      </c>
      <c r="Q28" s="36">
        <f t="array" ref="Q28">SUM(IF(YEAR(date.2010)*(gross.us.2010&gt;=$A28)*(gross.us.2010&lt;$A29),gross.us.2010))</f>
        <v>0</v>
      </c>
      <c r="R28" s="53">
        <f>SUM(C28:C$63)/C$65</f>
        <v>1.6420361247947454E-3</v>
      </c>
      <c r="S28" s="53">
        <f>SUM(D28:D$63)/D$65</f>
        <v>4.7169811320754715E-3</v>
      </c>
      <c r="T28" s="53">
        <f>SUM(E28:E$63)/E$65</f>
        <v>4.8387096774193551E-3</v>
      </c>
      <c r="U28" s="53">
        <f>SUM(F28:F$63)/F$65</f>
        <v>3.6363636363636364E-3</v>
      </c>
      <c r="V28" s="53">
        <f>SUM(G28:G$63)/G$65</f>
        <v>3.7735849056603774E-3</v>
      </c>
      <c r="W28" s="53">
        <f>SUM(M28:M$63)/M$65</f>
        <v>4.5851111232733992E-2</v>
      </c>
      <c r="X28" s="53">
        <f>SUM(N28:N$63)/N$65</f>
        <v>0.10120415484169774</v>
      </c>
      <c r="Y28" s="53">
        <f>SUM(O28:O$63)/O$65</f>
        <v>0.12038753427758191</v>
      </c>
      <c r="Z28" s="53">
        <f>SUM(P28:P$63)/P$65</f>
        <v>0.10701964720515489</v>
      </c>
      <c r="AA28" s="53">
        <f>SUM(Q28:Q$63)/Q$65</f>
        <v>7.458680495403032E-2</v>
      </c>
    </row>
    <row r="29" spans="1:27" x14ac:dyDescent="0.2">
      <c r="A29" s="36">
        <f t="shared" si="1"/>
        <v>325000000</v>
      </c>
      <c r="B29" s="36">
        <f t="shared" si="0"/>
        <v>337.5</v>
      </c>
      <c r="C29" s="40">
        <f t="array" ref="C29">COUNT(IF(YEAR(date.2006)*(gross.us.2006&gt;=$A29)*(gross.us.2006&lt;$A30),gross.us.2006))</f>
        <v>0</v>
      </c>
      <c r="D29" s="40">
        <f t="array" ref="D29">COUNT(IF(YEAR(date.2007)*(gross.us.2007&gt;=$A29)*(gross.us.2007&lt;$A30),gross.us.2007))</f>
        <v>1</v>
      </c>
      <c r="E29" s="40">
        <f t="array" ref="E29">COUNT(IF(YEAR(date.2008)*(gross.us.2008&gt;=$A29)*(gross.us.2008&lt;$A30),gross.us.2008))</f>
        <v>0</v>
      </c>
      <c r="F29" s="40">
        <f t="array" ref="F29">COUNT(IF(YEAR(date.2009)*(gross.us.2009&gt;=$A29)*(gross.us.2009&lt;$A30),gross.us.2009))</f>
        <v>0</v>
      </c>
      <c r="G29" s="40">
        <f t="array" ref="G29">COUNT(IF(YEAR(date.2010)*(gross.us.2010&gt;=A29)*(gross.us.2010&lt;A30),gross.us.2010))</f>
        <v>1</v>
      </c>
      <c r="H29" s="39">
        <f>SUM(C29:C$45)</f>
        <v>1</v>
      </c>
      <c r="I29" s="39">
        <f>SUM(D29:D$45)</f>
        <v>1</v>
      </c>
      <c r="J29" s="39">
        <f>SUM(E29:E$45)</f>
        <v>1</v>
      </c>
      <c r="K29" s="39">
        <f>SUM(F29:F$45)</f>
        <v>1</v>
      </c>
      <c r="L29" s="39">
        <f>SUM(G29:G$45)</f>
        <v>2</v>
      </c>
      <c r="M29" s="36">
        <f t="array" ref="M29">SUM(IF(YEAR(date.2006)*(gross.us.2006&gt;=$A29)*(gross.us.2006&lt;$A30),gross.us.2006))</f>
        <v>0</v>
      </c>
      <c r="N29" s="36">
        <f t="array" ref="N29">SUM(IF(YEAR(date.2007)*(gross.us.2007&gt;=$A29)*(gross.us.2007&lt;$A30),gross.us.2007))</f>
        <v>336530303</v>
      </c>
      <c r="O29" s="36">
        <f t="array" ref="O29">SUM(IF(YEAR(date.2008)*(gross.us.2008&gt;=$A29)*(gross.us.2008&lt;$A30),gross.us.2008))</f>
        <v>0</v>
      </c>
      <c r="P29" s="36">
        <f t="array" ref="P29">SUM(IF(YEAR(date.2009)*(gross.us.2009&gt;=$A29)*(gross.us.2009&lt;$A30),gross.us.2009))</f>
        <v>0</v>
      </c>
      <c r="Q29" s="36">
        <f t="array" ref="Q29">SUM(IF(YEAR(date.2010)*(gross.us.2010&gt;=$A29)*(gross.us.2010&lt;$A30),gross.us.2010))</f>
        <v>334191110</v>
      </c>
      <c r="R29" s="53">
        <f>SUM(C29:C$63)/C$65</f>
        <v>1.6420361247947454E-3</v>
      </c>
      <c r="S29" s="53">
        <f>SUM(D29:D$63)/D$65</f>
        <v>1.5723270440251573E-3</v>
      </c>
      <c r="T29" s="53">
        <f>SUM(E29:E$63)/E$65</f>
        <v>1.6129032258064516E-3</v>
      </c>
      <c r="U29" s="53">
        <f>SUM(F29:F$63)/F$65</f>
        <v>3.6363636363636364E-3</v>
      </c>
      <c r="V29" s="53">
        <f>SUM(G29:G$63)/G$65</f>
        <v>3.7735849056603774E-3</v>
      </c>
      <c r="W29" s="53">
        <f>SUM(M29:M$63)/M$65</f>
        <v>4.5851111232733992E-2</v>
      </c>
      <c r="X29" s="53">
        <f>SUM(N29:N$63)/N$65</f>
        <v>3.4806733577625953E-2</v>
      </c>
      <c r="Y29" s="53">
        <f>SUM(O29:O$63)/O$65</f>
        <v>5.4926943708270469E-2</v>
      </c>
      <c r="Z29" s="53">
        <f>SUM(P29:P$63)/P$65</f>
        <v>0.10701964720515489</v>
      </c>
      <c r="AA29" s="53">
        <f>SUM(Q29:Q$63)/Q$65</f>
        <v>7.458680495403032E-2</v>
      </c>
    </row>
    <row r="30" spans="1:27" x14ac:dyDescent="0.2">
      <c r="A30" s="36">
        <f t="shared" si="1"/>
        <v>337500000</v>
      </c>
      <c r="B30" s="36">
        <f t="shared" si="0"/>
        <v>350</v>
      </c>
      <c r="C30" s="40">
        <f t="array" ref="C30">COUNT(IF(YEAR(date.2006)*(gross.us.2006&gt;=$A30)*(gross.us.2006&lt;$A31),gross.us.2006))</f>
        <v>0</v>
      </c>
      <c r="D30" s="40">
        <f t="array" ref="D30">COUNT(IF(YEAR(date.2007)*(gross.us.2007&gt;=$A30)*(gross.us.2007&lt;$A31),gross.us.2007))</f>
        <v>0</v>
      </c>
      <c r="E30" s="40">
        <f t="array" ref="E30">COUNT(IF(YEAR(date.2008)*(gross.us.2008&gt;=$A30)*(gross.us.2008&lt;$A31),gross.us.2008))</f>
        <v>0</v>
      </c>
      <c r="F30" s="40">
        <f t="array" ref="F30">COUNT(IF(YEAR(date.2009)*(gross.us.2009&gt;=$A30)*(gross.us.2009&lt;$A31),gross.us.2009))</f>
        <v>0</v>
      </c>
      <c r="G30" s="40">
        <f t="array" ref="G30">COUNT(IF(YEAR(date.2010)*(gross.us.2010&gt;=A30)*(gross.us.2010&lt;A31),gross.us.2010))</f>
        <v>0</v>
      </c>
      <c r="H30" s="39">
        <f>SUM(C30:C$45)</f>
        <v>1</v>
      </c>
      <c r="I30" s="39">
        <f>SUM(D30:D$45)</f>
        <v>0</v>
      </c>
      <c r="J30" s="39">
        <f>SUM(E30:E$45)</f>
        <v>1</v>
      </c>
      <c r="K30" s="39">
        <f>SUM(F30:F$45)</f>
        <v>1</v>
      </c>
      <c r="L30" s="39">
        <f>SUM(G30:G$45)</f>
        <v>1</v>
      </c>
      <c r="M30" s="36">
        <f t="array" ref="M30">SUM(IF(YEAR(date.2006)*(gross.us.2006&gt;=$A30)*(gross.us.2006&lt;$A31),gross.us.2006))</f>
        <v>0</v>
      </c>
      <c r="N30" s="36">
        <f t="array" ref="N30">SUM(IF(YEAR(date.2007)*(gross.us.2007&gt;=$A30)*(gross.us.2007&lt;$A31),gross.us.2007))</f>
        <v>0</v>
      </c>
      <c r="O30" s="36">
        <f t="array" ref="O30">SUM(IF(YEAR(date.2008)*(gross.us.2008&gt;=$A30)*(gross.us.2008&lt;$A31),gross.us.2008))</f>
        <v>0</v>
      </c>
      <c r="P30" s="36">
        <f t="array" ref="P30">SUM(IF(YEAR(date.2009)*(gross.us.2009&gt;=$A30)*(gross.us.2009&lt;$A31),gross.us.2009))</f>
        <v>0</v>
      </c>
      <c r="Q30" s="36">
        <f t="array" ref="Q30">SUM(IF(YEAR(date.2010)*(gross.us.2010&gt;=$A30)*(gross.us.2010&lt;$A31),gross.us.2010))</f>
        <v>0</v>
      </c>
      <c r="R30" s="53">
        <f>SUM(C30:C$63)/C$65</f>
        <v>1.6420361247947454E-3</v>
      </c>
      <c r="S30" s="53">
        <f>SUM(D30:D$63)/D$65</f>
        <v>0</v>
      </c>
      <c r="T30" s="53">
        <f>SUM(E30:E$63)/E$65</f>
        <v>1.6129032258064516E-3</v>
      </c>
      <c r="U30" s="53">
        <f>SUM(F30:F$63)/F$65</f>
        <v>3.6363636363636364E-3</v>
      </c>
      <c r="V30" s="53">
        <f>SUM(G30:G$63)/G$65</f>
        <v>1.8867924528301887E-3</v>
      </c>
      <c r="W30" s="53">
        <f>SUM(M30:M$63)/M$65</f>
        <v>4.5851111232733992E-2</v>
      </c>
      <c r="X30" s="53">
        <f>SUM(N30:N$63)/N$65</f>
        <v>0</v>
      </c>
      <c r="Y30" s="53">
        <f>SUM(O30:O$63)/O$65</f>
        <v>5.4926943708270469E-2</v>
      </c>
      <c r="Z30" s="53">
        <f>SUM(P30:P$63)/P$65</f>
        <v>0.10701964720515489</v>
      </c>
      <c r="AA30" s="53">
        <f>SUM(Q30:Q$63)/Q$65</f>
        <v>4.1315236971784346E-2</v>
      </c>
    </row>
    <row r="31" spans="1:27" x14ac:dyDescent="0.2">
      <c r="A31" s="36">
        <f t="shared" si="1"/>
        <v>350000000</v>
      </c>
      <c r="B31" s="36">
        <f t="shared" si="0"/>
        <v>362.5</v>
      </c>
      <c r="C31" s="40">
        <f t="array" ref="C31">COUNT(IF(YEAR(date.2006)*(gross.us.2006&gt;=$A31)*(gross.us.2006&lt;$A32),gross.us.2006))</f>
        <v>0</v>
      </c>
      <c r="D31" s="40">
        <f t="array" ref="D31">COUNT(IF(YEAR(date.2007)*(gross.us.2007&gt;=$A31)*(gross.us.2007&lt;$A32),gross.us.2007))</f>
        <v>0</v>
      </c>
      <c r="E31" s="40">
        <f t="array" ref="E31">COUNT(IF(YEAR(date.2008)*(gross.us.2008&gt;=$A31)*(gross.us.2008&lt;$A32),gross.us.2008))</f>
        <v>0</v>
      </c>
      <c r="F31" s="40">
        <f t="array" ref="F31">COUNT(IF(YEAR(date.2009)*(gross.us.2009&gt;=$A31)*(gross.us.2009&lt;$A32),gross.us.2009))</f>
        <v>0</v>
      </c>
      <c r="G31" s="40">
        <f t="array" ref="G31">COUNT(IF(YEAR(date.2010)*(gross.us.2010&gt;=A31)*(gross.us.2010&lt;A32),gross.us.2010))</f>
        <v>0</v>
      </c>
      <c r="H31" s="39">
        <f>SUM(C31:C$45)</f>
        <v>1</v>
      </c>
      <c r="I31" s="39">
        <f>SUM(D31:D$45)</f>
        <v>0</v>
      </c>
      <c r="J31" s="39">
        <f>SUM(E31:E$45)</f>
        <v>1</v>
      </c>
      <c r="K31" s="39">
        <f>SUM(F31:F$45)</f>
        <v>1</v>
      </c>
      <c r="L31" s="39">
        <f>SUM(G31:G$45)</f>
        <v>1</v>
      </c>
      <c r="M31" s="36">
        <f t="array" ref="M31">SUM(IF(YEAR(date.2006)*(gross.us.2006&gt;=$A31)*(gross.us.2006&lt;$A32),gross.us.2006))</f>
        <v>0</v>
      </c>
      <c r="N31" s="36">
        <f t="array" ref="N31">SUM(IF(YEAR(date.2007)*(gross.us.2007&gt;=$A31)*(gross.us.2007&lt;$A32),gross.us.2007))</f>
        <v>0</v>
      </c>
      <c r="O31" s="36">
        <f t="array" ref="O31">SUM(IF(YEAR(date.2008)*(gross.us.2008&gt;=$A31)*(gross.us.2008&lt;$A32),gross.us.2008))</f>
        <v>0</v>
      </c>
      <c r="P31" s="36">
        <f t="array" ref="P31">SUM(IF(YEAR(date.2009)*(gross.us.2009&gt;=$A31)*(gross.us.2009&lt;$A32),gross.us.2009))</f>
        <v>0</v>
      </c>
      <c r="Q31" s="36">
        <f t="array" ref="Q31">SUM(IF(YEAR(date.2010)*(gross.us.2010&gt;=$A31)*(gross.us.2010&lt;$A32),gross.us.2010))</f>
        <v>0</v>
      </c>
      <c r="R31" s="53">
        <f>SUM(C31:C$63)/C$65</f>
        <v>1.6420361247947454E-3</v>
      </c>
      <c r="S31" s="53">
        <f>SUM(D31:D$63)/D$65</f>
        <v>0</v>
      </c>
      <c r="T31" s="53">
        <f>SUM(E31:E$63)/E$65</f>
        <v>1.6129032258064516E-3</v>
      </c>
      <c r="U31" s="53">
        <f>SUM(F31:F$63)/F$65</f>
        <v>3.6363636363636364E-3</v>
      </c>
      <c r="V31" s="53">
        <f>SUM(G31:G$63)/G$65</f>
        <v>1.8867924528301887E-3</v>
      </c>
      <c r="W31" s="53">
        <f>SUM(M31:M$63)/M$65</f>
        <v>4.5851111232733992E-2</v>
      </c>
      <c r="X31" s="53">
        <f>SUM(N31:N$63)/N$65</f>
        <v>0</v>
      </c>
      <c r="Y31" s="53">
        <f>SUM(O31:O$63)/O$65</f>
        <v>5.4926943708270469E-2</v>
      </c>
      <c r="Z31" s="53">
        <f>SUM(P31:P$63)/P$65</f>
        <v>0.10701964720515489</v>
      </c>
      <c r="AA31" s="53">
        <f>SUM(Q31:Q$63)/Q$65</f>
        <v>4.1315236971784346E-2</v>
      </c>
    </row>
    <row r="32" spans="1:27" x14ac:dyDescent="0.2">
      <c r="A32" s="36">
        <f t="shared" si="1"/>
        <v>362500000</v>
      </c>
      <c r="B32" s="36">
        <f t="shared" si="0"/>
        <v>375</v>
      </c>
      <c r="C32" s="40">
        <f t="array" ref="C32">COUNT(IF(YEAR(date.2006)*(gross.us.2006&gt;=$A32)*(gross.us.2006&lt;$A33),gross.us.2006))</f>
        <v>0</v>
      </c>
      <c r="D32" s="40">
        <f t="array" ref="D32">COUNT(IF(YEAR(date.2007)*(gross.us.2007&gt;=$A32)*(gross.us.2007&lt;$A33),gross.us.2007))</f>
        <v>0</v>
      </c>
      <c r="E32" s="40">
        <f t="array" ref="E32">COUNT(IF(YEAR(date.2008)*(gross.us.2008&gt;=$A32)*(gross.us.2008&lt;$A33),gross.us.2008))</f>
        <v>0</v>
      </c>
      <c r="F32" s="40">
        <f t="array" ref="F32">COUNT(IF(YEAR(date.2009)*(gross.us.2009&gt;=$A32)*(gross.us.2009&lt;$A33),gross.us.2009))</f>
        <v>0</v>
      </c>
      <c r="G32" s="40">
        <f t="array" ref="G32">COUNT(IF(YEAR(date.2010)*(gross.us.2010&gt;=A32)*(gross.us.2010&lt;A33),gross.us.2010))</f>
        <v>0</v>
      </c>
      <c r="H32" s="39">
        <f>SUM(C32:C$45)</f>
        <v>1</v>
      </c>
      <c r="I32" s="39">
        <f>SUM(D32:D$45)</f>
        <v>0</v>
      </c>
      <c r="J32" s="39">
        <f>SUM(E32:E$45)</f>
        <v>1</v>
      </c>
      <c r="K32" s="39">
        <f>SUM(F32:F$45)</f>
        <v>1</v>
      </c>
      <c r="L32" s="39">
        <f>SUM(G32:G$45)</f>
        <v>1</v>
      </c>
      <c r="M32" s="36">
        <f t="array" ref="M32">SUM(IF(YEAR(date.2006)*(gross.us.2006&gt;=$A32)*(gross.us.2006&lt;$A33),gross.us.2006))</f>
        <v>0</v>
      </c>
      <c r="N32" s="36">
        <f t="array" ref="N32">SUM(IF(YEAR(date.2007)*(gross.us.2007&gt;=$A32)*(gross.us.2007&lt;$A33),gross.us.2007))</f>
        <v>0</v>
      </c>
      <c r="O32" s="36">
        <f t="array" ref="O32">SUM(IF(YEAR(date.2008)*(gross.us.2008&gt;=$A32)*(gross.us.2008&lt;$A33),gross.us.2008))</f>
        <v>0</v>
      </c>
      <c r="P32" s="36">
        <f t="array" ref="P32">SUM(IF(YEAR(date.2009)*(gross.us.2009&gt;=$A32)*(gross.us.2009&lt;$A33),gross.us.2009))</f>
        <v>0</v>
      </c>
      <c r="Q32" s="36">
        <f t="array" ref="Q32">SUM(IF(YEAR(date.2010)*(gross.us.2010&gt;=$A32)*(gross.us.2010&lt;$A33),gross.us.2010))</f>
        <v>0</v>
      </c>
      <c r="R32" s="53">
        <f>SUM(C32:C$63)/C$65</f>
        <v>1.6420361247947454E-3</v>
      </c>
      <c r="S32" s="53">
        <f>SUM(D32:D$63)/D$65</f>
        <v>0</v>
      </c>
      <c r="T32" s="53">
        <f>SUM(E32:E$63)/E$65</f>
        <v>1.6129032258064516E-3</v>
      </c>
      <c r="U32" s="53">
        <f>SUM(F32:F$63)/F$65</f>
        <v>3.6363636363636364E-3</v>
      </c>
      <c r="V32" s="53">
        <f>SUM(G32:G$63)/G$65</f>
        <v>1.8867924528301887E-3</v>
      </c>
      <c r="W32" s="53">
        <f>SUM(M32:M$63)/M$65</f>
        <v>4.5851111232733992E-2</v>
      </c>
      <c r="X32" s="53">
        <f>SUM(N32:N$63)/N$65</f>
        <v>0</v>
      </c>
      <c r="Y32" s="53">
        <f>SUM(O32:O$63)/O$65</f>
        <v>5.4926943708270469E-2</v>
      </c>
      <c r="Z32" s="53">
        <f>SUM(P32:P$63)/P$65</f>
        <v>0.10701964720515489</v>
      </c>
      <c r="AA32" s="53">
        <f>SUM(Q32:Q$63)/Q$65</f>
        <v>4.1315236971784346E-2</v>
      </c>
    </row>
    <row r="33" spans="1:27" x14ac:dyDescent="0.2">
      <c r="A33" s="36">
        <f t="shared" si="1"/>
        <v>375000000</v>
      </c>
      <c r="B33" s="36">
        <f t="shared" si="0"/>
        <v>387.5</v>
      </c>
      <c r="C33" s="40">
        <f t="array" ref="C33">COUNT(IF(YEAR(date.2006)*(gross.us.2006&gt;=$A33)*(gross.us.2006&lt;$A34),gross.us.2006))</f>
        <v>0</v>
      </c>
      <c r="D33" s="40">
        <f t="array" ref="D33">COUNT(IF(YEAR(date.2007)*(gross.us.2007&gt;=$A33)*(gross.us.2007&lt;$A34),gross.us.2007))</f>
        <v>0</v>
      </c>
      <c r="E33" s="40">
        <f t="array" ref="E33">COUNT(IF(YEAR(date.2008)*(gross.us.2008&gt;=$A33)*(gross.us.2008&lt;$A34),gross.us.2008))</f>
        <v>0</v>
      </c>
      <c r="F33" s="40">
        <f t="array" ref="F33">COUNT(IF(YEAR(date.2009)*(gross.us.2009&gt;=$A33)*(gross.us.2009&lt;$A34),gross.us.2009))</f>
        <v>0</v>
      </c>
      <c r="G33" s="40">
        <f t="array" ref="G33">COUNT(IF(YEAR(date.2010)*(gross.us.2010&gt;=A33)*(gross.us.2010&lt;A34),gross.us.2010))</f>
        <v>0</v>
      </c>
      <c r="H33" s="39">
        <f>SUM(C33:C$45)</f>
        <v>1</v>
      </c>
      <c r="I33" s="39">
        <f>SUM(D33:D$45)</f>
        <v>0</v>
      </c>
      <c r="J33" s="39">
        <f>SUM(E33:E$45)</f>
        <v>1</v>
      </c>
      <c r="K33" s="39">
        <f>SUM(F33:F$45)</f>
        <v>1</v>
      </c>
      <c r="L33" s="39">
        <f>SUM(G33:G$45)</f>
        <v>1</v>
      </c>
      <c r="M33" s="36">
        <f t="array" ref="M33">SUM(IF(YEAR(date.2006)*(gross.us.2006&gt;=$A33)*(gross.us.2006&lt;$A34),gross.us.2006))</f>
        <v>0</v>
      </c>
      <c r="N33" s="36">
        <f t="array" ref="N33">SUM(IF(YEAR(date.2007)*(gross.us.2007&gt;=$A33)*(gross.us.2007&lt;$A34),gross.us.2007))</f>
        <v>0</v>
      </c>
      <c r="O33" s="36">
        <f t="array" ref="O33">SUM(IF(YEAR(date.2008)*(gross.us.2008&gt;=$A33)*(gross.us.2008&lt;$A34),gross.us.2008))</f>
        <v>0</v>
      </c>
      <c r="P33" s="36">
        <f t="array" ref="P33">SUM(IF(YEAR(date.2009)*(gross.us.2009&gt;=$A33)*(gross.us.2009&lt;$A34),gross.us.2009))</f>
        <v>0</v>
      </c>
      <c r="Q33" s="36">
        <f t="array" ref="Q33">SUM(IF(YEAR(date.2010)*(gross.us.2010&gt;=$A33)*(gross.us.2010&lt;$A34),gross.us.2010))</f>
        <v>0</v>
      </c>
      <c r="R33" s="53">
        <f>SUM(C33:C$63)/C$65</f>
        <v>1.6420361247947454E-3</v>
      </c>
      <c r="S33" s="53">
        <f>SUM(D33:D$63)/D$65</f>
        <v>0</v>
      </c>
      <c r="T33" s="53">
        <f>SUM(E33:E$63)/E$65</f>
        <v>1.6129032258064516E-3</v>
      </c>
      <c r="U33" s="53">
        <f>SUM(F33:F$63)/F$65</f>
        <v>3.6363636363636364E-3</v>
      </c>
      <c r="V33" s="53">
        <f>SUM(G33:G$63)/G$65</f>
        <v>1.8867924528301887E-3</v>
      </c>
      <c r="W33" s="53">
        <f>SUM(M33:M$63)/M$65</f>
        <v>4.5851111232733992E-2</v>
      </c>
      <c r="X33" s="53">
        <f>SUM(N33:N$63)/N$65</f>
        <v>0</v>
      </c>
      <c r="Y33" s="53">
        <f>SUM(O33:O$63)/O$65</f>
        <v>5.4926943708270469E-2</v>
      </c>
      <c r="Z33" s="53">
        <f>SUM(P33:P$63)/P$65</f>
        <v>0.10701964720515489</v>
      </c>
      <c r="AA33" s="53">
        <f>SUM(Q33:Q$63)/Q$65</f>
        <v>4.1315236971784346E-2</v>
      </c>
    </row>
    <row r="34" spans="1:27" x14ac:dyDescent="0.2">
      <c r="A34" s="36">
        <f t="shared" si="1"/>
        <v>387500000</v>
      </c>
      <c r="B34" s="36">
        <f t="shared" si="0"/>
        <v>400</v>
      </c>
      <c r="C34" s="40">
        <f t="array" ref="C34">COUNT(IF(YEAR(date.2006)*(gross.us.2006&gt;=$A34)*(gross.us.2006&lt;$A35),gross.us.2006))</f>
        <v>0</v>
      </c>
      <c r="D34" s="40">
        <f t="array" ref="D34">COUNT(IF(YEAR(date.2007)*(gross.us.2007&gt;=$A34)*(gross.us.2007&lt;$A35),gross.us.2007))</f>
        <v>0</v>
      </c>
      <c r="E34" s="40">
        <f t="array" ref="E34">COUNT(IF(YEAR(date.2008)*(gross.us.2008&gt;=$A34)*(gross.us.2008&lt;$A35),gross.us.2008))</f>
        <v>0</v>
      </c>
      <c r="F34" s="40">
        <f t="array" ref="F34">COUNT(IF(YEAR(date.2009)*(gross.us.2009&gt;=$A34)*(gross.us.2009&lt;$A35),gross.us.2009))</f>
        <v>0</v>
      </c>
      <c r="G34" s="40">
        <f t="array" ref="G34">COUNT(IF(YEAR(date.2010)*(gross.us.2010&gt;=A34)*(gross.us.2010&lt;A35),gross.us.2010))</f>
        <v>0</v>
      </c>
      <c r="H34" s="39">
        <f>SUM(C34:C$45)</f>
        <v>1</v>
      </c>
      <c r="I34" s="39">
        <f>SUM(D34:D$45)</f>
        <v>0</v>
      </c>
      <c r="J34" s="39">
        <f>SUM(E34:E$45)</f>
        <v>1</v>
      </c>
      <c r="K34" s="39">
        <f>SUM(F34:F$45)</f>
        <v>1</v>
      </c>
      <c r="L34" s="39">
        <f>SUM(G34:G$45)</f>
        <v>1</v>
      </c>
      <c r="M34" s="36">
        <f t="array" ref="M34">SUM(IF(YEAR(date.2006)*(gross.us.2006&gt;=$A34)*(gross.us.2006&lt;$A35),gross.us.2006))</f>
        <v>0</v>
      </c>
      <c r="N34" s="36">
        <f t="array" ref="N34">SUM(IF(YEAR(date.2007)*(gross.us.2007&gt;=$A34)*(gross.us.2007&lt;$A35),gross.us.2007))</f>
        <v>0</v>
      </c>
      <c r="O34" s="36">
        <f t="array" ref="O34">SUM(IF(YEAR(date.2008)*(gross.us.2008&gt;=$A34)*(gross.us.2008&lt;$A35),gross.us.2008))</f>
        <v>0</v>
      </c>
      <c r="P34" s="36">
        <f t="array" ref="P34">SUM(IF(YEAR(date.2009)*(gross.us.2009&gt;=$A34)*(gross.us.2009&lt;$A35),gross.us.2009))</f>
        <v>0</v>
      </c>
      <c r="Q34" s="36">
        <f t="array" ref="Q34">SUM(IF(YEAR(date.2010)*(gross.us.2010&gt;=$A34)*(gross.us.2010&lt;$A35),gross.us.2010))</f>
        <v>0</v>
      </c>
      <c r="R34" s="53">
        <f>SUM(C34:C$63)/C$65</f>
        <v>1.6420361247947454E-3</v>
      </c>
      <c r="S34" s="53">
        <f>SUM(D34:D$63)/D$65</f>
        <v>0</v>
      </c>
      <c r="T34" s="53">
        <f>SUM(E34:E$63)/E$65</f>
        <v>1.6129032258064516E-3</v>
      </c>
      <c r="U34" s="53">
        <f>SUM(F34:F$63)/F$65</f>
        <v>3.6363636363636364E-3</v>
      </c>
      <c r="V34" s="53">
        <f>SUM(G34:G$63)/G$65</f>
        <v>1.8867924528301887E-3</v>
      </c>
      <c r="W34" s="53">
        <f>SUM(M34:M$63)/M$65</f>
        <v>4.5851111232733992E-2</v>
      </c>
      <c r="X34" s="53">
        <f>SUM(N34:N$63)/N$65</f>
        <v>0</v>
      </c>
      <c r="Y34" s="53">
        <f>SUM(O34:O$63)/O$65</f>
        <v>5.4926943708270469E-2</v>
      </c>
      <c r="Z34" s="53">
        <f>SUM(P34:P$63)/P$65</f>
        <v>0.10701964720515489</v>
      </c>
      <c r="AA34" s="53">
        <f>SUM(Q34:Q$63)/Q$65</f>
        <v>4.1315236971784346E-2</v>
      </c>
    </row>
    <row r="35" spans="1:27" x14ac:dyDescent="0.2">
      <c r="A35" s="36">
        <f t="shared" si="1"/>
        <v>400000000</v>
      </c>
      <c r="B35" s="36">
        <f t="shared" si="0"/>
        <v>412.5</v>
      </c>
      <c r="C35" s="40">
        <f t="array" ref="C35">COUNT(IF(YEAR(date.2006)*(gross.us.2006&gt;=$A35)*(gross.us.2006&lt;$A36),gross.us.2006))</f>
        <v>0</v>
      </c>
      <c r="D35" s="40">
        <f t="array" ref="D35">COUNT(IF(YEAR(date.2007)*(gross.us.2007&gt;=$A35)*(gross.us.2007&lt;$A36),gross.us.2007))</f>
        <v>0</v>
      </c>
      <c r="E35" s="40">
        <f t="array" ref="E35">COUNT(IF(YEAR(date.2008)*(gross.us.2008&gt;=$A35)*(gross.us.2008&lt;$A36),gross.us.2008))</f>
        <v>0</v>
      </c>
      <c r="F35" s="40">
        <f t="array" ref="F35">COUNT(IF(YEAR(date.2009)*(gross.us.2009&gt;=$A35)*(gross.us.2009&lt;$A36),gross.us.2009))</f>
        <v>1</v>
      </c>
      <c r="G35" s="40">
        <f t="array" ref="G35">COUNT(IF(YEAR(date.2010)*(gross.us.2010&gt;=A35)*(gross.us.2010&lt;A36),gross.us.2010))</f>
        <v>0</v>
      </c>
      <c r="H35" s="39">
        <f>SUM(C35:C$45)</f>
        <v>1</v>
      </c>
      <c r="I35" s="39">
        <f>SUM(D35:D$45)</f>
        <v>0</v>
      </c>
      <c r="J35" s="39">
        <f>SUM(E35:E$45)</f>
        <v>1</v>
      </c>
      <c r="K35" s="39">
        <f>SUM(F35:F$45)</f>
        <v>1</v>
      </c>
      <c r="L35" s="39">
        <f>SUM(G35:G$45)</f>
        <v>1</v>
      </c>
      <c r="M35" s="36">
        <f t="array" ref="M35">SUM(IF(YEAR(date.2006)*(gross.us.2006&gt;=$A35)*(gross.us.2006&lt;$A36),gross.us.2006))</f>
        <v>0</v>
      </c>
      <c r="N35" s="36">
        <f t="array" ref="N35">SUM(IF(YEAR(date.2007)*(gross.us.2007&gt;=$A35)*(gross.us.2007&lt;$A36),gross.us.2007))</f>
        <v>0</v>
      </c>
      <c r="O35" s="36">
        <f t="array" ref="O35">SUM(IF(YEAR(date.2008)*(gross.us.2008&gt;=$A35)*(gross.us.2008&lt;$A36),gross.us.2008))</f>
        <v>0</v>
      </c>
      <c r="P35" s="36">
        <f t="array" ref="P35">SUM(IF(YEAR(date.2009)*(gross.us.2009&gt;=$A35)*(gross.us.2009&lt;$A36),gross.us.2009))</f>
        <v>402111870</v>
      </c>
      <c r="Q35" s="36">
        <f t="array" ref="Q35">SUM(IF(YEAR(date.2010)*(gross.us.2010&gt;=$A35)*(gross.us.2010&lt;$A36),gross.us.2010))</f>
        <v>0</v>
      </c>
      <c r="R35" s="53">
        <f>SUM(C35:C$63)/C$65</f>
        <v>1.6420361247947454E-3</v>
      </c>
      <c r="S35" s="53">
        <f>SUM(D35:D$63)/D$65</f>
        <v>0</v>
      </c>
      <c r="T35" s="53">
        <f>SUM(E35:E$63)/E$65</f>
        <v>1.6129032258064516E-3</v>
      </c>
      <c r="U35" s="53">
        <f>SUM(F35:F$63)/F$65</f>
        <v>3.6363636363636364E-3</v>
      </c>
      <c r="V35" s="53">
        <f>SUM(G35:G$63)/G$65</f>
        <v>1.8867924528301887E-3</v>
      </c>
      <c r="W35" s="53">
        <f>SUM(M35:M$63)/M$65</f>
        <v>4.5851111232733992E-2</v>
      </c>
      <c r="X35" s="53">
        <f>SUM(N35:N$63)/N$65</f>
        <v>0</v>
      </c>
      <c r="Y35" s="53">
        <f>SUM(O35:O$63)/O$65</f>
        <v>5.4926943708270469E-2</v>
      </c>
      <c r="Z35" s="53">
        <f>SUM(P35:P$63)/P$65</f>
        <v>0.10701964720515489</v>
      </c>
      <c r="AA35" s="53">
        <f>SUM(Q35:Q$63)/Q$65</f>
        <v>4.1315236971784346E-2</v>
      </c>
    </row>
    <row r="36" spans="1:27" x14ac:dyDescent="0.2">
      <c r="A36" s="36">
        <f t="shared" si="1"/>
        <v>412500000</v>
      </c>
      <c r="B36" s="36">
        <f t="shared" si="0"/>
        <v>425</v>
      </c>
      <c r="C36" s="40">
        <f t="array" ref="C36">COUNT(IF(YEAR(date.2006)*(gross.us.2006&gt;=$A36)*(gross.us.2006&lt;$A37),gross.us.2006))</f>
        <v>1</v>
      </c>
      <c r="D36" s="40">
        <f t="array" ref="D36">COUNT(IF(YEAR(date.2007)*(gross.us.2007&gt;=$A36)*(gross.us.2007&lt;$A37),gross.us.2007))</f>
        <v>0</v>
      </c>
      <c r="E36" s="40">
        <f t="array" ref="E36">COUNT(IF(YEAR(date.2008)*(gross.us.2008&gt;=$A36)*(gross.us.2008&lt;$A37),gross.us.2008))</f>
        <v>0</v>
      </c>
      <c r="F36" s="40">
        <f t="array" ref="F36">COUNT(IF(YEAR(date.2009)*(gross.us.2009&gt;=$A36)*(gross.us.2009&lt;$A37),gross.us.2009))</f>
        <v>0</v>
      </c>
      <c r="G36" s="40">
        <f t="array" ref="G36">COUNT(IF(YEAR(date.2010)*(gross.us.2010&gt;=A36)*(gross.us.2010&lt;A37),gross.us.2010))</f>
        <v>1</v>
      </c>
      <c r="H36" s="39">
        <f>SUM(C36:C$45)</f>
        <v>1</v>
      </c>
      <c r="I36" s="39">
        <f>SUM(D36:D$45)</f>
        <v>0</v>
      </c>
      <c r="J36" s="39">
        <f>SUM(E36:E$45)</f>
        <v>1</v>
      </c>
      <c r="K36" s="39">
        <f>SUM(F36:F$45)</f>
        <v>0</v>
      </c>
      <c r="L36" s="39">
        <f>SUM(G36:G$45)</f>
        <v>1</v>
      </c>
      <c r="M36" s="36">
        <f t="array" ref="M36">SUM(IF(YEAR(date.2006)*(gross.us.2006&gt;=$A36)*(gross.us.2006&lt;$A37),gross.us.2006))</f>
        <v>423315812</v>
      </c>
      <c r="N36" s="36">
        <f t="array" ref="N36">SUM(IF(YEAR(date.2007)*(gross.us.2007&gt;=$A36)*(gross.us.2007&lt;$A37),gross.us.2007))</f>
        <v>0</v>
      </c>
      <c r="O36" s="36">
        <f t="array" ref="O36">SUM(IF(YEAR(date.2008)*(gross.us.2008&gt;=$A36)*(gross.us.2008&lt;$A37),gross.us.2008))</f>
        <v>0</v>
      </c>
      <c r="P36" s="36">
        <f t="array" ref="P36">SUM(IF(YEAR(date.2009)*(gross.us.2009&gt;=$A36)*(gross.us.2009&lt;$A37),gross.us.2009))</f>
        <v>0</v>
      </c>
      <c r="Q36" s="36">
        <f t="array" ref="Q36">SUM(IF(YEAR(date.2010)*(gross.us.2010&gt;=$A36)*(gross.us.2010&lt;$A37),gross.us.2010))</f>
        <v>414984497</v>
      </c>
      <c r="R36" s="53">
        <f>SUM(C36:C$63)/C$65</f>
        <v>1.6420361247947454E-3</v>
      </c>
      <c r="S36" s="53">
        <f>SUM(D36:D$63)/D$65</f>
        <v>0</v>
      </c>
      <c r="T36" s="53">
        <f>SUM(E36:E$63)/E$65</f>
        <v>1.6129032258064516E-3</v>
      </c>
      <c r="U36" s="53">
        <f>SUM(F36:F$63)/F$65</f>
        <v>1.8181818181818182E-3</v>
      </c>
      <c r="V36" s="53">
        <f>SUM(G36:G$63)/G$65</f>
        <v>1.8867924528301887E-3</v>
      </c>
      <c r="W36" s="53">
        <f>SUM(M36:M$63)/M$65</f>
        <v>4.5851111232733992E-2</v>
      </c>
      <c r="X36" s="53">
        <f>SUM(N36:N$63)/N$65</f>
        <v>0</v>
      </c>
      <c r="Y36" s="53">
        <f>SUM(O36:O$63)/O$65</f>
        <v>5.4926943708270469E-2</v>
      </c>
      <c r="Z36" s="53">
        <f>SUM(P36:P$63)/P$65</f>
        <v>7.0005068790223779E-2</v>
      </c>
      <c r="AA36" s="53">
        <f>SUM(Q36:Q$63)/Q$65</f>
        <v>4.1315236971784346E-2</v>
      </c>
    </row>
    <row r="37" spans="1:27" x14ac:dyDescent="0.2">
      <c r="A37" s="36">
        <f t="shared" si="1"/>
        <v>425000000</v>
      </c>
      <c r="B37" s="36">
        <f t="shared" si="0"/>
        <v>437.5</v>
      </c>
      <c r="C37" s="40">
        <f t="array" ref="C37">COUNT(IF(YEAR(date.2006)*(gross.us.2006&gt;=$A37)*(gross.us.2006&lt;$A38),gross.us.2006))</f>
        <v>0</v>
      </c>
      <c r="D37" s="40">
        <f t="array" ref="D37">COUNT(IF(YEAR(date.2007)*(gross.us.2007&gt;=$A37)*(gross.us.2007&lt;$A38),gross.us.2007))</f>
        <v>0</v>
      </c>
      <c r="E37" s="40">
        <f t="array" ref="E37">COUNT(IF(YEAR(date.2008)*(gross.us.2008&gt;=$A37)*(gross.us.2008&lt;$A38),gross.us.2008))</f>
        <v>0</v>
      </c>
      <c r="F37" s="40">
        <f t="array" ref="F37">COUNT(IF(YEAR(date.2009)*(gross.us.2009&gt;=$A37)*(gross.us.2009&lt;$A38),gross.us.2009))</f>
        <v>0</v>
      </c>
      <c r="G37" s="40">
        <f t="array" ref="G37">COUNT(IF(YEAR(date.2010)*(gross.us.2010&gt;=A37)*(gross.us.2010&lt;A38),gross.us.2010))</f>
        <v>0</v>
      </c>
      <c r="H37" s="39">
        <f>SUM(C37:C$45)</f>
        <v>0</v>
      </c>
      <c r="I37" s="39">
        <f>SUM(D37:D$45)</f>
        <v>0</v>
      </c>
      <c r="J37" s="39">
        <f>SUM(E37:E$45)</f>
        <v>1</v>
      </c>
      <c r="K37" s="39">
        <f>SUM(F37:F$45)</f>
        <v>0</v>
      </c>
      <c r="L37" s="39">
        <f>SUM(G37:G$45)</f>
        <v>0</v>
      </c>
      <c r="M37" s="36">
        <f t="array" ref="M37">SUM(IF(YEAR(date.2006)*(gross.us.2006&gt;=$A37)*(gross.us.2006&lt;$A38),gross.us.2006))</f>
        <v>0</v>
      </c>
      <c r="N37" s="36">
        <f t="array" ref="N37">SUM(IF(YEAR(date.2007)*(gross.us.2007&gt;=$A37)*(gross.us.2007&lt;$A38),gross.us.2007))</f>
        <v>0</v>
      </c>
      <c r="O37" s="36">
        <f t="array" ref="O37">SUM(IF(YEAR(date.2008)*(gross.us.2008&gt;=$A37)*(gross.us.2008&lt;$A38),gross.us.2008))</f>
        <v>0</v>
      </c>
      <c r="P37" s="36">
        <f t="array" ref="P37">SUM(IF(YEAR(date.2009)*(gross.us.2009&gt;=$A37)*(gross.us.2009&lt;$A38),gross.us.2009))</f>
        <v>0</v>
      </c>
      <c r="Q37" s="36">
        <f t="array" ref="Q37">SUM(IF(YEAR(date.2010)*(gross.us.2010&gt;=$A37)*(gross.us.2010&lt;$A38),gross.us.2010))</f>
        <v>0</v>
      </c>
      <c r="R37" s="53">
        <f>SUM(C37:C$63)/C$65</f>
        <v>0</v>
      </c>
      <c r="S37" s="53">
        <f>SUM(D37:D$63)/D$65</f>
        <v>0</v>
      </c>
      <c r="T37" s="53">
        <f>SUM(E37:E$63)/E$65</f>
        <v>1.6129032258064516E-3</v>
      </c>
      <c r="U37" s="53">
        <f>SUM(F37:F$63)/F$65</f>
        <v>1.8181818181818182E-3</v>
      </c>
      <c r="V37" s="53">
        <f>SUM(G37:G$63)/G$65</f>
        <v>0</v>
      </c>
      <c r="W37" s="53">
        <f>SUM(M37:M$63)/M$65</f>
        <v>0</v>
      </c>
      <c r="X37" s="53">
        <f>SUM(N37:N$63)/N$65</f>
        <v>0</v>
      </c>
      <c r="Y37" s="53">
        <f>SUM(O37:O$63)/O$65</f>
        <v>5.4926943708270469E-2</v>
      </c>
      <c r="Z37" s="53">
        <f>SUM(P37:P$63)/P$65</f>
        <v>7.0005068790223779E-2</v>
      </c>
      <c r="AA37" s="53">
        <f>SUM(Q37:Q$63)/Q$65</f>
        <v>0</v>
      </c>
    </row>
    <row r="38" spans="1:27" x14ac:dyDescent="0.2">
      <c r="A38" s="36">
        <f t="shared" si="1"/>
        <v>437500000</v>
      </c>
      <c r="B38" s="36">
        <f t="shared" si="0"/>
        <v>450</v>
      </c>
      <c r="C38" s="40">
        <f t="array" ref="C38">COUNT(IF(YEAR(date.2006)*(gross.us.2006&gt;=$A38)*(gross.us.2006&lt;$A39),gross.us.2006))</f>
        <v>0</v>
      </c>
      <c r="D38" s="40">
        <f t="array" ref="D38">COUNT(IF(YEAR(date.2007)*(gross.us.2007&gt;=$A38)*(gross.us.2007&lt;$A39),gross.us.2007))</f>
        <v>0</v>
      </c>
      <c r="E38" s="40">
        <f t="array" ref="E38">COUNT(IF(YEAR(date.2008)*(gross.us.2008&gt;=$A38)*(gross.us.2008&lt;$A39),gross.us.2008))</f>
        <v>0</v>
      </c>
      <c r="F38" s="40">
        <f t="array" ref="F38">COUNT(IF(YEAR(date.2009)*(gross.us.2009&gt;=$A38)*(gross.us.2009&lt;$A39),gross.us.2009))</f>
        <v>0</v>
      </c>
      <c r="G38" s="40">
        <f t="array" ref="G38">COUNT(IF(YEAR(date.2010)*(gross.us.2010&gt;=A38)*(gross.us.2010&lt;A39),gross.us.2010))</f>
        <v>0</v>
      </c>
      <c r="H38" s="39">
        <f>SUM(C38:C$45)</f>
        <v>0</v>
      </c>
      <c r="I38" s="39">
        <f>SUM(D38:D$45)</f>
        <v>0</v>
      </c>
      <c r="J38" s="39">
        <f>SUM(E38:E$45)</f>
        <v>1</v>
      </c>
      <c r="K38" s="39">
        <f>SUM(F38:F$45)</f>
        <v>0</v>
      </c>
      <c r="L38" s="39">
        <f>SUM(G38:G$45)</f>
        <v>0</v>
      </c>
      <c r="M38" s="36">
        <f t="array" ref="M38">SUM(IF(YEAR(date.2006)*(gross.us.2006&gt;=$A38)*(gross.us.2006&lt;$A39),gross.us.2006))</f>
        <v>0</v>
      </c>
      <c r="N38" s="36">
        <f t="array" ref="N38">SUM(IF(YEAR(date.2007)*(gross.us.2007&gt;=$A38)*(gross.us.2007&lt;$A39),gross.us.2007))</f>
        <v>0</v>
      </c>
      <c r="O38" s="36">
        <f t="array" ref="O38">SUM(IF(YEAR(date.2008)*(gross.us.2008&gt;=$A38)*(gross.us.2008&lt;$A39),gross.us.2008))</f>
        <v>0</v>
      </c>
      <c r="P38" s="36">
        <f t="array" ref="P38">SUM(IF(YEAR(date.2009)*(gross.us.2009&gt;=$A38)*(gross.us.2009&lt;$A39),gross.us.2009))</f>
        <v>0</v>
      </c>
      <c r="Q38" s="36">
        <f t="array" ref="Q38">SUM(IF(YEAR(date.2010)*(gross.us.2010&gt;=$A38)*(gross.us.2010&lt;$A39),gross.us.2010))</f>
        <v>0</v>
      </c>
      <c r="R38" s="53">
        <f>SUM(C38:C$63)/C$65</f>
        <v>0</v>
      </c>
      <c r="S38" s="53">
        <f>SUM(D38:D$63)/D$65</f>
        <v>0</v>
      </c>
      <c r="T38" s="53">
        <f>SUM(E38:E$63)/E$65</f>
        <v>1.6129032258064516E-3</v>
      </c>
      <c r="U38" s="53">
        <f>SUM(F38:F$63)/F$65</f>
        <v>1.8181818181818182E-3</v>
      </c>
      <c r="V38" s="53">
        <f>SUM(G38:G$63)/G$65</f>
        <v>0</v>
      </c>
      <c r="W38" s="53">
        <f>SUM(M38:M$63)/M$65</f>
        <v>0</v>
      </c>
      <c r="X38" s="53">
        <f>SUM(N38:N$63)/N$65</f>
        <v>0</v>
      </c>
      <c r="Y38" s="53">
        <f>SUM(O38:O$63)/O$65</f>
        <v>5.4926943708270469E-2</v>
      </c>
      <c r="Z38" s="53">
        <f>SUM(P38:P$63)/P$65</f>
        <v>7.0005068790223779E-2</v>
      </c>
      <c r="AA38" s="53">
        <f>SUM(Q38:Q$63)/Q$65</f>
        <v>0</v>
      </c>
    </row>
    <row r="39" spans="1:27" x14ac:dyDescent="0.2">
      <c r="A39" s="36">
        <f t="shared" si="1"/>
        <v>450000000</v>
      </c>
      <c r="B39" s="36">
        <f t="shared" si="0"/>
        <v>462.5</v>
      </c>
      <c r="C39" s="40">
        <f t="array" ref="C39">COUNT(IF(YEAR(date.2006)*(gross.us.2006&gt;=$A39)*(gross.us.2006&lt;$A40),gross.us.2006))</f>
        <v>0</v>
      </c>
      <c r="D39" s="40">
        <f t="array" ref="D39">COUNT(IF(YEAR(date.2007)*(gross.us.2007&gt;=$A39)*(gross.us.2007&lt;$A40),gross.us.2007))</f>
        <v>0</v>
      </c>
      <c r="E39" s="40">
        <f t="array" ref="E39">COUNT(IF(YEAR(date.2008)*(gross.us.2008&gt;=$A39)*(gross.us.2008&lt;$A40),gross.us.2008))</f>
        <v>0</v>
      </c>
      <c r="F39" s="40">
        <f t="array" ref="F39">COUNT(IF(YEAR(date.2009)*(gross.us.2009&gt;=$A39)*(gross.us.2009&lt;$A40),gross.us.2009))</f>
        <v>0</v>
      </c>
      <c r="G39" s="40">
        <f t="array" ref="G39">COUNT(IF(YEAR(date.2010)*(gross.us.2010&gt;=A39)*(gross.us.2010&lt;A40),gross.us.2010))</f>
        <v>0</v>
      </c>
      <c r="H39" s="39">
        <f>SUM(C39:C$45)</f>
        <v>0</v>
      </c>
      <c r="I39" s="39">
        <f>SUM(D39:D$45)</f>
        <v>0</v>
      </c>
      <c r="J39" s="39">
        <f>SUM(E39:E$45)</f>
        <v>1</v>
      </c>
      <c r="K39" s="39">
        <f>SUM(F39:F$45)</f>
        <v>0</v>
      </c>
      <c r="L39" s="39">
        <f>SUM(G39:G$45)</f>
        <v>0</v>
      </c>
      <c r="M39" s="36">
        <f t="array" ref="M39">SUM(IF(YEAR(date.2006)*(gross.us.2006&gt;=$A39)*(gross.us.2006&lt;$A40),gross.us.2006))</f>
        <v>0</v>
      </c>
      <c r="N39" s="36">
        <f t="array" ref="N39">SUM(IF(YEAR(date.2007)*(gross.us.2007&gt;=$A39)*(gross.us.2007&lt;$A40),gross.us.2007))</f>
        <v>0</v>
      </c>
      <c r="O39" s="36">
        <f t="array" ref="O39">SUM(IF(YEAR(date.2008)*(gross.us.2008&gt;=$A39)*(gross.us.2008&lt;$A40),gross.us.2008))</f>
        <v>0</v>
      </c>
      <c r="P39" s="36">
        <f t="array" ref="P39">SUM(IF(YEAR(date.2009)*(gross.us.2009&gt;=$A39)*(gross.us.2009&lt;$A40),gross.us.2009))</f>
        <v>0</v>
      </c>
      <c r="Q39" s="36">
        <f t="array" ref="Q39">SUM(IF(YEAR(date.2010)*(gross.us.2010&gt;=$A39)*(gross.us.2010&lt;$A40),gross.us.2010))</f>
        <v>0</v>
      </c>
      <c r="R39" s="53">
        <f>SUM(C39:C$63)/C$65</f>
        <v>0</v>
      </c>
      <c r="S39" s="53">
        <f>SUM(D39:D$63)/D$65</f>
        <v>0</v>
      </c>
      <c r="T39" s="53">
        <f>SUM(E39:E$63)/E$65</f>
        <v>1.6129032258064516E-3</v>
      </c>
      <c r="U39" s="53">
        <f>SUM(F39:F$63)/F$65</f>
        <v>1.8181818181818182E-3</v>
      </c>
      <c r="V39" s="53">
        <f>SUM(G39:G$63)/G$65</f>
        <v>0</v>
      </c>
      <c r="W39" s="53">
        <f>SUM(M39:M$63)/M$65</f>
        <v>0</v>
      </c>
      <c r="X39" s="53">
        <f>SUM(N39:N$63)/N$65</f>
        <v>0</v>
      </c>
      <c r="Y39" s="53">
        <f>SUM(O39:O$63)/O$65</f>
        <v>5.4926943708270469E-2</v>
      </c>
      <c r="Z39" s="53">
        <f>SUM(P39:P$63)/P$65</f>
        <v>7.0005068790223779E-2</v>
      </c>
      <c r="AA39" s="53">
        <f>SUM(Q39:Q$63)/Q$65</f>
        <v>0</v>
      </c>
    </row>
    <row r="40" spans="1:27" x14ac:dyDescent="0.2">
      <c r="A40" s="36">
        <f t="shared" si="1"/>
        <v>462500000</v>
      </c>
      <c r="B40" s="36">
        <f t="shared" si="0"/>
        <v>475</v>
      </c>
      <c r="C40" s="40">
        <f t="array" ref="C40">COUNT(IF(YEAR(date.2006)*(gross.us.2006&gt;=$A40)*(gross.us.2006&lt;$A41),gross.us.2006))</f>
        <v>0</v>
      </c>
      <c r="D40" s="40">
        <f t="array" ref="D40">COUNT(IF(YEAR(date.2007)*(gross.us.2007&gt;=$A40)*(gross.us.2007&lt;$A41),gross.us.2007))</f>
        <v>0</v>
      </c>
      <c r="E40" s="40">
        <f t="array" ref="E40">COUNT(IF(YEAR(date.2008)*(gross.us.2008&gt;=$A40)*(gross.us.2008&lt;$A41),gross.us.2008))</f>
        <v>0</v>
      </c>
      <c r="F40" s="40">
        <f t="array" ref="F40">COUNT(IF(YEAR(date.2009)*(gross.us.2009&gt;=$A40)*(gross.us.2009&lt;$A41),gross.us.2009))</f>
        <v>0</v>
      </c>
      <c r="G40" s="40">
        <f t="array" ref="G40">COUNT(IF(YEAR(date.2010)*(gross.us.2010&gt;=A40)*(gross.us.2010&lt;A41),gross.us.2010))</f>
        <v>0</v>
      </c>
      <c r="H40" s="39">
        <f>SUM(C40:C$45)</f>
        <v>0</v>
      </c>
      <c r="I40" s="39">
        <f>SUM(D40:D$45)</f>
        <v>0</v>
      </c>
      <c r="J40" s="39">
        <f>SUM(E40:E$45)</f>
        <v>1</v>
      </c>
      <c r="K40" s="39">
        <f>SUM(F40:F$45)</f>
        <v>0</v>
      </c>
      <c r="L40" s="39">
        <f>SUM(G40:G$45)</f>
        <v>0</v>
      </c>
      <c r="M40" s="36">
        <f t="array" ref="M40">SUM(IF(YEAR(date.2006)*(gross.us.2006&gt;=$A40)*(gross.us.2006&lt;$A41),gross.us.2006))</f>
        <v>0</v>
      </c>
      <c r="N40" s="36">
        <f t="array" ref="N40">SUM(IF(YEAR(date.2007)*(gross.us.2007&gt;=$A40)*(gross.us.2007&lt;$A41),gross.us.2007))</f>
        <v>0</v>
      </c>
      <c r="O40" s="36">
        <f t="array" ref="O40">SUM(IF(YEAR(date.2008)*(gross.us.2008&gt;=$A40)*(gross.us.2008&lt;$A41),gross.us.2008))</f>
        <v>0</v>
      </c>
      <c r="P40" s="36">
        <f t="array" ref="P40">SUM(IF(YEAR(date.2009)*(gross.us.2009&gt;=$A40)*(gross.us.2009&lt;$A41),gross.us.2009))</f>
        <v>0</v>
      </c>
      <c r="Q40" s="36">
        <f t="array" ref="Q40">SUM(IF(YEAR(date.2010)*(gross.us.2010&gt;=$A40)*(gross.us.2010&lt;$A41),gross.us.2010))</f>
        <v>0</v>
      </c>
      <c r="R40" s="53">
        <f>SUM(C40:C$63)/C$65</f>
        <v>0</v>
      </c>
      <c r="S40" s="53">
        <f>SUM(D40:D$63)/D$65</f>
        <v>0</v>
      </c>
      <c r="T40" s="53">
        <f>SUM(E40:E$63)/E$65</f>
        <v>1.6129032258064516E-3</v>
      </c>
      <c r="U40" s="53">
        <f>SUM(F40:F$63)/F$65</f>
        <v>1.8181818181818182E-3</v>
      </c>
      <c r="V40" s="53">
        <f>SUM(G40:G$63)/G$65</f>
        <v>0</v>
      </c>
      <c r="W40" s="53">
        <f>SUM(M40:M$63)/M$65</f>
        <v>0</v>
      </c>
      <c r="X40" s="53">
        <f>SUM(N40:N$63)/N$65</f>
        <v>0</v>
      </c>
      <c r="Y40" s="53">
        <f>SUM(O40:O$63)/O$65</f>
        <v>5.4926943708270469E-2</v>
      </c>
      <c r="Z40" s="53">
        <f>SUM(P40:P$63)/P$65</f>
        <v>7.0005068790223779E-2</v>
      </c>
      <c r="AA40" s="53">
        <f>SUM(Q40:Q$63)/Q$65</f>
        <v>0</v>
      </c>
    </row>
    <row r="41" spans="1:27" x14ac:dyDescent="0.2">
      <c r="A41" s="36">
        <f t="shared" si="1"/>
        <v>475000000</v>
      </c>
      <c r="B41" s="36">
        <f t="shared" si="0"/>
        <v>487.5</v>
      </c>
      <c r="C41" s="40">
        <f t="array" ref="C41">COUNT(IF(YEAR(date.2006)*(gross.us.2006&gt;=$A41)*(gross.us.2006&lt;$A42),gross.us.2006))</f>
        <v>0</v>
      </c>
      <c r="D41" s="40">
        <f t="array" ref="D41">COUNT(IF(YEAR(date.2007)*(gross.us.2007&gt;=$A41)*(gross.us.2007&lt;$A42),gross.us.2007))</f>
        <v>0</v>
      </c>
      <c r="E41" s="40">
        <f t="array" ref="E41">COUNT(IF(YEAR(date.2008)*(gross.us.2008&gt;=$A41)*(gross.us.2008&lt;$A42),gross.us.2008))</f>
        <v>0</v>
      </c>
      <c r="F41" s="40">
        <f t="array" ref="F41">COUNT(IF(YEAR(date.2009)*(gross.us.2009&gt;=$A41)*(gross.us.2009&lt;$A42),gross.us.2009))</f>
        <v>0</v>
      </c>
      <c r="G41" s="40">
        <f t="array" ref="G41">COUNT(IF(YEAR(date.2010)*(gross.us.2010&gt;=A41)*(gross.us.2010&lt;A42),gross.us.2010))</f>
        <v>0</v>
      </c>
      <c r="H41" s="39">
        <f>SUM(C41:C$45)</f>
        <v>0</v>
      </c>
      <c r="I41" s="39">
        <f>SUM(D41:D$45)</f>
        <v>0</v>
      </c>
      <c r="J41" s="39">
        <f>SUM(E41:E$45)</f>
        <v>1</v>
      </c>
      <c r="K41" s="39">
        <f>SUM(F41:F$45)</f>
        <v>0</v>
      </c>
      <c r="L41" s="39">
        <f>SUM(G41:G$45)</f>
        <v>0</v>
      </c>
      <c r="M41" s="36">
        <f t="array" ref="M41">SUM(IF(YEAR(date.2006)*(gross.us.2006&gt;=$A41)*(gross.us.2006&lt;$A42),gross.us.2006))</f>
        <v>0</v>
      </c>
      <c r="N41" s="36">
        <f t="array" ref="N41">SUM(IF(YEAR(date.2007)*(gross.us.2007&gt;=$A41)*(gross.us.2007&lt;$A42),gross.us.2007))</f>
        <v>0</v>
      </c>
      <c r="O41" s="36">
        <f t="array" ref="O41">SUM(IF(YEAR(date.2008)*(gross.us.2008&gt;=$A41)*(gross.us.2008&lt;$A42),gross.us.2008))</f>
        <v>0</v>
      </c>
      <c r="P41" s="36">
        <f t="array" ref="P41">SUM(IF(YEAR(date.2009)*(gross.us.2009&gt;=$A41)*(gross.us.2009&lt;$A42),gross.us.2009))</f>
        <v>0</v>
      </c>
      <c r="Q41" s="36">
        <f t="array" ref="Q41">SUM(IF(YEAR(date.2010)*(gross.us.2010&gt;=$A41)*(gross.us.2010&lt;$A42),gross.us.2010))</f>
        <v>0</v>
      </c>
      <c r="R41" s="53">
        <f>SUM(C41:C$63)/C$65</f>
        <v>0</v>
      </c>
      <c r="S41" s="53">
        <f>SUM(D41:D$63)/D$65</f>
        <v>0</v>
      </c>
      <c r="T41" s="53">
        <f>SUM(E41:E$63)/E$65</f>
        <v>1.6129032258064516E-3</v>
      </c>
      <c r="U41" s="53">
        <f>SUM(F41:F$63)/F$65</f>
        <v>1.8181818181818182E-3</v>
      </c>
      <c r="V41" s="53">
        <f>SUM(G41:G$63)/G$65</f>
        <v>0</v>
      </c>
      <c r="W41" s="53">
        <f>SUM(M41:M$63)/M$65</f>
        <v>0</v>
      </c>
      <c r="X41" s="53">
        <f>SUM(N41:N$63)/N$65</f>
        <v>0</v>
      </c>
      <c r="Y41" s="53">
        <f>SUM(O41:O$63)/O$65</f>
        <v>5.4926943708270469E-2</v>
      </c>
      <c r="Z41" s="53">
        <f>SUM(P41:P$63)/P$65</f>
        <v>7.0005068790223779E-2</v>
      </c>
      <c r="AA41" s="53">
        <f>SUM(Q41:Q$63)/Q$65</f>
        <v>0</v>
      </c>
    </row>
    <row r="42" spans="1:27" x14ac:dyDescent="0.2">
      <c r="A42" s="36">
        <f t="shared" si="1"/>
        <v>487500000</v>
      </c>
      <c r="B42" s="36">
        <f t="shared" si="0"/>
        <v>500</v>
      </c>
      <c r="C42" s="40">
        <f t="array" ref="C42">COUNT(IF(YEAR(date.2006)*(gross.us.2006&gt;=$A42)*(gross.us.2006&lt;$A43),gross.us.2006))</f>
        <v>0</v>
      </c>
      <c r="D42" s="40">
        <f t="array" ref="D42">COUNT(IF(YEAR(date.2007)*(gross.us.2007&gt;=$A42)*(gross.us.2007&lt;$A43),gross.us.2007))</f>
        <v>0</v>
      </c>
      <c r="E42" s="40">
        <f t="array" ref="E42">COUNT(IF(YEAR(date.2008)*(gross.us.2008&gt;=$A42)*(gross.us.2008&lt;$A43),gross.us.2008))</f>
        <v>0</v>
      </c>
      <c r="F42" s="40">
        <f t="array" ref="F42">COUNT(IF(YEAR(date.2009)*(gross.us.2009&gt;=$A42)*(gross.us.2009&lt;$A43),gross.us.2009))</f>
        <v>0</v>
      </c>
      <c r="G42" s="40">
        <f t="array" ref="G42">COUNT(IF(YEAR(date.2010)*(gross.us.2010&gt;=A42)*(gross.us.2010&lt;A43),gross.us.2010))</f>
        <v>0</v>
      </c>
      <c r="H42" s="39">
        <f>SUM(C42:C$45)</f>
        <v>0</v>
      </c>
      <c r="I42" s="39">
        <f>SUM(D42:D$45)</f>
        <v>0</v>
      </c>
      <c r="J42" s="39">
        <f>SUM(E42:E$45)</f>
        <v>1</v>
      </c>
      <c r="K42" s="39">
        <f>SUM(F42:F$45)</f>
        <v>0</v>
      </c>
      <c r="L42" s="39">
        <f>SUM(G42:G$45)</f>
        <v>0</v>
      </c>
      <c r="M42" s="36">
        <f t="array" ref="M42">SUM(IF(YEAR(date.2006)*(gross.us.2006&gt;=$A42)*(gross.us.2006&lt;$A43),gross.us.2006))</f>
        <v>0</v>
      </c>
      <c r="N42" s="36">
        <f t="array" ref="N42">SUM(IF(YEAR(date.2007)*(gross.us.2007&gt;=$A42)*(gross.us.2007&lt;$A43),gross.us.2007))</f>
        <v>0</v>
      </c>
      <c r="O42" s="36">
        <f t="array" ref="O42">SUM(IF(YEAR(date.2008)*(gross.us.2008&gt;=$A42)*(gross.us.2008&lt;$A43),gross.us.2008))</f>
        <v>0</v>
      </c>
      <c r="P42" s="36">
        <f t="array" ref="P42">SUM(IF(YEAR(date.2009)*(gross.us.2009&gt;=$A42)*(gross.us.2009&lt;$A43),gross.us.2009))</f>
        <v>0</v>
      </c>
      <c r="Q42" s="36">
        <f t="array" ref="Q42">SUM(IF(YEAR(date.2010)*(gross.us.2010&gt;=$A42)*(gross.us.2010&lt;$A43),gross.us.2010))</f>
        <v>0</v>
      </c>
      <c r="R42" s="53">
        <f>SUM(C42:C$63)/C$65</f>
        <v>0</v>
      </c>
      <c r="S42" s="53">
        <f>SUM(D42:D$63)/D$65</f>
        <v>0</v>
      </c>
      <c r="T42" s="53">
        <f>SUM(E42:E$63)/E$65</f>
        <v>1.6129032258064516E-3</v>
      </c>
      <c r="U42" s="53">
        <f>SUM(F42:F$63)/F$65</f>
        <v>1.8181818181818182E-3</v>
      </c>
      <c r="V42" s="53">
        <f>SUM(G42:G$63)/G$65</f>
        <v>0</v>
      </c>
      <c r="W42" s="53">
        <f>SUM(M42:M$63)/M$65</f>
        <v>0</v>
      </c>
      <c r="X42" s="53">
        <f>SUM(N42:N$63)/N$65</f>
        <v>0</v>
      </c>
      <c r="Y42" s="53">
        <f>SUM(O42:O$63)/O$65</f>
        <v>5.4926943708270469E-2</v>
      </c>
      <c r="Z42" s="53">
        <f>SUM(P42:P$63)/P$65</f>
        <v>7.0005068790223779E-2</v>
      </c>
      <c r="AA42" s="53">
        <f>SUM(Q42:Q$63)/Q$65</f>
        <v>0</v>
      </c>
    </row>
    <row r="43" spans="1:27" x14ac:dyDescent="0.2">
      <c r="A43" s="36">
        <f t="shared" si="1"/>
        <v>500000000</v>
      </c>
      <c r="B43" s="36">
        <f t="shared" si="0"/>
        <v>512.5</v>
      </c>
      <c r="C43" s="40">
        <f t="array" ref="C43">COUNT(IF(YEAR(date.2006)*(gross.us.2006&gt;=$A43)*(gross.us.2006&lt;$A44),gross.us.2006))</f>
        <v>0</v>
      </c>
      <c r="D43" s="40">
        <f t="array" ref="D43">COUNT(IF(YEAR(date.2007)*(gross.us.2007&gt;=$A43)*(gross.us.2007&lt;$A44),gross.us.2007))</f>
        <v>0</v>
      </c>
      <c r="E43" s="40">
        <f t="array" ref="E43">COUNT(IF(YEAR(date.2008)*(gross.us.2008&gt;=$A43)*(gross.us.2008&lt;$A44),gross.us.2008))</f>
        <v>0</v>
      </c>
      <c r="F43" s="40">
        <f t="array" ref="F43">COUNT(IF(YEAR(date.2009)*(gross.us.2009&gt;=$A43)*(gross.us.2009&lt;$A44),gross.us.2009))</f>
        <v>0</v>
      </c>
      <c r="G43" s="40">
        <f t="array" ref="G43">COUNT(IF(YEAR(date.2010)*(gross.us.2010&gt;=A43)*(gross.us.2010&lt;A44),gross.us.2010))</f>
        <v>0</v>
      </c>
      <c r="H43" s="39">
        <f>SUM(C43:C$45)</f>
        <v>0</v>
      </c>
      <c r="I43" s="39">
        <f>SUM(D43:D$45)</f>
        <v>0</v>
      </c>
      <c r="J43" s="39">
        <f>SUM(E43:E$45)</f>
        <v>1</v>
      </c>
      <c r="K43" s="39">
        <f>SUM(F43:F$45)</f>
        <v>0</v>
      </c>
      <c r="L43" s="39">
        <f>SUM(G43:G$45)</f>
        <v>0</v>
      </c>
      <c r="M43" s="36">
        <f t="array" ref="M43">SUM(IF(YEAR(date.2006)*(gross.us.2006&gt;=$A43)*(gross.us.2006&lt;$A44),gross.us.2006))</f>
        <v>0</v>
      </c>
      <c r="N43" s="36">
        <f t="array" ref="N43">SUM(IF(YEAR(date.2007)*(gross.us.2007&gt;=$A43)*(gross.us.2007&lt;$A44),gross.us.2007))</f>
        <v>0</v>
      </c>
      <c r="O43" s="36">
        <f t="array" ref="O43">SUM(IF(YEAR(date.2008)*(gross.us.2008&gt;=$A43)*(gross.us.2008&lt;$A44),gross.us.2008))</f>
        <v>0</v>
      </c>
      <c r="P43" s="36">
        <f t="array" ref="P43">SUM(IF(YEAR(date.2009)*(gross.us.2009&gt;=$A43)*(gross.us.2009&lt;$A44),gross.us.2009))</f>
        <v>0</v>
      </c>
      <c r="Q43" s="36">
        <f t="array" ref="Q43">SUM(IF(YEAR(date.2010)*(gross.us.2010&gt;=$A43)*(gross.us.2010&lt;$A44),gross.us.2010))</f>
        <v>0</v>
      </c>
      <c r="R43" s="53">
        <f>SUM(C43:C$63)/C$65</f>
        <v>0</v>
      </c>
      <c r="S43" s="53">
        <f>SUM(D43:D$63)/D$65</f>
        <v>0</v>
      </c>
      <c r="T43" s="53">
        <f>SUM(E43:E$63)/E$65</f>
        <v>1.6129032258064516E-3</v>
      </c>
      <c r="U43" s="53">
        <f>SUM(F43:F$63)/F$65</f>
        <v>1.8181818181818182E-3</v>
      </c>
      <c r="V43" s="53">
        <f>SUM(G43:G$63)/G$65</f>
        <v>0</v>
      </c>
      <c r="W43" s="53">
        <f>SUM(M43:M$63)/M$65</f>
        <v>0</v>
      </c>
      <c r="X43" s="53">
        <f>SUM(N43:N$63)/N$65</f>
        <v>0</v>
      </c>
      <c r="Y43" s="53">
        <f>SUM(O43:O$63)/O$65</f>
        <v>5.4926943708270469E-2</v>
      </c>
      <c r="Z43" s="53">
        <f>SUM(P43:P$63)/P$65</f>
        <v>7.0005068790223779E-2</v>
      </c>
      <c r="AA43" s="53">
        <f>SUM(Q43:Q$63)/Q$65</f>
        <v>0</v>
      </c>
    </row>
    <row r="44" spans="1:27" x14ac:dyDescent="0.2">
      <c r="A44" s="36">
        <f t="shared" ref="A44:A61" si="2">A43+12500000</f>
        <v>512500000</v>
      </c>
      <c r="B44" s="36">
        <f t="shared" si="0"/>
        <v>525</v>
      </c>
      <c r="C44" s="40">
        <f t="array" ref="C44">COUNT(IF(YEAR(date.2006)*(gross.us.2006&gt;=$A44)*(gross.us.2006&lt;$A45),gross.us.2006))</f>
        <v>0</v>
      </c>
      <c r="D44" s="40">
        <f t="array" ref="D44">COUNT(IF(YEAR(date.2007)*(gross.us.2007&gt;=$A44)*(gross.us.2007&lt;$A45),gross.us.2007))</f>
        <v>0</v>
      </c>
      <c r="E44" s="40">
        <f t="array" ref="E44">COUNT(IF(YEAR(date.2008)*(gross.us.2008&gt;=$A44)*(gross.us.2008&lt;$A45),gross.us.2008))</f>
        <v>0</v>
      </c>
      <c r="F44" s="40">
        <f t="array" ref="F44">COUNT(IF(YEAR(date.2009)*(gross.us.2009&gt;=$A44)*(gross.us.2009&lt;$A45),gross.us.2009))</f>
        <v>0</v>
      </c>
      <c r="G44" s="40">
        <f t="array" ref="G44">COUNT(IF(YEAR(date.2010)*(gross.us.2010&gt;=A44)*(gross.us.2010&lt;A45),gross.us.2010))</f>
        <v>0</v>
      </c>
      <c r="H44" s="39">
        <f>SUM(C44:C$45)</f>
        <v>0</v>
      </c>
      <c r="I44" s="39">
        <f>SUM(D44:D$45)</f>
        <v>0</v>
      </c>
      <c r="J44" s="39">
        <f>SUM(E44:E$45)</f>
        <v>1</v>
      </c>
      <c r="K44" s="39">
        <f>SUM(F44:F$45)</f>
        <v>0</v>
      </c>
      <c r="L44" s="39">
        <f>SUM(G44:G$45)</f>
        <v>0</v>
      </c>
      <c r="M44" s="36">
        <f t="array" ref="M44">SUM(IF(YEAR(date.2006)*(gross.us.2006&gt;=$A44)*(gross.us.2006&lt;$A45),gross.us.2006))</f>
        <v>0</v>
      </c>
      <c r="N44" s="36">
        <f t="array" ref="N44">SUM(IF(YEAR(date.2007)*(gross.us.2007&gt;=$A44)*(gross.us.2007&lt;$A45),gross.us.2007))</f>
        <v>0</v>
      </c>
      <c r="O44" s="36">
        <f t="array" ref="O44">SUM(IF(YEAR(date.2008)*(gross.us.2008&gt;=$A44)*(gross.us.2008&lt;$A45),gross.us.2008))</f>
        <v>0</v>
      </c>
      <c r="P44" s="36">
        <f t="array" ref="P44">SUM(IF(YEAR(date.2009)*(gross.us.2009&gt;=$A44)*(gross.us.2009&lt;$A45),gross.us.2009))</f>
        <v>0</v>
      </c>
      <c r="Q44" s="36">
        <f t="array" ref="Q44">SUM(IF(YEAR(date.2010)*(gross.us.2010&gt;=$A44)*(gross.us.2010&lt;$A45),gross.us.2010))</f>
        <v>0</v>
      </c>
      <c r="R44" s="53">
        <f>SUM(C44:C$63)/C$65</f>
        <v>0</v>
      </c>
      <c r="S44" s="53">
        <f>SUM(D44:D$63)/D$65</f>
        <v>0</v>
      </c>
      <c r="T44" s="53">
        <f>SUM(E44:E$63)/E$65</f>
        <v>1.6129032258064516E-3</v>
      </c>
      <c r="U44" s="53">
        <f>SUM(F44:F$63)/F$65</f>
        <v>1.8181818181818182E-3</v>
      </c>
      <c r="V44" s="53">
        <f>SUM(G44:G$63)/G$65</f>
        <v>0</v>
      </c>
      <c r="W44" s="53">
        <f>SUM(M44:M$63)/M$65</f>
        <v>0</v>
      </c>
      <c r="X44" s="53">
        <f>SUM(N44:N$63)/N$65</f>
        <v>0</v>
      </c>
      <c r="Y44" s="53">
        <f>SUM(O44:O$63)/O$65</f>
        <v>5.4926943708270469E-2</v>
      </c>
      <c r="Z44" s="53">
        <f>SUM(P44:P$63)/P$65</f>
        <v>7.0005068790223779E-2</v>
      </c>
      <c r="AA44" s="53">
        <f>SUM(Q44:Q$63)/Q$65</f>
        <v>0</v>
      </c>
    </row>
    <row r="45" spans="1:27" x14ac:dyDescent="0.2">
      <c r="A45" s="36">
        <f t="shared" si="2"/>
        <v>525000000</v>
      </c>
      <c r="B45" s="36">
        <f t="shared" si="0"/>
        <v>537.5</v>
      </c>
      <c r="C45" s="40">
        <f t="array" ref="C45">COUNT(IF(YEAR(date.2006)*(gross.us.2006&gt;=$A45)*(gross.us.2006&lt;$A46),gross.us.2006))</f>
        <v>0</v>
      </c>
      <c r="D45" s="40">
        <f t="array" ref="D45">COUNT(IF(YEAR(date.2007)*(gross.us.2007&gt;=$A45)*(gross.us.2007&lt;$A46),gross.us.2007))</f>
        <v>0</v>
      </c>
      <c r="E45" s="40">
        <f t="array" ref="E45">COUNT(IF(YEAR(date.2008)*(gross.us.2008&gt;=$A45)*(gross.us.2008&lt;$A46),gross.us.2008))</f>
        <v>1</v>
      </c>
      <c r="F45" s="40">
        <f t="array" ref="F45">COUNT(IF(YEAR(date.2009)*(gross.us.2009&gt;=$A45)*(gross.us.2009&lt;$A46),gross.us.2009))</f>
        <v>0</v>
      </c>
      <c r="G45" s="40">
        <f t="array" ref="G45">COUNT(IF(YEAR(date.2010)*(gross.us.2010&gt;=A45)*(gross.us.2010&lt;A46),gross.us.2010))</f>
        <v>0</v>
      </c>
      <c r="H45" s="39">
        <f>SUM(C45:C$45)</f>
        <v>0</v>
      </c>
      <c r="I45" s="39">
        <f>SUM(D45:D$45)</f>
        <v>0</v>
      </c>
      <c r="J45" s="39">
        <f>SUM(E45:E$45)</f>
        <v>1</v>
      </c>
      <c r="K45" s="39">
        <f>SUM(F45:F$45)</f>
        <v>0</v>
      </c>
      <c r="L45" s="39">
        <f>SUM(G45:G$45)</f>
        <v>0</v>
      </c>
      <c r="M45" s="36">
        <f t="array" ref="M45">SUM(IF(YEAR(date.2006)*(gross.us.2006&gt;=$A45)*(gross.us.2006&lt;$A46),gross.us.2006))</f>
        <v>0</v>
      </c>
      <c r="N45" s="36">
        <f t="array" ref="N45">SUM(IF(YEAR(date.2007)*(gross.us.2007&gt;=$A45)*(gross.us.2007&lt;$A46),gross.us.2007))</f>
        <v>0</v>
      </c>
      <c r="O45" s="36">
        <f t="array" ref="O45">SUM(IF(YEAR(date.2008)*(gross.us.2008&gt;=$A45)*(gross.us.2008&lt;$A46),gross.us.2008))</f>
        <v>533345358</v>
      </c>
      <c r="P45" s="36">
        <f t="array" ref="P45">SUM(IF(YEAR(date.2009)*(gross.us.2009&gt;=$A45)*(gross.us.2009&lt;$A46),gross.us.2009))</f>
        <v>0</v>
      </c>
      <c r="Q45" s="36">
        <f t="array" ref="Q45">SUM(IF(YEAR(date.2010)*(gross.us.2010&gt;=$A45)*(gross.us.2010&lt;$A46),gross.us.2010))</f>
        <v>0</v>
      </c>
      <c r="R45" s="53">
        <f>SUM(C45:C$63)/C$65</f>
        <v>0</v>
      </c>
      <c r="S45" s="53">
        <f>SUM(D45:D$63)/D$65</f>
        <v>0</v>
      </c>
      <c r="T45" s="53">
        <f>SUM(E45:E$63)/E$65</f>
        <v>1.6129032258064516E-3</v>
      </c>
      <c r="U45" s="53">
        <f>SUM(F45:F$63)/F$65</f>
        <v>1.8181818181818182E-3</v>
      </c>
      <c r="V45" s="53">
        <f>SUM(G45:G$63)/G$65</f>
        <v>0</v>
      </c>
      <c r="W45" s="53">
        <f>SUM(M45:M$63)/M$65</f>
        <v>0</v>
      </c>
      <c r="X45" s="53">
        <f>SUM(N45:N$63)/N$65</f>
        <v>0</v>
      </c>
      <c r="Y45" s="53">
        <f>SUM(O45:O$63)/O$65</f>
        <v>5.4926943708270469E-2</v>
      </c>
      <c r="Z45" s="53">
        <f>SUM(P45:P$63)/P$65</f>
        <v>7.0005068790223779E-2</v>
      </c>
      <c r="AA45" s="53">
        <f>SUM(Q45:Q$63)/Q$65</f>
        <v>0</v>
      </c>
    </row>
    <row r="46" spans="1:27" x14ac:dyDescent="0.2">
      <c r="A46" s="36">
        <f t="shared" si="2"/>
        <v>537500000</v>
      </c>
      <c r="B46" s="36">
        <f t="shared" si="0"/>
        <v>550</v>
      </c>
      <c r="C46" s="40">
        <f t="array" ref="C46">COUNT(IF(YEAR(date.2006)*(gross.us.2006&gt;=$A46)*(gross.us.2006&lt;$A47),gross.us.2006))</f>
        <v>0</v>
      </c>
      <c r="D46" s="40">
        <f t="array" ref="D46">COUNT(IF(YEAR(date.2007)*(gross.us.2007&gt;=$A46)*(gross.us.2007&lt;$A47),gross.us.2007))</f>
        <v>0</v>
      </c>
      <c r="E46" s="40">
        <f t="array" ref="E46">COUNT(IF(YEAR(date.2008)*(gross.us.2008&gt;=$A46)*(gross.us.2008&lt;$A47),gross.us.2008))</f>
        <v>0</v>
      </c>
      <c r="F46" s="40">
        <f t="array" ref="F46">COUNT(IF(YEAR(date.2009)*(gross.us.2009&gt;=$A46)*(gross.us.2009&lt;$A47),gross.us.2009))</f>
        <v>0</v>
      </c>
      <c r="G46" s="40">
        <f t="array" ref="G46">COUNT(IF(YEAR(date.2010)*(gross.us.2010&gt;=A46)*(gross.us.2010&lt;A47),gross.us.2010))</f>
        <v>0</v>
      </c>
      <c r="H46" s="39">
        <f>SUM(C$45:C46)</f>
        <v>0</v>
      </c>
      <c r="I46" s="39">
        <f>SUM(D$45:D46)</f>
        <v>0</v>
      </c>
      <c r="J46" s="39">
        <f>SUM(E$45:E46)</f>
        <v>1</v>
      </c>
      <c r="K46" s="39">
        <f>SUM(F$45:F46)</f>
        <v>0</v>
      </c>
      <c r="L46" s="39">
        <f>SUM(G$45:G46)</f>
        <v>0</v>
      </c>
      <c r="M46" s="36">
        <f t="array" ref="M46">SUM(IF(YEAR(date.2006)*(gross.us.2006&gt;=$A46)*(gross.us.2006&lt;$A47),gross.us.2006))</f>
        <v>0</v>
      </c>
      <c r="N46" s="36">
        <f t="array" ref="N46">SUM(IF(YEAR(date.2007)*(gross.us.2007&gt;=$A46)*(gross.us.2007&lt;$A47),gross.us.2007))</f>
        <v>0</v>
      </c>
      <c r="O46" s="36">
        <f t="array" ref="O46">SUM(IF(YEAR(date.2008)*(gross.us.2008&gt;=$A46)*(gross.us.2008&lt;$A47),gross.us.2008))</f>
        <v>0</v>
      </c>
      <c r="P46" s="36">
        <f t="array" ref="P46">SUM(IF(YEAR(date.2009)*(gross.us.2009&gt;=$A46)*(gross.us.2009&lt;$A47),gross.us.2009))</f>
        <v>0</v>
      </c>
      <c r="Q46" s="36">
        <f t="array" ref="Q46">SUM(IF(YEAR(date.2010)*(gross.us.2010&gt;=$A46)*(gross.us.2010&lt;$A47),gross.us.2010))</f>
        <v>0</v>
      </c>
      <c r="R46" s="53">
        <f>SUM(C46:C$63)/C$65</f>
        <v>0</v>
      </c>
      <c r="S46" s="53">
        <f>SUM(D46:D$63)/D$65</f>
        <v>0</v>
      </c>
      <c r="T46" s="53">
        <f>SUM(E46:E$63)/E$65</f>
        <v>0</v>
      </c>
      <c r="U46" s="53">
        <f>SUM(F46:F$63)/F$65</f>
        <v>1.8181818181818182E-3</v>
      </c>
      <c r="V46" s="53">
        <f>SUM(G46:G$63)/G$65</f>
        <v>0</v>
      </c>
      <c r="W46" s="53">
        <f>SUM(M46:M$63)/M$65</f>
        <v>0</v>
      </c>
      <c r="X46" s="53">
        <f>SUM(N46:N$63)/N$65</f>
        <v>0</v>
      </c>
      <c r="Y46" s="53">
        <f>SUM(O46:O$63)/O$65</f>
        <v>0</v>
      </c>
      <c r="Z46" s="53">
        <f>SUM(P46:P$63)/P$65</f>
        <v>7.0005068790223779E-2</v>
      </c>
      <c r="AA46" s="53">
        <f>SUM(Q46:Q$63)/Q$65</f>
        <v>0</v>
      </c>
    </row>
    <row r="47" spans="1:27" x14ac:dyDescent="0.2">
      <c r="A47" s="36">
        <f t="shared" si="2"/>
        <v>550000000</v>
      </c>
      <c r="B47" s="36">
        <f t="shared" si="0"/>
        <v>562.5</v>
      </c>
      <c r="C47" s="40">
        <f t="array" ref="C47">COUNT(IF(YEAR(date.2006)*(gross.us.2006&gt;=$A47)*(gross.us.2006&lt;$A48),gross.us.2006))</f>
        <v>0</v>
      </c>
      <c r="D47" s="40">
        <f t="array" ref="D47">COUNT(IF(YEAR(date.2007)*(gross.us.2007&gt;=$A47)*(gross.us.2007&lt;$A48),gross.us.2007))</f>
        <v>0</v>
      </c>
      <c r="E47" s="40">
        <f t="array" ref="E47">COUNT(IF(YEAR(date.2008)*(gross.us.2008&gt;=$A47)*(gross.us.2008&lt;$A48),gross.us.2008))</f>
        <v>0</v>
      </c>
      <c r="F47" s="40">
        <f t="array" ref="F47">COUNT(IF(YEAR(date.2009)*(gross.us.2009&gt;=$A47)*(gross.us.2009&lt;$A48),gross.us.2009))</f>
        <v>0</v>
      </c>
      <c r="G47" s="40">
        <f t="array" ref="G47">COUNT(IF(YEAR(date.2010)*(gross.us.2010&gt;=A47)*(gross.us.2010&lt;A48),gross.us.2010))</f>
        <v>0</v>
      </c>
      <c r="H47" s="39">
        <f>SUM(C$45:C47)</f>
        <v>0</v>
      </c>
      <c r="I47" s="39">
        <f>SUM(D$45:D47)</f>
        <v>0</v>
      </c>
      <c r="J47" s="39">
        <f>SUM(E$45:E47)</f>
        <v>1</v>
      </c>
      <c r="K47" s="39">
        <f>SUM(F$45:F47)</f>
        <v>0</v>
      </c>
      <c r="L47" s="39">
        <f>SUM(G$45:G47)</f>
        <v>0</v>
      </c>
      <c r="M47" s="36">
        <f t="array" ref="M47">SUM(IF(YEAR(date.2006)*(gross.us.2006&gt;=$A47)*(gross.us.2006&lt;$A48),gross.us.2006))</f>
        <v>0</v>
      </c>
      <c r="N47" s="36">
        <f t="array" ref="N47">SUM(IF(YEAR(date.2007)*(gross.us.2007&gt;=$A47)*(gross.us.2007&lt;$A48),gross.us.2007))</f>
        <v>0</v>
      </c>
      <c r="O47" s="36">
        <f t="array" ref="O47">SUM(IF(YEAR(date.2008)*(gross.us.2008&gt;=$A47)*(gross.us.2008&lt;$A48),gross.us.2008))</f>
        <v>0</v>
      </c>
      <c r="P47" s="36">
        <f t="array" ref="P47">SUM(IF(YEAR(date.2009)*(gross.us.2009&gt;=$A47)*(gross.us.2009&lt;$A48),gross.us.2009))</f>
        <v>0</v>
      </c>
      <c r="Q47" s="36">
        <f t="array" ref="Q47">SUM(IF(YEAR(date.2010)*(gross.us.2010&gt;=$A47)*(gross.us.2010&lt;$A48),gross.us.2010))</f>
        <v>0</v>
      </c>
      <c r="R47" s="53">
        <f>SUM(C47:C$63)/C$65</f>
        <v>0</v>
      </c>
      <c r="S47" s="53">
        <f>SUM(D47:D$63)/D$65</f>
        <v>0</v>
      </c>
      <c r="T47" s="53">
        <f>SUM(E47:E$63)/E$65</f>
        <v>0</v>
      </c>
      <c r="U47" s="53">
        <f>SUM(F47:F$63)/F$65</f>
        <v>1.8181818181818182E-3</v>
      </c>
      <c r="V47" s="53">
        <f>SUM(G47:G$63)/G$65</f>
        <v>0</v>
      </c>
      <c r="W47" s="53">
        <f>SUM(M47:M$63)/M$65</f>
        <v>0</v>
      </c>
      <c r="X47" s="53">
        <f>SUM(N47:N$63)/N$65</f>
        <v>0</v>
      </c>
      <c r="Y47" s="53">
        <f>SUM(O47:O$63)/O$65</f>
        <v>0</v>
      </c>
      <c r="Z47" s="53">
        <f>SUM(P47:P$63)/P$65</f>
        <v>7.0005068790223779E-2</v>
      </c>
      <c r="AA47" s="53">
        <f>SUM(Q47:Q$63)/Q$65</f>
        <v>0</v>
      </c>
    </row>
    <row r="48" spans="1:27" x14ac:dyDescent="0.2">
      <c r="A48" s="36">
        <f t="shared" si="2"/>
        <v>562500000</v>
      </c>
      <c r="B48" s="36">
        <f t="shared" si="0"/>
        <v>575</v>
      </c>
      <c r="C48" s="40">
        <f t="array" ref="C48">COUNT(IF(YEAR(date.2006)*(gross.us.2006&gt;=$A48)*(gross.us.2006&lt;$A49),gross.us.2006))</f>
        <v>0</v>
      </c>
      <c r="D48" s="40">
        <f t="array" ref="D48">COUNT(IF(YEAR(date.2007)*(gross.us.2007&gt;=$A48)*(gross.us.2007&lt;$A49),gross.us.2007))</f>
        <v>0</v>
      </c>
      <c r="E48" s="40">
        <f t="array" ref="E48">COUNT(IF(YEAR(date.2008)*(gross.us.2008&gt;=$A48)*(gross.us.2008&lt;$A49),gross.us.2008))</f>
        <v>0</v>
      </c>
      <c r="F48" s="40">
        <f t="array" ref="F48">COUNT(IF(YEAR(date.2009)*(gross.us.2009&gt;=$A48)*(gross.us.2009&lt;$A49),gross.us.2009))</f>
        <v>0</v>
      </c>
      <c r="G48" s="40">
        <f t="array" ref="G48">COUNT(IF(YEAR(date.2010)*(gross.us.2010&gt;=A48)*(gross.us.2010&lt;A49),gross.us.2010))</f>
        <v>0</v>
      </c>
      <c r="H48" s="39">
        <f>SUM(C$45:C48)</f>
        <v>0</v>
      </c>
      <c r="I48" s="39">
        <f>SUM(D$45:D48)</f>
        <v>0</v>
      </c>
      <c r="J48" s="39">
        <f>SUM(E$45:E48)</f>
        <v>1</v>
      </c>
      <c r="K48" s="39">
        <f>SUM(F$45:F48)</f>
        <v>0</v>
      </c>
      <c r="L48" s="39">
        <f>SUM(G$45:G48)</f>
        <v>0</v>
      </c>
      <c r="M48" s="36">
        <f t="array" ref="M48">SUM(IF(YEAR(date.2006)*(gross.us.2006&gt;=$A48)*(gross.us.2006&lt;$A49),gross.us.2006))</f>
        <v>0</v>
      </c>
      <c r="N48" s="36">
        <f t="array" ref="N48">SUM(IF(YEAR(date.2007)*(gross.us.2007&gt;=$A48)*(gross.us.2007&lt;$A49),gross.us.2007))</f>
        <v>0</v>
      </c>
      <c r="O48" s="36">
        <f t="array" ref="O48">SUM(IF(YEAR(date.2008)*(gross.us.2008&gt;=$A48)*(gross.us.2008&lt;$A49),gross.us.2008))</f>
        <v>0</v>
      </c>
      <c r="P48" s="36">
        <f t="array" ref="P48">SUM(IF(YEAR(date.2009)*(gross.us.2009&gt;=$A48)*(gross.us.2009&lt;$A49),gross.us.2009))</f>
        <v>0</v>
      </c>
      <c r="Q48" s="36">
        <f t="array" ref="Q48">SUM(IF(YEAR(date.2010)*(gross.us.2010&gt;=$A48)*(gross.us.2010&lt;$A49),gross.us.2010))</f>
        <v>0</v>
      </c>
      <c r="R48" s="53">
        <f>SUM(C48:C$63)/C$65</f>
        <v>0</v>
      </c>
      <c r="S48" s="53">
        <f>SUM(D48:D$63)/D$65</f>
        <v>0</v>
      </c>
      <c r="T48" s="53">
        <f>SUM(E48:E$63)/E$65</f>
        <v>0</v>
      </c>
      <c r="U48" s="53">
        <f>SUM(F48:F$63)/F$65</f>
        <v>1.8181818181818182E-3</v>
      </c>
      <c r="V48" s="53">
        <f>SUM(G48:G$63)/G$65</f>
        <v>0</v>
      </c>
      <c r="W48" s="53">
        <f>SUM(M48:M$63)/M$65</f>
        <v>0</v>
      </c>
      <c r="X48" s="53">
        <f>SUM(N48:N$63)/N$65</f>
        <v>0</v>
      </c>
      <c r="Y48" s="53">
        <f>SUM(O48:O$63)/O$65</f>
        <v>0</v>
      </c>
      <c r="Z48" s="53">
        <f>SUM(P48:P$63)/P$65</f>
        <v>7.0005068790223779E-2</v>
      </c>
      <c r="AA48" s="53">
        <f>SUM(Q48:Q$63)/Q$65</f>
        <v>0</v>
      </c>
    </row>
    <row r="49" spans="1:27" x14ac:dyDescent="0.2">
      <c r="A49" s="36">
        <f t="shared" si="2"/>
        <v>575000000</v>
      </c>
      <c r="B49" s="36">
        <f t="shared" si="0"/>
        <v>587.5</v>
      </c>
      <c r="C49" s="40">
        <f t="array" ref="C49">COUNT(IF(YEAR(date.2006)*(gross.us.2006&gt;=$A49)*(gross.us.2006&lt;$A50),gross.us.2006))</f>
        <v>0</v>
      </c>
      <c r="D49" s="40">
        <f t="array" ref="D49">COUNT(IF(YEAR(date.2007)*(gross.us.2007&gt;=$A49)*(gross.us.2007&lt;$A50),gross.us.2007))</f>
        <v>0</v>
      </c>
      <c r="E49" s="40">
        <f t="array" ref="E49">COUNT(IF(YEAR(date.2008)*(gross.us.2008&gt;=$A49)*(gross.us.2008&lt;$A50),gross.us.2008))</f>
        <v>0</v>
      </c>
      <c r="F49" s="40">
        <f t="array" ref="F49">COUNT(IF(YEAR(date.2009)*(gross.us.2009&gt;=$A49)*(gross.us.2009&lt;$A50),gross.us.2009))</f>
        <v>0</v>
      </c>
      <c r="G49" s="40">
        <f t="array" ref="G49">COUNT(IF(YEAR(date.2010)*(gross.us.2010&gt;=A49)*(gross.us.2010&lt;A50),gross.us.2010))</f>
        <v>0</v>
      </c>
      <c r="H49" s="39">
        <f>SUM(C$45:C49)</f>
        <v>0</v>
      </c>
      <c r="I49" s="39">
        <f>SUM(D$45:D49)</f>
        <v>0</v>
      </c>
      <c r="J49" s="39">
        <f>SUM(E$45:E49)</f>
        <v>1</v>
      </c>
      <c r="K49" s="39">
        <f>SUM(F$45:F49)</f>
        <v>0</v>
      </c>
      <c r="L49" s="39">
        <f>SUM(G$45:G49)</f>
        <v>0</v>
      </c>
      <c r="M49" s="36">
        <f t="array" ref="M49">SUM(IF(YEAR(date.2006)*(gross.us.2006&gt;=$A49)*(gross.us.2006&lt;$A50),gross.us.2006))</f>
        <v>0</v>
      </c>
      <c r="N49" s="36">
        <f t="array" ref="N49">SUM(IF(YEAR(date.2007)*(gross.us.2007&gt;=$A49)*(gross.us.2007&lt;$A50),gross.us.2007))</f>
        <v>0</v>
      </c>
      <c r="O49" s="36">
        <f t="array" ref="O49">SUM(IF(YEAR(date.2008)*(gross.us.2008&gt;=$A49)*(gross.us.2008&lt;$A50),gross.us.2008))</f>
        <v>0</v>
      </c>
      <c r="P49" s="36">
        <f t="array" ref="P49">SUM(IF(YEAR(date.2009)*(gross.us.2009&gt;=$A49)*(gross.us.2009&lt;$A50),gross.us.2009))</f>
        <v>0</v>
      </c>
      <c r="Q49" s="36">
        <f t="array" ref="Q49">SUM(IF(YEAR(date.2010)*(gross.us.2010&gt;=$A49)*(gross.us.2010&lt;$A50),gross.us.2010))</f>
        <v>0</v>
      </c>
      <c r="R49" s="53">
        <f>SUM(C49:C$63)/C$65</f>
        <v>0</v>
      </c>
      <c r="S49" s="53">
        <f>SUM(D49:D$63)/D$65</f>
        <v>0</v>
      </c>
      <c r="T49" s="53">
        <f>SUM(E49:E$63)/E$65</f>
        <v>0</v>
      </c>
      <c r="U49" s="53">
        <f>SUM(F49:F$63)/F$65</f>
        <v>1.8181818181818182E-3</v>
      </c>
      <c r="V49" s="53">
        <f>SUM(G49:G$63)/G$65</f>
        <v>0</v>
      </c>
      <c r="W49" s="53">
        <f>SUM(M49:M$63)/M$65</f>
        <v>0</v>
      </c>
      <c r="X49" s="53">
        <f>SUM(N49:N$63)/N$65</f>
        <v>0</v>
      </c>
      <c r="Y49" s="53">
        <f>SUM(O49:O$63)/O$65</f>
        <v>0</v>
      </c>
      <c r="Z49" s="53">
        <f>SUM(P49:P$63)/P$65</f>
        <v>7.0005068790223779E-2</v>
      </c>
      <c r="AA49" s="53">
        <f>SUM(Q49:Q$63)/Q$65</f>
        <v>0</v>
      </c>
    </row>
    <row r="50" spans="1:27" x14ac:dyDescent="0.2">
      <c r="A50" s="36">
        <f t="shared" si="2"/>
        <v>587500000</v>
      </c>
      <c r="B50" s="36">
        <f t="shared" si="0"/>
        <v>600</v>
      </c>
      <c r="C50" s="40">
        <f t="array" ref="C50">COUNT(IF(YEAR(date.2006)*(gross.us.2006&gt;=$A50)*(gross.us.2006&lt;$A51),gross.us.2006))</f>
        <v>0</v>
      </c>
      <c r="D50" s="40">
        <f t="array" ref="D50">COUNT(IF(YEAR(date.2007)*(gross.us.2007&gt;=$A50)*(gross.us.2007&lt;$A51),gross.us.2007))</f>
        <v>0</v>
      </c>
      <c r="E50" s="40">
        <f t="array" ref="E50">COUNT(IF(YEAR(date.2008)*(gross.us.2008&gt;=$A50)*(gross.us.2008&lt;$A51),gross.us.2008))</f>
        <v>0</v>
      </c>
      <c r="F50" s="40">
        <f t="array" ref="F50">COUNT(IF(YEAR(date.2009)*(gross.us.2009&gt;=$A50)*(gross.us.2009&lt;$A51),gross.us.2009))</f>
        <v>0</v>
      </c>
      <c r="G50" s="40">
        <f t="array" ref="G50">COUNT(IF(YEAR(date.2010)*(gross.us.2010&gt;=A50)*(gross.us.2010&lt;A51),gross.us.2010))</f>
        <v>0</v>
      </c>
      <c r="H50" s="39">
        <f>SUM(C$45:C50)</f>
        <v>0</v>
      </c>
      <c r="I50" s="39">
        <f>SUM(D$45:D50)</f>
        <v>0</v>
      </c>
      <c r="J50" s="39">
        <f>SUM(E$45:E50)</f>
        <v>1</v>
      </c>
      <c r="K50" s="39">
        <f>SUM(F$45:F50)</f>
        <v>0</v>
      </c>
      <c r="L50" s="39">
        <f>SUM(G$45:G50)</f>
        <v>0</v>
      </c>
      <c r="M50" s="36">
        <f t="array" ref="M50">SUM(IF(YEAR(date.2006)*(gross.us.2006&gt;=$A50)*(gross.us.2006&lt;$A51),gross.us.2006))</f>
        <v>0</v>
      </c>
      <c r="N50" s="36">
        <f t="array" ref="N50">SUM(IF(YEAR(date.2007)*(gross.us.2007&gt;=$A50)*(gross.us.2007&lt;$A51),gross.us.2007))</f>
        <v>0</v>
      </c>
      <c r="O50" s="36">
        <f t="array" ref="O50">SUM(IF(YEAR(date.2008)*(gross.us.2008&gt;=$A50)*(gross.us.2008&lt;$A51),gross.us.2008))</f>
        <v>0</v>
      </c>
      <c r="P50" s="36">
        <f t="array" ref="P50">SUM(IF(YEAR(date.2009)*(gross.us.2009&gt;=$A50)*(gross.us.2009&lt;$A51),gross.us.2009))</f>
        <v>0</v>
      </c>
      <c r="Q50" s="36">
        <f t="array" ref="Q50">SUM(IF(YEAR(date.2010)*(gross.us.2010&gt;=$A50)*(gross.us.2010&lt;$A51),gross.us.2010))</f>
        <v>0</v>
      </c>
      <c r="R50" s="53">
        <f>SUM(C50:C$63)/C$65</f>
        <v>0</v>
      </c>
      <c r="S50" s="53">
        <f>SUM(D50:D$63)/D$65</f>
        <v>0</v>
      </c>
      <c r="T50" s="53">
        <f>SUM(E50:E$63)/E$65</f>
        <v>0</v>
      </c>
      <c r="U50" s="53">
        <f>SUM(F50:F$63)/F$65</f>
        <v>1.8181818181818182E-3</v>
      </c>
      <c r="V50" s="53">
        <f>SUM(G50:G$63)/G$65</f>
        <v>0</v>
      </c>
      <c r="W50" s="53">
        <f>SUM(M50:M$63)/M$65</f>
        <v>0</v>
      </c>
      <c r="X50" s="53">
        <f>SUM(N50:N$63)/N$65</f>
        <v>0</v>
      </c>
      <c r="Y50" s="53">
        <f>SUM(O50:O$63)/O$65</f>
        <v>0</v>
      </c>
      <c r="Z50" s="53">
        <f>SUM(P50:P$63)/P$65</f>
        <v>7.0005068790223779E-2</v>
      </c>
      <c r="AA50" s="53">
        <f>SUM(Q50:Q$63)/Q$65</f>
        <v>0</v>
      </c>
    </row>
    <row r="51" spans="1:27" x14ac:dyDescent="0.2">
      <c r="A51" s="36">
        <f t="shared" si="2"/>
        <v>600000000</v>
      </c>
      <c r="B51" s="36">
        <f t="shared" si="0"/>
        <v>612.5</v>
      </c>
      <c r="C51" s="40">
        <f t="array" ref="C51">COUNT(IF(YEAR(date.2006)*(gross.us.2006&gt;=$A51)*(gross.us.2006&lt;$A52),gross.us.2006))</f>
        <v>0</v>
      </c>
      <c r="D51" s="40">
        <f t="array" ref="D51">COUNT(IF(YEAR(date.2007)*(gross.us.2007&gt;=$A51)*(gross.us.2007&lt;$A52),gross.us.2007))</f>
        <v>0</v>
      </c>
      <c r="E51" s="40">
        <f t="array" ref="E51">COUNT(IF(YEAR(date.2008)*(gross.us.2008&gt;=$A51)*(gross.us.2008&lt;$A52),gross.us.2008))</f>
        <v>0</v>
      </c>
      <c r="F51" s="40">
        <f t="array" ref="F51">COUNT(IF(YEAR(date.2009)*(gross.us.2009&gt;=$A51)*(gross.us.2009&lt;$A52),gross.us.2009))</f>
        <v>0</v>
      </c>
      <c r="G51" s="40">
        <f t="array" ref="G51">COUNT(IF(YEAR(date.2010)*(gross.us.2010&gt;=A51)*(gross.us.2010&lt;A52),gross.us.2010))</f>
        <v>0</v>
      </c>
      <c r="H51" s="39">
        <f>SUM(C$45:C51)</f>
        <v>0</v>
      </c>
      <c r="I51" s="39">
        <f>SUM(D$45:D51)</f>
        <v>0</v>
      </c>
      <c r="J51" s="39">
        <f>SUM(E$45:E51)</f>
        <v>1</v>
      </c>
      <c r="K51" s="39">
        <f>SUM(F$45:F51)</f>
        <v>0</v>
      </c>
      <c r="L51" s="39">
        <f>SUM(G$45:G51)</f>
        <v>0</v>
      </c>
      <c r="M51" s="36">
        <f t="array" ref="M51">SUM(IF(YEAR(date.2006)*(gross.us.2006&gt;=$A51)*(gross.us.2006&lt;$A52),gross.us.2006))</f>
        <v>0</v>
      </c>
      <c r="N51" s="36">
        <f t="array" ref="N51">SUM(IF(YEAR(date.2007)*(gross.us.2007&gt;=$A51)*(gross.us.2007&lt;$A52),gross.us.2007))</f>
        <v>0</v>
      </c>
      <c r="O51" s="36">
        <f t="array" ref="O51">SUM(IF(YEAR(date.2008)*(gross.us.2008&gt;=$A51)*(gross.us.2008&lt;$A52),gross.us.2008))</f>
        <v>0</v>
      </c>
      <c r="P51" s="36">
        <f t="array" ref="P51">SUM(IF(YEAR(date.2009)*(gross.us.2009&gt;=$A51)*(gross.us.2009&lt;$A52),gross.us.2009))</f>
        <v>0</v>
      </c>
      <c r="Q51" s="36">
        <f t="array" ref="Q51">SUM(IF(YEAR(date.2010)*(gross.us.2010&gt;=$A51)*(gross.us.2010&lt;$A52),gross.us.2010))</f>
        <v>0</v>
      </c>
      <c r="R51" s="53">
        <f>SUM(C51:C$63)/C$65</f>
        <v>0</v>
      </c>
      <c r="S51" s="53">
        <f>SUM(D51:D$63)/D$65</f>
        <v>0</v>
      </c>
      <c r="T51" s="53">
        <f>SUM(E51:E$63)/E$65</f>
        <v>0</v>
      </c>
      <c r="U51" s="53">
        <f>SUM(F51:F$63)/F$65</f>
        <v>1.8181818181818182E-3</v>
      </c>
      <c r="V51" s="53">
        <f>SUM(G51:G$63)/G$65</f>
        <v>0</v>
      </c>
      <c r="W51" s="53">
        <f>SUM(M51:M$63)/M$65</f>
        <v>0</v>
      </c>
      <c r="X51" s="53">
        <f>SUM(N51:N$63)/N$65</f>
        <v>0</v>
      </c>
      <c r="Y51" s="53">
        <f>SUM(O51:O$63)/O$65</f>
        <v>0</v>
      </c>
      <c r="Z51" s="53">
        <f>SUM(P51:P$63)/P$65</f>
        <v>7.0005068790223779E-2</v>
      </c>
      <c r="AA51" s="53">
        <f>SUM(Q51:Q$63)/Q$65</f>
        <v>0</v>
      </c>
    </row>
    <row r="52" spans="1:27" x14ac:dyDescent="0.2">
      <c r="A52" s="36">
        <f t="shared" si="2"/>
        <v>612500000</v>
      </c>
      <c r="B52" s="36">
        <f t="shared" si="0"/>
        <v>625</v>
      </c>
      <c r="C52" s="40">
        <f t="array" ref="C52">COUNT(IF(YEAR(date.2006)*(gross.us.2006&gt;=$A52)*(gross.us.2006&lt;$A53),gross.us.2006))</f>
        <v>0</v>
      </c>
      <c r="D52" s="40">
        <f t="array" ref="D52">COUNT(IF(YEAR(date.2007)*(gross.us.2007&gt;=$A52)*(gross.us.2007&lt;$A53),gross.us.2007))</f>
        <v>0</v>
      </c>
      <c r="E52" s="40">
        <f t="array" ref="E52">COUNT(IF(YEAR(date.2008)*(gross.us.2008&gt;=$A52)*(gross.us.2008&lt;$A53),gross.us.2008))</f>
        <v>0</v>
      </c>
      <c r="F52" s="40">
        <f t="array" ref="F52">COUNT(IF(YEAR(date.2009)*(gross.us.2009&gt;=$A52)*(gross.us.2009&lt;$A53),gross.us.2009))</f>
        <v>0</v>
      </c>
      <c r="G52" s="40">
        <f t="array" ref="G52">COUNT(IF(YEAR(date.2010)*(gross.us.2010&gt;=A52)*(gross.us.2010&lt;A53),gross.us.2010))</f>
        <v>0</v>
      </c>
      <c r="H52" s="39">
        <f>SUM(C$45:C52)</f>
        <v>0</v>
      </c>
      <c r="I52" s="39">
        <f>SUM(D$45:D52)</f>
        <v>0</v>
      </c>
      <c r="J52" s="39">
        <f>SUM(E$45:E52)</f>
        <v>1</v>
      </c>
      <c r="K52" s="39">
        <f>SUM(F$45:F52)</f>
        <v>0</v>
      </c>
      <c r="L52" s="39">
        <f>SUM(G$45:G52)</f>
        <v>0</v>
      </c>
      <c r="M52" s="36">
        <f t="array" ref="M52">SUM(IF(YEAR(date.2006)*(gross.us.2006&gt;=$A52)*(gross.us.2006&lt;$A53),gross.us.2006))</f>
        <v>0</v>
      </c>
      <c r="N52" s="36">
        <f t="array" ref="N52">SUM(IF(YEAR(date.2007)*(gross.us.2007&gt;=$A52)*(gross.us.2007&lt;$A53),gross.us.2007))</f>
        <v>0</v>
      </c>
      <c r="O52" s="36">
        <f t="array" ref="O52">SUM(IF(YEAR(date.2008)*(gross.us.2008&gt;=$A52)*(gross.us.2008&lt;$A53),gross.us.2008))</f>
        <v>0</v>
      </c>
      <c r="P52" s="36">
        <f t="array" ref="P52">SUM(IF(YEAR(date.2009)*(gross.us.2009&gt;=$A52)*(gross.us.2009&lt;$A53),gross.us.2009))</f>
        <v>0</v>
      </c>
      <c r="Q52" s="36">
        <f t="array" ref="Q52">SUM(IF(YEAR(date.2010)*(gross.us.2010&gt;=$A52)*(gross.us.2010&lt;$A53),gross.us.2010))</f>
        <v>0</v>
      </c>
      <c r="R52" s="53">
        <f>SUM(C52:C$63)/C$65</f>
        <v>0</v>
      </c>
      <c r="S52" s="53">
        <f>SUM(D52:D$63)/D$65</f>
        <v>0</v>
      </c>
      <c r="T52" s="53">
        <f>SUM(E52:E$63)/E$65</f>
        <v>0</v>
      </c>
      <c r="U52" s="53">
        <f>SUM(F52:F$63)/F$65</f>
        <v>1.8181818181818182E-3</v>
      </c>
      <c r="V52" s="53">
        <f>SUM(G52:G$63)/G$65</f>
        <v>0</v>
      </c>
      <c r="W52" s="53">
        <f>SUM(M52:M$63)/M$65</f>
        <v>0</v>
      </c>
      <c r="X52" s="53">
        <f>SUM(N52:N$63)/N$65</f>
        <v>0</v>
      </c>
      <c r="Y52" s="53">
        <f>SUM(O52:O$63)/O$65</f>
        <v>0</v>
      </c>
      <c r="Z52" s="53">
        <f>SUM(P52:P$63)/P$65</f>
        <v>7.0005068790223779E-2</v>
      </c>
      <c r="AA52" s="53">
        <f>SUM(Q52:Q$63)/Q$65</f>
        <v>0</v>
      </c>
    </row>
    <row r="53" spans="1:27" x14ac:dyDescent="0.2">
      <c r="A53" s="36">
        <f t="shared" si="2"/>
        <v>625000000</v>
      </c>
      <c r="B53" s="36">
        <f t="shared" si="0"/>
        <v>637.5</v>
      </c>
      <c r="C53" s="40">
        <f t="array" ref="C53">COUNT(IF(YEAR(date.2006)*(gross.us.2006&gt;=$A53)*(gross.us.2006&lt;$A54),gross.us.2006))</f>
        <v>0</v>
      </c>
      <c r="D53" s="40">
        <f t="array" ref="D53">COUNT(IF(YEAR(date.2007)*(gross.us.2007&gt;=$A53)*(gross.us.2007&lt;$A54),gross.us.2007))</f>
        <v>0</v>
      </c>
      <c r="E53" s="40">
        <f t="array" ref="E53">COUNT(IF(YEAR(date.2008)*(gross.us.2008&gt;=$A53)*(gross.us.2008&lt;$A54),gross.us.2008))</f>
        <v>0</v>
      </c>
      <c r="F53" s="40">
        <f t="array" ref="F53">COUNT(IF(YEAR(date.2009)*(gross.us.2009&gt;=$A53)*(gross.us.2009&lt;$A54),gross.us.2009))</f>
        <v>0</v>
      </c>
      <c r="G53" s="40">
        <f t="array" ref="G53">COUNT(IF(YEAR(date.2010)*(gross.us.2010&gt;=A53)*(gross.us.2010&lt;A54),gross.us.2010))</f>
        <v>0</v>
      </c>
      <c r="H53" s="39">
        <f>SUM(C$45:C53)</f>
        <v>0</v>
      </c>
      <c r="I53" s="39">
        <f>SUM(D$45:D53)</f>
        <v>0</v>
      </c>
      <c r="J53" s="39">
        <f>SUM(E$45:E53)</f>
        <v>1</v>
      </c>
      <c r="K53" s="39">
        <f>SUM(F$45:F53)</f>
        <v>0</v>
      </c>
      <c r="L53" s="39">
        <f>SUM(G$45:G53)</f>
        <v>0</v>
      </c>
      <c r="M53" s="36">
        <f t="array" ref="M53">SUM(IF(YEAR(date.2006)*(gross.us.2006&gt;=$A53)*(gross.us.2006&lt;$A54),gross.us.2006))</f>
        <v>0</v>
      </c>
      <c r="N53" s="36">
        <f t="array" ref="N53">SUM(IF(YEAR(date.2007)*(gross.us.2007&gt;=$A53)*(gross.us.2007&lt;$A54),gross.us.2007))</f>
        <v>0</v>
      </c>
      <c r="O53" s="36">
        <f t="array" ref="O53">SUM(IF(YEAR(date.2008)*(gross.us.2008&gt;=$A53)*(gross.us.2008&lt;$A54),gross.us.2008))</f>
        <v>0</v>
      </c>
      <c r="P53" s="36">
        <f t="array" ref="P53">SUM(IF(YEAR(date.2009)*(gross.us.2009&gt;=$A53)*(gross.us.2009&lt;$A54),gross.us.2009))</f>
        <v>0</v>
      </c>
      <c r="Q53" s="36">
        <f t="array" ref="Q53">SUM(IF(YEAR(date.2010)*(gross.us.2010&gt;=$A53)*(gross.us.2010&lt;$A54),gross.us.2010))</f>
        <v>0</v>
      </c>
      <c r="R53" s="53">
        <f>SUM(C53:C$63)/C$65</f>
        <v>0</v>
      </c>
      <c r="S53" s="53">
        <f>SUM(D53:D$63)/D$65</f>
        <v>0</v>
      </c>
      <c r="T53" s="53">
        <f>SUM(E53:E$63)/E$65</f>
        <v>0</v>
      </c>
      <c r="U53" s="53">
        <f>SUM(F53:F$63)/F$65</f>
        <v>1.8181818181818182E-3</v>
      </c>
      <c r="V53" s="53">
        <f>SUM(G53:G$63)/G$65</f>
        <v>0</v>
      </c>
      <c r="W53" s="53">
        <f>SUM(M53:M$63)/M$65</f>
        <v>0</v>
      </c>
      <c r="X53" s="53">
        <f>SUM(N53:N$63)/N$65</f>
        <v>0</v>
      </c>
      <c r="Y53" s="53">
        <f>SUM(O53:O$63)/O$65</f>
        <v>0</v>
      </c>
      <c r="Z53" s="53">
        <f>SUM(P53:P$63)/P$65</f>
        <v>7.0005068790223779E-2</v>
      </c>
      <c r="AA53" s="53">
        <f>SUM(Q53:Q$63)/Q$65</f>
        <v>0</v>
      </c>
    </row>
    <row r="54" spans="1:27" x14ac:dyDescent="0.2">
      <c r="A54" s="36">
        <f t="shared" si="2"/>
        <v>637500000</v>
      </c>
      <c r="B54" s="36">
        <f t="shared" si="0"/>
        <v>650</v>
      </c>
      <c r="C54" s="40">
        <f t="array" ref="C54">COUNT(IF(YEAR(date.2006)*(gross.us.2006&gt;=$A54)*(gross.us.2006&lt;$A55),gross.us.2006))</f>
        <v>0</v>
      </c>
      <c r="D54" s="40">
        <f t="array" ref="D54">COUNT(IF(YEAR(date.2007)*(gross.us.2007&gt;=$A54)*(gross.us.2007&lt;$A55),gross.us.2007))</f>
        <v>0</v>
      </c>
      <c r="E54" s="40">
        <f t="array" ref="E54">COUNT(IF(YEAR(date.2008)*(gross.us.2008&gt;=$A54)*(gross.us.2008&lt;$A55),gross.us.2008))</f>
        <v>0</v>
      </c>
      <c r="F54" s="40">
        <f t="array" ref="F54">COUNT(IF(YEAR(date.2009)*(gross.us.2009&gt;=$A54)*(gross.us.2009&lt;$A55),gross.us.2009))</f>
        <v>0</v>
      </c>
      <c r="G54" s="40">
        <f t="array" ref="G54">COUNT(IF(YEAR(date.2010)*(gross.us.2010&gt;=A54)*(gross.us.2010&lt;A55),gross.us.2010))</f>
        <v>0</v>
      </c>
      <c r="H54" s="39">
        <f>SUM(C$45:C54)</f>
        <v>0</v>
      </c>
      <c r="I54" s="39">
        <f>SUM(D$45:D54)</f>
        <v>0</v>
      </c>
      <c r="J54" s="39">
        <f>SUM(E$45:E54)</f>
        <v>1</v>
      </c>
      <c r="K54" s="39">
        <f>SUM(F$45:F54)</f>
        <v>0</v>
      </c>
      <c r="L54" s="39">
        <f>SUM(G$45:G54)</f>
        <v>0</v>
      </c>
      <c r="M54" s="36">
        <f t="array" ref="M54">SUM(IF(YEAR(date.2006)*(gross.us.2006&gt;=$A54)*(gross.us.2006&lt;$A55),gross.us.2006))</f>
        <v>0</v>
      </c>
      <c r="N54" s="36">
        <f t="array" ref="N54">SUM(IF(YEAR(date.2007)*(gross.us.2007&gt;=$A54)*(gross.us.2007&lt;$A55),gross.us.2007))</f>
        <v>0</v>
      </c>
      <c r="O54" s="36">
        <f t="array" ref="O54">SUM(IF(YEAR(date.2008)*(gross.us.2008&gt;=$A54)*(gross.us.2008&lt;$A55),gross.us.2008))</f>
        <v>0</v>
      </c>
      <c r="P54" s="36">
        <f t="array" ref="P54">SUM(IF(YEAR(date.2009)*(gross.us.2009&gt;=$A54)*(gross.us.2009&lt;$A55),gross.us.2009))</f>
        <v>0</v>
      </c>
      <c r="Q54" s="36">
        <f t="array" ref="Q54">SUM(IF(YEAR(date.2010)*(gross.us.2010&gt;=$A54)*(gross.us.2010&lt;$A55),gross.us.2010))</f>
        <v>0</v>
      </c>
      <c r="R54" s="53">
        <f>SUM(C54:C$63)/C$65</f>
        <v>0</v>
      </c>
      <c r="S54" s="53">
        <f>SUM(D54:D$63)/D$65</f>
        <v>0</v>
      </c>
      <c r="T54" s="53">
        <f>SUM(E54:E$63)/E$65</f>
        <v>0</v>
      </c>
      <c r="U54" s="53">
        <f>SUM(F54:F$63)/F$65</f>
        <v>1.8181818181818182E-3</v>
      </c>
      <c r="V54" s="53">
        <f>SUM(G54:G$63)/G$65</f>
        <v>0</v>
      </c>
      <c r="W54" s="53">
        <f>SUM(M54:M$63)/M$65</f>
        <v>0</v>
      </c>
      <c r="X54" s="53">
        <f>SUM(N54:N$63)/N$65</f>
        <v>0</v>
      </c>
      <c r="Y54" s="53">
        <f>SUM(O54:O$63)/O$65</f>
        <v>0</v>
      </c>
      <c r="Z54" s="53">
        <f>SUM(P54:P$63)/P$65</f>
        <v>7.0005068790223779E-2</v>
      </c>
      <c r="AA54" s="53">
        <f>SUM(Q54:Q$63)/Q$65</f>
        <v>0</v>
      </c>
    </row>
    <row r="55" spans="1:27" x14ac:dyDescent="0.2">
      <c r="A55" s="36">
        <f t="shared" si="2"/>
        <v>650000000</v>
      </c>
      <c r="B55" s="36">
        <f t="shared" si="0"/>
        <v>662.5</v>
      </c>
      <c r="C55" s="40">
        <f t="array" ref="C55">COUNT(IF(YEAR(date.2006)*(gross.us.2006&gt;=$A55)*(gross.us.2006&lt;$A56),gross.us.2006))</f>
        <v>0</v>
      </c>
      <c r="D55" s="40">
        <f t="array" ref="D55">COUNT(IF(YEAR(date.2007)*(gross.us.2007&gt;=$A55)*(gross.us.2007&lt;$A56),gross.us.2007))</f>
        <v>0</v>
      </c>
      <c r="E55" s="40">
        <f t="array" ref="E55">COUNT(IF(YEAR(date.2008)*(gross.us.2008&gt;=$A55)*(gross.us.2008&lt;$A56),gross.us.2008))</f>
        <v>0</v>
      </c>
      <c r="F55" s="40">
        <f t="array" ref="F55">COUNT(IF(YEAR(date.2009)*(gross.us.2009&gt;=$A55)*(gross.us.2009&lt;$A56),gross.us.2009))</f>
        <v>0</v>
      </c>
      <c r="G55" s="40">
        <f t="array" ref="G55">COUNT(IF(YEAR(date.2010)*(gross.us.2010&gt;=A55)*(gross.us.2010&lt;A56),gross.us.2010))</f>
        <v>0</v>
      </c>
      <c r="H55" s="39">
        <f>SUM(C$45:C55)</f>
        <v>0</v>
      </c>
      <c r="I55" s="39">
        <f>SUM(D$45:D55)</f>
        <v>0</v>
      </c>
      <c r="J55" s="39">
        <f>SUM(E$45:E55)</f>
        <v>1</v>
      </c>
      <c r="K55" s="39">
        <f>SUM(F$45:F55)</f>
        <v>0</v>
      </c>
      <c r="L55" s="39">
        <f>SUM(G$45:G55)</f>
        <v>0</v>
      </c>
      <c r="M55" s="36">
        <f t="array" ref="M55">SUM(IF(YEAR(date.2006)*(gross.us.2006&gt;=$A55)*(gross.us.2006&lt;$A56),gross.us.2006))</f>
        <v>0</v>
      </c>
      <c r="N55" s="36">
        <f t="array" ref="N55">SUM(IF(YEAR(date.2007)*(gross.us.2007&gt;=$A55)*(gross.us.2007&lt;$A56),gross.us.2007))</f>
        <v>0</v>
      </c>
      <c r="O55" s="36">
        <f t="array" ref="O55">SUM(IF(YEAR(date.2008)*(gross.us.2008&gt;=$A55)*(gross.us.2008&lt;$A56),gross.us.2008))</f>
        <v>0</v>
      </c>
      <c r="P55" s="36">
        <f t="array" ref="P55">SUM(IF(YEAR(date.2009)*(gross.us.2009&gt;=$A55)*(gross.us.2009&lt;$A56),gross.us.2009))</f>
        <v>0</v>
      </c>
      <c r="Q55" s="36">
        <f t="array" ref="Q55">SUM(IF(YEAR(date.2010)*(gross.us.2010&gt;=$A55)*(gross.us.2010&lt;$A56),gross.us.2010))</f>
        <v>0</v>
      </c>
      <c r="R55" s="53">
        <f>SUM(C55:C$63)/C$65</f>
        <v>0</v>
      </c>
      <c r="S55" s="53">
        <f>SUM(D55:D$63)/D$65</f>
        <v>0</v>
      </c>
      <c r="T55" s="53">
        <f>SUM(E55:E$63)/E$65</f>
        <v>0</v>
      </c>
      <c r="U55" s="53">
        <f>SUM(F55:F$63)/F$65</f>
        <v>1.8181818181818182E-3</v>
      </c>
      <c r="V55" s="53">
        <f>SUM(G55:G$63)/G$65</f>
        <v>0</v>
      </c>
      <c r="W55" s="53">
        <f>SUM(M55:M$63)/M$65</f>
        <v>0</v>
      </c>
      <c r="X55" s="53">
        <f>SUM(N55:N$63)/N$65</f>
        <v>0</v>
      </c>
      <c r="Y55" s="53">
        <f>SUM(O55:O$63)/O$65</f>
        <v>0</v>
      </c>
      <c r="Z55" s="53">
        <f>SUM(P55:P$63)/P$65</f>
        <v>7.0005068790223779E-2</v>
      </c>
      <c r="AA55" s="53">
        <f>SUM(Q55:Q$63)/Q$65</f>
        <v>0</v>
      </c>
    </row>
    <row r="56" spans="1:27" x14ac:dyDescent="0.2">
      <c r="A56" s="36">
        <f t="shared" si="2"/>
        <v>662500000</v>
      </c>
      <c r="B56" s="36">
        <f t="shared" si="0"/>
        <v>675</v>
      </c>
      <c r="C56" s="40">
        <f t="array" ref="C56">COUNT(IF(YEAR(date.2006)*(gross.us.2006&gt;=$A56)*(gross.us.2006&lt;$A57),gross.us.2006))</f>
        <v>0</v>
      </c>
      <c r="D56" s="40">
        <f t="array" ref="D56">COUNT(IF(YEAR(date.2007)*(gross.us.2007&gt;=$A56)*(gross.us.2007&lt;$A57),gross.us.2007))</f>
        <v>0</v>
      </c>
      <c r="E56" s="40">
        <f t="array" ref="E56">COUNT(IF(YEAR(date.2008)*(gross.us.2008&gt;=$A56)*(gross.us.2008&lt;$A57),gross.us.2008))</f>
        <v>0</v>
      </c>
      <c r="F56" s="40">
        <f t="array" ref="F56">COUNT(IF(YEAR(date.2009)*(gross.us.2009&gt;=$A56)*(gross.us.2009&lt;$A57),gross.us.2009))</f>
        <v>0</v>
      </c>
      <c r="G56" s="40">
        <f t="array" ref="G56">COUNT(IF(YEAR(date.2010)*(gross.us.2010&gt;=A56)*(gross.us.2010&lt;A57),gross.us.2010))</f>
        <v>0</v>
      </c>
      <c r="H56" s="39">
        <f>SUM(C$45:C56)</f>
        <v>0</v>
      </c>
      <c r="I56" s="39">
        <f>SUM(D$45:D56)</f>
        <v>0</v>
      </c>
      <c r="J56" s="39">
        <f>SUM(E$45:E56)</f>
        <v>1</v>
      </c>
      <c r="K56" s="39">
        <f>SUM(F$45:F56)</f>
        <v>0</v>
      </c>
      <c r="L56" s="39">
        <f>SUM(G$45:G56)</f>
        <v>0</v>
      </c>
      <c r="M56" s="36">
        <f t="array" ref="M56">SUM(IF(YEAR(date.2006)*(gross.us.2006&gt;=$A56)*(gross.us.2006&lt;$A57),gross.us.2006))</f>
        <v>0</v>
      </c>
      <c r="N56" s="36">
        <f t="array" ref="N56">SUM(IF(YEAR(date.2007)*(gross.us.2007&gt;=$A56)*(gross.us.2007&lt;$A57),gross.us.2007))</f>
        <v>0</v>
      </c>
      <c r="O56" s="36">
        <f t="array" ref="O56">SUM(IF(YEAR(date.2008)*(gross.us.2008&gt;=$A56)*(gross.us.2008&lt;$A57),gross.us.2008))</f>
        <v>0</v>
      </c>
      <c r="P56" s="36">
        <f t="array" ref="P56">SUM(IF(YEAR(date.2009)*(gross.us.2009&gt;=$A56)*(gross.us.2009&lt;$A57),gross.us.2009))</f>
        <v>0</v>
      </c>
      <c r="Q56" s="36">
        <f t="array" ref="Q56">SUM(IF(YEAR(date.2010)*(gross.us.2010&gt;=$A56)*(gross.us.2010&lt;$A57),gross.us.2010))</f>
        <v>0</v>
      </c>
      <c r="R56" s="53">
        <f>SUM(C56:C$63)/C$65</f>
        <v>0</v>
      </c>
      <c r="S56" s="53">
        <f>SUM(D56:D$63)/D$65</f>
        <v>0</v>
      </c>
      <c r="T56" s="53">
        <f>SUM(E56:E$63)/E$65</f>
        <v>0</v>
      </c>
      <c r="U56" s="53">
        <f>SUM(F56:F$63)/F$65</f>
        <v>1.8181818181818182E-3</v>
      </c>
      <c r="V56" s="53">
        <f>SUM(G56:G$63)/G$65</f>
        <v>0</v>
      </c>
      <c r="W56" s="53">
        <f>SUM(M56:M$63)/M$65</f>
        <v>0</v>
      </c>
      <c r="X56" s="53">
        <f>SUM(N56:N$63)/N$65</f>
        <v>0</v>
      </c>
      <c r="Y56" s="53">
        <f>SUM(O56:O$63)/O$65</f>
        <v>0</v>
      </c>
      <c r="Z56" s="53">
        <f>SUM(P56:P$63)/P$65</f>
        <v>7.0005068790223779E-2</v>
      </c>
      <c r="AA56" s="53">
        <f>SUM(Q56:Q$63)/Q$65</f>
        <v>0</v>
      </c>
    </row>
    <row r="57" spans="1:27" x14ac:dyDescent="0.2">
      <c r="A57" s="36">
        <f t="shared" si="2"/>
        <v>675000000</v>
      </c>
      <c r="B57" s="36">
        <f t="shared" si="0"/>
        <v>687.5</v>
      </c>
      <c r="C57" s="40">
        <f t="array" ref="C57">COUNT(IF(YEAR(date.2006)*(gross.us.2006&gt;=$A57)*(gross.us.2006&lt;$A58),gross.us.2006))</f>
        <v>0</v>
      </c>
      <c r="D57" s="40">
        <f t="array" ref="D57">COUNT(IF(YEAR(date.2007)*(gross.us.2007&gt;=$A57)*(gross.us.2007&lt;$A58),gross.us.2007))</f>
        <v>0</v>
      </c>
      <c r="E57" s="40">
        <f t="array" ref="E57">COUNT(IF(YEAR(date.2008)*(gross.us.2008&gt;=$A57)*(gross.us.2008&lt;$A58),gross.us.2008))</f>
        <v>0</v>
      </c>
      <c r="F57" s="40">
        <f t="array" ref="F57">COUNT(IF(YEAR(date.2009)*(gross.us.2009&gt;=$A57)*(gross.us.2009&lt;$A58),gross.us.2009))</f>
        <v>0</v>
      </c>
      <c r="G57" s="40">
        <f t="array" ref="G57">COUNT(IF(YEAR(date.2010)*(gross.us.2010&gt;=A57)*(gross.us.2010&lt;A58),gross.us.2010))</f>
        <v>0</v>
      </c>
      <c r="H57" s="39">
        <f>SUM(C$45:C57)</f>
        <v>0</v>
      </c>
      <c r="I57" s="39">
        <f>SUM(D$45:D57)</f>
        <v>0</v>
      </c>
      <c r="J57" s="39">
        <f>SUM(E$45:E57)</f>
        <v>1</v>
      </c>
      <c r="K57" s="39">
        <f>SUM(F$45:F57)</f>
        <v>0</v>
      </c>
      <c r="L57" s="39">
        <f>SUM(G$45:G57)</f>
        <v>0</v>
      </c>
      <c r="M57" s="36">
        <f t="array" ref="M57">SUM(IF(YEAR(date.2006)*(gross.us.2006&gt;=$A57)*(gross.us.2006&lt;$A58),gross.us.2006))</f>
        <v>0</v>
      </c>
      <c r="N57" s="36">
        <f t="array" ref="N57">SUM(IF(YEAR(date.2007)*(gross.us.2007&gt;=$A57)*(gross.us.2007&lt;$A58),gross.us.2007))</f>
        <v>0</v>
      </c>
      <c r="O57" s="36">
        <f t="array" ref="O57">SUM(IF(YEAR(date.2008)*(gross.us.2008&gt;=$A57)*(gross.us.2008&lt;$A58),gross.us.2008))</f>
        <v>0</v>
      </c>
      <c r="P57" s="36">
        <f t="array" ref="P57">SUM(IF(YEAR(date.2009)*(gross.us.2009&gt;=$A57)*(gross.us.2009&lt;$A58),gross.us.2009))</f>
        <v>0</v>
      </c>
      <c r="Q57" s="36">
        <f t="array" ref="Q57">SUM(IF(YEAR(date.2010)*(gross.us.2010&gt;=$A57)*(gross.us.2010&lt;$A58),gross.us.2010))</f>
        <v>0</v>
      </c>
      <c r="R57" s="53">
        <f>SUM(C57:C$63)/C$65</f>
        <v>0</v>
      </c>
      <c r="S57" s="53">
        <f>SUM(D57:D$63)/D$65</f>
        <v>0</v>
      </c>
      <c r="T57" s="53">
        <f>SUM(E57:E$63)/E$65</f>
        <v>0</v>
      </c>
      <c r="U57" s="53">
        <f>SUM(F57:F$63)/F$65</f>
        <v>1.8181818181818182E-3</v>
      </c>
      <c r="V57" s="53">
        <f>SUM(G57:G$63)/G$65</f>
        <v>0</v>
      </c>
      <c r="W57" s="53">
        <f>SUM(M57:M$63)/M$65</f>
        <v>0</v>
      </c>
      <c r="X57" s="53">
        <f>SUM(N57:N$63)/N$65</f>
        <v>0</v>
      </c>
      <c r="Y57" s="53">
        <f>SUM(O57:O$63)/O$65</f>
        <v>0</v>
      </c>
      <c r="Z57" s="53">
        <f>SUM(P57:P$63)/P$65</f>
        <v>7.0005068790223779E-2</v>
      </c>
      <c r="AA57" s="53">
        <f>SUM(Q57:Q$63)/Q$65</f>
        <v>0</v>
      </c>
    </row>
    <row r="58" spans="1:27" x14ac:dyDescent="0.2">
      <c r="A58" s="36">
        <f t="shared" si="2"/>
        <v>687500000</v>
      </c>
      <c r="B58" s="36">
        <f t="shared" si="0"/>
        <v>700</v>
      </c>
      <c r="C58" s="40">
        <f t="array" ref="C58">COUNT(IF(YEAR(date.2006)*(gross.us.2006&gt;=$A58)*(gross.us.2006&lt;$A59),gross.us.2006))</f>
        <v>0</v>
      </c>
      <c r="D58" s="40">
        <f t="array" ref="D58">COUNT(IF(YEAR(date.2007)*(gross.us.2007&gt;=$A58)*(gross.us.2007&lt;$A59),gross.us.2007))</f>
        <v>0</v>
      </c>
      <c r="E58" s="40">
        <f t="array" ref="E58">COUNT(IF(YEAR(date.2008)*(gross.us.2008&gt;=$A58)*(gross.us.2008&lt;$A59),gross.us.2008))</f>
        <v>0</v>
      </c>
      <c r="F58" s="40">
        <f t="array" ref="F58">COUNT(IF(YEAR(date.2009)*(gross.us.2009&gt;=$A58)*(gross.us.2009&lt;$A59),gross.us.2009))</f>
        <v>0</v>
      </c>
      <c r="G58" s="40">
        <f t="array" ref="G58">COUNT(IF(YEAR(date.2010)*(gross.us.2010&gt;=A58)*(gross.us.2010&lt;A59),gross.us.2010))</f>
        <v>0</v>
      </c>
      <c r="H58" s="39">
        <f>SUM(C$45:C58)</f>
        <v>0</v>
      </c>
      <c r="I58" s="39">
        <f>SUM(D$45:D58)</f>
        <v>0</v>
      </c>
      <c r="J58" s="39">
        <f>SUM(E$45:E58)</f>
        <v>1</v>
      </c>
      <c r="K58" s="39">
        <f>SUM(F$45:F58)</f>
        <v>0</v>
      </c>
      <c r="L58" s="39">
        <f>SUM(G$45:G58)</f>
        <v>0</v>
      </c>
      <c r="M58" s="36">
        <f t="array" ref="M58">SUM(IF(YEAR(date.2006)*(gross.us.2006&gt;=$A58)*(gross.us.2006&lt;$A59),gross.us.2006))</f>
        <v>0</v>
      </c>
      <c r="N58" s="36">
        <f t="array" ref="N58">SUM(IF(YEAR(date.2007)*(gross.us.2007&gt;=$A58)*(gross.us.2007&lt;$A59),gross.us.2007))</f>
        <v>0</v>
      </c>
      <c r="O58" s="36">
        <f t="array" ref="O58">SUM(IF(YEAR(date.2008)*(gross.us.2008&gt;=$A58)*(gross.us.2008&lt;$A59),gross.us.2008))</f>
        <v>0</v>
      </c>
      <c r="P58" s="36">
        <f t="array" ref="P58">SUM(IF(YEAR(date.2009)*(gross.us.2009&gt;=$A58)*(gross.us.2009&lt;$A59),gross.us.2009))</f>
        <v>0</v>
      </c>
      <c r="Q58" s="36">
        <f t="array" ref="Q58">SUM(IF(YEAR(date.2010)*(gross.us.2010&gt;=$A58)*(gross.us.2010&lt;$A59),gross.us.2010))</f>
        <v>0</v>
      </c>
      <c r="R58" s="53">
        <f>SUM(C58:C$63)/C$65</f>
        <v>0</v>
      </c>
      <c r="S58" s="53">
        <f>SUM(D58:D$63)/D$65</f>
        <v>0</v>
      </c>
      <c r="T58" s="53">
        <f>SUM(E58:E$63)/E$65</f>
        <v>0</v>
      </c>
      <c r="U58" s="53">
        <f>SUM(F58:F$63)/F$65</f>
        <v>1.8181818181818182E-3</v>
      </c>
      <c r="V58" s="53">
        <f>SUM(G58:G$63)/G$65</f>
        <v>0</v>
      </c>
      <c r="W58" s="53">
        <f>SUM(M58:M$63)/M$65</f>
        <v>0</v>
      </c>
      <c r="X58" s="53">
        <f>SUM(N58:N$63)/N$65</f>
        <v>0</v>
      </c>
      <c r="Y58" s="53">
        <f>SUM(O58:O$63)/O$65</f>
        <v>0</v>
      </c>
      <c r="Z58" s="53">
        <f>SUM(P58:P$63)/P$65</f>
        <v>7.0005068790223779E-2</v>
      </c>
      <c r="AA58" s="53">
        <f>SUM(Q58:Q$63)/Q$65</f>
        <v>0</v>
      </c>
    </row>
    <row r="59" spans="1:27" x14ac:dyDescent="0.2">
      <c r="A59" s="36">
        <f t="shared" si="2"/>
        <v>700000000</v>
      </c>
      <c r="B59" s="36">
        <f t="shared" si="0"/>
        <v>712.5</v>
      </c>
      <c r="C59" s="40">
        <f t="array" ref="C59">COUNT(IF(YEAR(date.2006)*(gross.us.2006&gt;=$A59)*(gross.us.2006&lt;$A60),gross.us.2006))</f>
        <v>0</v>
      </c>
      <c r="D59" s="40">
        <f t="array" ref="D59">COUNT(IF(YEAR(date.2007)*(gross.us.2007&gt;=$A59)*(gross.us.2007&lt;$A60),gross.us.2007))</f>
        <v>0</v>
      </c>
      <c r="E59" s="40">
        <f t="array" ref="E59">COUNT(IF(YEAR(date.2008)*(gross.us.2008&gt;=$A59)*(gross.us.2008&lt;$A60),gross.us.2008))</f>
        <v>0</v>
      </c>
      <c r="F59" s="40">
        <f t="array" ref="F59">COUNT(IF(YEAR(date.2009)*(gross.us.2009&gt;=$A59)*(gross.us.2009&lt;$A60),gross.us.2009))</f>
        <v>0</v>
      </c>
      <c r="G59" s="40">
        <f t="array" ref="G59">COUNT(IF(YEAR(date.2010)*(gross.us.2010&gt;=A59)*(gross.us.2010&lt;A60),gross.us.2010))</f>
        <v>0</v>
      </c>
      <c r="H59" s="39">
        <f>SUM(C$45:C59)</f>
        <v>0</v>
      </c>
      <c r="I59" s="39">
        <f>SUM(D$45:D59)</f>
        <v>0</v>
      </c>
      <c r="J59" s="39">
        <f>SUM(E$45:E59)</f>
        <v>1</v>
      </c>
      <c r="K59" s="39">
        <f>SUM(F$45:F59)</f>
        <v>0</v>
      </c>
      <c r="L59" s="39">
        <f>SUM(G$45:G59)</f>
        <v>0</v>
      </c>
      <c r="M59" s="36">
        <f t="array" ref="M59">SUM(IF(YEAR(date.2006)*(gross.us.2006&gt;=$A59)*(gross.us.2006&lt;$A60),gross.us.2006))</f>
        <v>0</v>
      </c>
      <c r="N59" s="36">
        <f t="array" ref="N59">SUM(IF(YEAR(date.2007)*(gross.us.2007&gt;=$A59)*(gross.us.2007&lt;$A60),gross.us.2007))</f>
        <v>0</v>
      </c>
      <c r="O59" s="36">
        <f t="array" ref="O59">SUM(IF(YEAR(date.2008)*(gross.us.2008&gt;=$A59)*(gross.us.2008&lt;$A60),gross.us.2008))</f>
        <v>0</v>
      </c>
      <c r="P59" s="36">
        <f t="array" ref="P59">SUM(IF(YEAR(date.2009)*(gross.us.2009&gt;=$A59)*(gross.us.2009&lt;$A60),gross.us.2009))</f>
        <v>0</v>
      </c>
      <c r="Q59" s="36">
        <f t="array" ref="Q59">SUM(IF(YEAR(date.2010)*(gross.us.2010&gt;=$A59)*(gross.us.2010&lt;$A60),gross.us.2010))</f>
        <v>0</v>
      </c>
      <c r="R59" s="53">
        <f>SUM(C59:C$63)/C$65</f>
        <v>0</v>
      </c>
      <c r="S59" s="53">
        <f>SUM(D59:D$63)/D$65</f>
        <v>0</v>
      </c>
      <c r="T59" s="53">
        <f>SUM(E59:E$63)/E$65</f>
        <v>0</v>
      </c>
      <c r="U59" s="53">
        <f>SUM(F59:F$63)/F$65</f>
        <v>1.8181818181818182E-3</v>
      </c>
      <c r="V59" s="53">
        <f>SUM(G59:G$63)/G$65</f>
        <v>0</v>
      </c>
      <c r="W59" s="53">
        <f>SUM(M59:M$63)/M$65</f>
        <v>0</v>
      </c>
      <c r="X59" s="53">
        <f>SUM(N59:N$63)/N$65</f>
        <v>0</v>
      </c>
      <c r="Y59" s="53">
        <f>SUM(O59:O$63)/O$65</f>
        <v>0</v>
      </c>
      <c r="Z59" s="53">
        <f>SUM(P59:P$63)/P$65</f>
        <v>7.0005068790223779E-2</v>
      </c>
      <c r="AA59" s="53">
        <f>SUM(Q59:Q$63)/Q$65</f>
        <v>0</v>
      </c>
    </row>
    <row r="60" spans="1:27" x14ac:dyDescent="0.2">
      <c r="A60" s="36">
        <f t="shared" si="2"/>
        <v>712500000</v>
      </c>
      <c r="B60" s="36">
        <f t="shared" si="0"/>
        <v>725</v>
      </c>
      <c r="C60" s="40">
        <f t="array" ref="C60">COUNT(IF(YEAR(date.2006)*(gross.us.2006&gt;=$A60)*(gross.us.2006&lt;$A61),gross.us.2006))</f>
        <v>0</v>
      </c>
      <c r="D60" s="40">
        <f t="array" ref="D60">COUNT(IF(YEAR(date.2007)*(gross.us.2007&gt;=$A60)*(gross.us.2007&lt;$A61),gross.us.2007))</f>
        <v>0</v>
      </c>
      <c r="E60" s="40">
        <f t="array" ref="E60">COUNT(IF(YEAR(date.2008)*(gross.us.2008&gt;=$A60)*(gross.us.2008&lt;$A61),gross.us.2008))</f>
        <v>0</v>
      </c>
      <c r="F60" s="40">
        <f t="array" ref="F60">COUNT(IF(YEAR(date.2009)*(gross.us.2009&gt;=$A60)*(gross.us.2009&lt;$A61),gross.us.2009))</f>
        <v>0</v>
      </c>
      <c r="G60" s="40">
        <f t="array" ref="G60">COUNT(IF(YEAR(date.2010)*(gross.us.2010&gt;=A60)*(gross.us.2010&lt;A61),gross.us.2010))</f>
        <v>0</v>
      </c>
      <c r="H60" s="39">
        <f>SUM(C$45:C60)</f>
        <v>0</v>
      </c>
      <c r="I60" s="39">
        <f>SUM(D$45:D60)</f>
        <v>0</v>
      </c>
      <c r="J60" s="39">
        <f>SUM(E$45:E60)</f>
        <v>1</v>
      </c>
      <c r="K60" s="39">
        <f>SUM(F$45:F60)</f>
        <v>0</v>
      </c>
      <c r="L60" s="39">
        <f>SUM(G$45:G60)</f>
        <v>0</v>
      </c>
      <c r="M60" s="36">
        <f t="array" ref="M60">SUM(IF(YEAR(date.2006)*(gross.us.2006&gt;=$A60)*(gross.us.2006&lt;$A61),gross.us.2006))</f>
        <v>0</v>
      </c>
      <c r="N60" s="36">
        <f t="array" ref="N60">SUM(IF(YEAR(date.2007)*(gross.us.2007&gt;=$A60)*(gross.us.2007&lt;$A61),gross.us.2007))</f>
        <v>0</v>
      </c>
      <c r="O60" s="36">
        <f t="array" ref="O60">SUM(IF(YEAR(date.2008)*(gross.us.2008&gt;=$A60)*(gross.us.2008&lt;$A61),gross.us.2008))</f>
        <v>0</v>
      </c>
      <c r="P60" s="36">
        <f t="array" ref="P60">SUM(IF(YEAR(date.2009)*(gross.us.2009&gt;=$A60)*(gross.us.2009&lt;$A61),gross.us.2009))</f>
        <v>0</v>
      </c>
      <c r="Q60" s="36">
        <f t="array" ref="Q60">SUM(IF(YEAR(date.2010)*(gross.us.2010&gt;=$A60)*(gross.us.2010&lt;$A61),gross.us.2010))</f>
        <v>0</v>
      </c>
      <c r="R60" s="53">
        <f>SUM(C60:C$63)/C$65</f>
        <v>0</v>
      </c>
      <c r="S60" s="53">
        <f>SUM(D60:D$63)/D$65</f>
        <v>0</v>
      </c>
      <c r="T60" s="53">
        <f>SUM(E60:E$63)/E$65</f>
        <v>0</v>
      </c>
      <c r="U60" s="53">
        <f>SUM(F60:F$63)/F$65</f>
        <v>1.8181818181818182E-3</v>
      </c>
      <c r="V60" s="53">
        <f>SUM(G60:G$63)/G$65</f>
        <v>0</v>
      </c>
      <c r="W60" s="53">
        <f>SUM(M60:M$63)/M$65</f>
        <v>0</v>
      </c>
      <c r="X60" s="53">
        <f>SUM(N60:N$63)/N$65</f>
        <v>0</v>
      </c>
      <c r="Y60" s="53">
        <f>SUM(O60:O$63)/O$65</f>
        <v>0</v>
      </c>
      <c r="Z60" s="53">
        <f>SUM(P60:P$63)/P$65</f>
        <v>7.0005068790223779E-2</v>
      </c>
      <c r="AA60" s="53">
        <f>SUM(Q60:Q$63)/Q$65</f>
        <v>0</v>
      </c>
    </row>
    <row r="61" spans="1:27" x14ac:dyDescent="0.2">
      <c r="A61" s="36">
        <f t="shared" si="2"/>
        <v>725000000</v>
      </c>
      <c r="B61" s="36">
        <f t="shared" si="0"/>
        <v>737.5</v>
      </c>
      <c r="C61" s="40">
        <f t="array" ref="C61">COUNT(IF(YEAR(date.2006)*(gross.us.2006&gt;=$A61)*(gross.us.2006&lt;$A62),gross.us.2006))</f>
        <v>0</v>
      </c>
      <c r="D61" s="40">
        <f t="array" ref="D61">COUNT(IF(YEAR(date.2007)*(gross.us.2007&gt;=$A61)*(gross.us.2007&lt;$A62),gross.us.2007))</f>
        <v>0</v>
      </c>
      <c r="E61" s="40">
        <f t="array" ref="E61">COUNT(IF(YEAR(date.2008)*(gross.us.2008&gt;=$A61)*(gross.us.2008&lt;$A62),gross.us.2008))</f>
        <v>0</v>
      </c>
      <c r="F61" s="40">
        <f t="array" ref="F61">COUNT(IF(YEAR(date.2009)*(gross.us.2009&gt;=$A61)*(gross.us.2009&lt;$A62),gross.us.2009))</f>
        <v>0</v>
      </c>
      <c r="G61" s="40">
        <f t="array" ref="G61">COUNT(IF(YEAR(date.2010)*(gross.us.2010&gt;=A61)*(gross.us.2010&lt;A62),gross.us.2010))</f>
        <v>0</v>
      </c>
      <c r="H61" s="39">
        <f>SUM(C$45:C61)</f>
        <v>0</v>
      </c>
      <c r="I61" s="39">
        <f>SUM(D$45:D61)</f>
        <v>0</v>
      </c>
      <c r="J61" s="39">
        <f>SUM(E$45:E61)</f>
        <v>1</v>
      </c>
      <c r="K61" s="39">
        <f>SUM(F$45:F61)</f>
        <v>0</v>
      </c>
      <c r="L61" s="39">
        <f>SUM(G$45:G61)</f>
        <v>0</v>
      </c>
      <c r="M61" s="36">
        <f t="array" ref="M61">SUM(IF(YEAR(date.2006)*(gross.us.2006&gt;=$A61)*(gross.us.2006&lt;$A62),gross.us.2006))</f>
        <v>0</v>
      </c>
      <c r="N61" s="36">
        <f t="array" ref="N61">SUM(IF(YEAR(date.2007)*(gross.us.2007&gt;=$A61)*(gross.us.2007&lt;$A62),gross.us.2007))</f>
        <v>0</v>
      </c>
      <c r="O61" s="36">
        <f t="array" ref="O61">SUM(IF(YEAR(date.2008)*(gross.us.2008&gt;=$A61)*(gross.us.2008&lt;$A62),gross.us.2008))</f>
        <v>0</v>
      </c>
      <c r="P61" s="36">
        <f t="array" ref="P61">SUM(IF(YEAR(date.2009)*(gross.us.2009&gt;=$A61)*(gross.us.2009&lt;$A62),gross.us.2009))</f>
        <v>0</v>
      </c>
      <c r="Q61" s="36">
        <f t="array" ref="Q61">SUM(IF(YEAR(date.2010)*(gross.us.2010&gt;=$A61)*(gross.us.2010&lt;$A62),gross.us.2010))</f>
        <v>0</v>
      </c>
      <c r="R61" s="53">
        <f>SUM(C61:C$63)/C$65</f>
        <v>0</v>
      </c>
      <c r="S61" s="53">
        <f>SUM(D61:D$63)/D$65</f>
        <v>0</v>
      </c>
      <c r="T61" s="53">
        <f>SUM(E61:E$63)/E$65</f>
        <v>0</v>
      </c>
      <c r="U61" s="53">
        <f>SUM(F61:F$63)/F$65</f>
        <v>1.8181818181818182E-3</v>
      </c>
      <c r="V61" s="53">
        <f>SUM(G61:G$63)/G$65</f>
        <v>0</v>
      </c>
      <c r="W61" s="53">
        <f>SUM(M61:M$63)/M$65</f>
        <v>0</v>
      </c>
      <c r="X61" s="53">
        <f>SUM(N61:N$63)/N$65</f>
        <v>0</v>
      </c>
      <c r="Y61" s="53">
        <f>SUM(O61:O$63)/O$65</f>
        <v>0</v>
      </c>
      <c r="Z61" s="53">
        <f>SUM(P61:P$63)/P$65</f>
        <v>7.0005068790223779E-2</v>
      </c>
      <c r="AA61" s="53">
        <f>SUM(Q61:Q$63)/Q$65</f>
        <v>0</v>
      </c>
    </row>
    <row r="62" spans="1:27" x14ac:dyDescent="0.2">
      <c r="A62" s="36">
        <f t="shared" ref="A62:A64" si="3">A61+12500000</f>
        <v>737500000</v>
      </c>
      <c r="B62" s="36">
        <f t="shared" si="0"/>
        <v>750</v>
      </c>
      <c r="C62" s="40">
        <f t="array" ref="C62">COUNT(IF(YEAR(date.2006)*(gross.us.2006&gt;=$A62)*(gross.us.2006&lt;$A63),gross.us.2006))</f>
        <v>0</v>
      </c>
      <c r="D62" s="40">
        <f t="array" ref="D62">COUNT(IF(YEAR(date.2007)*(gross.us.2007&gt;=$A62)*(gross.us.2007&lt;$A63),gross.us.2007))</f>
        <v>0</v>
      </c>
      <c r="E62" s="40">
        <f t="array" ref="E62">COUNT(IF(YEAR(date.2008)*(gross.us.2008&gt;=$A62)*(gross.us.2008&lt;$A63),gross.us.2008))</f>
        <v>0</v>
      </c>
      <c r="F62" s="40">
        <f t="array" ref="F62">COUNT(IF(YEAR(date.2009)*(gross.us.2009&gt;=$A62)*(gross.us.2009&lt;$A63),gross.us.2009))</f>
        <v>0</v>
      </c>
      <c r="G62" s="40">
        <f t="array" ref="G62">COUNT(IF(YEAR(date.2010)*(gross.us.2010&gt;=A62)*(gross.us.2010&lt;A63),gross.us.2010))</f>
        <v>0</v>
      </c>
      <c r="H62" s="39">
        <f>SUM(C$45:C62)</f>
        <v>0</v>
      </c>
      <c r="I62" s="39">
        <f>SUM(D$45:D62)</f>
        <v>0</v>
      </c>
      <c r="J62" s="39">
        <f>SUM(E$45:E62)</f>
        <v>1</v>
      </c>
      <c r="K62" s="39">
        <f>SUM(F$45:F62)</f>
        <v>0</v>
      </c>
      <c r="L62" s="39">
        <f>SUM(G$45:G62)</f>
        <v>0</v>
      </c>
      <c r="M62" s="36">
        <f t="array" ref="M62">SUM(IF(YEAR(date.2006)*(gross.us.2006&gt;=$A62)*(gross.us.2006&lt;$A63),gross.us.2006))</f>
        <v>0</v>
      </c>
      <c r="N62" s="36">
        <f t="array" ref="N62">SUM(IF(YEAR(date.2007)*(gross.us.2007&gt;=$A62)*(gross.us.2007&lt;$A63),gross.us.2007))</f>
        <v>0</v>
      </c>
      <c r="O62" s="36">
        <f t="array" ref="O62">SUM(IF(YEAR(date.2008)*(gross.us.2008&gt;=$A62)*(gross.us.2008&lt;$A63),gross.us.2008))</f>
        <v>0</v>
      </c>
      <c r="P62" s="36">
        <f t="array" ref="P62">SUM(IF(YEAR(date.2009)*(gross.us.2009&gt;=$A62)*(gross.us.2009&lt;$A63),gross.us.2009))</f>
        <v>0</v>
      </c>
      <c r="Q62" s="36">
        <f t="array" ref="Q62">SUM(IF(YEAR(date.2010)*(gross.us.2010&gt;=$A62)*(gross.us.2010&lt;$A63),gross.us.2010))</f>
        <v>0</v>
      </c>
      <c r="R62" s="53">
        <f>SUM(C62:C$63)/C$65</f>
        <v>0</v>
      </c>
      <c r="S62" s="53">
        <f>SUM(D62:D$63)/D$65</f>
        <v>0</v>
      </c>
      <c r="T62" s="53">
        <f>SUM(E62:E$63)/E$65</f>
        <v>0</v>
      </c>
      <c r="U62" s="53">
        <f>SUM(F62:F$63)/F$65</f>
        <v>1.8181818181818182E-3</v>
      </c>
      <c r="V62" s="53">
        <f>SUM(G62:G$63)/G$65</f>
        <v>0</v>
      </c>
      <c r="W62" s="53">
        <f>SUM(M62:M$63)/M$65</f>
        <v>0</v>
      </c>
      <c r="X62" s="53">
        <f>SUM(N62:N$63)/N$65</f>
        <v>0</v>
      </c>
      <c r="Y62" s="53">
        <f>SUM(O62:O$63)/O$65</f>
        <v>0</v>
      </c>
      <c r="Z62" s="53">
        <f>SUM(P62:P$63)/P$65</f>
        <v>7.0005068790223779E-2</v>
      </c>
      <c r="AA62" s="53">
        <f>SUM(Q62:Q$63)/Q$65</f>
        <v>0</v>
      </c>
    </row>
    <row r="63" spans="1:27" x14ac:dyDescent="0.2">
      <c r="A63" s="36">
        <f t="shared" si="3"/>
        <v>750000000</v>
      </c>
      <c r="B63" s="36">
        <f t="shared" si="0"/>
        <v>762.5</v>
      </c>
      <c r="C63" s="40">
        <f t="array" ref="C63">COUNT(IF(YEAR(date.2006)*(gross.us.2006&gt;=$A63)*(gross.us.2006&lt;$A64),gross.us.2006))</f>
        <v>0</v>
      </c>
      <c r="D63" s="40">
        <f t="array" ref="D63">COUNT(IF(YEAR(date.2007)*(gross.us.2007&gt;=$A63)*(gross.us.2007&lt;$A64),gross.us.2007))</f>
        <v>0</v>
      </c>
      <c r="E63" s="40">
        <f t="array" ref="E63">COUNT(IF(YEAR(date.2008)*(gross.us.2008&gt;=$A63)*(gross.us.2008&lt;$A64),gross.us.2008))</f>
        <v>0</v>
      </c>
      <c r="F63" s="40">
        <f t="array" ref="F63">COUNT(IF(YEAR(date.2009)*(gross.us.2009&gt;=$A63)*(gross.us.2009&lt;$A64),gross.us.2009))</f>
        <v>1</v>
      </c>
      <c r="G63" s="40">
        <f t="array" ref="G63">COUNT(IF(YEAR(date.2010)*(gross.us.2010&gt;=A63)*(gross.us.2010&lt;A64),gross.us.2010))</f>
        <v>0</v>
      </c>
      <c r="H63" s="39">
        <f>SUM(C$45:C63)</f>
        <v>0</v>
      </c>
      <c r="I63" s="39">
        <f>SUM(D$45:D63)</f>
        <v>0</v>
      </c>
      <c r="J63" s="39">
        <f>SUM(E$45:E63)</f>
        <v>1</v>
      </c>
      <c r="K63" s="39">
        <f>SUM(F$45:F63)</f>
        <v>1</v>
      </c>
      <c r="L63" s="39">
        <f>SUM(G$45:G63)</f>
        <v>0</v>
      </c>
      <c r="M63" s="36">
        <f t="array" ref="M63">SUM(IF(YEAR(date.2006)*(gross.us.2006&gt;=$A63)*(gross.us.2006&lt;$A64),gross.us.2006))</f>
        <v>0</v>
      </c>
      <c r="N63" s="36">
        <f t="array" ref="N63">SUM(IF(YEAR(date.2007)*(gross.us.2007&gt;=$A63)*(gross.us.2007&lt;$A64),gross.us.2007))</f>
        <v>0</v>
      </c>
      <c r="O63" s="36">
        <f t="array" ref="O63">SUM(IF(YEAR(date.2008)*(gross.us.2008&gt;=$A63)*(gross.us.2008&lt;$A64),gross.us.2008))</f>
        <v>0</v>
      </c>
      <c r="P63" s="36">
        <f t="array" ref="P63">SUM(IF(YEAR(date.2009)*(gross.us.2009&gt;=$A63)*(gross.us.2009&lt;$A64),gross.us.2009))</f>
        <v>760507625</v>
      </c>
      <c r="Q63" s="36">
        <f t="array" ref="Q63">SUM(IF(YEAR(date.2010)*(gross.us.2010&gt;=$A63)*(gross.us.2010&lt;$A64),gross.us.2010))</f>
        <v>0</v>
      </c>
      <c r="R63" s="53">
        <f>SUM(C$63:C63)/C$65</f>
        <v>0</v>
      </c>
      <c r="S63" s="53">
        <f>SUM(D$63:D63)/D$65</f>
        <v>0</v>
      </c>
      <c r="T63" s="53">
        <f>SUM(E$63:E63)/E$65</f>
        <v>0</v>
      </c>
      <c r="U63" s="53">
        <f>SUM(F$63:F63)/F$65</f>
        <v>1.8181818181818182E-3</v>
      </c>
      <c r="V63" s="53">
        <f>SUM(G$63:G63)/G$65</f>
        <v>0</v>
      </c>
      <c r="W63" s="53">
        <f>SUM(M$63:M63)/M$65</f>
        <v>0</v>
      </c>
      <c r="X63" s="53">
        <f>SUM(N$63:N63)/N$65</f>
        <v>0</v>
      </c>
      <c r="Y63" s="53">
        <f>SUM(O$63:O63)/O$65</f>
        <v>0</v>
      </c>
      <c r="Z63" s="53">
        <f>SUM(P$63:P63)/P$65</f>
        <v>7.0005068790223779E-2</v>
      </c>
      <c r="AA63" s="53">
        <f>SUM(Q$63:Q63)/Q$65</f>
        <v>0</v>
      </c>
    </row>
    <row r="64" spans="1:27" x14ac:dyDescent="0.2">
      <c r="A64" s="36">
        <f t="shared" si="3"/>
        <v>762500000</v>
      </c>
      <c r="B64" s="36"/>
      <c r="C64" s="40"/>
      <c r="D64" s="40"/>
      <c r="E64" s="40"/>
      <c r="F64" s="40"/>
      <c r="G64" s="40"/>
      <c r="H64" s="39"/>
      <c r="I64" s="39"/>
      <c r="M64" s="36"/>
      <c r="N64" s="36"/>
      <c r="R64" s="53"/>
      <c r="S64" s="53"/>
      <c r="T64" s="53"/>
      <c r="U64" s="53"/>
      <c r="V64" s="53"/>
      <c r="W64" s="53"/>
      <c r="X64" s="53"/>
      <c r="Y64" s="53"/>
      <c r="Z64" s="53"/>
      <c r="AA64" s="53"/>
    </row>
    <row r="65" spans="1:42" x14ac:dyDescent="0.2">
      <c r="A65" s="43"/>
      <c r="B65" s="43"/>
      <c r="C65" s="44">
        <f>SUM(C3:C48)</f>
        <v>609</v>
      </c>
      <c r="D65" s="44">
        <f>SUM(D3:D48)</f>
        <v>636</v>
      </c>
      <c r="E65" s="44">
        <f>SUM(E3:E48)</f>
        <v>620</v>
      </c>
      <c r="F65" s="44">
        <f>SUM(F3:F48)</f>
        <v>550</v>
      </c>
      <c r="G65" s="44">
        <f>SUM(G3:G48)</f>
        <v>530</v>
      </c>
      <c r="H65" s="44"/>
      <c r="I65" s="44"/>
      <c r="J65" s="45"/>
      <c r="K65" s="46"/>
      <c r="L65" s="46"/>
      <c r="M65" s="45">
        <f>SUM(M3:M48)</f>
        <v>9232400276</v>
      </c>
      <c r="N65" s="45">
        <f>SUM(N3:N48)</f>
        <v>9668540205</v>
      </c>
      <c r="O65" s="45">
        <f>SUM(O3:O48)</f>
        <v>9710086198</v>
      </c>
      <c r="P65" s="45">
        <f>SUM(P3:P63)</f>
        <v>10863607995</v>
      </c>
      <c r="Q65" s="45">
        <f>SUM(Q3:Q48)</f>
        <v>10044345075</v>
      </c>
      <c r="R65" s="45"/>
      <c r="S65" s="45"/>
      <c r="T65" s="45"/>
      <c r="U65" s="45"/>
      <c r="V65" s="45"/>
      <c r="W65" s="45"/>
      <c r="X65" s="45"/>
      <c r="Y65" s="46"/>
      <c r="Z65" s="46"/>
      <c r="AA65" s="46"/>
    </row>
    <row r="66" spans="1:42" x14ac:dyDescent="0.2">
      <c r="A66" s="36"/>
      <c r="B66" s="36"/>
      <c r="C66" s="52">
        <f t="array" ref="C66">COUNT(IF(YEAR(date.2006)*(gross.us.2006&gt;=0),gross.us.2006))</f>
        <v>609</v>
      </c>
      <c r="D66" s="52">
        <f t="array" ref="D66">COUNT(IF(YEAR(date.2007)*(gross.us.2007&gt;=0),gross.us.2007))</f>
        <v>636</v>
      </c>
      <c r="E66" s="52">
        <f t="array" ref="E66">COUNT(IF(YEAR(date.2008)*(gross.us.2008&gt;=0),gross.us.2008))</f>
        <v>620</v>
      </c>
      <c r="F66" s="52">
        <f t="array" ref="F66">COUNT(IF(YEAR(date.2009)*(gross.us.2009&gt;=0),gross.us.2009))</f>
        <v>551</v>
      </c>
      <c r="G66" s="52">
        <f t="array" ref="G66">COUNT(IF(YEAR(date.2010)*(gross.us.2010&gt;=0),gross.us.2010))</f>
        <v>530</v>
      </c>
      <c r="J66" s="41"/>
      <c r="M66" s="45">
        <f t="array" ref="M66">SUM(IF(YEAR(date.2006)*(gross.us.2006&gt;=0),gross.us.2006))</f>
        <v>9232400276</v>
      </c>
      <c r="N66" s="45">
        <f t="array" ref="N66">SUM(IF(YEAR(date.2007)*(gross.us.2007&gt;=0),gross.us.2007))</f>
        <v>9668540205</v>
      </c>
      <c r="O66" s="45">
        <f t="array" ref="O66">SUM(IF(YEAR(date.2008)*(gross.us.2008&gt;=0),gross.us.2008))</f>
        <v>9710086198</v>
      </c>
      <c r="P66" s="45">
        <f t="array" ref="P66">SUM(IF(YEAR(date.2009)*(gross.us.2009&gt;=0),gross.us.2009))</f>
        <v>10863607995</v>
      </c>
      <c r="Q66" s="45">
        <f t="array" ref="Q66">SUM(IF(YEAR(date.2010)*(gross.us.2010&gt;=0),gross.us.2010))</f>
        <v>10044345075</v>
      </c>
      <c r="R66" s="41"/>
      <c r="S66" s="41"/>
      <c r="T66" s="41"/>
      <c r="U66" s="41"/>
      <c r="V66" s="41"/>
      <c r="W66" s="41"/>
      <c r="X66" s="41"/>
    </row>
    <row r="67" spans="1:42" x14ac:dyDescent="0.2">
      <c r="A67" s="36"/>
      <c r="B67" s="36"/>
      <c r="C67" s="39" t="b">
        <f>C65=C66</f>
        <v>1</v>
      </c>
      <c r="D67" s="39" t="b">
        <f>D65=D66</f>
        <v>1</v>
      </c>
      <c r="E67" s="39" t="b">
        <f>E65=E66</f>
        <v>1</v>
      </c>
      <c r="F67" s="39" t="b">
        <f>F65=F66</f>
        <v>0</v>
      </c>
      <c r="G67" s="39" t="b">
        <f>G65=G66</f>
        <v>1</v>
      </c>
      <c r="H67" s="40"/>
      <c r="I67" s="40"/>
      <c r="J67" s="40"/>
      <c r="M67" s="41" t="b">
        <f>M65=M66</f>
        <v>1</v>
      </c>
      <c r="N67" s="41" t="b">
        <f>N65=N66</f>
        <v>1</v>
      </c>
      <c r="O67" s="41" t="b">
        <f>O65=O66</f>
        <v>1</v>
      </c>
      <c r="P67" s="41" t="b">
        <f>P65=P66</f>
        <v>1</v>
      </c>
      <c r="Q67" s="41" t="b">
        <f>Q65=Q66</f>
        <v>1</v>
      </c>
    </row>
    <row r="68" spans="1:42" ht="15" x14ac:dyDescent="0.2">
      <c r="A68" s="36"/>
      <c r="B68" s="36"/>
      <c r="C68" s="90"/>
      <c r="D68" s="90"/>
      <c r="E68" s="90"/>
      <c r="F68" s="90"/>
      <c r="G68" s="90"/>
      <c r="H68" s="40"/>
      <c r="I68" s="40"/>
      <c r="J68" s="40"/>
    </row>
    <row r="69" spans="1:42" ht="15" x14ac:dyDescent="0.25">
      <c r="A69" s="36"/>
      <c r="B69" s="36"/>
      <c r="C69" s="52">
        <v>2006</v>
      </c>
      <c r="D69" s="52">
        <v>2007</v>
      </c>
      <c r="E69" s="57">
        <v>2008</v>
      </c>
      <c r="F69" s="57">
        <v>2009</v>
      </c>
      <c r="G69" s="42">
        <v>2010</v>
      </c>
      <c r="H69" s="52">
        <v>2006</v>
      </c>
      <c r="I69" s="52">
        <v>2007</v>
      </c>
      <c r="J69" s="57">
        <v>2008</v>
      </c>
      <c r="K69" s="57">
        <v>2009</v>
      </c>
      <c r="L69" s="42">
        <v>2010</v>
      </c>
      <c r="M69" s="52">
        <v>2006</v>
      </c>
      <c r="N69" s="52">
        <v>2007</v>
      </c>
      <c r="O69" s="57">
        <v>2008</v>
      </c>
      <c r="P69" s="57">
        <v>2009</v>
      </c>
      <c r="Q69" s="42">
        <v>2010</v>
      </c>
      <c r="R69" s="39" t="s">
        <v>5377</v>
      </c>
      <c r="S69" s="39" t="s">
        <v>5378</v>
      </c>
      <c r="U69" s="39" t="s">
        <v>5379</v>
      </c>
      <c r="V69" s="39" t="s">
        <v>5380</v>
      </c>
      <c r="W69" s="78">
        <v>2006</v>
      </c>
      <c r="X69" s="78">
        <v>2007</v>
      </c>
      <c r="Y69" s="78">
        <v>2008</v>
      </c>
      <c r="Z69" s="79">
        <v>2009</v>
      </c>
      <c r="AA69" s="79">
        <v>2010</v>
      </c>
      <c r="AB69" s="71">
        <v>2006</v>
      </c>
      <c r="AC69" s="71">
        <v>2007</v>
      </c>
      <c r="AD69" s="71">
        <v>2008</v>
      </c>
      <c r="AE69" s="74">
        <v>2009</v>
      </c>
      <c r="AF69" s="74">
        <v>2010</v>
      </c>
      <c r="AG69" s="78">
        <v>2006</v>
      </c>
      <c r="AH69" s="78">
        <v>2007</v>
      </c>
      <c r="AI69" s="78">
        <v>2008</v>
      </c>
      <c r="AJ69" s="79">
        <v>2009</v>
      </c>
      <c r="AK69" s="79">
        <v>2010</v>
      </c>
      <c r="AL69" s="72" t="s">
        <v>5377</v>
      </c>
      <c r="AM69" s="72" t="s">
        <v>5381</v>
      </c>
      <c r="AN69" s="72"/>
      <c r="AO69" s="72" t="s">
        <v>5379</v>
      </c>
      <c r="AP69" s="72" t="s">
        <v>5380</v>
      </c>
    </row>
    <row r="70" spans="1:42" ht="12" customHeight="1" x14ac:dyDescent="0.2">
      <c r="A70" s="47">
        <v>40558</v>
      </c>
      <c r="B70" s="47"/>
      <c r="C70" s="40">
        <f t="array" ref="C70">COUNT(IF(    (MONTH(date.2006)=MONTH($A70))*(gross.us.2006&gt;=0),gross.us.2006))</f>
        <v>32</v>
      </c>
      <c r="D70" s="40">
        <f t="array" ref="D70">COUNT(IF(    (MONTH(date.2007)=MONTH($A70))*(gross.us.2007&gt;=0),gross.us.2007))</f>
        <v>31</v>
      </c>
      <c r="E70" s="40">
        <f t="array" ref="E70">COUNT(IF(    (MONTH(date.2008)=MONTH($A70))*(gross.us.2008&gt;=0),gross.us.2008))</f>
        <v>40</v>
      </c>
      <c r="F70" s="40">
        <f t="array" ref="F70">COUNT(IF(    (MONTH(date.2009)=MONTH($A70))*(gross.us.2009&gt;=0),gross.us.2009))</f>
        <v>37</v>
      </c>
      <c r="G70" s="40">
        <f t="array" ref="G70">COUNT(IF(    (MONTH(date.2010)=MONTH($A70))*(gross.us.2010&gt;=0),gross.us.2010))</f>
        <v>44</v>
      </c>
      <c r="H70" s="62">
        <f>C70/C$82</f>
        <v>5.2545155993431854E-2</v>
      </c>
      <c r="I70" s="62">
        <f t="shared" ref="I70:L81" si="4">D70/D$82</f>
        <v>4.8742138364779877E-2</v>
      </c>
      <c r="J70" s="62">
        <f t="shared" si="4"/>
        <v>6.4516129032258063E-2</v>
      </c>
      <c r="K70" s="62">
        <f t="shared" si="4"/>
        <v>6.7150635208711437E-2</v>
      </c>
      <c r="L70" s="62">
        <f t="shared" si="4"/>
        <v>8.3018867924528297E-2</v>
      </c>
      <c r="M70" s="53">
        <f>SUM(H$70:H70)</f>
        <v>5.2545155993431854E-2</v>
      </c>
      <c r="N70" s="53">
        <f>SUM(I$70:I70)</f>
        <v>4.8742138364779877E-2</v>
      </c>
      <c r="O70" s="53">
        <f>SUM(J$70:J70)</f>
        <v>6.4516129032258063E-2</v>
      </c>
      <c r="P70" s="53">
        <f>SUM(K$70:K70)</f>
        <v>6.7150635208711437E-2</v>
      </c>
      <c r="Q70" s="53">
        <f>SUM(L$70:L70)</f>
        <v>8.3018867924528297E-2</v>
      </c>
      <c r="R70" s="53">
        <f>AVERAGE(H70:L70)</f>
        <v>6.3194585304741896E-2</v>
      </c>
      <c r="S70" s="53">
        <f>STDEV(H70:L70)</f>
        <v>1.3534054799510455E-2</v>
      </c>
      <c r="U70" s="65">
        <f>R70-2*S70</f>
        <v>3.6126475705720987E-2</v>
      </c>
      <c r="V70" s="66">
        <f>R70+2*S70</f>
        <v>9.0262694903762805E-2</v>
      </c>
      <c r="W70" s="75">
        <f t="array" ref="W70">SUM(IF(    (MONTH(date.2006)=MONTH($A70))*(gross.us.2006&gt;=0),gross.us.2006))</f>
        <v>378806113</v>
      </c>
      <c r="X70" s="75">
        <f t="array" ref="X70">SUM(IF(    (MONTH(date.2007)=MONTH($A70))*(gross.us.2007&gt;=0),gross.us.2007))</f>
        <v>265347542</v>
      </c>
      <c r="Y70" s="75">
        <f t="array" ref="Y70">SUM(IF(    (MONTH(date.2008)=MONTH($A70))*(gross.us.2008&gt;=0),gross.us.2008))</f>
        <v>392593012</v>
      </c>
      <c r="Z70" s="75">
        <f t="array" ref="Z70">SUM(IF(    (MONTH(date.2009)=MONTH($A70))*(gross.us.2009&gt;=0),gross.us.2009))</f>
        <v>680980599</v>
      </c>
      <c r="AA70" s="75">
        <f t="array" ref="AA70">SUM(IF(    (MONTH(date.2010)=MONTH($A70))*(gross.us.2010&gt;=0),gross.us.2010))</f>
        <v>394460457</v>
      </c>
      <c r="AB70" s="76">
        <f>W70/W$82</f>
        <v>4.1030079034237922E-2</v>
      </c>
      <c r="AC70" s="76">
        <f t="shared" ref="AC70:AF81" si="5">X70/X$82</f>
        <v>2.7444426601523346E-2</v>
      </c>
      <c r="AD70" s="76">
        <f t="shared" si="5"/>
        <v>4.0431465179048866E-2</v>
      </c>
      <c r="AE70" s="76">
        <f t="shared" si="5"/>
        <v>6.2684570293168054E-2</v>
      </c>
      <c r="AF70" s="76">
        <f t="shared" si="5"/>
        <v>3.9271894190672257E-2</v>
      </c>
      <c r="AG70" s="77">
        <f>SUM(AB$70:AB70)</f>
        <v>4.1030079034237922E-2</v>
      </c>
      <c r="AH70" s="77">
        <f>SUM(AC$70:AC70)</f>
        <v>2.7444426601523346E-2</v>
      </c>
      <c r="AI70" s="77">
        <f>SUM(AD$70:AD70)</f>
        <v>4.0431465179048866E-2</v>
      </c>
      <c r="AJ70" s="77">
        <f>SUM(AE$70:AE70)</f>
        <v>6.2684570293168054E-2</v>
      </c>
      <c r="AK70" s="77">
        <f>SUM(AF$70:AF70)</f>
        <v>3.9271894190672257E-2</v>
      </c>
      <c r="AL70" s="73">
        <f t="shared" ref="AL70:AL81" si="6">AVERAGE(AB70:AF70)</f>
        <v>4.2172487059730084E-2</v>
      </c>
      <c r="AM70" s="80">
        <f t="shared" ref="AM70:AM81" si="7">STDEV(AB70:AF70)</f>
        <v>1.2751578487718978E-2</v>
      </c>
      <c r="AN70" s="81"/>
      <c r="AO70" s="82">
        <f>AL70-2*AM70</f>
        <v>1.6669330084292128E-2</v>
      </c>
      <c r="AP70" s="82">
        <f>AL70+2*AM70</f>
        <v>6.7675644035168042E-2</v>
      </c>
    </row>
    <row r="71" spans="1:42" x14ac:dyDescent="0.2">
      <c r="A71" s="47">
        <f>DATE(YEAR(A70),MONTH(A70)+1,15)</f>
        <v>40589</v>
      </c>
      <c r="B71" s="47"/>
      <c r="C71" s="40">
        <f t="array" ref="C71">COUNT(IF(    (MONTH(date.2006)=MONTH($A71))*(gross.us.2006&gt;=0),gross.us.2006))</f>
        <v>43</v>
      </c>
      <c r="D71" s="40">
        <f t="array" ref="D71">COUNT(IF(    (MONTH(date.2007)=MONTH($A71))*(gross.us.2007&gt;=0),gross.us.2007))</f>
        <v>40</v>
      </c>
      <c r="E71" s="40">
        <f t="array" ref="E71">COUNT(IF(    (MONTH(date.2008)=MONTH($A71))*(gross.us.2008&gt;=0),gross.us.2008))</f>
        <v>56</v>
      </c>
      <c r="F71" s="40">
        <f t="array" ref="F71">COUNT(IF(    (MONTH(date.2009)=MONTH($A71))*(gross.us.2009&gt;=0),gross.us.2009))</f>
        <v>36</v>
      </c>
      <c r="G71" s="40">
        <f t="array" ref="G71">COUNT(IF(    (MONTH(date.2010)=MONTH($A71))*(gross.us.2010&gt;=0),gross.us.2010))</f>
        <v>44</v>
      </c>
      <c r="H71" s="62">
        <f t="shared" ref="H71:H81" si="8">C71/C$82</f>
        <v>7.0607553366174053E-2</v>
      </c>
      <c r="I71" s="62">
        <f t="shared" si="4"/>
        <v>6.2893081761006289E-2</v>
      </c>
      <c r="J71" s="62">
        <f t="shared" si="4"/>
        <v>9.0322580645161285E-2</v>
      </c>
      <c r="K71" s="62">
        <f t="shared" si="4"/>
        <v>6.5335753176043551E-2</v>
      </c>
      <c r="L71" s="62">
        <f t="shared" si="4"/>
        <v>8.3018867924528297E-2</v>
      </c>
      <c r="M71" s="53">
        <f>SUM(H$70:H71)</f>
        <v>0.1231527093596059</v>
      </c>
      <c r="N71" s="53">
        <f>SUM(I$70:I71)</f>
        <v>0.11163522012578617</v>
      </c>
      <c r="O71" s="53">
        <f>SUM(J$70:J71)</f>
        <v>0.15483870967741936</v>
      </c>
      <c r="P71" s="53">
        <f>SUM(K$70:K71)</f>
        <v>0.13248638838475499</v>
      </c>
      <c r="Q71" s="53">
        <f>SUM(L$70:L71)</f>
        <v>0.16603773584905659</v>
      </c>
      <c r="R71" s="53">
        <f t="shared" ref="R71:R81" si="9">AVERAGE(H71:L71)</f>
        <v>7.4435567374582706E-2</v>
      </c>
      <c r="S71" s="53">
        <f t="shared" ref="S71:S81" si="10">STDEV(H71:L71)</f>
        <v>1.1797876109986444E-2</v>
      </c>
      <c r="U71" s="65">
        <f t="shared" ref="U71:U81" si="11">R71-2*S71</f>
        <v>5.0839815154609821E-2</v>
      </c>
      <c r="V71" s="66">
        <f t="shared" ref="V71:V81" si="12">R71+2*S71</f>
        <v>9.8031319594555591E-2</v>
      </c>
      <c r="W71" s="75">
        <f t="array" ref="W71">SUM(IF(    (MONTH(date.2006)=MONTH($A71))*(gross.us.2006&gt;=0),gross.us.2006))</f>
        <v>532381741</v>
      </c>
      <c r="X71" s="75">
        <f t="array" ref="X71">SUM(IF(    (MONTH(date.2007)=MONTH($A71))*(gross.us.2007&gt;=0),gross.us.2007))</f>
        <v>623907213</v>
      </c>
      <c r="Y71" s="75">
        <f t="array" ref="Y71">SUM(IF(    (MONTH(date.2008)=MONTH($A71))*(gross.us.2008&gt;=0),gross.us.2008))</f>
        <v>660448986</v>
      </c>
      <c r="Z71" s="75">
        <f t="array" ref="Z71">SUM(IF(    (MONTH(date.2009)=MONTH($A71))*(gross.us.2009&gt;=0),gross.us.2009))</f>
        <v>548773552</v>
      </c>
      <c r="AA71" s="75">
        <f t="array" ref="AA71">SUM(IF(    (MONTH(date.2010)=MONTH($A71))*(gross.us.2010&gt;=0),gross.us.2010))</f>
        <v>604885835</v>
      </c>
      <c r="AB71" s="76">
        <f t="shared" ref="AB71:AB81" si="13">W71/W$82</f>
        <v>5.7664499489255033E-2</v>
      </c>
      <c r="AC71" s="76">
        <f t="shared" si="5"/>
        <v>6.4529618719209744E-2</v>
      </c>
      <c r="AD71" s="76">
        <f t="shared" si="5"/>
        <v>6.8016799494121233E-2</v>
      </c>
      <c r="AE71" s="76">
        <f t="shared" si="5"/>
        <v>5.0514852179181564E-2</v>
      </c>
      <c r="AF71" s="76">
        <f t="shared" si="5"/>
        <v>6.0221530670579837E-2</v>
      </c>
      <c r="AG71" s="77">
        <f>SUM(AB$70:AB71)</f>
        <v>9.8694578523492948E-2</v>
      </c>
      <c r="AH71" s="77">
        <f>SUM(AC$70:AC71)</f>
        <v>9.1974045320733083E-2</v>
      </c>
      <c r="AI71" s="77">
        <f>SUM(AD$70:AD71)</f>
        <v>0.10844826467317009</v>
      </c>
      <c r="AJ71" s="77">
        <f>SUM(AE$70:AE71)</f>
        <v>0.11319942247234963</v>
      </c>
      <c r="AK71" s="77">
        <f>SUM(AF$70:AF71)</f>
        <v>9.9493424861252094E-2</v>
      </c>
      <c r="AL71" s="73">
        <f t="shared" si="6"/>
        <v>6.0189460110469481E-2</v>
      </c>
      <c r="AM71" s="80">
        <f t="shared" si="7"/>
        <v>6.7096704810954855E-3</v>
      </c>
      <c r="AN71" s="81"/>
      <c r="AO71" s="82">
        <f t="shared" ref="AO71:AO81" si="14">AL71-2*AM71</f>
        <v>4.6770119148278513E-2</v>
      </c>
      <c r="AP71" s="82">
        <f t="shared" ref="AP71:AP81" si="15">AL71+2*AM71</f>
        <v>7.3608801072660449E-2</v>
      </c>
    </row>
    <row r="72" spans="1:42" x14ac:dyDescent="0.2">
      <c r="A72" s="47">
        <f t="shared" ref="A72:A81" si="16">DATE(YEAR(A71),MONTH(A71)+1,15)</f>
        <v>40617</v>
      </c>
      <c r="B72" s="47"/>
      <c r="C72" s="40">
        <f t="array" ref="C72">COUNT(IF(    (MONTH(date.2006)=MONTH($A72))*(gross.us.2006&gt;=0),gross.us.2006))</f>
        <v>62</v>
      </c>
      <c r="D72" s="40">
        <f t="array" ref="D72">COUNT(IF(    (MONTH(date.2007)=MONTH($A72))*(gross.us.2007&gt;=0),gross.us.2007))</f>
        <v>62</v>
      </c>
      <c r="E72" s="40">
        <f t="array" ref="E72">COUNT(IF(    (MONTH(date.2008)=MONTH($A72))*(gross.us.2008&gt;=0),gross.us.2008))</f>
        <v>56</v>
      </c>
      <c r="F72" s="40">
        <f t="array" ref="F72">COUNT(IF(    (MONTH(date.2009)=MONTH($A72))*(gross.us.2009&gt;=0),gross.us.2009))</f>
        <v>51</v>
      </c>
      <c r="G72" s="40">
        <f t="array" ref="G72">COUNT(IF(    (MONTH(date.2010)=MONTH($A72))*(gross.us.2010&gt;=0),gross.us.2010))</f>
        <v>44</v>
      </c>
      <c r="H72" s="62">
        <f t="shared" si="8"/>
        <v>0.10180623973727422</v>
      </c>
      <c r="I72" s="62">
        <f t="shared" si="4"/>
        <v>9.7484276729559755E-2</v>
      </c>
      <c r="J72" s="62">
        <f t="shared" si="4"/>
        <v>9.0322580645161285E-2</v>
      </c>
      <c r="K72" s="62">
        <f t="shared" si="4"/>
        <v>9.2558983666061703E-2</v>
      </c>
      <c r="L72" s="62">
        <f t="shared" si="4"/>
        <v>8.3018867924528297E-2</v>
      </c>
      <c r="M72" s="53">
        <f>SUM(H$70:H72)</f>
        <v>0.22495894909688013</v>
      </c>
      <c r="N72" s="53">
        <f>SUM(I$70:I72)</f>
        <v>0.20911949685534592</v>
      </c>
      <c r="O72" s="53">
        <f>SUM(J$70:J72)</f>
        <v>0.24516129032258066</v>
      </c>
      <c r="P72" s="53">
        <f>SUM(K$70:K72)</f>
        <v>0.22504537205081671</v>
      </c>
      <c r="Q72" s="53">
        <f>SUM(L$70:L72)</f>
        <v>0.24905660377358491</v>
      </c>
      <c r="R72" s="53">
        <f t="shared" si="9"/>
        <v>9.3038189740517058E-2</v>
      </c>
      <c r="S72" s="53">
        <f t="shared" si="10"/>
        <v>7.1525759543798317E-3</v>
      </c>
      <c r="U72" s="65">
        <f t="shared" si="11"/>
        <v>7.8733037831757391E-2</v>
      </c>
      <c r="V72" s="66">
        <f t="shared" si="12"/>
        <v>0.10734334164927672</v>
      </c>
      <c r="W72" s="75">
        <f t="array" ref="W72">SUM(IF(    (MONTH(date.2006)=MONTH($A72))*(gross.us.2006&gt;=0),gross.us.2006))</f>
        <v>820765124</v>
      </c>
      <c r="X72" s="75">
        <f t="array" ref="X72">SUM(IF(    (MONTH(date.2007)=MONTH($A72))*(gross.us.2007&gt;=0),gross.us.2007))</f>
        <v>917198319</v>
      </c>
      <c r="Y72" s="75">
        <f t="array" ref="Y72">SUM(IF(    (MONTH(date.2008)=MONTH($A72))*(gross.us.2008&gt;=0),gross.us.2008))</f>
        <v>622618513</v>
      </c>
      <c r="Z72" s="75">
        <f t="array" ref="Z72">SUM(IF(    (MONTH(date.2009)=MONTH($A72))*(gross.us.2009&gt;=0),gross.us.2009))</f>
        <v>693318261</v>
      </c>
      <c r="AA72" s="75">
        <f t="array" ref="AA72">SUM(IF(    (MONTH(date.2010)=MONTH($A72))*(gross.us.2010&gt;=0),gross.us.2010))</f>
        <v>999082091</v>
      </c>
      <c r="AB72" s="76">
        <f t="shared" si="13"/>
        <v>8.8900513351182611E-2</v>
      </c>
      <c r="AC72" s="76">
        <f t="shared" si="5"/>
        <v>9.4864198684893403E-2</v>
      </c>
      <c r="AD72" s="76">
        <f t="shared" si="5"/>
        <v>6.4120801845017769E-2</v>
      </c>
      <c r="AE72" s="76">
        <f t="shared" si="5"/>
        <v>6.3820257627033417E-2</v>
      </c>
      <c r="AF72" s="76">
        <f t="shared" si="5"/>
        <v>9.9467121404129971E-2</v>
      </c>
      <c r="AG72" s="77">
        <f>SUM(AB$70:AB72)</f>
        <v>0.18759509187467555</v>
      </c>
      <c r="AH72" s="77">
        <f>SUM(AC$70:AC72)</f>
        <v>0.18683824400562649</v>
      </c>
      <c r="AI72" s="77">
        <f>SUM(AD$70:AD72)</f>
        <v>0.17256906651818787</v>
      </c>
      <c r="AJ72" s="77">
        <f>SUM(AE$70:AE72)</f>
        <v>0.17701968009938304</v>
      </c>
      <c r="AK72" s="77">
        <f>SUM(AF$70:AF72)</f>
        <v>0.19896054626538207</v>
      </c>
      <c r="AL72" s="73">
        <f t="shared" si="6"/>
        <v>8.2234578582451451E-2</v>
      </c>
      <c r="AM72" s="80">
        <f t="shared" si="7"/>
        <v>1.708872908027911E-2</v>
      </c>
      <c r="AN72" s="81"/>
      <c r="AO72" s="83">
        <f t="shared" si="14"/>
        <v>4.805712042189323E-2</v>
      </c>
      <c r="AP72" s="83">
        <f t="shared" si="15"/>
        <v>0.11641203674300968</v>
      </c>
    </row>
    <row r="73" spans="1:42" x14ac:dyDescent="0.2">
      <c r="A73" s="47">
        <f t="shared" si="16"/>
        <v>40648</v>
      </c>
      <c r="B73" s="47"/>
      <c r="C73" s="40">
        <f t="array" ref="C73">COUNT(IF(    (MONTH(date.2006)=MONTH($A73))*(gross.us.2006&gt;=0),gross.us.2006))</f>
        <v>61</v>
      </c>
      <c r="D73" s="40">
        <f t="array" ref="D73">COUNT(IF(    (MONTH(date.2007)=MONTH($A73))*(gross.us.2007&gt;=0),gross.us.2007))</f>
        <v>56</v>
      </c>
      <c r="E73" s="40">
        <f t="array" ref="E73">COUNT(IF(    (MONTH(date.2008)=MONTH($A73))*(gross.us.2008&gt;=0),gross.us.2008))</f>
        <v>54</v>
      </c>
      <c r="F73" s="40">
        <f t="array" ref="F73">COUNT(IF(    (MONTH(date.2009)=MONTH($A73))*(gross.us.2009&gt;=0),gross.us.2009))</f>
        <v>44</v>
      </c>
      <c r="G73" s="40">
        <f t="array" ref="G73">COUNT(IF(    (MONTH(date.2010)=MONTH($A73))*(gross.us.2010&gt;=0),gross.us.2010))</f>
        <v>55</v>
      </c>
      <c r="H73" s="62">
        <f t="shared" si="8"/>
        <v>0.10016420361247948</v>
      </c>
      <c r="I73" s="62">
        <f t="shared" si="4"/>
        <v>8.8050314465408799E-2</v>
      </c>
      <c r="J73" s="62">
        <f t="shared" si="4"/>
        <v>8.7096774193548387E-2</v>
      </c>
      <c r="K73" s="62">
        <f t="shared" si="4"/>
        <v>7.985480943738657E-2</v>
      </c>
      <c r="L73" s="62">
        <f t="shared" si="4"/>
        <v>0.10377358490566038</v>
      </c>
      <c r="M73" s="53">
        <f>SUM(H$70:H73)</f>
        <v>0.3251231527093596</v>
      </c>
      <c r="N73" s="53">
        <f>SUM(I$70:I73)</f>
        <v>0.29716981132075471</v>
      </c>
      <c r="O73" s="53">
        <f>SUM(J$70:J73)</f>
        <v>0.33225806451612905</v>
      </c>
      <c r="P73" s="53">
        <f>SUM(K$70:K73)</f>
        <v>0.3049001814882033</v>
      </c>
      <c r="Q73" s="53">
        <f>SUM(L$70:L73)</f>
        <v>0.35283018867924532</v>
      </c>
      <c r="R73" s="53">
        <f t="shared" si="9"/>
        <v>9.1787937322896723E-2</v>
      </c>
      <c r="S73" s="53">
        <f t="shared" si="10"/>
        <v>9.901943776288601E-3</v>
      </c>
      <c r="U73" s="65">
        <f t="shared" si="11"/>
        <v>7.1984049770319525E-2</v>
      </c>
      <c r="V73" s="66">
        <f t="shared" si="12"/>
        <v>0.11159182487547392</v>
      </c>
      <c r="W73" s="75">
        <f t="array" ref="W73">SUM(IF(    (MONTH(date.2006)=MONTH($A73))*(gross.us.2006&gt;=0),gross.us.2006))</f>
        <v>525849521</v>
      </c>
      <c r="X73" s="75">
        <f t="array" ref="X73">SUM(IF(    (MONTH(date.2007)=MONTH($A73))*(gross.us.2007&gt;=0),gross.us.2007))</f>
        <v>403075248</v>
      </c>
      <c r="Y73" s="75">
        <f t="array" ref="Y73">SUM(IF(    (MONTH(date.2008)=MONTH($A73))*(gross.us.2008&gt;=0),gross.us.2008))</f>
        <v>453756676</v>
      </c>
      <c r="Z73" s="75">
        <f t="array" ref="Z73">SUM(IF(    (MONTH(date.2009)=MONTH($A73))*(gross.us.2009&gt;=0),gross.us.2009))</f>
        <v>564638661</v>
      </c>
      <c r="AA73" s="75">
        <f t="array" ref="AA73">SUM(IF(    (MONTH(date.2010)=MONTH($A73))*(gross.us.2010&gt;=0),gross.us.2010))</f>
        <v>606713554</v>
      </c>
      <c r="AB73" s="76">
        <f t="shared" si="13"/>
        <v>5.6956967341089751E-2</v>
      </c>
      <c r="AC73" s="76">
        <f t="shared" si="5"/>
        <v>4.1689359453824598E-2</v>
      </c>
      <c r="AD73" s="76">
        <f t="shared" si="5"/>
        <v>4.673044777846163E-2</v>
      </c>
      <c r="AE73" s="76">
        <f t="shared" si="5"/>
        <v>5.1975242595266341E-2</v>
      </c>
      <c r="AF73" s="76">
        <f t="shared" si="5"/>
        <v>6.0403495645533663E-2</v>
      </c>
      <c r="AG73" s="77">
        <f>SUM(AB$70:AB73)</f>
        <v>0.24455205921576528</v>
      </c>
      <c r="AH73" s="77">
        <f>SUM(AC$70:AC73)</f>
        <v>0.22852760345945108</v>
      </c>
      <c r="AI73" s="77">
        <f>SUM(AD$70:AD73)</f>
        <v>0.21929951429664951</v>
      </c>
      <c r="AJ73" s="77">
        <f>SUM(AE$70:AE73)</f>
        <v>0.22899492269464938</v>
      </c>
      <c r="AK73" s="77">
        <f>SUM(AF$70:AF73)</f>
        <v>0.25936404191091572</v>
      </c>
      <c r="AL73" s="73">
        <f t="shared" si="6"/>
        <v>5.1551102562835197E-2</v>
      </c>
      <c r="AM73" s="80">
        <f t="shared" si="7"/>
        <v>7.5541515366835824E-3</v>
      </c>
      <c r="AN73" s="81"/>
      <c r="AO73" s="82">
        <f t="shared" si="14"/>
        <v>3.6442799489468033E-2</v>
      </c>
      <c r="AP73" s="82">
        <f t="shared" si="15"/>
        <v>6.665940563620236E-2</v>
      </c>
    </row>
    <row r="74" spans="1:42" x14ac:dyDescent="0.2">
      <c r="A74" s="47">
        <f t="shared" si="16"/>
        <v>40678</v>
      </c>
      <c r="B74" s="47"/>
      <c r="C74" s="40">
        <f t="array" ref="C74">COUNT(IF(    (MONTH(date.2006)=MONTH($A74))*(gross.us.2006&gt;=0),gross.us.2006))</f>
        <v>40</v>
      </c>
      <c r="D74" s="40">
        <f t="array" ref="D74">COUNT(IF(    (MONTH(date.2007)=MONTH($A74))*(gross.us.2007&gt;=0),gross.us.2007))</f>
        <v>54</v>
      </c>
      <c r="E74" s="40">
        <f t="array" ref="E74">COUNT(IF(    (MONTH(date.2008)=MONTH($A74))*(gross.us.2008&gt;=0),gross.us.2008))</f>
        <v>51</v>
      </c>
      <c r="F74" s="40">
        <f t="array" ref="F74">COUNT(IF(    (MONTH(date.2009)=MONTH($A74))*(gross.us.2009&gt;=0),gross.us.2009))</f>
        <v>44</v>
      </c>
      <c r="G74" s="40">
        <f t="array" ref="G74">COUNT(IF(    (MONTH(date.2010)=MONTH($A74))*(gross.us.2010&gt;=0),gross.us.2010))</f>
        <v>38</v>
      </c>
      <c r="H74" s="62">
        <f t="shared" si="8"/>
        <v>6.5681444991789822E-2</v>
      </c>
      <c r="I74" s="62">
        <f t="shared" si="4"/>
        <v>8.4905660377358486E-2</v>
      </c>
      <c r="J74" s="62">
        <f t="shared" si="4"/>
        <v>8.2258064516129034E-2</v>
      </c>
      <c r="K74" s="62">
        <f t="shared" si="4"/>
        <v>7.985480943738657E-2</v>
      </c>
      <c r="L74" s="62">
        <f t="shared" si="4"/>
        <v>7.1698113207547168E-2</v>
      </c>
      <c r="M74" s="53">
        <f>SUM(H$70:H74)</f>
        <v>0.39080459770114939</v>
      </c>
      <c r="N74" s="53">
        <f>SUM(I$70:I74)</f>
        <v>0.38207547169811318</v>
      </c>
      <c r="O74" s="53">
        <f>SUM(J$70:J74)</f>
        <v>0.4145161290322581</v>
      </c>
      <c r="P74" s="53">
        <f>SUM(K$70:K74)</f>
        <v>0.38475499092558985</v>
      </c>
      <c r="Q74" s="53">
        <f>SUM(L$70:L74)</f>
        <v>0.42452830188679247</v>
      </c>
      <c r="R74" s="53">
        <f t="shared" si="9"/>
        <v>7.6879618506042219E-2</v>
      </c>
      <c r="S74" s="53">
        <f t="shared" si="10"/>
        <v>7.9756485299806584E-3</v>
      </c>
      <c r="U74" s="65">
        <f t="shared" si="11"/>
        <v>6.0928321446080902E-2</v>
      </c>
      <c r="V74" s="66">
        <f t="shared" si="12"/>
        <v>9.2830915566003536E-2</v>
      </c>
      <c r="W74" s="75">
        <f t="array" ref="W74">SUM(IF(    (MONTH(date.2006)=MONTH($A74))*(gross.us.2006&gt;=0),gross.us.2006))</f>
        <v>901378014</v>
      </c>
      <c r="X74" s="75">
        <f t="array" ref="X74">SUM(IF(    (MONTH(date.2007)=MONTH($A74))*(gross.us.2007&gt;=0),gross.us.2007))</f>
        <v>1085548184</v>
      </c>
      <c r="Y74" s="75">
        <f t="array" ref="Y74">SUM(IF(    (MONTH(date.2008)=MONTH($A74))*(gross.us.2008&gt;=0),gross.us.2008))</f>
        <v>1167766817</v>
      </c>
      <c r="Z74" s="75">
        <f t="array" ref="Z74">SUM(IF(    (MONTH(date.2009)=MONTH($A74))*(gross.us.2009&gt;=0),gross.us.2009))</f>
        <v>1317069980</v>
      </c>
      <c r="AA74" s="75">
        <f t="array" ref="AA74">SUM(IF(    (MONTH(date.2010)=MONTH($A74))*(gross.us.2010&gt;=0),gross.us.2010))</f>
        <v>945505961</v>
      </c>
      <c r="AB74" s="76">
        <f t="shared" si="13"/>
        <v>9.7632033604865331E-2</v>
      </c>
      <c r="AC74" s="76">
        <f t="shared" si="5"/>
        <v>0.11227632724106772</v>
      </c>
      <c r="AD74" s="76">
        <f t="shared" si="5"/>
        <v>0.12026328017979146</v>
      </c>
      <c r="AE74" s="76">
        <f t="shared" si="5"/>
        <v>0.12123688378724494</v>
      </c>
      <c r="AF74" s="76">
        <f t="shared" si="5"/>
        <v>9.4133161887610672E-2</v>
      </c>
      <c r="AG74" s="77">
        <f>SUM(AB$70:AB74)</f>
        <v>0.34218409282063061</v>
      </c>
      <c r="AH74" s="77">
        <f>SUM(AC$70:AC74)</f>
        <v>0.34080393070051879</v>
      </c>
      <c r="AI74" s="77">
        <f>SUM(AD$70:AD74)</f>
        <v>0.339562794476441</v>
      </c>
      <c r="AJ74" s="77">
        <f>SUM(AE$70:AE74)</f>
        <v>0.35023180648189434</v>
      </c>
      <c r="AK74" s="77">
        <f>SUM(AF$70:AF74)</f>
        <v>0.35349720379852639</v>
      </c>
      <c r="AL74" s="73">
        <f t="shared" si="6"/>
        <v>0.10910833734011602</v>
      </c>
      <c r="AM74" s="80">
        <f t="shared" si="7"/>
        <v>1.2624697778027875E-2</v>
      </c>
      <c r="AN74" s="81"/>
      <c r="AO74" s="84">
        <f t="shared" si="14"/>
        <v>8.3858941784060267E-2</v>
      </c>
      <c r="AP74" s="84">
        <f t="shared" si="15"/>
        <v>0.13435773289617176</v>
      </c>
    </row>
    <row r="75" spans="1:42" x14ac:dyDescent="0.2">
      <c r="A75" s="47">
        <f t="shared" si="16"/>
        <v>40709</v>
      </c>
      <c r="B75" s="47"/>
      <c r="C75" s="40">
        <f t="array" ref="C75">COUNT(IF(    (MONTH(date.2006)=MONTH($A75))*(gross.us.2006&gt;=0),gross.us.2006))</f>
        <v>53</v>
      </c>
      <c r="D75" s="40">
        <f t="array" ref="D75">COUNT(IF(    (MONTH(date.2007)=MONTH($A75))*(gross.us.2007&gt;=0),gross.us.2007))</f>
        <v>58</v>
      </c>
      <c r="E75" s="40">
        <f t="array" ref="E75">COUNT(IF(    (MONTH(date.2008)=MONTH($A75))*(gross.us.2008&gt;=0),gross.us.2008))</f>
        <v>47</v>
      </c>
      <c r="F75" s="40">
        <f t="array" ref="F75">COUNT(IF(    (MONTH(date.2009)=MONTH($A75))*(gross.us.2009&gt;=0),gross.us.2009))</f>
        <v>44</v>
      </c>
      <c r="G75" s="40">
        <f t="array" ref="G75">COUNT(IF(    (MONTH(date.2010)=MONTH($A75))*(gross.us.2010&gt;=0),gross.us.2010))</f>
        <v>45</v>
      </c>
      <c r="H75" s="62">
        <f t="shared" si="8"/>
        <v>8.7027914614121515E-2</v>
      </c>
      <c r="I75" s="62">
        <f t="shared" si="4"/>
        <v>9.1194968553459113E-2</v>
      </c>
      <c r="J75" s="62">
        <f t="shared" si="4"/>
        <v>7.5806451612903225E-2</v>
      </c>
      <c r="K75" s="62">
        <f t="shared" si="4"/>
        <v>7.985480943738657E-2</v>
      </c>
      <c r="L75" s="62">
        <f t="shared" si="4"/>
        <v>8.4905660377358486E-2</v>
      </c>
      <c r="M75" s="53">
        <f>SUM(H$70:H75)</f>
        <v>0.47783251231527091</v>
      </c>
      <c r="N75" s="53">
        <f>SUM(I$70:I75)</f>
        <v>0.47327044025157228</v>
      </c>
      <c r="O75" s="53">
        <f>SUM(J$70:J75)</f>
        <v>0.49032258064516132</v>
      </c>
      <c r="P75" s="53">
        <f>SUM(K$70:K75)</f>
        <v>0.46460980036297639</v>
      </c>
      <c r="Q75" s="53">
        <f>SUM(L$70:L75)</f>
        <v>0.50943396226415094</v>
      </c>
      <c r="R75" s="53">
        <f t="shared" si="9"/>
        <v>8.3757960919045776E-2</v>
      </c>
      <c r="S75" s="53">
        <f t="shared" si="10"/>
        <v>6.0369691382208312E-3</v>
      </c>
      <c r="U75" s="65">
        <f t="shared" si="11"/>
        <v>7.1684022642604109E-2</v>
      </c>
      <c r="V75" s="66">
        <f t="shared" si="12"/>
        <v>9.5831899195487444E-2</v>
      </c>
      <c r="W75" s="75">
        <f t="array" ref="W75">SUM(IF(    (MONTH(date.2006)=MONTH($A75))*(gross.us.2006&gt;=0),gross.us.2006))</f>
        <v>1161441083</v>
      </c>
      <c r="X75" s="75">
        <f t="array" ref="X75">SUM(IF(    (MONTH(date.2007)=MONTH($A75))*(gross.us.2007&gt;=0),gross.us.2007))</f>
        <v>1113105387</v>
      </c>
      <c r="Y75" s="75">
        <f t="array" ref="Y75">SUM(IF(    (MONTH(date.2008)=MONTH($A75))*(gross.us.2008&gt;=0),gross.us.2008))</f>
        <v>1069969201</v>
      </c>
      <c r="Z75" s="75">
        <f t="array" ref="Z75">SUM(IF(    (MONTH(date.2009)=MONTH($A75))*(gross.us.2009&gt;=0),gross.us.2009))</f>
        <v>1124253752</v>
      </c>
      <c r="AA75" s="75">
        <f t="array" ref="AA75">SUM(IF(    (MONTH(date.2010)=MONTH($A75))*(gross.us.2010&gt;=0),gross.us.2010))</f>
        <v>1410018562</v>
      </c>
      <c r="AB75" s="76">
        <f t="shared" si="13"/>
        <v>0.12580055546543117</v>
      </c>
      <c r="AC75" s="76">
        <f t="shared" si="5"/>
        <v>0.11512651997086049</v>
      </c>
      <c r="AD75" s="76">
        <f t="shared" si="5"/>
        <v>0.11019152448104766</v>
      </c>
      <c r="AE75" s="76">
        <f t="shared" si="5"/>
        <v>0.10348806331353638</v>
      </c>
      <c r="AF75" s="76">
        <f t="shared" si="5"/>
        <v>0.14037934295083943</v>
      </c>
      <c r="AG75" s="77">
        <f>SUM(AB$70:AB75)</f>
        <v>0.46798464828606179</v>
      </c>
      <c r="AH75" s="77">
        <f>SUM(AC$70:AC75)</f>
        <v>0.45593045067137927</v>
      </c>
      <c r="AI75" s="77">
        <f>SUM(AD$70:AD75)</f>
        <v>0.44975431895748863</v>
      </c>
      <c r="AJ75" s="77">
        <f>SUM(AE$70:AE75)</f>
        <v>0.45371986979543072</v>
      </c>
      <c r="AK75" s="77">
        <f>SUM(AF$70:AF75)</f>
        <v>0.49387654674936582</v>
      </c>
      <c r="AL75" s="73">
        <f t="shared" si="6"/>
        <v>0.11899720123634303</v>
      </c>
      <c r="AM75" s="80">
        <f t="shared" si="7"/>
        <v>1.4461475449894469E-2</v>
      </c>
      <c r="AN75" s="81"/>
      <c r="AO75" s="84">
        <f t="shared" si="14"/>
        <v>9.0074250336554085E-2</v>
      </c>
      <c r="AP75" s="84">
        <f t="shared" si="15"/>
        <v>0.14792015213613197</v>
      </c>
    </row>
    <row r="76" spans="1:42" x14ac:dyDescent="0.2">
      <c r="A76" s="47">
        <f t="shared" si="16"/>
        <v>40739</v>
      </c>
      <c r="B76" s="47"/>
      <c r="C76" s="40">
        <f t="array" ref="C76">COUNT(IF(    (MONTH(date.2006)=MONTH($A76))*(gross.us.2006&gt;=0),gross.us.2006))</f>
        <v>43</v>
      </c>
      <c r="D76" s="40">
        <f t="array" ref="D76">COUNT(IF(    (MONTH(date.2007)=MONTH($A76))*(gross.us.2007&gt;=0),gross.us.2007))</f>
        <v>43</v>
      </c>
      <c r="E76" s="40">
        <f t="array" ref="E76">COUNT(IF(    (MONTH(date.2008)=MONTH($A76))*(gross.us.2008&gt;=0),gross.us.2008))</f>
        <v>49</v>
      </c>
      <c r="F76" s="40">
        <f t="array" ref="F76">COUNT(IF(    (MONTH(date.2009)=MONTH($A76))*(gross.us.2009&gt;=0),gross.us.2009))</f>
        <v>51</v>
      </c>
      <c r="G76" s="40">
        <f t="array" ref="G76">COUNT(IF(    (MONTH(date.2010)=MONTH($A76))*(gross.us.2010&gt;=0),gross.us.2010))</f>
        <v>39</v>
      </c>
      <c r="H76" s="62">
        <f t="shared" si="8"/>
        <v>7.0607553366174053E-2</v>
      </c>
      <c r="I76" s="62">
        <f t="shared" si="4"/>
        <v>6.761006289308176E-2</v>
      </c>
      <c r="J76" s="62">
        <f t="shared" si="4"/>
        <v>7.9032258064516123E-2</v>
      </c>
      <c r="K76" s="62">
        <f t="shared" si="4"/>
        <v>9.2558983666061703E-2</v>
      </c>
      <c r="L76" s="62">
        <f t="shared" si="4"/>
        <v>7.3584905660377356E-2</v>
      </c>
      <c r="M76" s="53">
        <f>SUM(H$70:H76)</f>
        <v>0.54844006568144499</v>
      </c>
      <c r="N76" s="53">
        <f>SUM(I$70:I76)</f>
        <v>0.54088050314465408</v>
      </c>
      <c r="O76" s="53">
        <f>SUM(J$70:J76)</f>
        <v>0.5693548387096774</v>
      </c>
      <c r="P76" s="53">
        <f>SUM(K$70:K76)</f>
        <v>0.55716878402903813</v>
      </c>
      <c r="Q76" s="53">
        <f>SUM(L$70:L76)</f>
        <v>0.58301886792452828</v>
      </c>
      <c r="R76" s="53">
        <f t="shared" si="9"/>
        <v>7.6678752730042196E-2</v>
      </c>
      <c r="S76" s="53">
        <f t="shared" si="10"/>
        <v>9.8284435276650324E-3</v>
      </c>
      <c r="U76" s="65">
        <f t="shared" si="11"/>
        <v>5.7021865674712131E-2</v>
      </c>
      <c r="V76" s="66">
        <f t="shared" si="12"/>
        <v>9.6335639785372268E-2</v>
      </c>
      <c r="W76" s="75">
        <f t="array" ref="W76">SUM(IF(    (MONTH(date.2006)=MONTH($A76))*(gross.us.2006&gt;=0),gross.us.2006))</f>
        <v>937052443</v>
      </c>
      <c r="X76" s="75">
        <f t="array" ref="X76">SUM(IF(    (MONTH(date.2007)=MONTH($A76))*(gross.us.2007&gt;=0),gross.us.2007))</f>
        <v>1157646876</v>
      </c>
      <c r="Y76" s="75">
        <f t="array" ref="Y76">SUM(IF(    (MONTH(date.2008)=MONTH($A76))*(gross.us.2008&gt;=0),gross.us.2008))</f>
        <v>1272323786</v>
      </c>
      <c r="Z76" s="75">
        <f t="array" ref="Z76">SUM(IF(    (MONTH(date.2009)=MONTH($A76))*(gross.us.2009&gt;=0),gross.us.2009))</f>
        <v>1064679671</v>
      </c>
      <c r="AA76" s="75">
        <f t="array" ref="AA76">SUM(IF(    (MONTH(date.2010)=MONTH($A76))*(gross.us.2010&gt;=0),gross.us.2010))</f>
        <v>1118257113</v>
      </c>
      <c r="AB76" s="76">
        <f t="shared" si="13"/>
        <v>0.10149608064935246</v>
      </c>
      <c r="AC76" s="76">
        <f t="shared" si="5"/>
        <v>0.11973336733929421</v>
      </c>
      <c r="AD76" s="76">
        <f t="shared" si="5"/>
        <v>0.13103115256196823</v>
      </c>
      <c r="AE76" s="76">
        <f t="shared" si="5"/>
        <v>9.8004242374174516E-2</v>
      </c>
      <c r="AF76" s="76">
        <f t="shared" si="5"/>
        <v>0.11133200867255151</v>
      </c>
      <c r="AG76" s="77">
        <f>SUM(AB$70:AB76)</f>
        <v>0.56948072893541424</v>
      </c>
      <c r="AH76" s="77">
        <f>SUM(AC$70:AC76)</f>
        <v>0.57566381801067346</v>
      </c>
      <c r="AI76" s="77">
        <f>SUM(AD$70:AD76)</f>
        <v>0.58078547151945692</v>
      </c>
      <c r="AJ76" s="77">
        <f>SUM(AE$70:AE76)</f>
        <v>0.55172411216960526</v>
      </c>
      <c r="AK76" s="77">
        <f>SUM(AF$70:AF76)</f>
        <v>0.60520855542191732</v>
      </c>
      <c r="AL76" s="73">
        <f t="shared" si="6"/>
        <v>0.11231937031946819</v>
      </c>
      <c r="AM76" s="80">
        <f t="shared" si="7"/>
        <v>1.3492030211349679E-2</v>
      </c>
      <c r="AN76" s="81"/>
      <c r="AO76" s="83">
        <f t="shared" si="14"/>
        <v>8.5335309896768824E-2</v>
      </c>
      <c r="AP76" s="83">
        <f t="shared" si="15"/>
        <v>0.13930343074216756</v>
      </c>
    </row>
    <row r="77" spans="1:42" x14ac:dyDescent="0.2">
      <c r="A77" s="47">
        <f t="shared" si="16"/>
        <v>40770</v>
      </c>
      <c r="B77" s="47"/>
      <c r="C77" s="40">
        <f t="array" ref="C77">COUNT(IF(    (MONTH(date.2006)=MONTH($A77))*(gross.us.2006&gt;=0),gross.us.2006))</f>
        <v>51</v>
      </c>
      <c r="D77" s="40">
        <f t="array" ref="D77">COUNT(IF(    (MONTH(date.2007)=MONTH($A77))*(gross.us.2007&gt;=0),gross.us.2007))</f>
        <v>67</v>
      </c>
      <c r="E77" s="40">
        <f t="array" ref="E77">COUNT(IF(    (MONTH(date.2008)=MONTH($A77))*(gross.us.2008&gt;=0),gross.us.2008))</f>
        <v>55</v>
      </c>
      <c r="F77" s="40">
        <f t="array" ref="F77">COUNT(IF(    (MONTH(date.2009)=MONTH($A77))*(gross.us.2009&gt;=0),gross.us.2009))</f>
        <v>50</v>
      </c>
      <c r="G77" s="40">
        <f t="array" ref="G77">COUNT(IF(    (MONTH(date.2010)=MONTH($A77))*(gross.us.2010&gt;=0),gross.us.2010))</f>
        <v>41</v>
      </c>
      <c r="H77" s="62">
        <f t="shared" si="8"/>
        <v>8.3743842364532015E-2</v>
      </c>
      <c r="I77" s="62">
        <f t="shared" si="4"/>
        <v>0.10534591194968554</v>
      </c>
      <c r="J77" s="62">
        <f t="shared" si="4"/>
        <v>8.8709677419354843E-2</v>
      </c>
      <c r="K77" s="62">
        <f t="shared" si="4"/>
        <v>9.0744101633393831E-2</v>
      </c>
      <c r="L77" s="62">
        <f t="shared" si="4"/>
        <v>7.7358490566037733E-2</v>
      </c>
      <c r="M77" s="53">
        <f>SUM(H$70:H77)</f>
        <v>0.63218390804597702</v>
      </c>
      <c r="N77" s="53">
        <f>SUM(I$70:I77)</f>
        <v>0.64622641509433965</v>
      </c>
      <c r="O77" s="53">
        <f>SUM(J$70:J77)</f>
        <v>0.65806451612903227</v>
      </c>
      <c r="P77" s="53">
        <f>SUM(K$70:K77)</f>
        <v>0.64791288566243199</v>
      </c>
      <c r="Q77" s="53">
        <f>SUM(L$70:L77)</f>
        <v>0.660377358490566</v>
      </c>
      <c r="R77" s="53">
        <f t="shared" si="9"/>
        <v>8.9180404786600789E-2</v>
      </c>
      <c r="S77" s="53">
        <f t="shared" si="10"/>
        <v>1.0407980360402413E-2</v>
      </c>
      <c r="U77" s="65">
        <f t="shared" si="11"/>
        <v>6.8364444065795962E-2</v>
      </c>
      <c r="V77" s="66">
        <f t="shared" si="12"/>
        <v>0.10999636550740562</v>
      </c>
      <c r="W77" s="75">
        <f t="array" ref="W77">SUM(IF(    (MONTH(date.2006)=MONTH($A77))*(gross.us.2006&gt;=0),gross.us.2006))</f>
        <v>673598893</v>
      </c>
      <c r="X77" s="75">
        <f t="array" ref="X77">SUM(IF(    (MONTH(date.2007)=MONTH($A77))*(gross.us.2007&gt;=0),gross.us.2007))</f>
        <v>872256140</v>
      </c>
      <c r="Y77" s="75">
        <f t="array" ref="Y77">SUM(IF(    (MONTH(date.2008)=MONTH($A77))*(gross.us.2008&gt;=0),gross.us.2008))</f>
        <v>657549572</v>
      </c>
      <c r="Z77" s="75">
        <f t="array" ref="Z77">SUM(IF(    (MONTH(date.2009)=MONTH($A77))*(gross.us.2009&gt;=0),gross.us.2009))</f>
        <v>744905918</v>
      </c>
      <c r="AA77" s="75">
        <f t="array" ref="AA77">SUM(IF(    (MONTH(date.2010)=MONTH($A77))*(gross.us.2010&gt;=0),gross.us.2010))</f>
        <v>639024492</v>
      </c>
      <c r="AB77" s="76">
        <f t="shared" si="13"/>
        <v>7.2960321570009021E-2</v>
      </c>
      <c r="AC77" s="76">
        <f t="shared" si="5"/>
        <v>9.0215908658984573E-2</v>
      </c>
      <c r="AD77" s="76">
        <f t="shared" si="5"/>
        <v>6.7718201320955976E-2</v>
      </c>
      <c r="AE77" s="76">
        <f t="shared" si="5"/>
        <v>6.8568924646659257E-2</v>
      </c>
      <c r="AF77" s="76">
        <f t="shared" si="5"/>
        <v>6.3620324394320957E-2</v>
      </c>
      <c r="AG77" s="77">
        <f>SUM(AB$70:AB77)</f>
        <v>0.64244105050542322</v>
      </c>
      <c r="AH77" s="77">
        <f>SUM(AC$70:AC77)</f>
        <v>0.665879726669658</v>
      </c>
      <c r="AI77" s="77">
        <f>SUM(AD$70:AD77)</f>
        <v>0.64850367284041288</v>
      </c>
      <c r="AJ77" s="77">
        <f>SUM(AE$70:AE77)</f>
        <v>0.62029303681626446</v>
      </c>
      <c r="AK77" s="77">
        <f>SUM(AF$70:AF77)</f>
        <v>0.66882887981623829</v>
      </c>
      <c r="AL77" s="73">
        <f t="shared" si="6"/>
        <v>7.2616736118185948E-2</v>
      </c>
      <c r="AM77" s="80">
        <f t="shared" si="7"/>
        <v>1.0382253727605322E-2</v>
      </c>
      <c r="AN77" s="81"/>
      <c r="AO77" s="82">
        <f t="shared" si="14"/>
        <v>5.18522286629753E-2</v>
      </c>
      <c r="AP77" s="82">
        <f t="shared" si="15"/>
        <v>9.3381243573396597E-2</v>
      </c>
    </row>
    <row r="78" spans="1:42" x14ac:dyDescent="0.2">
      <c r="A78" s="47">
        <f t="shared" si="16"/>
        <v>40801</v>
      </c>
      <c r="B78" s="47"/>
      <c r="C78" s="40">
        <f t="array" ref="C78">COUNT(IF(    (MONTH(date.2006)=MONTH($A78))*(gross.us.2006&gt;=0),gross.us.2006))</f>
        <v>64</v>
      </c>
      <c r="D78" s="40">
        <f t="array" ref="D78">COUNT(IF(    (MONTH(date.2007)=MONTH($A78))*(gross.us.2007&gt;=0),gross.us.2007))</f>
        <v>54</v>
      </c>
      <c r="E78" s="40">
        <f t="array" ref="E78">COUNT(IF(    (MONTH(date.2008)=MONTH($A78))*(gross.us.2008&gt;=0),gross.us.2008))</f>
        <v>48</v>
      </c>
      <c r="F78" s="40">
        <f t="array" ref="F78">COUNT(IF(    (MONTH(date.2009)=MONTH($A78))*(gross.us.2009&gt;=0),gross.us.2009))</f>
        <v>51</v>
      </c>
      <c r="G78" s="40">
        <f t="array" ref="G78">COUNT(IF(    (MONTH(date.2010)=MONTH($A78))*(gross.us.2010&gt;=0),gross.us.2010))</f>
        <v>58</v>
      </c>
      <c r="H78" s="62">
        <f t="shared" si="8"/>
        <v>0.10509031198686371</v>
      </c>
      <c r="I78" s="62">
        <f t="shared" si="4"/>
        <v>8.4905660377358486E-2</v>
      </c>
      <c r="J78" s="62">
        <f t="shared" si="4"/>
        <v>7.7419354838709681E-2</v>
      </c>
      <c r="K78" s="62">
        <f t="shared" si="4"/>
        <v>9.2558983666061703E-2</v>
      </c>
      <c r="L78" s="62">
        <f t="shared" si="4"/>
        <v>0.10943396226415095</v>
      </c>
      <c r="M78" s="53">
        <f>SUM(H$70:H78)</f>
        <v>0.73727422003284071</v>
      </c>
      <c r="N78" s="53">
        <f>SUM(I$70:I78)</f>
        <v>0.73113207547169812</v>
      </c>
      <c r="O78" s="53">
        <f>SUM(J$70:J78)</f>
        <v>0.73548387096774193</v>
      </c>
      <c r="P78" s="53">
        <f>SUM(K$70:K78)</f>
        <v>0.74047186932849374</v>
      </c>
      <c r="Q78" s="53">
        <f>SUM(L$70:L78)</f>
        <v>0.76981132075471692</v>
      </c>
      <c r="R78" s="53">
        <f t="shared" si="9"/>
        <v>9.3881654626628896E-2</v>
      </c>
      <c r="S78" s="53">
        <f t="shared" si="10"/>
        <v>1.3424171466160126E-2</v>
      </c>
      <c r="U78" s="65">
        <f t="shared" si="11"/>
        <v>6.703331169430865E-2</v>
      </c>
      <c r="V78" s="66">
        <f t="shared" si="12"/>
        <v>0.12072999755894914</v>
      </c>
      <c r="W78" s="75">
        <f t="array" ref="W78">SUM(IF(    (MONTH(date.2006)=MONTH($A78))*(gross.us.2006&gt;=0),gross.us.2006))</f>
        <v>571830906</v>
      </c>
      <c r="X78" s="75">
        <f t="array" ref="X78">SUM(IF(    (MONTH(date.2007)=MONTH($A78))*(gross.us.2007&gt;=0),gross.us.2007))</f>
        <v>476799061</v>
      </c>
      <c r="Y78" s="75">
        <f t="array" ref="Y78">SUM(IF(    (MONTH(date.2008)=MONTH($A78))*(gross.us.2008&gt;=0),gross.us.2008))</f>
        <v>498578747</v>
      </c>
      <c r="Z78" s="75">
        <f t="array" ref="Z78">SUM(IF(    (MONTH(date.2009)=MONTH($A78))*(gross.us.2009&gt;=0),gross.us.2009))</f>
        <v>584220535</v>
      </c>
      <c r="AA78" s="75">
        <f t="array" ref="AA78">SUM(IF(    (MONTH(date.2010)=MONTH($A78))*(gross.us.2010&gt;=0),gross.us.2010))</f>
        <v>507558949</v>
      </c>
      <c r="AB78" s="76">
        <f t="shared" si="13"/>
        <v>6.1937404023360829E-2</v>
      </c>
      <c r="AC78" s="76">
        <f t="shared" si="5"/>
        <v>4.9314482940602304E-2</v>
      </c>
      <c r="AD78" s="76">
        <f t="shared" si="5"/>
        <v>5.1346480024316667E-2</v>
      </c>
      <c r="AE78" s="76">
        <f t="shared" si="5"/>
        <v>5.3777762900584114E-2</v>
      </c>
      <c r="AF78" s="76">
        <f t="shared" si="5"/>
        <v>5.0531811204226278E-2</v>
      </c>
      <c r="AG78" s="77">
        <f>SUM(AB$70:AB78)</f>
        <v>0.704378454528784</v>
      </c>
      <c r="AH78" s="77">
        <f>SUM(AC$70:AC78)</f>
        <v>0.71519420961026026</v>
      </c>
      <c r="AI78" s="77">
        <f>SUM(AD$70:AD78)</f>
        <v>0.69985015286472951</v>
      </c>
      <c r="AJ78" s="77">
        <f>SUM(AE$70:AE78)</f>
        <v>0.67407079971684858</v>
      </c>
      <c r="AK78" s="77">
        <f>SUM(AF$70:AF78)</f>
        <v>0.71936069102046452</v>
      </c>
      <c r="AL78" s="73">
        <f t="shared" si="6"/>
        <v>5.3381588218618034E-2</v>
      </c>
      <c r="AM78" s="80">
        <f t="shared" si="7"/>
        <v>5.0537901173290005E-3</v>
      </c>
      <c r="AN78" s="81"/>
      <c r="AO78" s="82">
        <f t="shared" si="14"/>
        <v>4.3274007983960035E-2</v>
      </c>
      <c r="AP78" s="82">
        <f t="shared" si="15"/>
        <v>6.348916845327604E-2</v>
      </c>
    </row>
    <row r="79" spans="1:42" x14ac:dyDescent="0.2">
      <c r="A79" s="47">
        <f t="shared" si="16"/>
        <v>40831</v>
      </c>
      <c r="B79" s="47"/>
      <c r="C79" s="40">
        <f t="array" ref="C79">COUNT(IF(    (MONTH(date.2006)=MONTH($A79))*(gross.us.2006&gt;=0),gross.us.2006))</f>
        <v>59</v>
      </c>
      <c r="D79" s="40">
        <f t="array" ref="D79">COUNT(IF(    (MONTH(date.2007)=MONTH($A79))*(gross.us.2007&gt;=0),gross.us.2007))</f>
        <v>60</v>
      </c>
      <c r="E79" s="40">
        <f t="array" ref="E79">COUNT(IF(    (MONTH(date.2008)=MONTH($A79))*(gross.us.2008&gt;=0),gross.us.2008))</f>
        <v>78</v>
      </c>
      <c r="F79" s="40">
        <f t="array" ref="F79">COUNT(IF(    (MONTH(date.2009)=MONTH($A79))*(gross.us.2009&gt;=0),gross.us.2009))</f>
        <v>62</v>
      </c>
      <c r="G79" s="40">
        <f t="array" ref="G79">COUNT(IF(    (MONTH(date.2010)=MONTH($A79))*(gross.us.2010&gt;=0),gross.us.2010))</f>
        <v>51</v>
      </c>
      <c r="H79" s="62">
        <f t="shared" si="8"/>
        <v>9.688013136288999E-2</v>
      </c>
      <c r="I79" s="62">
        <f t="shared" si="4"/>
        <v>9.4339622641509441E-2</v>
      </c>
      <c r="J79" s="62">
        <f t="shared" si="4"/>
        <v>0.12580645161290321</v>
      </c>
      <c r="K79" s="62">
        <f t="shared" si="4"/>
        <v>0.11252268602540835</v>
      </c>
      <c r="L79" s="62">
        <f t="shared" si="4"/>
        <v>9.6226415094339629E-2</v>
      </c>
      <c r="M79" s="53">
        <f>SUM(H$70:H79)</f>
        <v>0.83415435139573069</v>
      </c>
      <c r="N79" s="53">
        <f>SUM(I$70:I79)</f>
        <v>0.82547169811320753</v>
      </c>
      <c r="O79" s="53">
        <f>SUM(J$70:J79)</f>
        <v>0.8612903225806452</v>
      </c>
      <c r="P79" s="53">
        <f>SUM(K$70:K79)</f>
        <v>0.85299455535390212</v>
      </c>
      <c r="Q79" s="53">
        <f>SUM(L$70:L79)</f>
        <v>0.86603773584905652</v>
      </c>
      <c r="R79" s="53">
        <f t="shared" si="9"/>
        <v>0.10515506134741012</v>
      </c>
      <c r="S79" s="53">
        <f t="shared" si="10"/>
        <v>1.3655866119142858E-2</v>
      </c>
      <c r="U79" s="65">
        <f t="shared" si="11"/>
        <v>7.7843329109124407E-2</v>
      </c>
      <c r="V79" s="66">
        <f t="shared" si="12"/>
        <v>0.13246679358569585</v>
      </c>
      <c r="W79" s="75">
        <f t="array" ref="W79">SUM(IF(    (MONTH(date.2006)=MONTH($A79))*(gross.us.2006&gt;=0),gross.us.2006))</f>
        <v>607126056</v>
      </c>
      <c r="X79" s="75">
        <f t="array" ref="X79">SUM(IF(    (MONTH(date.2007)=MONTH($A79))*(gross.us.2007&gt;=0),gross.us.2007))</f>
        <v>452795628</v>
      </c>
      <c r="Y79" s="75">
        <f t="array" ref="Y79">SUM(IF(    (MONTH(date.2008)=MONTH($A79))*(gross.us.2008&gt;=0),gross.us.2008))</f>
        <v>644036070</v>
      </c>
      <c r="Z79" s="75">
        <f t="array" ref="Z79">SUM(IF(    (MONTH(date.2009)=MONTH($A79))*(gross.us.2009&gt;=0),gross.us.2009))</f>
        <v>620571824</v>
      </c>
      <c r="AA79" s="75">
        <f t="array" ref="AA79">SUM(IF(    (MONTH(date.2010)=MONTH($A79))*(gross.us.2010&gt;=0),gross.us.2010))</f>
        <v>647436652</v>
      </c>
      <c r="AB79" s="76">
        <f t="shared" si="13"/>
        <v>6.5760369768439186E-2</v>
      </c>
      <c r="AC79" s="76">
        <f t="shared" si="5"/>
        <v>4.6831850351704674E-2</v>
      </c>
      <c r="AD79" s="76">
        <f t="shared" si="5"/>
        <v>6.6326503891659894E-2</v>
      </c>
      <c r="AE79" s="76">
        <f t="shared" si="5"/>
        <v>5.7123915395844507E-2</v>
      </c>
      <c r="AF79" s="76">
        <f t="shared" si="5"/>
        <v>6.4457826485018493E-2</v>
      </c>
      <c r="AG79" s="77">
        <f>SUM(AB$70:AB79)</f>
        <v>0.77013882429722313</v>
      </c>
      <c r="AH79" s="77">
        <f>SUM(AC$70:AC79)</f>
        <v>0.76202605996196493</v>
      </c>
      <c r="AI79" s="77">
        <f>SUM(AD$70:AD79)</f>
        <v>0.76617665675638946</v>
      </c>
      <c r="AJ79" s="77">
        <f>SUM(AE$70:AE79)</f>
        <v>0.73119471511269307</v>
      </c>
      <c r="AK79" s="77">
        <f>SUM(AF$70:AF79)</f>
        <v>0.78381851750548304</v>
      </c>
      <c r="AL79" s="73">
        <f t="shared" si="6"/>
        <v>6.0100093178533355E-2</v>
      </c>
      <c r="AM79" s="80">
        <f t="shared" si="7"/>
        <v>8.287048070921876E-3</v>
      </c>
      <c r="AN79" s="81"/>
      <c r="AO79" s="82">
        <f t="shared" si="14"/>
        <v>4.3525997036689607E-2</v>
      </c>
      <c r="AP79" s="82">
        <f t="shared" si="15"/>
        <v>7.6674189320377104E-2</v>
      </c>
    </row>
    <row r="80" spans="1:42" x14ac:dyDescent="0.2">
      <c r="A80" s="47">
        <f t="shared" si="16"/>
        <v>40862</v>
      </c>
      <c r="B80" s="47"/>
      <c r="C80" s="40">
        <f t="array" ref="C80">COUNT(IF(    (MONTH(date.2006)=MONTH($A80))*(gross.us.2006&gt;=0),gross.us.2006))</f>
        <v>48</v>
      </c>
      <c r="D80" s="40">
        <f t="array" ref="D80">COUNT(IF(    (MONTH(date.2007)=MONTH($A80))*(gross.us.2007&gt;=0),gross.us.2007))</f>
        <v>63</v>
      </c>
      <c r="E80" s="40">
        <f t="array" ref="E80">COUNT(IF(    (MONTH(date.2008)=MONTH($A80))*(gross.us.2008&gt;=0),gross.us.2008))</f>
        <v>45</v>
      </c>
      <c r="F80" s="40">
        <f t="array" ref="F80">COUNT(IF(    (MONTH(date.2009)=MONTH($A80))*(gross.us.2009&gt;=0),gross.us.2009))</f>
        <v>48</v>
      </c>
      <c r="G80" s="40">
        <f t="array" ref="G80">COUNT(IF(    (MONTH(date.2010)=MONTH($A80))*(gross.us.2010&gt;=0),gross.us.2010))</f>
        <v>32</v>
      </c>
      <c r="H80" s="62">
        <f t="shared" si="8"/>
        <v>7.8817733990147784E-2</v>
      </c>
      <c r="I80" s="62">
        <f t="shared" si="4"/>
        <v>9.9056603773584911E-2</v>
      </c>
      <c r="J80" s="62">
        <f t="shared" si="4"/>
        <v>7.2580645161290328E-2</v>
      </c>
      <c r="K80" s="62">
        <f t="shared" si="4"/>
        <v>8.7114337568058073E-2</v>
      </c>
      <c r="L80" s="62">
        <f t="shared" si="4"/>
        <v>6.0377358490566038E-2</v>
      </c>
      <c r="M80" s="53">
        <f>SUM(H$70:H80)</f>
        <v>0.91297208538587848</v>
      </c>
      <c r="N80" s="53">
        <f>SUM(I$70:I80)</f>
        <v>0.92452830188679247</v>
      </c>
      <c r="O80" s="53">
        <f>SUM(J$70:J80)</f>
        <v>0.93387096774193556</v>
      </c>
      <c r="P80" s="53">
        <f>SUM(K$70:K80)</f>
        <v>0.9401088929219602</v>
      </c>
      <c r="Q80" s="53">
        <f>SUM(L$70:L80)</f>
        <v>0.92641509433962255</v>
      </c>
      <c r="R80" s="53">
        <f t="shared" si="9"/>
        <v>7.9589335796729416E-2</v>
      </c>
      <c r="S80" s="53">
        <f t="shared" si="10"/>
        <v>1.4615209200734641E-2</v>
      </c>
      <c r="U80" s="65">
        <f t="shared" si="11"/>
        <v>5.0358917395260133E-2</v>
      </c>
      <c r="V80" s="66">
        <f t="shared" si="12"/>
        <v>0.1088197541981987</v>
      </c>
      <c r="W80" s="75">
        <f t="array" ref="W80">SUM(IF(    (MONTH(date.2006)=MONTH($A80))*(gross.us.2006&gt;=0),gross.us.2006))</f>
        <v>867341396</v>
      </c>
      <c r="X80" s="75">
        <f t="array" ref="X80">SUM(IF(    (MONTH(date.2007)=MONTH($A80))*(gross.us.2007&gt;=0),gross.us.2007))</f>
        <v>866336040</v>
      </c>
      <c r="Y80" s="75">
        <f t="array" ref="Y80">SUM(IF(    (MONTH(date.2008)=MONTH($A80))*(gross.us.2008&gt;=0),gross.us.2008))</f>
        <v>1127135762</v>
      </c>
      <c r="Z80" s="75">
        <f t="array" ref="Z80">SUM(IF(    (MONTH(date.2009)=MONTH($A80))*(gross.us.2009&gt;=0),gross.us.2009))</f>
        <v>1262980951</v>
      </c>
      <c r="AA80" s="75">
        <f t="array" ref="AA80">SUM(IF(    (MONTH(date.2010)=MONTH($A80))*(gross.us.2010&gt;=0),gross.us.2010))</f>
        <v>1135344336</v>
      </c>
      <c r="AB80" s="76">
        <f t="shared" si="13"/>
        <v>9.3945384739728979E-2</v>
      </c>
      <c r="AC80" s="76">
        <f t="shared" si="5"/>
        <v>8.9603603194614842E-2</v>
      </c>
      <c r="AD80" s="76">
        <f t="shared" si="5"/>
        <v>0.11607886263997921</v>
      </c>
      <c r="AE80" s="76">
        <f t="shared" si="5"/>
        <v>0.11625796435045244</v>
      </c>
      <c r="AF80" s="76">
        <f t="shared" si="5"/>
        <v>0.11303318708412653</v>
      </c>
      <c r="AG80" s="77">
        <f>SUM(AB$70:AB80)</f>
        <v>0.86408420903695216</v>
      </c>
      <c r="AH80" s="77">
        <f>SUM(AC$70:AC80)</f>
        <v>0.85162966315657973</v>
      </c>
      <c r="AI80" s="77">
        <f>SUM(AD$70:AD80)</f>
        <v>0.8822555193963687</v>
      </c>
      <c r="AJ80" s="77">
        <f>SUM(AE$70:AE80)</f>
        <v>0.84745267946314551</v>
      </c>
      <c r="AK80" s="77">
        <f>SUM(AF$70:AF80)</f>
        <v>0.89685170458960961</v>
      </c>
      <c r="AL80" s="73">
        <f t="shared" si="6"/>
        <v>0.10578380040178041</v>
      </c>
      <c r="AM80" s="80">
        <f t="shared" si="7"/>
        <v>1.2944080608839078E-2</v>
      </c>
      <c r="AN80" s="81"/>
      <c r="AO80" s="83">
        <f t="shared" si="14"/>
        <v>7.9895639184102252E-2</v>
      </c>
      <c r="AP80" s="83">
        <f t="shared" si="15"/>
        <v>0.13167196161945857</v>
      </c>
    </row>
    <row r="81" spans="1:50" s="39" customFormat="1" x14ac:dyDescent="0.2">
      <c r="A81" s="47">
        <f t="shared" si="16"/>
        <v>40892</v>
      </c>
      <c r="B81" s="47"/>
      <c r="C81" s="40">
        <f t="array" ref="C81">COUNT(IF(    (MONTH(date.2006)=MONTH($A81))*(gross.us.2006&gt;=0),gross.us.2006))</f>
        <v>53</v>
      </c>
      <c r="D81" s="40">
        <f t="array" ref="D81">COUNT(IF(    (MONTH(date.2007)=MONTH($A81))*(gross.us.2007&gt;=0),gross.us.2007))</f>
        <v>48</v>
      </c>
      <c r="E81" s="40">
        <f t="array" ref="E81">COUNT(IF(    (MONTH(date.2008)=MONTH($A81))*(gross.us.2008&gt;=0),gross.us.2008))</f>
        <v>41</v>
      </c>
      <c r="F81" s="40">
        <f t="array" ref="F81">COUNT(IF(    (MONTH(date.2009)=MONTH($A81))*(gross.us.2009&gt;=0),gross.us.2009))</f>
        <v>33</v>
      </c>
      <c r="G81" s="40">
        <f t="array" ref="G81">COUNT(IF(    (MONTH(date.2010)=MONTH($A81))*(gross.us.2010&gt;=0),gross.us.2010))</f>
        <v>39</v>
      </c>
      <c r="H81" s="62">
        <f t="shared" si="8"/>
        <v>8.7027914614121515E-2</v>
      </c>
      <c r="I81" s="62">
        <f t="shared" si="4"/>
        <v>7.5471698113207544E-2</v>
      </c>
      <c r="J81" s="62">
        <f t="shared" si="4"/>
        <v>6.6129032258064518E-2</v>
      </c>
      <c r="K81" s="62">
        <f t="shared" si="4"/>
        <v>5.9891107078039928E-2</v>
      </c>
      <c r="L81" s="62">
        <f t="shared" si="4"/>
        <v>7.3584905660377356E-2</v>
      </c>
      <c r="M81" s="53">
        <f>SUM(H$70:H81)</f>
        <v>1</v>
      </c>
      <c r="N81" s="53">
        <f>SUM(I$70:I81)</f>
        <v>1</v>
      </c>
      <c r="O81" s="53">
        <f>SUM(J$70:J81)</f>
        <v>1</v>
      </c>
      <c r="P81" s="53">
        <f>SUM(K$70:K81)</f>
        <v>1.0000000000000002</v>
      </c>
      <c r="Q81" s="53">
        <f>SUM(L$70:L81)</f>
        <v>0.99999999999999989</v>
      </c>
      <c r="R81" s="53">
        <f t="shared" si="9"/>
        <v>7.2420931544762174E-2</v>
      </c>
      <c r="S81" s="53">
        <f t="shared" si="10"/>
        <v>1.0254394967358301E-2</v>
      </c>
      <c r="U81" s="65">
        <f t="shared" si="11"/>
        <v>5.1912141610045572E-2</v>
      </c>
      <c r="V81" s="66">
        <f t="shared" si="12"/>
        <v>9.2929721479478783E-2</v>
      </c>
      <c r="W81" s="75">
        <f t="array" ref="W81">SUM(IF(    (MONTH(date.2006)=MONTH($A81))*(gross.us.2006&gt;=0),gross.us.2006))</f>
        <v>1254828986</v>
      </c>
      <c r="X81" s="75">
        <f t="array" ref="X81">SUM(IF(    (MONTH(date.2007)=MONTH($A81))*(gross.us.2007&gt;=0),gross.us.2007))</f>
        <v>1434524567</v>
      </c>
      <c r="Y81" s="75">
        <f t="array" ref="Y81">SUM(IF(    (MONTH(date.2008)=MONTH($A81))*(gross.us.2008&gt;=0),gross.us.2008))</f>
        <v>1143309056</v>
      </c>
      <c r="Z81" s="75">
        <f t="array" ref="Z81">SUM(IF(    (MONTH(date.2009)=MONTH($A81))*(gross.us.2009&gt;=0),gross.us.2009))</f>
        <v>1657214291</v>
      </c>
      <c r="AA81" s="75">
        <f t="array" ref="AA81">SUM(IF(    (MONTH(date.2010)=MONTH($A81))*(gross.us.2010&gt;=0),gross.us.2010))</f>
        <v>1036057073</v>
      </c>
      <c r="AB81" s="76">
        <f t="shared" si="13"/>
        <v>0.13591579096304771</v>
      </c>
      <c r="AC81" s="76">
        <f t="shared" si="5"/>
        <v>0.1483703368434201</v>
      </c>
      <c r="AD81" s="76">
        <f t="shared" si="5"/>
        <v>0.11774448060363141</v>
      </c>
      <c r="AE81" s="76">
        <f t="shared" si="5"/>
        <v>0.15254732053685449</v>
      </c>
      <c r="AF81" s="76">
        <f t="shared" si="5"/>
        <v>0.1031482954103904</v>
      </c>
      <c r="AG81" s="77">
        <f>SUM(AB$70:AB81)</f>
        <v>0.99999999999999989</v>
      </c>
      <c r="AH81" s="77">
        <f>SUM(AC$70:AC81)</f>
        <v>0.99999999999999978</v>
      </c>
      <c r="AI81" s="77">
        <f>SUM(AD$70:AD81)</f>
        <v>1</v>
      </c>
      <c r="AJ81" s="77">
        <f>SUM(AE$70:AE81)</f>
        <v>1</v>
      </c>
      <c r="AK81" s="77">
        <f>SUM(AF$70:AF81)</f>
        <v>1</v>
      </c>
      <c r="AL81" s="73">
        <f t="shared" si="6"/>
        <v>0.13154524487146882</v>
      </c>
      <c r="AM81" s="80">
        <f t="shared" si="7"/>
        <v>2.0857375244318764E-2</v>
      </c>
      <c r="AN81" s="81"/>
      <c r="AO81" s="83">
        <f t="shared" si="14"/>
        <v>8.9830494382831291E-2</v>
      </c>
      <c r="AP81" s="83">
        <f t="shared" si="15"/>
        <v>0.17325999536010633</v>
      </c>
      <c r="AQ81"/>
      <c r="AR81"/>
      <c r="AS81"/>
      <c r="AT81"/>
      <c r="AU81"/>
      <c r="AV81"/>
      <c r="AW81"/>
      <c r="AX81"/>
    </row>
    <row r="82" spans="1:50" s="39" customFormat="1" x14ac:dyDescent="0.2">
      <c r="A82"/>
      <c r="B82"/>
      <c r="C82" s="48">
        <f>SUM(C70:C81)</f>
        <v>609</v>
      </c>
      <c r="D82" s="48">
        <f>SUM(D70:D81)</f>
        <v>636</v>
      </c>
      <c r="E82" s="48">
        <f>SUM(E70:E81)</f>
        <v>620</v>
      </c>
      <c r="F82" s="48">
        <f>SUM(F70:F81)</f>
        <v>551</v>
      </c>
      <c r="G82" s="48">
        <f>SUM(G70:G81)</f>
        <v>530</v>
      </c>
      <c r="H82" s="58"/>
      <c r="I82" s="58"/>
      <c r="M82" s="41"/>
      <c r="N82" s="41"/>
      <c r="O82" s="36"/>
      <c r="P82" s="36"/>
      <c r="Q82" s="36"/>
      <c r="W82" s="45">
        <f t="array" ref="W82">SUM(IF(    (gross.us.2006&gt;=0),gross.us.2006))</f>
        <v>9232400276</v>
      </c>
      <c r="X82" s="45">
        <f t="array" ref="X82">SUM(IF(    (gross.us.2007&gt;=0),gross.us.2007))</f>
        <v>9668540205</v>
      </c>
      <c r="Y82" s="45">
        <f t="array" ref="Y82">SUM(IF(    (gross.us.2008&gt;=0),gross.us.2008))</f>
        <v>9710086198</v>
      </c>
      <c r="Z82" s="45">
        <f t="array" ref="Z82">SUM(IF(    (gross.us.2009&gt;=0),gross.us.2009))</f>
        <v>10863607995</v>
      </c>
      <c r="AA82" s="45">
        <f t="array" ref="AA82">SUM(IF(    (gross.us.2010&gt;=0),gross.us.2010))</f>
        <v>10044345075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39" customFormat="1" x14ac:dyDescent="0.2">
      <c r="A83"/>
      <c r="B83"/>
      <c r="C83" s="40">
        <f t="array" ref="C83">COUNT(IF(    (gross.us.2006&gt;=0),gross.us.2006))</f>
        <v>609</v>
      </c>
      <c r="D83" s="40">
        <f t="array" ref="D83">COUNT(IF(    (gross.us.2007&gt;=0),gross.us.2007))</f>
        <v>636</v>
      </c>
      <c r="E83" s="40">
        <f t="array" ref="E83">COUNT(IF(    (gross.us.2008&gt;=0),gross.us.2008))</f>
        <v>620</v>
      </c>
      <c r="F83" s="40">
        <f t="array" ref="F83">COUNT(IF(    (gross.us.2009&gt;=0),gross.us.2009))</f>
        <v>551</v>
      </c>
      <c r="G83" s="40">
        <f t="array" ref="G83">COUNT(IF(    (gross.us.2010&gt;=0),gross.us.2010))</f>
        <v>530</v>
      </c>
      <c r="H83" s="59"/>
      <c r="I83" s="59"/>
      <c r="M83" s="41"/>
      <c r="N83" s="41"/>
      <c r="O83" s="36"/>
      <c r="P83" s="36"/>
      <c r="Q83" s="36"/>
      <c r="W83" s="45">
        <f>SUM(W70:W81)</f>
        <v>9232400276</v>
      </c>
      <c r="X83" s="45">
        <f>SUM(X70:X81)</f>
        <v>9668540205</v>
      </c>
      <c r="Y83" s="45">
        <f>SUM(Y70:Y81)</f>
        <v>9710086198</v>
      </c>
      <c r="Z83" s="45">
        <f>SUM(Z70:Z81)</f>
        <v>10863607995</v>
      </c>
      <c r="AA83" s="45">
        <f>SUM(AA70:AA81)</f>
        <v>10044345075</v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 s="39" customFormat="1" x14ac:dyDescent="0.2">
      <c r="A84" s="63">
        <v>125000000</v>
      </c>
      <c r="B84" s="63"/>
      <c r="C84" s="36"/>
      <c r="D84" s="36"/>
      <c r="E84"/>
      <c r="F84"/>
      <c r="G84"/>
      <c r="H84" s="59"/>
      <c r="I84" s="59"/>
      <c r="M84" s="41"/>
      <c r="N84" s="41"/>
      <c r="O84" s="36"/>
      <c r="P84" s="36"/>
      <c r="Q84" s="36"/>
      <c r="W84" s="39" t="b">
        <f>W82=W83</f>
        <v>1</v>
      </c>
      <c r="X84" s="39" t="b">
        <f>X82=X83</f>
        <v>1</v>
      </c>
      <c r="Y84" s="39" t="b">
        <f>Y82=Y83</f>
        <v>1</v>
      </c>
      <c r="Z84" s="39" t="b">
        <f>Z82=Z83</f>
        <v>1</v>
      </c>
      <c r="AA84" s="39" t="b">
        <f>AA82=AA83</f>
        <v>1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 spans="1:50" s="39" customFormat="1" ht="15" x14ac:dyDescent="0.25">
      <c r="A85" s="36"/>
      <c r="B85" s="36"/>
      <c r="C85" s="60">
        <v>2006</v>
      </c>
      <c r="D85" s="60">
        <v>2007</v>
      </c>
      <c r="E85" s="61">
        <v>2008</v>
      </c>
      <c r="F85" s="49">
        <v>2009</v>
      </c>
      <c r="G85" s="49">
        <v>2010</v>
      </c>
      <c r="H85" s="60">
        <v>2006</v>
      </c>
      <c r="I85" s="60">
        <v>2007</v>
      </c>
      <c r="J85" s="61">
        <v>2008</v>
      </c>
      <c r="K85" s="49">
        <v>2009</v>
      </c>
      <c r="L85" s="49">
        <v>2010</v>
      </c>
      <c r="M85" s="60">
        <v>2006</v>
      </c>
      <c r="N85" s="60">
        <v>2007</v>
      </c>
      <c r="O85" s="61">
        <v>2008</v>
      </c>
      <c r="P85" s="49">
        <v>2009</v>
      </c>
      <c r="Q85" s="49">
        <v>2010</v>
      </c>
      <c r="R85" s="39" t="s">
        <v>5377</v>
      </c>
      <c r="S85" s="39" t="s">
        <v>5378</v>
      </c>
      <c r="U85" s="39" t="s">
        <v>5379</v>
      </c>
      <c r="V85" s="39" t="s">
        <v>5380</v>
      </c>
      <c r="W85" s="78">
        <v>2006</v>
      </c>
      <c r="X85" s="78">
        <v>2007</v>
      </c>
      <c r="Y85" s="78">
        <v>2008</v>
      </c>
      <c r="Z85" s="79">
        <v>2009</v>
      </c>
      <c r="AA85" s="79">
        <v>2010</v>
      </c>
      <c r="AB85" s="71">
        <v>2006</v>
      </c>
      <c r="AC85" s="71">
        <v>2007</v>
      </c>
      <c r="AD85" s="71">
        <v>2008</v>
      </c>
      <c r="AE85" s="74">
        <v>2009</v>
      </c>
      <c r="AF85" s="74">
        <v>2010</v>
      </c>
      <c r="AG85" s="78">
        <v>2006</v>
      </c>
      <c r="AH85" s="78">
        <v>2007</v>
      </c>
      <c r="AI85" s="78">
        <v>2008</v>
      </c>
      <c r="AJ85" s="79">
        <v>2009</v>
      </c>
      <c r="AK85" s="79">
        <v>2010</v>
      </c>
      <c r="AL85" s="72" t="s">
        <v>5377</v>
      </c>
      <c r="AM85" s="72" t="s">
        <v>5381</v>
      </c>
      <c r="AN85" s="72"/>
      <c r="AO85" s="72" t="s">
        <v>5379</v>
      </c>
      <c r="AP85" s="72" t="s">
        <v>5380</v>
      </c>
      <c r="AQ85"/>
      <c r="AR85"/>
      <c r="AS85"/>
      <c r="AT85"/>
      <c r="AU85"/>
      <c r="AV85"/>
      <c r="AW85"/>
      <c r="AX85"/>
    </row>
    <row r="86" spans="1:50" s="39" customFormat="1" x14ac:dyDescent="0.2">
      <c r="A86" s="47">
        <v>40558</v>
      </c>
      <c r="B86" s="47"/>
      <c r="C86" s="40">
        <f t="array" ref="C86">COUNT(IF(    (MONTH(date.2006)=MONTH($A86))*(gross.us.2006&gt;=$A$84),gross.us.2006))</f>
        <v>0</v>
      </c>
      <c r="D86" s="40">
        <f t="array" ref="D86">COUNT(IF(    (MONTH(date.2007)=MONTH($A86))*(gross.us.2007&gt;=$A$84),gross.us.2007))</f>
        <v>0</v>
      </c>
      <c r="E86" s="40">
        <f t="array" ref="E86">COUNT(IF(    (MONTH(date.2008)=MONTH($A86))*(gross.us.2008&gt;=$A$84),gross.us.2008))</f>
        <v>0</v>
      </c>
      <c r="F86" s="40">
        <f t="array" ref="F86">COUNT(IF(    (MONTH(date.2009)=MONTH($A86))*(gross.us.2009&gt;=$A$84),gross.us.2009))</f>
        <v>2</v>
      </c>
      <c r="G86" s="40">
        <f t="array" ref="G86">COUNT(IF(    (MONTH(date.2010)=MONTH($A86))*(gross.us.2010&gt;=$A$84),gross.us.2010))</f>
        <v>0</v>
      </c>
      <c r="H86" s="62">
        <f>C86/C$98</f>
        <v>0</v>
      </c>
      <c r="I86" s="62">
        <f t="shared" ref="I86:L97" si="17">D86/D$98</f>
        <v>0</v>
      </c>
      <c r="J86" s="62">
        <f t="shared" si="17"/>
        <v>0</v>
      </c>
      <c r="K86" s="62">
        <f t="shared" si="17"/>
        <v>8.6956521739130432E-2</v>
      </c>
      <c r="L86" s="62">
        <f t="shared" si="17"/>
        <v>0</v>
      </c>
      <c r="M86" s="53">
        <f>SUM(H$86:H86)</f>
        <v>0</v>
      </c>
      <c r="N86" s="53">
        <f>SUM(I$86:I86)</f>
        <v>0</v>
      </c>
      <c r="O86" s="53">
        <f>SUM(J$86:J86)</f>
        <v>0</v>
      </c>
      <c r="P86" s="53">
        <f>SUM(K$86:K86)</f>
        <v>8.6956521739130432E-2</v>
      </c>
      <c r="Q86" s="53">
        <f>SUM(L$86:L86)</f>
        <v>0</v>
      </c>
      <c r="R86" s="53">
        <f>AVERAGE(H86:L86)</f>
        <v>1.7391304347826087E-2</v>
      </c>
      <c r="S86" s="53">
        <f>STDEV(H86:L86)</f>
        <v>3.8888138739126776E-2</v>
      </c>
      <c r="T86" s="64"/>
      <c r="U86" s="65">
        <f>R86-2*S86</f>
        <v>-6.0384973130427469E-2</v>
      </c>
      <c r="V86" s="66">
        <f>R86+2*S86</f>
        <v>9.5167581826079636E-2</v>
      </c>
      <c r="W86" s="75">
        <f t="array" ref="W86">SUM(IF(    (MONTH(date.2006)=MONTH($A86))*(gross.us.2006&gt;=$A$84),gross.us.2006))</f>
        <v>0</v>
      </c>
      <c r="X86" s="75">
        <f t="array" ref="X86">SUM(IF(    (MONTH(date.2007)=MONTH($A86))*(gross.us.2007&gt;=$A$84),gross.us.2007))</f>
        <v>0</v>
      </c>
      <c r="Y86" s="75">
        <f t="array" ref="Y86">SUM(IF(    (MONTH(date.2008)=MONTH($A86))*(gross.us.2008&gt;=$A$84),gross.us.2008))</f>
        <v>0</v>
      </c>
      <c r="Z86" s="75">
        <f t="array" ref="Z86">SUM(IF(    (MONTH(date.2009)=MONTH($A86))*(gross.us.2009&gt;=$A$84),gross.us.2009))</f>
        <v>291337167</v>
      </c>
      <c r="AA86" s="75">
        <f t="array" ref="AA86">SUM(IF(    (MONTH(date.2010)=MONTH($A86))*(gross.us.2010&gt;=$A$84),gross.us.2010))</f>
        <v>0</v>
      </c>
      <c r="AB86" s="76">
        <f>W86/W$98</f>
        <v>0</v>
      </c>
      <c r="AC86" s="76">
        <f t="shared" ref="AC86:AF97" si="18">X86/X$98</f>
        <v>0</v>
      </c>
      <c r="AD86" s="76">
        <f t="shared" si="18"/>
        <v>0</v>
      </c>
      <c r="AE86" s="76">
        <f t="shared" si="18"/>
        <v>5.4464288095675994E-2</v>
      </c>
      <c r="AF86" s="76">
        <f t="shared" si="18"/>
        <v>0</v>
      </c>
      <c r="AG86" s="77">
        <f>SUM(AB$86:AB86)</f>
        <v>0</v>
      </c>
      <c r="AH86" s="77">
        <f>SUM(AC$86:AC86)</f>
        <v>0</v>
      </c>
      <c r="AI86" s="77">
        <f>SUM(AD$86:AD86)</f>
        <v>0</v>
      </c>
      <c r="AJ86" s="77">
        <f>SUM(AE$86:AE86)</f>
        <v>5.4464288095675994E-2</v>
      </c>
      <c r="AK86" s="77">
        <f>SUM(AF$86:AF86)</f>
        <v>0</v>
      </c>
      <c r="AL86" s="73">
        <f t="shared" ref="AL86:AL97" si="19">AVERAGE(AB86:AF86)</f>
        <v>1.0892857619135199E-2</v>
      </c>
      <c r="AM86" s="80">
        <f t="shared" ref="AM86:AM97" si="20">STDEV(AB86:AF86)</f>
        <v>2.4357170105612818E-2</v>
      </c>
      <c r="AN86" s="81"/>
      <c r="AO86" s="82">
        <f>AL86-2*AM86</f>
        <v>-3.7821482592090436E-2</v>
      </c>
      <c r="AP86" s="82">
        <f>AL86+2*AM86</f>
        <v>5.9607197830360836E-2</v>
      </c>
      <c r="AQ86"/>
      <c r="AR86"/>
      <c r="AS86"/>
      <c r="AT86"/>
      <c r="AU86"/>
      <c r="AV86"/>
      <c r="AW86"/>
      <c r="AX86"/>
    </row>
    <row r="87" spans="1:50" s="39" customFormat="1" x14ac:dyDescent="0.2">
      <c r="A87" s="47">
        <f>DATE(YEAR(A86),MONTH(A86)+1,15)</f>
        <v>40589</v>
      </c>
      <c r="B87" s="47"/>
      <c r="C87" s="40">
        <f t="array" ref="C87">COUNT(IF(    (MONTH(date.2006)=MONTH($A87))*(gross.us.2006&gt;=$A$84),gross.us.2006))</f>
        <v>0</v>
      </c>
      <c r="D87" s="40">
        <f t="array" ref="D87">COUNT(IF(    (MONTH(date.2007)=MONTH($A87))*(gross.us.2007&gt;=$A$84),gross.us.2007))</f>
        <v>0</v>
      </c>
      <c r="E87" s="40">
        <f t="array" ref="E87">COUNT(IF(    (MONTH(date.2008)=MONTH($A87))*(gross.us.2008&gt;=$A$84),gross.us.2008))</f>
        <v>0</v>
      </c>
      <c r="F87" s="40">
        <f t="array" ref="F87">COUNT(IF(    (MONTH(date.2009)=MONTH($A87))*(gross.us.2009&gt;=$A$84),gross.us.2009))</f>
        <v>0</v>
      </c>
      <c r="G87" s="40">
        <f t="array" ref="G87">COUNT(IF(    (MONTH(date.2010)=MONTH($A87))*(gross.us.2010&gt;=$A$84),gross.us.2010))</f>
        <v>1</v>
      </c>
      <c r="H87" s="62">
        <f t="shared" ref="H87:H97" si="21">C87/C$98</f>
        <v>0</v>
      </c>
      <c r="I87" s="62">
        <f t="shared" si="17"/>
        <v>0</v>
      </c>
      <c r="J87" s="62">
        <f t="shared" si="17"/>
        <v>0</v>
      </c>
      <c r="K87" s="62">
        <f t="shared" si="17"/>
        <v>0</v>
      </c>
      <c r="L87" s="62">
        <f t="shared" si="17"/>
        <v>5.2631578947368418E-2</v>
      </c>
      <c r="M87" s="53">
        <f>SUM(H$86:H87)</f>
        <v>0</v>
      </c>
      <c r="N87" s="53">
        <f>SUM(I$86:I87)</f>
        <v>0</v>
      </c>
      <c r="O87" s="53">
        <f>SUM(J$86:J87)</f>
        <v>0</v>
      </c>
      <c r="P87" s="53">
        <f>SUM(K$86:K87)</f>
        <v>8.6956521739130432E-2</v>
      </c>
      <c r="Q87" s="53">
        <f>SUM(L$86:L87)</f>
        <v>5.2631578947368418E-2</v>
      </c>
      <c r="R87" s="53">
        <f t="shared" ref="R87:R97" si="22">AVERAGE(H87:L87)</f>
        <v>1.0526315789473684E-2</v>
      </c>
      <c r="S87" s="53">
        <f t="shared" ref="S87:S97" si="23">STDEV(H87:L87)</f>
        <v>2.3537557657892522E-2</v>
      </c>
      <c r="T87" s="64"/>
      <c r="U87" s="69">
        <f t="shared" ref="U87:U97" si="24">R87-2*S87</f>
        <v>-3.6548799526311362E-2</v>
      </c>
      <c r="V87" s="70">
        <f t="shared" ref="V87:V97" si="25">R87+2*S87</f>
        <v>5.7601431105258727E-2</v>
      </c>
      <c r="W87" s="75">
        <f t="array" ref="W87">SUM(IF(    (MONTH(date.2006)=MONTH($A87))*(gross.us.2006&gt;=$A$84),gross.us.2006))</f>
        <v>0</v>
      </c>
      <c r="X87" s="75">
        <f t="array" ref="X87">SUM(IF(    (MONTH(date.2007)=MONTH($A87))*(gross.us.2007&gt;=$A$84),gross.us.2007))</f>
        <v>0</v>
      </c>
      <c r="Y87" s="75">
        <f t="array" ref="Y87">SUM(IF(    (MONTH(date.2008)=MONTH($A87))*(gross.us.2008&gt;=$A$84),gross.us.2008))</f>
        <v>0</v>
      </c>
      <c r="Z87" s="75">
        <f t="array" ref="Z87">SUM(IF(    (MONTH(date.2009)=MONTH($A87))*(gross.us.2009&gt;=$A$84),gross.us.2009))</f>
        <v>0</v>
      </c>
      <c r="AA87" s="75">
        <f t="array" ref="AA87">SUM(IF(    (MONTH(date.2010)=MONTH($A87))*(gross.us.2010&gt;=$A$84),gross.us.2010))</f>
        <v>128012934</v>
      </c>
      <c r="AB87" s="76">
        <f t="shared" ref="AB87:AB97" si="26">W87/W$98</f>
        <v>0</v>
      </c>
      <c r="AC87" s="76">
        <f t="shared" si="18"/>
        <v>0</v>
      </c>
      <c r="AD87" s="76">
        <f t="shared" si="18"/>
        <v>0</v>
      </c>
      <c r="AE87" s="76">
        <f t="shared" si="18"/>
        <v>0</v>
      </c>
      <c r="AF87" s="76">
        <f t="shared" si="18"/>
        <v>3.0278709294221186E-2</v>
      </c>
      <c r="AG87" s="77">
        <f>SUM(AB$86:AB87)</f>
        <v>0</v>
      </c>
      <c r="AH87" s="77">
        <f>SUM(AC$86:AC87)</f>
        <v>0</v>
      </c>
      <c r="AI87" s="77">
        <f>SUM(AD$86:AD87)</f>
        <v>0</v>
      </c>
      <c r="AJ87" s="77">
        <f>SUM(AE$86:AE87)</f>
        <v>5.4464288095675994E-2</v>
      </c>
      <c r="AK87" s="77">
        <f>SUM(AF$86:AF87)</f>
        <v>3.0278709294221186E-2</v>
      </c>
      <c r="AL87" s="73">
        <f t="shared" si="19"/>
        <v>6.0557418588442369E-3</v>
      </c>
      <c r="AM87" s="80">
        <f t="shared" si="20"/>
        <v>1.3541050450566651E-2</v>
      </c>
      <c r="AN87" s="81"/>
      <c r="AO87" s="82">
        <f t="shared" ref="AO87:AO97" si="27">AL87-2*AM87</f>
        <v>-2.1026359042289063E-2</v>
      </c>
      <c r="AP87" s="82">
        <f t="shared" ref="AP87:AP97" si="28">AL87+2*AM87</f>
        <v>3.313784275997754E-2</v>
      </c>
      <c r="AQ87"/>
      <c r="AR87"/>
      <c r="AS87"/>
      <c r="AT87"/>
      <c r="AU87"/>
      <c r="AV87"/>
      <c r="AW87"/>
      <c r="AX87"/>
    </row>
    <row r="88" spans="1:50" s="39" customFormat="1" x14ac:dyDescent="0.2">
      <c r="A88" s="47">
        <f t="shared" ref="A88:A97" si="29">DATE(YEAR(A87),MONTH(A87)+1,15)</f>
        <v>40617</v>
      </c>
      <c r="B88" s="47"/>
      <c r="C88" s="40">
        <f t="array" ref="C88">COUNT(IF(    (MONTH(date.2006)=MONTH($A88))*(gross.us.2006&gt;=$A$84),gross.us.2006))</f>
        <v>1</v>
      </c>
      <c r="D88" s="40">
        <f t="array" ref="D88">COUNT(IF(    (MONTH(date.2007)=MONTH($A88))*(gross.us.2007&gt;=$A$84),gross.us.2007))</f>
        <v>2</v>
      </c>
      <c r="E88" s="40">
        <f t="array" ref="E88">COUNT(IF(    (MONTH(date.2008)=MONTH($A88))*(gross.us.2008&gt;=$A$84),gross.us.2008))</f>
        <v>1</v>
      </c>
      <c r="F88" s="40">
        <f t="array" ref="F88">COUNT(IF(    (MONTH(date.2009)=MONTH($A88))*(gross.us.2009&gt;=$A$84),gross.us.2009))</f>
        <v>1</v>
      </c>
      <c r="G88" s="40">
        <f t="array" ref="G88">COUNT(IF(    (MONTH(date.2010)=MONTH($A88))*(gross.us.2010&gt;=$A$84),gross.us.2010))</f>
        <v>2</v>
      </c>
      <c r="H88" s="62">
        <f t="shared" si="21"/>
        <v>6.25E-2</v>
      </c>
      <c r="I88" s="62">
        <f t="shared" si="17"/>
        <v>9.5238095238095233E-2</v>
      </c>
      <c r="J88" s="62">
        <f t="shared" si="17"/>
        <v>0.05</v>
      </c>
      <c r="K88" s="62">
        <f t="shared" si="17"/>
        <v>4.3478260869565216E-2</v>
      </c>
      <c r="L88" s="62">
        <f t="shared" si="17"/>
        <v>0.10526315789473684</v>
      </c>
      <c r="M88" s="53">
        <f>SUM(H$86:H88)</f>
        <v>6.25E-2</v>
      </c>
      <c r="N88" s="53">
        <f>SUM(I$86:I88)</f>
        <v>9.5238095238095233E-2</v>
      </c>
      <c r="O88" s="53">
        <f>SUM(J$86:J88)</f>
        <v>0.05</v>
      </c>
      <c r="P88" s="53">
        <f>SUM(K$86:K88)</f>
        <v>0.13043478260869565</v>
      </c>
      <c r="Q88" s="53">
        <f>SUM(L$86:L88)</f>
        <v>0.15789473684210525</v>
      </c>
      <c r="R88" s="53">
        <f t="shared" si="22"/>
        <v>7.1295902800479455E-2</v>
      </c>
      <c r="S88" s="53">
        <f t="shared" si="23"/>
        <v>2.7530472126889152E-2</v>
      </c>
      <c r="T88" s="64"/>
      <c r="U88" s="65">
        <f t="shared" si="24"/>
        <v>1.623495854670115E-2</v>
      </c>
      <c r="V88" s="66">
        <f t="shared" si="25"/>
        <v>0.12635684705425776</v>
      </c>
      <c r="W88" s="75">
        <f t="array" ref="W88">SUM(IF(    (MONTH(date.2006)=MONTH($A88))*(gross.us.2006&gt;=$A$84),gross.us.2006))</f>
        <v>195330621</v>
      </c>
      <c r="X88" s="75">
        <f t="array" ref="X88">SUM(IF(    (MONTH(date.2007)=MONTH($A88))*(gross.us.2007&gt;=$A$84),gross.us.2007))</f>
        <v>378828523</v>
      </c>
      <c r="Y88" s="75">
        <f t="array" ref="Y88">SUM(IF(    (MONTH(date.2008)=MONTH($A88))*(gross.us.2008&gt;=$A$84),gross.us.2008))</f>
        <v>154529439</v>
      </c>
      <c r="Z88" s="75">
        <f t="array" ref="Z88">SUM(IF(    (MONTH(date.2009)=MONTH($A88))*(gross.us.2009&gt;=$A$84),gross.us.2009))</f>
        <v>198351526</v>
      </c>
      <c r="AA88" s="75">
        <f t="array" ref="AA88">SUM(IF(    (MONTH(date.2010)=MONTH($A88))*(gross.us.2010&gt;=$A$84),gross.us.2010))</f>
        <v>551772341</v>
      </c>
      <c r="AB88" s="76">
        <f t="shared" si="26"/>
        <v>6.2416532253354348E-2</v>
      </c>
      <c r="AC88" s="76">
        <f t="shared" si="18"/>
        <v>8.703059120804911E-2</v>
      </c>
      <c r="AD88" s="76">
        <f t="shared" si="18"/>
        <v>3.9310937047256717E-2</v>
      </c>
      <c r="AE88" s="76">
        <f t="shared" si="18"/>
        <v>3.7081004004823621E-2</v>
      </c>
      <c r="AF88" s="76">
        <f t="shared" si="18"/>
        <v>0.13050989292793555</v>
      </c>
      <c r="AG88" s="77">
        <f>SUM(AB$86:AB88)</f>
        <v>6.2416532253354348E-2</v>
      </c>
      <c r="AH88" s="77">
        <f>SUM(AC$86:AC88)</f>
        <v>8.703059120804911E-2</v>
      </c>
      <c r="AI88" s="77">
        <f>SUM(AD$86:AD88)</f>
        <v>3.9310937047256717E-2</v>
      </c>
      <c r="AJ88" s="77">
        <f>SUM(AE$86:AE88)</f>
        <v>9.1545292100499609E-2</v>
      </c>
      <c r="AK88" s="77">
        <f>SUM(AF$86:AF88)</f>
        <v>0.16078860222215674</v>
      </c>
      <c r="AL88" s="73">
        <f t="shared" si="19"/>
        <v>7.1269791488283871E-2</v>
      </c>
      <c r="AM88" s="80">
        <f t="shared" si="20"/>
        <v>3.8814991279915299E-2</v>
      </c>
      <c r="AN88" s="81"/>
      <c r="AO88" s="83">
        <f t="shared" si="27"/>
        <v>-6.360191071546728E-3</v>
      </c>
      <c r="AP88" s="83">
        <f t="shared" si="28"/>
        <v>0.14889977404811447</v>
      </c>
      <c r="AQ88"/>
      <c r="AR88"/>
      <c r="AS88"/>
      <c r="AT88"/>
      <c r="AU88"/>
      <c r="AV88"/>
      <c r="AW88"/>
      <c r="AX88"/>
    </row>
    <row r="89" spans="1:50" s="39" customFormat="1" x14ac:dyDescent="0.2">
      <c r="A89" s="47">
        <f t="shared" si="29"/>
        <v>40648</v>
      </c>
      <c r="B89" s="47"/>
      <c r="C89" s="40">
        <f t="array" ref="C89">COUNT(IF(    (MONTH(date.2006)=MONTH($A89))*(gross.us.2006&gt;=$A$84),gross.us.2006))</f>
        <v>0</v>
      </c>
      <c r="D89" s="40">
        <f t="array" ref="D89">COUNT(IF(    (MONTH(date.2007)=MONTH($A89))*(gross.us.2007&gt;=$A$84),gross.us.2007))</f>
        <v>0</v>
      </c>
      <c r="E89" s="40">
        <f t="array" ref="E89">COUNT(IF(    (MONTH(date.2008)=MONTH($A89))*(gross.us.2008&gt;=$A$84),gross.us.2008))</f>
        <v>0</v>
      </c>
      <c r="F89" s="40">
        <f t="array" ref="F89">COUNT(IF(    (MONTH(date.2009)=MONTH($A89))*(gross.us.2009&gt;=$A$84),gross.us.2009))</f>
        <v>1</v>
      </c>
      <c r="G89" s="40">
        <f t="array" ref="G89">COUNT(IF(    (MONTH(date.2010)=MONTH($A89))*(gross.us.2010&gt;=$A$84),gross.us.2010))</f>
        <v>1</v>
      </c>
      <c r="H89" s="62">
        <f t="shared" si="21"/>
        <v>0</v>
      </c>
      <c r="I89" s="62">
        <f t="shared" si="17"/>
        <v>0</v>
      </c>
      <c r="J89" s="62">
        <f t="shared" si="17"/>
        <v>0</v>
      </c>
      <c r="K89" s="62">
        <f t="shared" si="17"/>
        <v>4.3478260869565216E-2</v>
      </c>
      <c r="L89" s="62">
        <f t="shared" si="17"/>
        <v>5.2631578947368418E-2</v>
      </c>
      <c r="M89" s="53">
        <f>SUM(H$86:H89)</f>
        <v>6.25E-2</v>
      </c>
      <c r="N89" s="53">
        <f>SUM(I$86:I89)</f>
        <v>9.5238095238095233E-2</v>
      </c>
      <c r="O89" s="53">
        <f>SUM(J$86:J89)</f>
        <v>0.05</v>
      </c>
      <c r="P89" s="53">
        <f>SUM(K$86:K89)</f>
        <v>0.17391304347826086</v>
      </c>
      <c r="Q89" s="53">
        <f>SUM(L$86:L89)</f>
        <v>0.21052631578947367</v>
      </c>
      <c r="R89" s="53">
        <f t="shared" si="22"/>
        <v>1.9221967963386728E-2</v>
      </c>
      <c r="S89" s="53">
        <f t="shared" si="23"/>
        <v>2.6518964953442806E-2</v>
      </c>
      <c r="T89" s="64"/>
      <c r="U89" s="69">
        <f t="shared" si="24"/>
        <v>-3.3815961943498882E-2</v>
      </c>
      <c r="V89" s="70">
        <f t="shared" si="25"/>
        <v>7.2259897870272344E-2</v>
      </c>
      <c r="W89" s="75">
        <f t="array" ref="W89">SUM(IF(    (MONTH(date.2006)=MONTH($A89))*(gross.us.2006&gt;=$A$84),gross.us.2006))</f>
        <v>0</v>
      </c>
      <c r="X89" s="75">
        <f t="array" ref="X89">SUM(IF(    (MONTH(date.2007)=MONTH($A89))*(gross.us.2007&gt;=$A$84),gross.us.2007))</f>
        <v>0</v>
      </c>
      <c r="Y89" s="75">
        <f t="array" ref="Y89">SUM(IF(    (MONTH(date.2008)=MONTH($A89))*(gross.us.2008&gt;=$A$84),gross.us.2008))</f>
        <v>0</v>
      </c>
      <c r="Z89" s="75">
        <f t="array" ref="Z89">SUM(IF(    (MONTH(date.2009)=MONTH($A89))*(gross.us.2009&gt;=$A$84),gross.us.2009))</f>
        <v>155064265</v>
      </c>
      <c r="AA89" s="75">
        <f t="array" ref="AA89">SUM(IF(    (MONTH(date.2010)=MONTH($A89))*(gross.us.2010&gt;=$A$84),gross.us.2010))</f>
        <v>163214888</v>
      </c>
      <c r="AB89" s="76">
        <f t="shared" si="26"/>
        <v>0</v>
      </c>
      <c r="AC89" s="76">
        <f t="shared" si="18"/>
        <v>0</v>
      </c>
      <c r="AD89" s="76">
        <f t="shared" si="18"/>
        <v>0</v>
      </c>
      <c r="AE89" s="76">
        <f t="shared" si="18"/>
        <v>2.8988628156407684E-2</v>
      </c>
      <c r="AF89" s="76">
        <f t="shared" si="18"/>
        <v>3.860497523040031E-2</v>
      </c>
      <c r="AG89" s="77">
        <f>SUM(AB$86:AB89)</f>
        <v>6.2416532253354348E-2</v>
      </c>
      <c r="AH89" s="77">
        <f>SUM(AC$86:AC89)</f>
        <v>8.703059120804911E-2</v>
      </c>
      <c r="AI89" s="77">
        <f>SUM(AD$86:AD89)</f>
        <v>3.9310937047256717E-2</v>
      </c>
      <c r="AJ89" s="77">
        <f>SUM(AE$86:AE89)</f>
        <v>0.12053392025690729</v>
      </c>
      <c r="AK89" s="77">
        <f>SUM(AF$86:AF89)</f>
        <v>0.19939357745255704</v>
      </c>
      <c r="AL89" s="73">
        <f t="shared" si="19"/>
        <v>1.3518720677361599E-2</v>
      </c>
      <c r="AM89" s="80">
        <f t="shared" si="20"/>
        <v>1.8820903479692959E-2</v>
      </c>
      <c r="AN89" s="81"/>
      <c r="AO89" s="82">
        <f t="shared" si="27"/>
        <v>-2.4123086282024319E-2</v>
      </c>
      <c r="AP89" s="82">
        <f t="shared" si="28"/>
        <v>5.1160527636747513E-2</v>
      </c>
      <c r="AQ89"/>
      <c r="AR89"/>
      <c r="AS89"/>
      <c r="AT89"/>
      <c r="AU89"/>
      <c r="AV89"/>
      <c r="AW89"/>
      <c r="AX89"/>
    </row>
    <row r="90" spans="1:50" s="39" customFormat="1" x14ac:dyDescent="0.2">
      <c r="A90" s="47">
        <f t="shared" si="29"/>
        <v>40678</v>
      </c>
      <c r="B90" s="47"/>
      <c r="C90" s="40">
        <f t="array" ref="C90">COUNT(IF(    (MONTH(date.2006)=MONTH($A90))*(gross.us.2006&gt;=$A$84),gross.us.2006))</f>
        <v>4</v>
      </c>
      <c r="D90" s="40">
        <f t="array" ref="D90">COUNT(IF(    (MONTH(date.2007)=MONTH($A90))*(gross.us.2007&gt;=$A$84),gross.us.2007))</f>
        <v>3</v>
      </c>
      <c r="E90" s="40">
        <f t="array" ref="E90">COUNT(IF(    (MONTH(date.2008)=MONTH($A90))*(gross.us.2008&gt;=$A$84),gross.us.2008))</f>
        <v>4</v>
      </c>
      <c r="F90" s="40">
        <f t="array" ref="F90">COUNT(IF(    (MONTH(date.2009)=MONTH($A90))*(gross.us.2009&gt;=$A$84),gross.us.2009))</f>
        <v>6</v>
      </c>
      <c r="G90" s="40">
        <f t="array" ref="G90">COUNT(IF(    (MONTH(date.2010)=MONTH($A90))*(gross.us.2010&gt;=$A$84),gross.us.2010))</f>
        <v>2</v>
      </c>
      <c r="H90" s="62">
        <f t="shared" si="21"/>
        <v>0.25</v>
      </c>
      <c r="I90" s="62">
        <f t="shared" si="17"/>
        <v>0.14285714285714285</v>
      </c>
      <c r="J90" s="62">
        <f t="shared" si="17"/>
        <v>0.2</v>
      </c>
      <c r="K90" s="62">
        <f t="shared" si="17"/>
        <v>0.2608695652173913</v>
      </c>
      <c r="L90" s="62">
        <f t="shared" si="17"/>
        <v>0.10526315789473684</v>
      </c>
      <c r="M90" s="53">
        <f>SUM(H$86:H90)</f>
        <v>0.3125</v>
      </c>
      <c r="N90" s="53">
        <f>SUM(I$86:I90)</f>
        <v>0.23809523809523808</v>
      </c>
      <c r="O90" s="53">
        <f>SUM(J$86:J90)</f>
        <v>0.25</v>
      </c>
      <c r="P90" s="53">
        <f>SUM(K$86:K90)</f>
        <v>0.43478260869565216</v>
      </c>
      <c r="Q90" s="53">
        <f>SUM(L$86:L90)</f>
        <v>0.31578947368421051</v>
      </c>
      <c r="R90" s="53">
        <f t="shared" si="22"/>
        <v>0.19179797319385419</v>
      </c>
      <c r="S90" s="53">
        <f t="shared" si="23"/>
        <v>6.7285052436698606E-2</v>
      </c>
      <c r="T90" s="64"/>
      <c r="U90" s="65">
        <f t="shared" si="24"/>
        <v>5.7227868320456982E-2</v>
      </c>
      <c r="V90" s="66">
        <f t="shared" si="25"/>
        <v>0.32636807806725143</v>
      </c>
      <c r="W90" s="75">
        <f t="array" ref="W90">SUM(IF(    (MONTH(date.2006)=MONTH($A90))*(gross.us.2006&gt;=$A$84),gross.us.2006))</f>
        <v>740419288</v>
      </c>
      <c r="X90" s="75">
        <f t="array" ref="X90">SUM(IF(    (MONTH(date.2007)=MONTH($A90))*(gross.us.2007&gt;=$A$84),gross.us.2007))</f>
        <v>968670672</v>
      </c>
      <c r="Y90" s="75">
        <f t="array" ref="Y90">SUM(IF(    (MONTH(date.2008)=MONTH($A90))*(gross.us.2008&gt;=$A$84),gross.us.2008))</f>
        <v>929896725</v>
      </c>
      <c r="Z90" s="75">
        <f t="array" ref="Z90">SUM(IF(    (MONTH(date.2009)=MONTH($A90))*(gross.us.2009&gt;=$A$84),gross.us.2009))</f>
        <v>1166559376</v>
      </c>
      <c r="AA90" s="75">
        <f t="array" ref="AA90">SUM(IF(    (MONTH(date.2010)=MONTH($A90))*(gross.us.2010&gt;=$A$84),gross.us.2010))</f>
        <v>551170118</v>
      </c>
      <c r="AB90" s="76">
        <f t="shared" si="26"/>
        <v>0.23659579913206574</v>
      </c>
      <c r="AC90" s="76">
        <f t="shared" si="18"/>
        <v>0.22253863199751256</v>
      </c>
      <c r="AD90" s="76">
        <f t="shared" si="18"/>
        <v>0.23655758963135295</v>
      </c>
      <c r="AE90" s="76">
        <f t="shared" si="18"/>
        <v>0.21808348927610743</v>
      </c>
      <c r="AF90" s="76">
        <f t="shared" si="18"/>
        <v>0.13036745001550848</v>
      </c>
      <c r="AG90" s="77">
        <f>SUM(AB$86:AB90)</f>
        <v>0.2990123313854201</v>
      </c>
      <c r="AH90" s="77">
        <f>SUM(AC$86:AC90)</f>
        <v>0.30956922320556168</v>
      </c>
      <c r="AI90" s="77">
        <f>SUM(AD$86:AD90)</f>
        <v>0.27586852667860967</v>
      </c>
      <c r="AJ90" s="77">
        <f>SUM(AE$86:AE90)</f>
        <v>0.33861740953301472</v>
      </c>
      <c r="AK90" s="77">
        <f>SUM(AF$86:AF90)</f>
        <v>0.32976102746806552</v>
      </c>
      <c r="AL90" s="73">
        <f t="shared" si="19"/>
        <v>0.20882859201050943</v>
      </c>
      <c r="AM90" s="80">
        <f t="shared" si="20"/>
        <v>4.4636543950528546E-2</v>
      </c>
      <c r="AN90" s="81"/>
      <c r="AO90" s="84">
        <f t="shared" si="27"/>
        <v>0.11955550410945234</v>
      </c>
      <c r="AP90" s="84">
        <f t="shared" si="28"/>
        <v>0.29810167991156655</v>
      </c>
      <c r="AQ90"/>
      <c r="AR90"/>
      <c r="AS90"/>
      <c r="AT90"/>
      <c r="AU90"/>
      <c r="AV90"/>
      <c r="AW90"/>
      <c r="AX90"/>
    </row>
    <row r="91" spans="1:50" s="39" customFormat="1" x14ac:dyDescent="0.2">
      <c r="A91" s="47">
        <f t="shared" si="29"/>
        <v>40709</v>
      </c>
      <c r="B91" s="47"/>
      <c r="C91" s="40">
        <f t="array" ref="C91">COUNT(IF(    (MONTH(date.2006)=MONTH($A91))*(gross.us.2006&gt;=$A$84),gross.us.2006))</f>
        <v>3</v>
      </c>
      <c r="D91" s="40">
        <f t="array" ref="D91">COUNT(IF(    (MONTH(date.2007)=MONTH($A91))*(gross.us.2007&gt;=$A$84),gross.us.2007))</f>
        <v>4</v>
      </c>
      <c r="E91" s="40">
        <f t="array" ref="E91">COUNT(IF(    (MONTH(date.2008)=MONTH($A91))*(gross.us.2008&gt;=$A$84),gross.us.2008))</f>
        <v>5</v>
      </c>
      <c r="F91" s="40">
        <f t="array" ref="F91">COUNT(IF(    (MONTH(date.2009)=MONTH($A91))*(gross.us.2009&gt;=$A$84),gross.us.2009))</f>
        <v>3</v>
      </c>
      <c r="G91" s="40">
        <f t="array" ref="G91">COUNT(IF(    (MONTH(date.2010)=MONTH($A91))*(gross.us.2010&gt;=$A$84),gross.us.2010))</f>
        <v>4</v>
      </c>
      <c r="H91" s="62">
        <f t="shared" si="21"/>
        <v>0.1875</v>
      </c>
      <c r="I91" s="62">
        <f t="shared" si="17"/>
        <v>0.19047619047619047</v>
      </c>
      <c r="J91" s="62">
        <f t="shared" si="17"/>
        <v>0.25</v>
      </c>
      <c r="K91" s="62">
        <f t="shared" si="17"/>
        <v>0.13043478260869565</v>
      </c>
      <c r="L91" s="62">
        <f t="shared" si="17"/>
        <v>0.21052631578947367</v>
      </c>
      <c r="M91" s="53">
        <f>SUM(H$86:H91)</f>
        <v>0.5</v>
      </c>
      <c r="N91" s="53">
        <f>SUM(I$86:I91)</f>
        <v>0.42857142857142855</v>
      </c>
      <c r="O91" s="53">
        <f>SUM(J$86:J91)</f>
        <v>0.5</v>
      </c>
      <c r="P91" s="53">
        <f>SUM(K$86:K91)</f>
        <v>0.56521739130434778</v>
      </c>
      <c r="Q91" s="53">
        <f>SUM(L$86:L91)</f>
        <v>0.52631578947368418</v>
      </c>
      <c r="R91" s="53">
        <f t="shared" si="22"/>
        <v>0.19378745777487197</v>
      </c>
      <c r="S91" s="53">
        <f t="shared" si="23"/>
        <v>4.331309657063883E-2</v>
      </c>
      <c r="T91" s="64"/>
      <c r="U91" s="67">
        <f t="shared" si="24"/>
        <v>0.10716126463359431</v>
      </c>
      <c r="V91" s="68">
        <f t="shared" si="25"/>
        <v>0.28041365091614961</v>
      </c>
      <c r="W91" s="75">
        <f t="array" ref="W91">SUM(IF(    (MONTH(date.2006)=MONTH($A91))*(gross.us.2006&gt;=$A$84),gross.us.2006))</f>
        <v>581558615</v>
      </c>
      <c r="X91" s="75">
        <f t="array" ref="X91">SUM(IF(    (MONTH(date.2007)=MONTH($A91))*(gross.us.2007&gt;=$A$84),gross.us.2007))</f>
        <v>621658560</v>
      </c>
      <c r="Y91" s="75">
        <f t="array" ref="Y91">SUM(IF(    (MONTH(date.2008)=MONTH($A91))*(gross.us.2008&gt;=$A$84),gross.us.2008))</f>
        <v>838877427</v>
      </c>
      <c r="Z91" s="75">
        <f t="array" ref="Z91">SUM(IF(    (MONTH(date.2009)=MONTH($A91))*(gross.us.2009&gt;=$A$84),gross.us.2009))</f>
        <v>843392404</v>
      </c>
      <c r="AA91" s="75">
        <f t="array" ref="AA91">SUM(IF(    (MONTH(date.2010)=MONTH($A91))*(gross.us.2010&gt;=$A$84),gross.us.2010))</f>
        <v>1054109052</v>
      </c>
      <c r="AB91" s="76">
        <f t="shared" si="26"/>
        <v>0.18583298340286128</v>
      </c>
      <c r="AC91" s="76">
        <f t="shared" si="18"/>
        <v>0.1428174192848316</v>
      </c>
      <c r="AD91" s="76">
        <f t="shared" si="18"/>
        <v>0.21340307669894337</v>
      </c>
      <c r="AE91" s="76">
        <f t="shared" si="18"/>
        <v>0.15766874972447564</v>
      </c>
      <c r="AF91" s="76">
        <f t="shared" si="18"/>
        <v>0.24932684965969987</v>
      </c>
      <c r="AG91" s="77">
        <f>SUM(AB$86:AB91)</f>
        <v>0.48484531478828141</v>
      </c>
      <c r="AH91" s="77">
        <f>SUM(AC$86:AC91)</f>
        <v>0.45238664249039329</v>
      </c>
      <c r="AI91" s="77">
        <f>SUM(AD$86:AD91)</f>
        <v>0.48927160337755304</v>
      </c>
      <c r="AJ91" s="77">
        <f>SUM(AE$86:AE91)</f>
        <v>0.49628615925749037</v>
      </c>
      <c r="AK91" s="77">
        <f>SUM(AF$86:AF91)</f>
        <v>0.57908787712776544</v>
      </c>
      <c r="AL91" s="73">
        <f t="shared" si="19"/>
        <v>0.18980981575416236</v>
      </c>
      <c r="AM91" s="80">
        <f t="shared" si="20"/>
        <v>4.2883761302873247E-2</v>
      </c>
      <c r="AN91" s="81"/>
      <c r="AO91" s="84">
        <f t="shared" si="27"/>
        <v>0.10404229314841587</v>
      </c>
      <c r="AP91" s="84">
        <f t="shared" si="28"/>
        <v>0.27557733835990883</v>
      </c>
      <c r="AQ91"/>
      <c r="AR91"/>
      <c r="AS91"/>
      <c r="AT91"/>
      <c r="AU91"/>
      <c r="AV91"/>
      <c r="AW91"/>
      <c r="AX91"/>
    </row>
    <row r="92" spans="1:50" s="39" customFormat="1" x14ac:dyDescent="0.2">
      <c r="A92" s="47">
        <f t="shared" si="29"/>
        <v>40739</v>
      </c>
      <c r="B92" s="47"/>
      <c r="C92" s="40">
        <f t="array" ref="C92">COUNT(IF(    (MONTH(date.2006)=MONTH($A92))*(gross.us.2006&gt;=$A$84),gross.us.2006))</f>
        <v>1</v>
      </c>
      <c r="D92" s="40">
        <f t="array" ref="D92">COUNT(IF(    (MONTH(date.2007)=MONTH($A92))*(gross.us.2007&gt;=$A$84),gross.us.2007))</f>
        <v>3</v>
      </c>
      <c r="E92" s="40">
        <f t="array" ref="E92">COUNT(IF(    (MONTH(date.2008)=MONTH($A92))*(gross.us.2008&gt;=$A$84),gross.us.2008))</f>
        <v>3</v>
      </c>
      <c r="F92" s="40">
        <f t="array" ref="F92">COUNT(IF(    (MONTH(date.2009)=MONTH($A92))*(gross.us.2009&gt;=$A$84),gross.us.2009))</f>
        <v>2</v>
      </c>
      <c r="G92" s="40">
        <f t="array" ref="G92">COUNT(IF(    (MONTH(date.2010)=MONTH($A92))*(gross.us.2010&gt;=$A$84),gross.us.2010))</f>
        <v>3</v>
      </c>
      <c r="H92" s="62">
        <f t="shared" si="21"/>
        <v>6.25E-2</v>
      </c>
      <c r="I92" s="62">
        <f t="shared" si="17"/>
        <v>0.14285714285714285</v>
      </c>
      <c r="J92" s="62">
        <f t="shared" si="17"/>
        <v>0.15</v>
      </c>
      <c r="K92" s="62">
        <f t="shared" si="17"/>
        <v>8.6956521739130432E-2</v>
      </c>
      <c r="L92" s="62">
        <f t="shared" si="17"/>
        <v>0.15789473684210525</v>
      </c>
      <c r="M92" s="53">
        <f>SUM(H$86:H92)</f>
        <v>0.5625</v>
      </c>
      <c r="N92" s="53">
        <f>SUM(I$86:I92)</f>
        <v>0.5714285714285714</v>
      </c>
      <c r="O92" s="53">
        <f>SUM(J$86:J92)</f>
        <v>0.65</v>
      </c>
      <c r="P92" s="53">
        <f>SUM(K$86:K92)</f>
        <v>0.65217391304347827</v>
      </c>
      <c r="Q92" s="53">
        <f>SUM(L$86:L92)</f>
        <v>0.68421052631578938</v>
      </c>
      <c r="R92" s="53">
        <f t="shared" si="22"/>
        <v>0.1200416802876757</v>
      </c>
      <c r="S92" s="53">
        <f t="shared" si="23"/>
        <v>4.2592760034039001E-2</v>
      </c>
      <c r="T92" s="64"/>
      <c r="U92" s="65">
        <f t="shared" si="24"/>
        <v>3.4856160219597698E-2</v>
      </c>
      <c r="V92" s="66">
        <f t="shared" si="25"/>
        <v>0.2052272003557537</v>
      </c>
      <c r="W92" s="75">
        <f t="array" ref="W92">SUM(IF(    (MONTH(date.2006)=MONTH($A92))*(gross.us.2006&gt;=$A$84),gross.us.2006))</f>
        <v>423315812</v>
      </c>
      <c r="X92" s="75">
        <f t="array" ref="X92">SUM(IF(    (MONTH(date.2007)=MONTH($A92))*(gross.us.2007&gt;=$A$84),gross.us.2007))</f>
        <v>794385945</v>
      </c>
      <c r="Y92" s="75">
        <f t="array" ref="Y92">SUM(IF(    (MONTH(date.2008)=MONTH($A92))*(gross.us.2008&gt;=$A$84),gross.us.2008))</f>
        <v>905421695</v>
      </c>
      <c r="Z92" s="75">
        <f t="array" ref="Z92">SUM(IF(    (MONTH(date.2009)=MONTH($A92))*(gross.us.2009&gt;=$A$84),gross.us.2009))</f>
        <v>498532902</v>
      </c>
      <c r="AA92" s="75">
        <f t="array" ref="AA92">SUM(IF(    (MONTH(date.2010)=MONTH($A92))*(gross.us.2010&gt;=$A$84),gross.us.2010))</f>
        <v>675862367</v>
      </c>
      <c r="AB92" s="76">
        <f t="shared" si="26"/>
        <v>0.13526760370588739</v>
      </c>
      <c r="AC92" s="76">
        <f t="shared" si="18"/>
        <v>0.18249913679470958</v>
      </c>
      <c r="AD92" s="76">
        <f t="shared" si="18"/>
        <v>0.23033135617198136</v>
      </c>
      <c r="AE92" s="76">
        <f t="shared" si="18"/>
        <v>9.319868068773185E-2</v>
      </c>
      <c r="AF92" s="76">
        <f t="shared" si="18"/>
        <v>0.15986072261492912</v>
      </c>
      <c r="AG92" s="77">
        <f>SUM(AB$86:AB92)</f>
        <v>0.62011291849416883</v>
      </c>
      <c r="AH92" s="77">
        <f>SUM(AC$86:AC92)</f>
        <v>0.63488577928510281</v>
      </c>
      <c r="AI92" s="77">
        <f>SUM(AD$86:AD92)</f>
        <v>0.71960295954953435</v>
      </c>
      <c r="AJ92" s="77">
        <f>SUM(AE$86:AE92)</f>
        <v>0.58948483994522216</v>
      </c>
      <c r="AK92" s="77">
        <f>SUM(AF$86:AF92)</f>
        <v>0.73894859974269456</v>
      </c>
      <c r="AL92" s="73">
        <f t="shared" si="19"/>
        <v>0.16023149999504788</v>
      </c>
      <c r="AM92" s="80">
        <f t="shared" si="20"/>
        <v>5.1299536895466263E-2</v>
      </c>
      <c r="AN92" s="81"/>
      <c r="AO92" s="83">
        <f t="shared" si="27"/>
        <v>5.763242620411535E-2</v>
      </c>
      <c r="AP92" s="83">
        <f t="shared" si="28"/>
        <v>0.2628305737859804</v>
      </c>
      <c r="AQ92"/>
      <c r="AR92"/>
      <c r="AS92"/>
      <c r="AT92"/>
      <c r="AU92"/>
      <c r="AV92"/>
      <c r="AW92"/>
      <c r="AX92"/>
    </row>
    <row r="93" spans="1:50" s="39" customFormat="1" x14ac:dyDescent="0.2">
      <c r="A93" s="47">
        <f t="shared" si="29"/>
        <v>40770</v>
      </c>
      <c r="B93" s="47"/>
      <c r="C93" s="40">
        <f t="array" ref="C93">COUNT(IF(    (MONTH(date.2006)=MONTH($A93))*(gross.us.2006&gt;=$A$84),gross.us.2006))</f>
        <v>1</v>
      </c>
      <c r="D93" s="40">
        <f t="array" ref="D93">COUNT(IF(    (MONTH(date.2007)=MONTH($A93))*(gross.us.2007&gt;=$A$84),gross.us.2007))</f>
        <v>2</v>
      </c>
      <c r="E93" s="40">
        <f t="array" ref="E93">COUNT(IF(    (MONTH(date.2008)=MONTH($A93))*(gross.us.2008&gt;=$A$84),gross.us.2008))</f>
        <v>0</v>
      </c>
      <c r="F93" s="40">
        <f t="array" ref="F93">COUNT(IF(    (MONTH(date.2009)=MONTH($A93))*(gross.us.2009&gt;=$A$84),gross.us.2009))</f>
        <v>1</v>
      </c>
      <c r="G93" s="40">
        <f t="array" ref="G93">COUNT(IF(    (MONTH(date.2010)=MONTH($A93))*(gross.us.2010&gt;=$A$84),gross.us.2010))</f>
        <v>0</v>
      </c>
      <c r="H93" s="62">
        <f t="shared" si="21"/>
        <v>6.25E-2</v>
      </c>
      <c r="I93" s="62">
        <f t="shared" si="17"/>
        <v>9.5238095238095233E-2</v>
      </c>
      <c r="J93" s="62">
        <f t="shared" si="17"/>
        <v>0</v>
      </c>
      <c r="K93" s="62">
        <f t="shared" si="17"/>
        <v>4.3478260869565216E-2</v>
      </c>
      <c r="L93" s="62">
        <f t="shared" si="17"/>
        <v>0</v>
      </c>
      <c r="M93" s="53">
        <f>SUM(H$86:H93)</f>
        <v>0.625</v>
      </c>
      <c r="N93" s="53">
        <f>SUM(I$86:I93)</f>
        <v>0.66666666666666663</v>
      </c>
      <c r="O93" s="53">
        <f>SUM(J$86:J93)</f>
        <v>0.65</v>
      </c>
      <c r="P93" s="53">
        <f>SUM(K$86:K93)</f>
        <v>0.69565217391304346</v>
      </c>
      <c r="Q93" s="53">
        <f>SUM(L$86:L93)</f>
        <v>0.68421052631578938</v>
      </c>
      <c r="R93" s="53">
        <f t="shared" si="22"/>
        <v>4.0243271221532088E-2</v>
      </c>
      <c r="S93" s="53">
        <f t="shared" si="23"/>
        <v>4.1137876585251393E-2</v>
      </c>
      <c r="T93" s="64"/>
      <c r="U93" s="65">
        <f t="shared" si="24"/>
        <v>-4.2032481948970697E-2</v>
      </c>
      <c r="V93" s="66">
        <f t="shared" si="25"/>
        <v>0.12251902439203488</v>
      </c>
      <c r="W93" s="75">
        <f t="array" ref="W93">SUM(IF(    (MONTH(date.2006)=MONTH($A93))*(gross.us.2006&gt;=$A$84),gross.us.2006))</f>
        <v>148213377</v>
      </c>
      <c r="X93" s="75">
        <f t="array" ref="X93">SUM(IF(    (MONTH(date.2007)=MONTH($A93))*(gross.us.2007&gt;=$A$84),gross.us.2007))</f>
        <v>367597038</v>
      </c>
      <c r="Y93" s="75">
        <f t="array" ref="Y93">SUM(IF(    (MONTH(date.2008)=MONTH($A93))*(gross.us.2008&gt;=$A$84),gross.us.2008))</f>
        <v>0</v>
      </c>
      <c r="Z93" s="75">
        <f t="array" ref="Z93">SUM(IF(    (MONTH(date.2009)=MONTH($A93))*(gross.us.2009&gt;=$A$84),gross.us.2009))</f>
        <v>150201498</v>
      </c>
      <c r="AA93" s="75">
        <f t="array" ref="AA93">SUM(IF(    (MONTH(date.2010)=MONTH($A93))*(gross.us.2010&gt;=$A$84),gross.us.2010))</f>
        <v>0</v>
      </c>
      <c r="AB93" s="76">
        <f t="shared" si="26"/>
        <v>4.7360546843800123E-2</v>
      </c>
      <c r="AC93" s="76">
        <f t="shared" si="18"/>
        <v>8.4450313535308144E-2</v>
      </c>
      <c r="AD93" s="76">
        <f t="shared" si="18"/>
        <v>0</v>
      </c>
      <c r="AE93" s="76">
        <f t="shared" si="18"/>
        <v>2.8079553816331652E-2</v>
      </c>
      <c r="AF93" s="76">
        <f t="shared" si="18"/>
        <v>0</v>
      </c>
      <c r="AG93" s="77">
        <f>SUM(AB$86:AB93)</f>
        <v>0.66747346533796892</v>
      </c>
      <c r="AH93" s="77">
        <f>SUM(AC$86:AC93)</f>
        <v>0.719336092820411</v>
      </c>
      <c r="AI93" s="77">
        <f>SUM(AD$86:AD93)</f>
        <v>0.71960295954953435</v>
      </c>
      <c r="AJ93" s="77">
        <f>SUM(AE$86:AE93)</f>
        <v>0.61756439376155381</v>
      </c>
      <c r="AK93" s="77">
        <f>SUM(AF$86:AF93)</f>
        <v>0.73894859974269456</v>
      </c>
      <c r="AL93" s="73">
        <f t="shared" si="19"/>
        <v>3.1978082839087985E-2</v>
      </c>
      <c r="AM93" s="80">
        <f t="shared" si="20"/>
        <v>3.5532904770656008E-2</v>
      </c>
      <c r="AN93" s="81"/>
      <c r="AO93" s="82">
        <f t="shared" si="27"/>
        <v>-3.9087726702224032E-2</v>
      </c>
      <c r="AP93" s="82">
        <f t="shared" si="28"/>
        <v>0.1030438923804</v>
      </c>
      <c r="AQ93"/>
      <c r="AR93"/>
      <c r="AS93"/>
      <c r="AT93"/>
      <c r="AU93"/>
      <c r="AV93"/>
      <c r="AW93"/>
      <c r="AX93"/>
    </row>
    <row r="94" spans="1:50" s="39" customFormat="1" x14ac:dyDescent="0.2">
      <c r="A94" s="47">
        <f t="shared" si="29"/>
        <v>40801</v>
      </c>
      <c r="B94" s="47"/>
      <c r="C94" s="40">
        <f t="array" ref="C94">COUNT(IF(    (MONTH(date.2006)=MONTH($A94))*(gross.us.2006&gt;=$A$84),gross.us.2006))</f>
        <v>0</v>
      </c>
      <c r="D94" s="40">
        <f t="array" ref="D94">COUNT(IF(    (MONTH(date.2007)=MONTH($A94))*(gross.us.2007&gt;=$A$84),gross.us.2007))</f>
        <v>0</v>
      </c>
      <c r="E94" s="40">
        <f t="array" ref="E94">COUNT(IF(    (MONTH(date.2008)=MONTH($A94))*(gross.us.2008&gt;=$A$84),gross.us.2008))</f>
        <v>0</v>
      </c>
      <c r="F94" s="40">
        <f t="array" ref="F94">COUNT(IF(    (MONTH(date.2009)=MONTH($A94))*(gross.us.2009&gt;=$A$84),gross.us.2009))</f>
        <v>0</v>
      </c>
      <c r="G94" s="40">
        <f t="array" ref="G94">COUNT(IF(    (MONTH(date.2010)=MONTH($A94))*(gross.us.2010&gt;=$A$84),gross.us.2010))</f>
        <v>0</v>
      </c>
      <c r="H94" s="62">
        <f t="shared" si="21"/>
        <v>0</v>
      </c>
      <c r="I94" s="62">
        <f t="shared" si="17"/>
        <v>0</v>
      </c>
      <c r="J94" s="62">
        <f t="shared" si="17"/>
        <v>0</v>
      </c>
      <c r="K94" s="62">
        <f t="shared" si="17"/>
        <v>0</v>
      </c>
      <c r="L94" s="62">
        <f t="shared" si="17"/>
        <v>0</v>
      </c>
      <c r="M94" s="53">
        <f>SUM(H$86:H94)</f>
        <v>0.625</v>
      </c>
      <c r="N94" s="53">
        <f>SUM(I$86:I94)</f>
        <v>0.66666666666666663</v>
      </c>
      <c r="O94" s="53">
        <f>SUM(J$86:J94)</f>
        <v>0.65</v>
      </c>
      <c r="P94" s="53">
        <f>SUM(K$86:K94)</f>
        <v>0.69565217391304346</v>
      </c>
      <c r="Q94" s="53">
        <f>SUM(L$86:L94)</f>
        <v>0.68421052631578938</v>
      </c>
      <c r="R94" s="53">
        <f t="shared" si="22"/>
        <v>0</v>
      </c>
      <c r="S94" s="53">
        <f t="shared" si="23"/>
        <v>0</v>
      </c>
      <c r="T94" s="64"/>
      <c r="U94" s="69">
        <f t="shared" si="24"/>
        <v>0</v>
      </c>
      <c r="V94" s="70">
        <f t="shared" si="25"/>
        <v>0</v>
      </c>
      <c r="W94" s="75">
        <f t="array" ref="W94">SUM(IF(    (MONTH(date.2006)=MONTH($A94))*(gross.us.2006&gt;=$A$84),gross.us.2006))</f>
        <v>0</v>
      </c>
      <c r="X94" s="75">
        <f t="array" ref="X94">SUM(IF(    (MONTH(date.2007)=MONTH($A94))*(gross.us.2007&gt;=$A$84),gross.us.2007))</f>
        <v>0</v>
      </c>
      <c r="Y94" s="75">
        <f t="array" ref="Y94">SUM(IF(    (MONTH(date.2008)=MONTH($A94))*(gross.us.2008&gt;=$A$84),gross.us.2008))</f>
        <v>0</v>
      </c>
      <c r="Z94" s="75">
        <f t="array" ref="Z94">SUM(IF(    (MONTH(date.2009)=MONTH($A94))*(gross.us.2009&gt;=$A$84),gross.us.2009))</f>
        <v>0</v>
      </c>
      <c r="AA94" s="75">
        <f t="array" ref="AA94">SUM(IF(    (MONTH(date.2010)=MONTH($A94))*(gross.us.2010&gt;=$A$84),gross.us.2010))</f>
        <v>0</v>
      </c>
      <c r="AB94" s="76">
        <f t="shared" si="26"/>
        <v>0</v>
      </c>
      <c r="AC94" s="76">
        <f t="shared" si="18"/>
        <v>0</v>
      </c>
      <c r="AD94" s="76">
        <f t="shared" si="18"/>
        <v>0</v>
      </c>
      <c r="AE94" s="76">
        <f t="shared" si="18"/>
        <v>0</v>
      </c>
      <c r="AF94" s="76">
        <f t="shared" si="18"/>
        <v>0</v>
      </c>
      <c r="AG94" s="77">
        <f>SUM(AB$86:AB94)</f>
        <v>0.66747346533796892</v>
      </c>
      <c r="AH94" s="77">
        <f>SUM(AC$86:AC94)</f>
        <v>0.719336092820411</v>
      </c>
      <c r="AI94" s="77">
        <f>SUM(AD$86:AD94)</f>
        <v>0.71960295954953435</v>
      </c>
      <c r="AJ94" s="77">
        <f>SUM(AE$86:AE94)</f>
        <v>0.61756439376155381</v>
      </c>
      <c r="AK94" s="77">
        <f>SUM(AF$86:AF94)</f>
        <v>0.73894859974269456</v>
      </c>
      <c r="AL94" s="73">
        <f t="shared" si="19"/>
        <v>0</v>
      </c>
      <c r="AM94" s="80">
        <f t="shared" si="20"/>
        <v>0</v>
      </c>
      <c r="AN94" s="81"/>
      <c r="AO94" s="82">
        <f t="shared" si="27"/>
        <v>0</v>
      </c>
      <c r="AP94" s="82">
        <f t="shared" si="28"/>
        <v>0</v>
      </c>
      <c r="AQ94"/>
      <c r="AR94"/>
      <c r="AS94"/>
      <c r="AT94"/>
      <c r="AU94"/>
      <c r="AV94"/>
      <c r="AW94"/>
      <c r="AX94"/>
    </row>
    <row r="95" spans="1:50" s="39" customFormat="1" x14ac:dyDescent="0.2">
      <c r="A95" s="47">
        <f t="shared" si="29"/>
        <v>40831</v>
      </c>
      <c r="B95" s="47"/>
      <c r="C95" s="40">
        <f t="array" ref="C95">COUNT(IF(    (MONTH(date.2006)=MONTH($A95))*(gross.us.2006&gt;=$A$84),gross.us.2006))</f>
        <v>1</v>
      </c>
      <c r="D95" s="40">
        <f t="array" ref="D95">COUNT(IF(    (MONTH(date.2007)=MONTH($A95))*(gross.us.2007&gt;=$A$84),gross.us.2007))</f>
        <v>0</v>
      </c>
      <c r="E95" s="40">
        <f t="array" ref="E95">COUNT(IF(    (MONTH(date.2008)=MONTH($A95))*(gross.us.2008&gt;=$A$84),gross.us.2008))</f>
        <v>0</v>
      </c>
      <c r="F95" s="40">
        <f t="array" ref="F95">COUNT(IF(    (MONTH(date.2009)=MONTH($A95))*(gross.us.2009&gt;=$A$84),gross.us.2009))</f>
        <v>0</v>
      </c>
      <c r="G95" s="40">
        <f t="array" ref="G95">COUNT(IF(    (MONTH(date.2010)=MONTH($A95))*(gross.us.2010&gt;=$A$84),gross.us.2010))</f>
        <v>0</v>
      </c>
      <c r="H95" s="62">
        <f t="shared" si="21"/>
        <v>6.25E-2</v>
      </c>
      <c r="I95" s="62">
        <f t="shared" si="17"/>
        <v>0</v>
      </c>
      <c r="J95" s="62">
        <f t="shared" si="17"/>
        <v>0</v>
      </c>
      <c r="K95" s="62">
        <f t="shared" si="17"/>
        <v>0</v>
      </c>
      <c r="L95" s="62">
        <f t="shared" si="17"/>
        <v>0</v>
      </c>
      <c r="M95" s="53">
        <f>SUM(H$86:H95)</f>
        <v>0.6875</v>
      </c>
      <c r="N95" s="53">
        <f>SUM(I$86:I95)</f>
        <v>0.66666666666666663</v>
      </c>
      <c r="O95" s="53">
        <f>SUM(J$86:J95)</f>
        <v>0.65</v>
      </c>
      <c r="P95" s="53">
        <f>SUM(K$86:K95)</f>
        <v>0.69565217391304346</v>
      </c>
      <c r="Q95" s="53">
        <f>SUM(L$86:L95)</f>
        <v>0.68421052631578938</v>
      </c>
      <c r="R95" s="53">
        <f t="shared" si="22"/>
        <v>1.2500000000000001E-2</v>
      </c>
      <c r="S95" s="53">
        <f t="shared" si="23"/>
        <v>2.795084971874737E-2</v>
      </c>
      <c r="T95" s="64"/>
      <c r="U95" s="69">
        <f t="shared" si="24"/>
        <v>-4.3401699437494737E-2</v>
      </c>
      <c r="V95" s="70">
        <f t="shared" si="25"/>
        <v>6.8401699437494745E-2</v>
      </c>
      <c r="W95" s="75">
        <f t="array" ref="W95">SUM(IF(    (MONTH(date.2006)=MONTH($A95))*(gross.us.2006&gt;=$A$84),gross.us.2006))</f>
        <v>133311000</v>
      </c>
      <c r="X95" s="75">
        <f t="array" ref="X95">SUM(IF(    (MONTH(date.2007)=MONTH($A95))*(gross.us.2007&gt;=$A$84),gross.us.2007))</f>
        <v>0</v>
      </c>
      <c r="Y95" s="75">
        <f t="array" ref="Y95">SUM(IF(    (MONTH(date.2008)=MONTH($A95))*(gross.us.2008&gt;=$A$84),gross.us.2008))</f>
        <v>0</v>
      </c>
      <c r="Z95" s="75">
        <f t="array" ref="Z95">SUM(IF(    (MONTH(date.2009)=MONTH($A95))*(gross.us.2009&gt;=$A$84),gross.us.2009))</f>
        <v>0</v>
      </c>
      <c r="AA95" s="75">
        <f t="array" ref="AA95">SUM(IF(    (MONTH(date.2010)=MONTH($A95))*(gross.us.2010&gt;=$A$84),gross.us.2010))</f>
        <v>0</v>
      </c>
      <c r="AB95" s="76">
        <f t="shared" si="26"/>
        <v>4.2598596618534899E-2</v>
      </c>
      <c r="AC95" s="76">
        <f t="shared" si="18"/>
        <v>0</v>
      </c>
      <c r="AD95" s="76">
        <f t="shared" si="18"/>
        <v>0</v>
      </c>
      <c r="AE95" s="76">
        <f t="shared" si="18"/>
        <v>0</v>
      </c>
      <c r="AF95" s="76">
        <f t="shared" si="18"/>
        <v>0</v>
      </c>
      <c r="AG95" s="77">
        <f>SUM(AB$86:AB95)</f>
        <v>0.71007206195650385</v>
      </c>
      <c r="AH95" s="77">
        <f>SUM(AC$86:AC95)</f>
        <v>0.719336092820411</v>
      </c>
      <c r="AI95" s="77">
        <f>SUM(AD$86:AD95)</f>
        <v>0.71960295954953435</v>
      </c>
      <c r="AJ95" s="77">
        <f>SUM(AE$86:AE95)</f>
        <v>0.61756439376155381</v>
      </c>
      <c r="AK95" s="77">
        <f>SUM(AF$86:AF95)</f>
        <v>0.73894859974269456</v>
      </c>
      <c r="AL95" s="73">
        <f t="shared" si="19"/>
        <v>8.5197193237069799E-3</v>
      </c>
      <c r="AM95" s="80">
        <f t="shared" si="20"/>
        <v>1.9050671557027343E-2</v>
      </c>
      <c r="AN95" s="81"/>
      <c r="AO95" s="82">
        <f t="shared" si="27"/>
        <v>-2.9581623790347705E-2</v>
      </c>
      <c r="AP95" s="82">
        <f t="shared" si="28"/>
        <v>4.6621062437761665E-2</v>
      </c>
      <c r="AQ95"/>
      <c r="AR95"/>
      <c r="AS95"/>
      <c r="AT95"/>
      <c r="AU95"/>
      <c r="AV95"/>
      <c r="AW95"/>
      <c r="AX95"/>
    </row>
    <row r="96" spans="1:50" s="39" customFormat="1" x14ac:dyDescent="0.2">
      <c r="A96" s="47">
        <f t="shared" si="29"/>
        <v>40862</v>
      </c>
      <c r="B96" s="47"/>
      <c r="C96" s="40">
        <f t="array" ref="C96">COUNT(IF(    (MONTH(date.2006)=MONTH($A96))*(gross.us.2006&gt;=$A$84),gross.us.2006))</f>
        <v>3</v>
      </c>
      <c r="D96" s="40">
        <f t="array" ref="D96">COUNT(IF(    (MONTH(date.2007)=MONTH($A96))*(gross.us.2007&gt;=$A$84),gross.us.2007))</f>
        <v>3</v>
      </c>
      <c r="E96" s="40">
        <f t="array" ref="E96">COUNT(IF(    (MONTH(date.2008)=MONTH($A96))*(gross.us.2008&gt;=$A$84),gross.us.2008))</f>
        <v>4</v>
      </c>
      <c r="F96" s="40">
        <f t="array" ref="F96">COUNT(IF(    (MONTH(date.2009)=MONTH($A96))*(gross.us.2009&gt;=$A$84),gross.us.2009))</f>
        <v>4</v>
      </c>
      <c r="G96" s="40">
        <f t="array" ref="G96">COUNT(IF(    (MONTH(date.2010)=MONTH($A96))*(gross.us.2010&gt;=$A$84),gross.us.2010))</f>
        <v>3</v>
      </c>
      <c r="H96" s="62">
        <f t="shared" si="21"/>
        <v>0.1875</v>
      </c>
      <c r="I96" s="62">
        <f t="shared" si="17"/>
        <v>0.14285714285714285</v>
      </c>
      <c r="J96" s="62">
        <f t="shared" si="17"/>
        <v>0.2</v>
      </c>
      <c r="K96" s="62">
        <f t="shared" si="17"/>
        <v>0.17391304347826086</v>
      </c>
      <c r="L96" s="62">
        <f t="shared" si="17"/>
        <v>0.15789473684210525</v>
      </c>
      <c r="M96" s="53">
        <f>SUM(H$86:H96)</f>
        <v>0.875</v>
      </c>
      <c r="N96" s="53">
        <f>SUM(I$86:I96)</f>
        <v>0.80952380952380953</v>
      </c>
      <c r="O96" s="53">
        <f>SUM(J$86:J96)</f>
        <v>0.85000000000000009</v>
      </c>
      <c r="P96" s="53">
        <f>SUM(K$86:K96)</f>
        <v>0.86956521739130432</v>
      </c>
      <c r="Q96" s="53">
        <f>SUM(L$86:L96)</f>
        <v>0.84210526315789469</v>
      </c>
      <c r="R96" s="53">
        <f t="shared" si="22"/>
        <v>0.1724329846355018</v>
      </c>
      <c r="S96" s="53">
        <f t="shared" si="23"/>
        <v>2.2777384222509137E-2</v>
      </c>
      <c r="T96" s="64"/>
      <c r="U96" s="67">
        <f t="shared" si="24"/>
        <v>0.12687821619048353</v>
      </c>
      <c r="V96" s="68">
        <f t="shared" si="25"/>
        <v>0.21798775308052007</v>
      </c>
      <c r="W96" s="75">
        <f t="array" ref="W96">SUM(IF(    (MONTH(date.2006)=MONTH($A96))*(gross.us.2006&gt;=$A$84),gross.us.2006))</f>
        <v>493871275</v>
      </c>
      <c r="X96" s="75">
        <f t="array" ref="X96">SUM(IF(    (MONTH(date.2007)=MONTH($A96))*(gross.us.2007&gt;=$A$84),gross.us.2007))</f>
        <v>384502799</v>
      </c>
      <c r="Y96" s="75">
        <f t="array" ref="Y96">SUM(IF(    (MONTH(date.2008)=MONTH($A96))*(gross.us.2008&gt;=$A$84),gross.us.2008))</f>
        <v>683469159</v>
      </c>
      <c r="Z96" s="75">
        <f t="array" ref="Z96">SUM(IF(    (MONTH(date.2009)=MONTH($A96))*(gross.us.2009&gt;=$A$84),gross.us.2009))</f>
        <v>856551139</v>
      </c>
      <c r="AA96" s="75">
        <f t="array" ref="AA96">SUM(IF(    (MONTH(date.2010)=MONTH($A96))*(gross.us.2010&gt;=$A$84),gross.us.2010))</f>
        <v>632461258</v>
      </c>
      <c r="AB96" s="76">
        <f t="shared" si="26"/>
        <v>0.15781310788461955</v>
      </c>
      <c r="AC96" s="76">
        <f t="shared" si="18"/>
        <v>8.8334177303010714E-2</v>
      </c>
      <c r="AD96" s="76">
        <f t="shared" si="18"/>
        <v>0.17386857324441907</v>
      </c>
      <c r="AE96" s="76">
        <f t="shared" si="18"/>
        <v>0.16012872124611349</v>
      </c>
      <c r="AF96" s="76">
        <f t="shared" si="18"/>
        <v>0.1495951227150174</v>
      </c>
      <c r="AG96" s="77">
        <f>SUM(AB$86:AB96)</f>
        <v>0.86788516984112341</v>
      </c>
      <c r="AH96" s="77">
        <f>SUM(AC$86:AC96)</f>
        <v>0.80767027012342174</v>
      </c>
      <c r="AI96" s="77">
        <f>SUM(AD$86:AD96)</f>
        <v>0.89347153279395342</v>
      </c>
      <c r="AJ96" s="77">
        <f>SUM(AE$86:AE96)</f>
        <v>0.77769311500766736</v>
      </c>
      <c r="AK96" s="77">
        <f>SUM(AF$86:AF96)</f>
        <v>0.88854372245771196</v>
      </c>
      <c r="AL96" s="73">
        <f t="shared" si="19"/>
        <v>0.14594794047863605</v>
      </c>
      <c r="AM96" s="80">
        <f t="shared" si="20"/>
        <v>3.3369470029921897E-2</v>
      </c>
      <c r="AN96" s="81"/>
      <c r="AO96" s="83">
        <f t="shared" si="27"/>
        <v>7.9209000418792253E-2</v>
      </c>
      <c r="AP96" s="83">
        <f t="shared" si="28"/>
        <v>0.21268688053847984</v>
      </c>
      <c r="AQ96"/>
      <c r="AR96"/>
      <c r="AS96"/>
      <c r="AT96"/>
      <c r="AU96"/>
      <c r="AV96"/>
      <c r="AW96"/>
      <c r="AX96"/>
    </row>
    <row r="97" spans="1:50" s="39" customFormat="1" x14ac:dyDescent="0.2">
      <c r="A97" s="47">
        <f t="shared" si="29"/>
        <v>40892</v>
      </c>
      <c r="B97" s="47"/>
      <c r="C97" s="40">
        <f t="array" ref="C97">COUNT(IF(    (MONTH(date.2006)=MONTH($A97))*(gross.us.2006&gt;=$A$84),gross.us.2006))</f>
        <v>2</v>
      </c>
      <c r="D97" s="40">
        <f t="array" ref="D97">COUNT(IF(    (MONTH(date.2007)=MONTH($A97))*(gross.us.2007&gt;=$A$84),gross.us.2007))</f>
        <v>4</v>
      </c>
      <c r="E97" s="40">
        <f t="array" ref="E97">COUNT(IF(    (MONTH(date.2008)=MONTH($A97))*(gross.us.2008&gt;=$A$84),gross.us.2008))</f>
        <v>3</v>
      </c>
      <c r="F97" s="40">
        <f t="array" ref="F97">COUNT(IF(    (MONTH(date.2009)=MONTH($A97))*(gross.us.2009&gt;=$A$84),gross.us.2009))</f>
        <v>3</v>
      </c>
      <c r="G97" s="40">
        <f t="array" ref="G97">COUNT(IF(    (MONTH(date.2010)=MONTH($A97))*(gross.us.2010&gt;=$A$84),gross.us.2010))</f>
        <v>3</v>
      </c>
      <c r="H97" s="62">
        <f t="shared" si="21"/>
        <v>0.125</v>
      </c>
      <c r="I97" s="62">
        <f t="shared" si="17"/>
        <v>0.19047619047619047</v>
      </c>
      <c r="J97" s="62">
        <f t="shared" si="17"/>
        <v>0.15</v>
      </c>
      <c r="K97" s="62">
        <f t="shared" si="17"/>
        <v>0.13043478260869565</v>
      </c>
      <c r="L97" s="62">
        <f t="shared" si="17"/>
        <v>0.15789473684210525</v>
      </c>
      <c r="M97" s="53">
        <f>SUM(H$86:H97)</f>
        <v>1</v>
      </c>
      <c r="N97" s="53">
        <f>SUM(I$86:I97)</f>
        <v>1</v>
      </c>
      <c r="O97" s="53">
        <f>SUM(J$86:J97)</f>
        <v>1</v>
      </c>
      <c r="P97" s="53">
        <f>SUM(K$86:K97)</f>
        <v>1</v>
      </c>
      <c r="Q97" s="53">
        <f>SUM(L$86:L97)</f>
        <v>1</v>
      </c>
      <c r="R97" s="53">
        <f t="shared" si="22"/>
        <v>0.15076114198539831</v>
      </c>
      <c r="S97" s="53">
        <f t="shared" si="23"/>
        <v>2.6007450428820477E-2</v>
      </c>
      <c r="T97" s="64"/>
      <c r="U97" s="67">
        <f t="shared" si="24"/>
        <v>9.8746241127757345E-2</v>
      </c>
      <c r="V97" s="68">
        <f t="shared" si="25"/>
        <v>0.20277604284303927</v>
      </c>
      <c r="W97" s="75">
        <f t="array" ref="W97">SUM(IF(    (MONTH(date.2006)=MONTH($A97))*(gross.us.2006&gt;=$A$84),gross.us.2006))</f>
        <v>413449304</v>
      </c>
      <c r="X97" s="75">
        <f t="array" ref="X97">SUM(IF(    (MONTH(date.2007)=MONTH($A97))*(gross.us.2007&gt;=$A$84),gross.us.2007))</f>
        <v>837176750</v>
      </c>
      <c r="Y97" s="75">
        <f t="array" ref="Y97">SUM(IF(    (MONTH(date.2008)=MONTH($A97))*(gross.us.2008&gt;=$A$84),gross.us.2008))</f>
        <v>418758379</v>
      </c>
      <c r="Z97" s="75">
        <f t="array" ref="Z97">SUM(IF(    (MONTH(date.2009)=MONTH($A97))*(gross.us.2009&gt;=$A$84),gross.us.2009))</f>
        <v>1189150916</v>
      </c>
      <c r="AA97" s="75">
        <f t="array" ref="AA97">SUM(IF(    (MONTH(date.2010)=MONTH($A97))*(gross.us.2010&gt;=$A$84),gross.us.2010))</f>
        <v>471217084</v>
      </c>
      <c r="AB97" s="76">
        <f t="shared" si="26"/>
        <v>0.13211483015887665</v>
      </c>
      <c r="AC97" s="76">
        <f t="shared" si="18"/>
        <v>0.19232972987657829</v>
      </c>
      <c r="AD97" s="76">
        <f t="shared" si="18"/>
        <v>0.10652846720604653</v>
      </c>
      <c r="AE97" s="76">
        <f t="shared" si="18"/>
        <v>0.22230688499233264</v>
      </c>
      <c r="AF97" s="76">
        <f t="shared" si="18"/>
        <v>0.11145627754228807</v>
      </c>
      <c r="AG97" s="77">
        <f>SUM(AB$86:AB97)</f>
        <v>1</v>
      </c>
      <c r="AH97" s="77">
        <f>SUM(AC$86:AC97)</f>
        <v>1</v>
      </c>
      <c r="AI97" s="77">
        <f>SUM(AD$86:AD97)</f>
        <v>1</v>
      </c>
      <c r="AJ97" s="77">
        <f>SUM(AE$86:AE97)</f>
        <v>1</v>
      </c>
      <c r="AK97" s="77">
        <f>SUM(AF$86:AF97)</f>
        <v>1</v>
      </c>
      <c r="AL97" s="73">
        <f t="shared" si="19"/>
        <v>0.15294723795522444</v>
      </c>
      <c r="AM97" s="80">
        <f t="shared" si="20"/>
        <v>5.1652523160765393E-2</v>
      </c>
      <c r="AN97" s="81"/>
      <c r="AO97" s="83">
        <f t="shared" si="27"/>
        <v>4.9642191633693655E-2</v>
      </c>
      <c r="AP97" s="83">
        <f t="shared" si="28"/>
        <v>0.25625228427675523</v>
      </c>
      <c r="AQ97"/>
      <c r="AR97"/>
      <c r="AS97"/>
      <c r="AT97"/>
      <c r="AU97"/>
      <c r="AV97"/>
      <c r="AW97"/>
      <c r="AX97"/>
    </row>
    <row r="98" spans="1:50" s="39" customFormat="1" x14ac:dyDescent="0.2">
      <c r="A98"/>
      <c r="B98"/>
      <c r="C98" s="48">
        <f t="array" ref="C98">COUNT(IF(    (gross.us.2006&gt;=$A$84),gross.us.2006))</f>
        <v>16</v>
      </c>
      <c r="D98" s="48">
        <f t="array" ref="D98">COUNT(IF(    (gross.us.2007&gt;=$A$84),gross.us.2007))</f>
        <v>21</v>
      </c>
      <c r="E98" s="48">
        <f t="array" ref="E98">COUNT(IF(    (gross.us.2008&gt;=$A$84),gross.us.2008))</f>
        <v>20</v>
      </c>
      <c r="F98" s="48">
        <f t="array" ref="F98">COUNT(IF(    (gross.us.2009&gt;=$A$84),gross.us.2009))</f>
        <v>23</v>
      </c>
      <c r="G98" s="48">
        <f t="array" ref="G98">COUNT(IF(    (gross.us.2010&gt;=$A$84),gross.us.2010))</f>
        <v>19</v>
      </c>
      <c r="H98" s="58"/>
      <c r="I98" s="58"/>
      <c r="M98" s="41"/>
      <c r="N98" s="41"/>
      <c r="O98" s="36"/>
      <c r="P98" s="36"/>
      <c r="Q98" s="36"/>
      <c r="W98" s="45">
        <f t="array" ref="W98">SUM(IF(    (gross.us.2006&gt;=$A$84),gross.us.2006))</f>
        <v>3129469292</v>
      </c>
      <c r="X98" s="45">
        <f t="array" ref="X98">SUM(IF(    (gross.us.2007&gt;=$A$84),gross.us.2007))</f>
        <v>4352820287</v>
      </c>
      <c r="Y98" s="45">
        <f t="array" ref="Y98">SUM(IF(    (gross.us.2008&gt;=$A$84),gross.us.2008))</f>
        <v>3930952824</v>
      </c>
      <c r="Z98" s="45">
        <f t="array" ref="Z98">SUM(IF(    (gross.us.2009&gt;=$A$84),gross.us.2009))</f>
        <v>5349141193</v>
      </c>
      <c r="AA98" s="45">
        <f t="array" ref="AA98">SUM(IF(    (gross.us.2010&gt;=$A$84),gross.us.2010))</f>
        <v>4227820042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 spans="1:50" s="39" customFormat="1" x14ac:dyDescent="0.2">
      <c r="A99"/>
      <c r="B99"/>
      <c r="C99" s="56">
        <f t="shared" ref="C99:L99" si="30">SUM(C86:C97)</f>
        <v>16</v>
      </c>
      <c r="D99" s="56">
        <f t="shared" si="30"/>
        <v>21</v>
      </c>
      <c r="E99" s="56">
        <f t="shared" si="30"/>
        <v>20</v>
      </c>
      <c r="F99" s="56">
        <f t="shared" si="30"/>
        <v>23</v>
      </c>
      <c r="G99" s="56">
        <f t="shared" si="30"/>
        <v>19</v>
      </c>
      <c r="H99" s="56">
        <f t="shared" si="30"/>
        <v>1</v>
      </c>
      <c r="I99" s="56">
        <f t="shared" si="30"/>
        <v>1</v>
      </c>
      <c r="J99" s="56">
        <f t="shared" si="30"/>
        <v>1</v>
      </c>
      <c r="K99" s="56">
        <f t="shared" si="30"/>
        <v>1</v>
      </c>
      <c r="L99" s="56">
        <f t="shared" si="30"/>
        <v>1</v>
      </c>
      <c r="M99" s="41"/>
      <c r="N99" s="41"/>
      <c r="O99" s="36"/>
      <c r="P99" s="36"/>
      <c r="Q99" s="36"/>
      <c r="U99" s="54">
        <f>100/12</f>
        <v>8.3333333333333339</v>
      </c>
      <c r="W99" s="45">
        <f>SUM(W86:W97)</f>
        <v>3129469292</v>
      </c>
      <c r="X99" s="45">
        <f>SUM(X86:X97)</f>
        <v>4352820287</v>
      </c>
      <c r="Y99" s="45">
        <f>SUM(Y86:Y97)</f>
        <v>3930952824</v>
      </c>
      <c r="Z99" s="45">
        <f>SUM(Z86:Z97)</f>
        <v>5349141193</v>
      </c>
      <c r="AA99" s="45">
        <f>SUM(AA86:AA97)</f>
        <v>4227820042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 spans="1:50" s="39" customFormat="1" x14ac:dyDescent="0.2">
      <c r="A100"/>
      <c r="B100"/>
      <c r="C100" s="39" t="b">
        <f>C98=C99</f>
        <v>1</v>
      </c>
      <c r="D100" s="39" t="b">
        <f>D98=D99</f>
        <v>1</v>
      </c>
      <c r="E100" s="39" t="b">
        <f>E98=E99</f>
        <v>1</v>
      </c>
      <c r="F100" s="39" t="b">
        <f>F98=F99</f>
        <v>1</v>
      </c>
      <c r="G100" s="39" t="b">
        <f>G98=G99</f>
        <v>1</v>
      </c>
      <c r="I100"/>
      <c r="M100" s="41"/>
      <c r="N100" s="41"/>
      <c r="O100" s="36"/>
      <c r="P100" s="36"/>
      <c r="Q100" s="36"/>
      <c r="W100" s="39" t="b">
        <f>W98=W99</f>
        <v>1</v>
      </c>
      <c r="X100" s="39" t="b">
        <f>X98=X99</f>
        <v>1</v>
      </c>
      <c r="Y100" s="39" t="b">
        <f>Y98=Y99</f>
        <v>1</v>
      </c>
      <c r="Z100" s="39" t="b">
        <f>Z98=Z99</f>
        <v>1</v>
      </c>
      <c r="AA100" s="39" t="b">
        <f>AA98=AA99</f>
        <v>1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6" spans="1:50" x14ac:dyDescent="0.2">
      <c r="A106" s="36"/>
      <c r="B106" s="36"/>
      <c r="C106" s="52">
        <v>2006</v>
      </c>
      <c r="D106" s="52">
        <v>2007</v>
      </c>
      <c r="E106" s="57">
        <v>2008</v>
      </c>
      <c r="F106" s="57">
        <v>2009</v>
      </c>
      <c r="G106" s="42">
        <v>2010</v>
      </c>
      <c r="H106" s="52">
        <v>2006</v>
      </c>
      <c r="I106" s="52">
        <v>2007</v>
      </c>
      <c r="J106" s="57">
        <v>2008</v>
      </c>
      <c r="K106" s="57">
        <v>2009</v>
      </c>
      <c r="L106" s="42">
        <v>2010</v>
      </c>
      <c r="M106" s="52">
        <v>2006</v>
      </c>
      <c r="N106" s="52">
        <v>2007</v>
      </c>
      <c r="O106" s="57">
        <v>2008</v>
      </c>
      <c r="P106" s="57">
        <v>2009</v>
      </c>
      <c r="Q106" s="42">
        <v>2010</v>
      </c>
      <c r="R106" s="39" t="s">
        <v>5377</v>
      </c>
      <c r="S106" s="39" t="s">
        <v>5378</v>
      </c>
      <c r="U106" s="39" t="s">
        <v>5379</v>
      </c>
      <c r="V106" s="39" t="s">
        <v>5380</v>
      </c>
    </row>
    <row r="107" spans="1:50" x14ac:dyDescent="0.2">
      <c r="A107" s="47">
        <v>40558</v>
      </c>
      <c r="B107" s="47"/>
      <c r="C107" s="40">
        <f t="array" ref="C107">COUNT(IF(    (MONTH(date.2006)=MONTH($A107))*(gross.us.2006&gt;=0),gross.us.2006))</f>
        <v>32</v>
      </c>
      <c r="D107" s="40">
        <f t="array" ref="D107">COUNT(IF(    (MONTH(date.2007)=MONTH($A107))*(gross.us.2007&gt;=0),gross.us.2007))</f>
        <v>31</v>
      </c>
      <c r="E107" s="40">
        <f t="array" ref="E107">COUNT(IF(    (MONTH(date.2008)=MONTH($A107))*(gross.us.2008&gt;=0),gross.us.2008))</f>
        <v>40</v>
      </c>
      <c r="F107" s="40">
        <f t="array" ref="F107">COUNT(IF(    (MONTH(date.2009)=MONTH($A107))*(gross.us.2009&gt;=0),gross.us.2009))</f>
        <v>37</v>
      </c>
      <c r="G107" s="40">
        <f t="array" ref="G107">COUNT(IF(    (MONTH(date.2010)=MONTH($A107))*(gross.us.2010&gt;=0),gross.us.2010))</f>
        <v>44</v>
      </c>
      <c r="H107" s="62">
        <f>C107/C$82</f>
        <v>5.2545155993431854E-2</v>
      </c>
      <c r="I107" s="62">
        <f t="shared" ref="I107:I118" si="31">D107/D$82</f>
        <v>4.8742138364779877E-2</v>
      </c>
      <c r="J107" s="62">
        <f t="shared" ref="J107:J118" si="32">E107/E$82</f>
        <v>6.4516129032258063E-2</v>
      </c>
      <c r="K107" s="62">
        <f t="shared" ref="K107:K118" si="33">F107/F$82</f>
        <v>6.7150635208711437E-2</v>
      </c>
      <c r="L107" s="62">
        <f t="shared" ref="L107:L118" si="34">G107/G$82</f>
        <v>8.3018867924528297E-2</v>
      </c>
      <c r="M107" s="53"/>
      <c r="N107" s="53"/>
      <c r="O107" s="53"/>
      <c r="P107" s="53"/>
      <c r="Q107" s="53"/>
      <c r="R107" s="53">
        <f>AVERAGE(H107:L107)</f>
        <v>6.3194585304741896E-2</v>
      </c>
      <c r="S107" s="53">
        <f>STDEV(H107:L107)</f>
        <v>1.3534054799510455E-2</v>
      </c>
      <c r="U107" s="65">
        <f>R107-2*S107</f>
        <v>3.6126475705720987E-2</v>
      </c>
      <c r="V107" s="66">
        <f>R107+2*S107</f>
        <v>9.0262694903762805E-2</v>
      </c>
    </row>
    <row r="108" spans="1:50" x14ac:dyDescent="0.2">
      <c r="A108" s="47">
        <f>DATE(YEAR(A107),MONTH(A107)+1,15)</f>
        <v>40589</v>
      </c>
      <c r="B108" s="47"/>
      <c r="C108" s="40">
        <f t="array" ref="C108">COUNT(IF(    (MONTH(date.2006)=MONTH($A108))*(gross.us.2006&gt;=0),gross.us.2006))</f>
        <v>43</v>
      </c>
      <c r="D108" s="40">
        <f t="array" ref="D108">COUNT(IF(    (MONTH(date.2007)=MONTH($A108))*(gross.us.2007&gt;=0),gross.us.2007))</f>
        <v>40</v>
      </c>
      <c r="E108" s="40">
        <f t="array" ref="E108">COUNT(IF(    (MONTH(date.2008)=MONTH($A108))*(gross.us.2008&gt;=0),gross.us.2008))</f>
        <v>56</v>
      </c>
      <c r="F108" s="40">
        <f t="array" ref="F108">COUNT(IF(    (MONTH(date.2009)=MONTH($A108))*(gross.us.2009&gt;=0),gross.us.2009))</f>
        <v>36</v>
      </c>
      <c r="G108" s="40">
        <f t="array" ref="G108">COUNT(IF(    (MONTH(date.2010)=MONTH($A108))*(gross.us.2010&gt;=0),gross.us.2010))</f>
        <v>44</v>
      </c>
      <c r="H108" s="62">
        <f t="shared" ref="H108:H118" si="35">C108/C$82</f>
        <v>7.0607553366174053E-2</v>
      </c>
      <c r="I108" s="62">
        <f t="shared" si="31"/>
        <v>6.2893081761006289E-2</v>
      </c>
      <c r="J108" s="62">
        <f t="shared" si="32"/>
        <v>9.0322580645161285E-2</v>
      </c>
      <c r="K108" s="62">
        <f t="shared" si="33"/>
        <v>6.5335753176043551E-2</v>
      </c>
      <c r="L108" s="62">
        <f t="shared" si="34"/>
        <v>8.3018867924528297E-2</v>
      </c>
      <c r="M108" s="53"/>
      <c r="N108" s="53"/>
      <c r="O108" s="53"/>
      <c r="P108" s="53"/>
      <c r="Q108" s="53"/>
      <c r="R108" s="53">
        <f t="shared" ref="R108:R118" si="36">AVERAGE(H108:L108)</f>
        <v>7.4435567374582706E-2</v>
      </c>
      <c r="S108" s="53">
        <f t="shared" ref="S108:S118" si="37">STDEV(H108:L108)</f>
        <v>1.1797876109986444E-2</v>
      </c>
      <c r="U108" s="65">
        <f t="shared" ref="U108:U118" si="38">R108-2*S108</f>
        <v>5.0839815154609821E-2</v>
      </c>
      <c r="V108" s="66">
        <f t="shared" ref="V108:V118" si="39">R108+2*S108</f>
        <v>9.8031319594555591E-2</v>
      </c>
    </row>
    <row r="109" spans="1:50" x14ac:dyDescent="0.2">
      <c r="A109" s="47">
        <f t="shared" ref="A109:A118" si="40">DATE(YEAR(A108),MONTH(A108)+1,15)</f>
        <v>40617</v>
      </c>
      <c r="B109" s="47"/>
      <c r="C109" s="40">
        <f t="array" ref="C109">COUNT(IF(    (MONTH(date.2006)=MONTH($A109))*(gross.us.2006&gt;=0),gross.us.2006))</f>
        <v>62</v>
      </c>
      <c r="D109" s="40">
        <f t="array" ref="D109">COUNT(IF(    (MONTH(date.2007)=MONTH($A109))*(gross.us.2007&gt;=0),gross.us.2007))</f>
        <v>62</v>
      </c>
      <c r="E109" s="40">
        <f t="array" ref="E109">COUNT(IF(    (MONTH(date.2008)=MONTH($A109))*(gross.us.2008&gt;=0),gross.us.2008))</f>
        <v>56</v>
      </c>
      <c r="F109" s="40">
        <f t="array" ref="F109">COUNT(IF(    (MONTH(date.2009)=MONTH($A109))*(gross.us.2009&gt;=0),gross.us.2009))</f>
        <v>51</v>
      </c>
      <c r="G109" s="40">
        <f t="array" ref="G109">COUNT(IF(    (MONTH(date.2010)=MONTH($A109))*(gross.us.2010&gt;=0),gross.us.2010))</f>
        <v>44</v>
      </c>
      <c r="H109" s="62">
        <f t="shared" si="35"/>
        <v>0.10180623973727422</v>
      </c>
      <c r="I109" s="62">
        <f t="shared" si="31"/>
        <v>9.7484276729559755E-2</v>
      </c>
      <c r="J109" s="62">
        <f t="shared" si="32"/>
        <v>9.0322580645161285E-2</v>
      </c>
      <c r="K109" s="62">
        <f t="shared" si="33"/>
        <v>9.2558983666061703E-2</v>
      </c>
      <c r="L109" s="62">
        <f t="shared" si="34"/>
        <v>8.3018867924528297E-2</v>
      </c>
      <c r="M109" s="53"/>
      <c r="N109" s="53"/>
      <c r="O109" s="53"/>
      <c r="P109" s="53"/>
      <c r="Q109" s="53"/>
      <c r="R109" s="53">
        <f t="shared" si="36"/>
        <v>9.3038189740517058E-2</v>
      </c>
      <c r="S109" s="53">
        <f t="shared" si="37"/>
        <v>7.1525759543798317E-3</v>
      </c>
      <c r="U109" s="65">
        <f t="shared" si="38"/>
        <v>7.8733037831757391E-2</v>
      </c>
      <c r="V109" s="66">
        <f t="shared" si="39"/>
        <v>0.10734334164927672</v>
      </c>
    </row>
    <row r="110" spans="1:50" x14ac:dyDescent="0.2">
      <c r="A110" s="47">
        <f t="shared" si="40"/>
        <v>40648</v>
      </c>
      <c r="B110" s="47"/>
      <c r="C110" s="40">
        <f t="array" ref="C110">COUNT(IF(    (MONTH(date.2006)=MONTH($A110))*(gross.us.2006&gt;=0),gross.us.2006))</f>
        <v>61</v>
      </c>
      <c r="D110" s="40">
        <f t="array" ref="D110">COUNT(IF(    (MONTH(date.2007)=MONTH($A110))*(gross.us.2007&gt;=0),gross.us.2007))</f>
        <v>56</v>
      </c>
      <c r="E110" s="40">
        <f t="array" ref="E110">COUNT(IF(    (MONTH(date.2008)=MONTH($A110))*(gross.us.2008&gt;=0),gross.us.2008))</f>
        <v>54</v>
      </c>
      <c r="F110" s="40">
        <f t="array" ref="F110">COUNT(IF(    (MONTH(date.2009)=MONTH($A110))*(gross.us.2009&gt;=0),gross.us.2009))</f>
        <v>44</v>
      </c>
      <c r="G110" s="40">
        <f t="array" ref="G110">COUNT(IF(    (MONTH(date.2010)=MONTH($A110))*(gross.us.2010&gt;=0),gross.us.2010))</f>
        <v>55</v>
      </c>
      <c r="H110" s="62">
        <f t="shared" si="35"/>
        <v>0.10016420361247948</v>
      </c>
      <c r="I110" s="62">
        <f t="shared" si="31"/>
        <v>8.8050314465408799E-2</v>
      </c>
      <c r="J110" s="62">
        <f t="shared" si="32"/>
        <v>8.7096774193548387E-2</v>
      </c>
      <c r="K110" s="62">
        <f t="shared" si="33"/>
        <v>7.985480943738657E-2</v>
      </c>
      <c r="L110" s="62">
        <f t="shared" si="34"/>
        <v>0.10377358490566038</v>
      </c>
      <c r="M110" s="53"/>
      <c r="N110" s="53"/>
      <c r="O110" s="53"/>
      <c r="P110" s="53"/>
      <c r="Q110" s="53"/>
      <c r="R110" s="53">
        <f t="shared" si="36"/>
        <v>9.1787937322896723E-2</v>
      </c>
      <c r="S110" s="53">
        <f t="shared" si="37"/>
        <v>9.901943776288601E-3</v>
      </c>
      <c r="U110" s="65">
        <f t="shared" si="38"/>
        <v>7.1984049770319525E-2</v>
      </c>
      <c r="V110" s="66">
        <f t="shared" si="39"/>
        <v>0.11159182487547392</v>
      </c>
    </row>
    <row r="111" spans="1:50" x14ac:dyDescent="0.2">
      <c r="A111" s="47">
        <f t="shared" si="40"/>
        <v>40678</v>
      </c>
      <c r="B111" s="47"/>
      <c r="C111" s="40">
        <f t="array" ref="C111">COUNT(IF(    (MONTH(date.2006)=MONTH($A111))*(gross.us.2006&gt;=0),gross.us.2006))</f>
        <v>40</v>
      </c>
      <c r="D111" s="40">
        <f t="array" ref="D111">COUNT(IF(    (MONTH(date.2007)=MONTH($A111))*(gross.us.2007&gt;=0),gross.us.2007))</f>
        <v>54</v>
      </c>
      <c r="E111" s="40">
        <f t="array" ref="E111">COUNT(IF(    (MONTH(date.2008)=MONTH($A111))*(gross.us.2008&gt;=0),gross.us.2008))</f>
        <v>51</v>
      </c>
      <c r="F111" s="40">
        <f t="array" ref="F111">COUNT(IF(    (MONTH(date.2009)=MONTH($A111))*(gross.us.2009&gt;=0),gross.us.2009))</f>
        <v>44</v>
      </c>
      <c r="G111" s="40">
        <f t="array" ref="G111">COUNT(IF(    (MONTH(date.2010)=MONTH($A111))*(gross.us.2010&gt;=0),gross.us.2010))</f>
        <v>38</v>
      </c>
      <c r="H111" s="62">
        <f t="shared" si="35"/>
        <v>6.5681444991789822E-2</v>
      </c>
      <c r="I111" s="62">
        <f t="shared" si="31"/>
        <v>8.4905660377358486E-2</v>
      </c>
      <c r="J111" s="62">
        <f t="shared" si="32"/>
        <v>8.2258064516129034E-2</v>
      </c>
      <c r="K111" s="62">
        <f t="shared" si="33"/>
        <v>7.985480943738657E-2</v>
      </c>
      <c r="L111" s="62">
        <f t="shared" si="34"/>
        <v>7.1698113207547168E-2</v>
      </c>
      <c r="M111" s="53"/>
      <c r="N111" s="53"/>
      <c r="O111" s="53"/>
      <c r="P111" s="53"/>
      <c r="Q111" s="53"/>
      <c r="R111" s="53">
        <f t="shared" si="36"/>
        <v>7.6879618506042219E-2</v>
      </c>
      <c r="S111" s="53">
        <f t="shared" si="37"/>
        <v>7.9756485299806584E-3</v>
      </c>
      <c r="U111" s="65">
        <f t="shared" si="38"/>
        <v>6.0928321446080902E-2</v>
      </c>
      <c r="V111" s="66">
        <f t="shared" si="39"/>
        <v>9.2830915566003536E-2</v>
      </c>
    </row>
    <row r="112" spans="1:50" x14ac:dyDescent="0.2">
      <c r="A112" s="47">
        <f t="shared" si="40"/>
        <v>40709</v>
      </c>
      <c r="B112" s="47"/>
      <c r="C112" s="40">
        <f t="array" ref="C112">COUNT(IF(    (MONTH(date.2006)=MONTH($A112))*(gross.us.2006&gt;=0),gross.us.2006))</f>
        <v>53</v>
      </c>
      <c r="D112" s="40">
        <f t="array" ref="D112">COUNT(IF(    (MONTH(date.2007)=MONTH($A112))*(gross.us.2007&gt;=0),gross.us.2007))</f>
        <v>58</v>
      </c>
      <c r="E112" s="40">
        <f t="array" ref="E112">COUNT(IF(    (MONTH(date.2008)=MONTH($A112))*(gross.us.2008&gt;=0),gross.us.2008))</f>
        <v>47</v>
      </c>
      <c r="F112" s="40">
        <f t="array" ref="F112">COUNT(IF(    (MONTH(date.2009)=MONTH($A112))*(gross.us.2009&gt;=0),gross.us.2009))</f>
        <v>44</v>
      </c>
      <c r="G112" s="40">
        <f t="array" ref="G112">COUNT(IF(    (MONTH(date.2010)=MONTH($A112))*(gross.us.2010&gt;=0),gross.us.2010))</f>
        <v>45</v>
      </c>
      <c r="H112" s="62">
        <f t="shared" si="35"/>
        <v>8.7027914614121515E-2</v>
      </c>
      <c r="I112" s="62">
        <f t="shared" si="31"/>
        <v>9.1194968553459113E-2</v>
      </c>
      <c r="J112" s="62">
        <f t="shared" si="32"/>
        <v>7.5806451612903225E-2</v>
      </c>
      <c r="K112" s="62">
        <f t="shared" si="33"/>
        <v>7.985480943738657E-2</v>
      </c>
      <c r="L112" s="62">
        <f t="shared" si="34"/>
        <v>8.4905660377358486E-2</v>
      </c>
      <c r="M112" s="53"/>
      <c r="N112" s="53"/>
      <c r="O112" s="53"/>
      <c r="P112" s="53"/>
      <c r="Q112" s="53"/>
      <c r="R112" s="53">
        <f t="shared" si="36"/>
        <v>8.3757960919045776E-2</v>
      </c>
      <c r="S112" s="53">
        <f t="shared" si="37"/>
        <v>6.0369691382208312E-3</v>
      </c>
      <c r="U112" s="65">
        <f t="shared" si="38"/>
        <v>7.1684022642604109E-2</v>
      </c>
      <c r="V112" s="66">
        <f t="shared" si="39"/>
        <v>9.5831899195487444E-2</v>
      </c>
    </row>
    <row r="113" spans="1:22" x14ac:dyDescent="0.2">
      <c r="A113" s="47">
        <f t="shared" si="40"/>
        <v>40739</v>
      </c>
      <c r="B113" s="47"/>
      <c r="C113" s="40">
        <f t="array" ref="C113">COUNT(IF(    (MONTH(date.2006)=MONTH($A113))*(gross.us.2006&gt;=0),gross.us.2006))</f>
        <v>43</v>
      </c>
      <c r="D113" s="40">
        <f t="array" ref="D113">COUNT(IF(    (MONTH(date.2007)=MONTH($A113))*(gross.us.2007&gt;=0),gross.us.2007))</f>
        <v>43</v>
      </c>
      <c r="E113" s="40">
        <f t="array" ref="E113">COUNT(IF(    (MONTH(date.2008)=MONTH($A113))*(gross.us.2008&gt;=0),gross.us.2008))</f>
        <v>49</v>
      </c>
      <c r="F113" s="40">
        <f t="array" ref="F113">COUNT(IF(    (MONTH(date.2009)=MONTH($A113))*(gross.us.2009&gt;=0),gross.us.2009))</f>
        <v>51</v>
      </c>
      <c r="G113" s="40">
        <f t="array" ref="G113">COUNT(IF(    (MONTH(date.2010)=MONTH($A113))*(gross.us.2010&gt;=0),gross.us.2010))</f>
        <v>39</v>
      </c>
      <c r="H113" s="62">
        <f t="shared" si="35"/>
        <v>7.0607553366174053E-2</v>
      </c>
      <c r="I113" s="62">
        <f t="shared" si="31"/>
        <v>6.761006289308176E-2</v>
      </c>
      <c r="J113" s="62">
        <f t="shared" si="32"/>
        <v>7.9032258064516123E-2</v>
      </c>
      <c r="K113" s="62">
        <f t="shared" si="33"/>
        <v>9.2558983666061703E-2</v>
      </c>
      <c r="L113" s="62">
        <f t="shared" si="34"/>
        <v>7.3584905660377356E-2</v>
      </c>
      <c r="M113" s="53"/>
      <c r="N113" s="53"/>
      <c r="O113" s="53"/>
      <c r="P113" s="53"/>
      <c r="Q113" s="53"/>
      <c r="R113" s="53">
        <f t="shared" si="36"/>
        <v>7.6678752730042196E-2</v>
      </c>
      <c r="S113" s="53">
        <f t="shared" si="37"/>
        <v>9.8284435276650324E-3</v>
      </c>
      <c r="U113" s="65">
        <f t="shared" si="38"/>
        <v>5.7021865674712131E-2</v>
      </c>
      <c r="V113" s="66">
        <f t="shared" si="39"/>
        <v>9.6335639785372268E-2</v>
      </c>
    </row>
    <row r="114" spans="1:22" x14ac:dyDescent="0.2">
      <c r="A114" s="47">
        <f t="shared" si="40"/>
        <v>40770</v>
      </c>
      <c r="B114" s="47"/>
      <c r="C114" s="40">
        <f t="array" ref="C114">COUNT(IF(    (MONTH(date.2006)=MONTH($A114))*(gross.us.2006&gt;=0),gross.us.2006))</f>
        <v>51</v>
      </c>
      <c r="D114" s="40">
        <f t="array" ref="D114">COUNT(IF(    (MONTH(date.2007)=MONTH($A114))*(gross.us.2007&gt;=0),gross.us.2007))</f>
        <v>67</v>
      </c>
      <c r="E114" s="40">
        <f t="array" ref="E114">COUNT(IF(    (MONTH(date.2008)=MONTH($A114))*(gross.us.2008&gt;=0),gross.us.2008))</f>
        <v>55</v>
      </c>
      <c r="F114" s="40">
        <f t="array" ref="F114">COUNT(IF(    (MONTH(date.2009)=MONTH($A114))*(gross.us.2009&gt;=0),gross.us.2009))</f>
        <v>50</v>
      </c>
      <c r="G114" s="40">
        <f t="array" ref="G114">COUNT(IF(    (MONTH(date.2010)=MONTH($A114))*(gross.us.2010&gt;=0),gross.us.2010))</f>
        <v>41</v>
      </c>
      <c r="H114" s="62">
        <f t="shared" si="35"/>
        <v>8.3743842364532015E-2</v>
      </c>
      <c r="I114" s="62">
        <f t="shared" si="31"/>
        <v>0.10534591194968554</v>
      </c>
      <c r="J114" s="62">
        <f t="shared" si="32"/>
        <v>8.8709677419354843E-2</v>
      </c>
      <c r="K114" s="62">
        <f t="shared" si="33"/>
        <v>9.0744101633393831E-2</v>
      </c>
      <c r="L114" s="62">
        <f t="shared" si="34"/>
        <v>7.7358490566037733E-2</v>
      </c>
      <c r="M114" s="53"/>
      <c r="N114" s="53"/>
      <c r="O114" s="53"/>
      <c r="P114" s="53"/>
      <c r="Q114" s="53"/>
      <c r="R114" s="53">
        <f t="shared" si="36"/>
        <v>8.9180404786600789E-2</v>
      </c>
      <c r="S114" s="53">
        <f t="shared" si="37"/>
        <v>1.0407980360402413E-2</v>
      </c>
      <c r="U114" s="65">
        <f t="shared" si="38"/>
        <v>6.8364444065795962E-2</v>
      </c>
      <c r="V114" s="66">
        <f t="shared" si="39"/>
        <v>0.10999636550740562</v>
      </c>
    </row>
    <row r="115" spans="1:22" x14ac:dyDescent="0.2">
      <c r="A115" s="47">
        <f t="shared" si="40"/>
        <v>40801</v>
      </c>
      <c r="B115" s="47"/>
      <c r="C115" s="40">
        <f t="array" ref="C115">COUNT(IF(    (MONTH(date.2006)=MONTH($A115))*(gross.us.2006&gt;=0),gross.us.2006))</f>
        <v>64</v>
      </c>
      <c r="D115" s="40">
        <f t="array" ref="D115">COUNT(IF(    (MONTH(date.2007)=MONTH($A115))*(gross.us.2007&gt;=0),gross.us.2007))</f>
        <v>54</v>
      </c>
      <c r="E115" s="40">
        <f t="array" ref="E115">COUNT(IF(    (MONTH(date.2008)=MONTH($A115))*(gross.us.2008&gt;=0),gross.us.2008))</f>
        <v>48</v>
      </c>
      <c r="F115" s="40">
        <f t="array" ref="F115">COUNT(IF(    (MONTH(date.2009)=MONTH($A115))*(gross.us.2009&gt;=0),gross.us.2009))</f>
        <v>51</v>
      </c>
      <c r="G115" s="40">
        <f t="array" ref="G115">COUNT(IF(    (MONTH(date.2010)=MONTH($A115))*(gross.us.2010&gt;=0),gross.us.2010))</f>
        <v>58</v>
      </c>
      <c r="H115" s="62">
        <f t="shared" si="35"/>
        <v>0.10509031198686371</v>
      </c>
      <c r="I115" s="62">
        <f t="shared" si="31"/>
        <v>8.4905660377358486E-2</v>
      </c>
      <c r="J115" s="62">
        <f t="shared" si="32"/>
        <v>7.7419354838709681E-2</v>
      </c>
      <c r="K115" s="62">
        <f t="shared" si="33"/>
        <v>9.2558983666061703E-2</v>
      </c>
      <c r="L115" s="62">
        <f t="shared" si="34"/>
        <v>0.10943396226415095</v>
      </c>
      <c r="M115" s="53"/>
      <c r="N115" s="53"/>
      <c r="O115" s="53"/>
      <c r="P115" s="53"/>
      <c r="Q115" s="53"/>
      <c r="R115" s="53">
        <f t="shared" si="36"/>
        <v>9.3881654626628896E-2</v>
      </c>
      <c r="S115" s="53">
        <f t="shared" si="37"/>
        <v>1.3424171466160126E-2</v>
      </c>
      <c r="U115" s="65">
        <f t="shared" si="38"/>
        <v>6.703331169430865E-2</v>
      </c>
      <c r="V115" s="66">
        <f t="shared" si="39"/>
        <v>0.12072999755894914</v>
      </c>
    </row>
    <row r="116" spans="1:22" x14ac:dyDescent="0.2">
      <c r="A116" s="47">
        <f t="shared" si="40"/>
        <v>40831</v>
      </c>
      <c r="B116" s="47"/>
      <c r="C116" s="40">
        <f t="array" ref="C116">COUNT(IF(    (MONTH(date.2006)=MONTH($A116))*(gross.us.2006&gt;=0),gross.us.2006))</f>
        <v>59</v>
      </c>
      <c r="D116" s="40">
        <f t="array" ref="D116">COUNT(IF(    (MONTH(date.2007)=MONTH($A116))*(gross.us.2007&gt;=0),gross.us.2007))</f>
        <v>60</v>
      </c>
      <c r="E116" s="40">
        <f t="array" ref="E116">COUNT(IF(    (MONTH(date.2008)=MONTH($A116))*(gross.us.2008&gt;=0),gross.us.2008))</f>
        <v>78</v>
      </c>
      <c r="F116" s="40">
        <f t="array" ref="F116">COUNT(IF(    (MONTH(date.2009)=MONTH($A116))*(gross.us.2009&gt;=0),gross.us.2009))</f>
        <v>62</v>
      </c>
      <c r="G116" s="40">
        <f t="array" ref="G116">COUNT(IF(    (MONTH(date.2010)=MONTH($A116))*(gross.us.2010&gt;=0),gross.us.2010))</f>
        <v>51</v>
      </c>
      <c r="H116" s="62">
        <f t="shared" si="35"/>
        <v>9.688013136288999E-2</v>
      </c>
      <c r="I116" s="62">
        <f t="shared" si="31"/>
        <v>9.4339622641509441E-2</v>
      </c>
      <c r="J116" s="62">
        <f t="shared" si="32"/>
        <v>0.12580645161290321</v>
      </c>
      <c r="K116" s="62">
        <f t="shared" si="33"/>
        <v>0.11252268602540835</v>
      </c>
      <c r="L116" s="62">
        <f t="shared" si="34"/>
        <v>9.6226415094339629E-2</v>
      </c>
      <c r="M116" s="53"/>
      <c r="N116" s="53"/>
      <c r="O116" s="53"/>
      <c r="P116" s="53"/>
      <c r="Q116" s="53"/>
      <c r="R116" s="53">
        <f t="shared" si="36"/>
        <v>0.10515506134741012</v>
      </c>
      <c r="S116" s="53">
        <f t="shared" si="37"/>
        <v>1.3655866119142858E-2</v>
      </c>
      <c r="U116" s="65">
        <f t="shared" si="38"/>
        <v>7.7843329109124407E-2</v>
      </c>
      <c r="V116" s="66">
        <f t="shared" si="39"/>
        <v>0.13246679358569585</v>
      </c>
    </row>
    <row r="117" spans="1:22" x14ac:dyDescent="0.2">
      <c r="A117" s="47">
        <f t="shared" si="40"/>
        <v>40862</v>
      </c>
      <c r="B117" s="47"/>
      <c r="C117" s="40">
        <f t="array" ref="C117">COUNT(IF(    (MONTH(date.2006)=MONTH($A117))*(gross.us.2006&gt;=0),gross.us.2006))</f>
        <v>48</v>
      </c>
      <c r="D117" s="40">
        <f t="array" ref="D117">COUNT(IF(    (MONTH(date.2007)=MONTH($A117))*(gross.us.2007&gt;=0),gross.us.2007))</f>
        <v>63</v>
      </c>
      <c r="E117" s="40">
        <f t="array" ref="E117">COUNT(IF(    (MONTH(date.2008)=MONTH($A117))*(gross.us.2008&gt;=0),gross.us.2008))</f>
        <v>45</v>
      </c>
      <c r="F117" s="40">
        <f t="array" ref="F117">COUNT(IF(    (MONTH(date.2009)=MONTH($A117))*(gross.us.2009&gt;=0),gross.us.2009))</f>
        <v>48</v>
      </c>
      <c r="G117" s="40">
        <f t="array" ref="G117">COUNT(IF(    (MONTH(date.2010)=MONTH($A117))*(gross.us.2010&gt;=0),gross.us.2010))</f>
        <v>32</v>
      </c>
      <c r="H117" s="62">
        <f t="shared" si="35"/>
        <v>7.8817733990147784E-2</v>
      </c>
      <c r="I117" s="62">
        <f t="shared" si="31"/>
        <v>9.9056603773584911E-2</v>
      </c>
      <c r="J117" s="62">
        <f t="shared" si="32"/>
        <v>7.2580645161290328E-2</v>
      </c>
      <c r="K117" s="62">
        <f t="shared" si="33"/>
        <v>8.7114337568058073E-2</v>
      </c>
      <c r="L117" s="62">
        <f t="shared" si="34"/>
        <v>6.0377358490566038E-2</v>
      </c>
      <c r="M117" s="53"/>
      <c r="N117" s="53"/>
      <c r="O117" s="53"/>
      <c r="P117" s="53"/>
      <c r="Q117" s="53"/>
      <c r="R117" s="53">
        <f t="shared" si="36"/>
        <v>7.9589335796729416E-2</v>
      </c>
      <c r="S117" s="53">
        <f t="shared" si="37"/>
        <v>1.4615209200734641E-2</v>
      </c>
      <c r="U117" s="65">
        <f t="shared" si="38"/>
        <v>5.0358917395260133E-2</v>
      </c>
      <c r="V117" s="66">
        <f t="shared" si="39"/>
        <v>0.1088197541981987</v>
      </c>
    </row>
    <row r="118" spans="1:22" x14ac:dyDescent="0.2">
      <c r="A118" s="47">
        <f t="shared" si="40"/>
        <v>40892</v>
      </c>
      <c r="B118" s="47"/>
      <c r="C118" s="40">
        <f t="array" ref="C118">COUNT(IF(    (MONTH(date.2006)=MONTH($A118))*(gross.us.2006&gt;=0),gross.us.2006))</f>
        <v>53</v>
      </c>
      <c r="D118" s="40">
        <f t="array" ref="D118">COUNT(IF(    (MONTH(date.2007)=MONTH($A118))*(gross.us.2007&gt;=0),gross.us.2007))</f>
        <v>48</v>
      </c>
      <c r="E118" s="40">
        <f t="array" ref="E118">COUNT(IF(    (MONTH(date.2008)=MONTH($A118))*(gross.us.2008&gt;=0),gross.us.2008))</f>
        <v>41</v>
      </c>
      <c r="F118" s="40">
        <f t="array" ref="F118">COUNT(IF(    (MONTH(date.2009)=MONTH($A118))*(gross.us.2009&gt;=0),gross.us.2009))</f>
        <v>33</v>
      </c>
      <c r="G118" s="40">
        <f t="array" ref="G118">COUNT(IF(    (MONTH(date.2010)=MONTH($A118))*(gross.us.2010&gt;=0),gross.us.2010))</f>
        <v>39</v>
      </c>
      <c r="H118" s="62">
        <f t="shared" si="35"/>
        <v>8.7027914614121515E-2</v>
      </c>
      <c r="I118" s="62">
        <f t="shared" si="31"/>
        <v>7.5471698113207544E-2</v>
      </c>
      <c r="J118" s="62">
        <f t="shared" si="32"/>
        <v>6.6129032258064518E-2</v>
      </c>
      <c r="K118" s="62">
        <f t="shared" si="33"/>
        <v>5.9891107078039928E-2</v>
      </c>
      <c r="L118" s="62">
        <f t="shared" si="34"/>
        <v>7.3584905660377356E-2</v>
      </c>
      <c r="M118" s="53"/>
      <c r="N118" s="53"/>
      <c r="O118" s="53"/>
      <c r="P118" s="53"/>
      <c r="Q118" s="53"/>
      <c r="R118" s="53">
        <f t="shared" si="36"/>
        <v>7.2420931544762174E-2</v>
      </c>
      <c r="S118" s="53">
        <f t="shared" si="37"/>
        <v>1.0254394967358301E-2</v>
      </c>
      <c r="U118" s="65">
        <f t="shared" si="38"/>
        <v>5.1912141610045572E-2</v>
      </c>
      <c r="V118" s="66">
        <f t="shared" si="39"/>
        <v>9.2929721479478783E-2</v>
      </c>
    </row>
  </sheetData>
  <mergeCells count="8">
    <mergeCell ref="AG1:AK1"/>
    <mergeCell ref="C68:G68"/>
    <mergeCell ref="C1:G1"/>
    <mergeCell ref="H1:L1"/>
    <mergeCell ref="M1:Q1"/>
    <mergeCell ref="R1:V1"/>
    <mergeCell ref="W1:AA1"/>
    <mergeCell ref="AB1:AF1"/>
  </mergeCells>
  <conditionalFormatting sqref="M67">
    <cfRule type="cellIs" dxfId="25" priority="26" operator="equal">
      <formula>TRUE</formula>
    </cfRule>
  </conditionalFormatting>
  <conditionalFormatting sqref="N67">
    <cfRule type="cellIs" dxfId="24" priority="25" operator="equal">
      <formula>TRUE</formula>
    </cfRule>
  </conditionalFormatting>
  <conditionalFormatting sqref="O67">
    <cfRule type="cellIs" dxfId="23" priority="24" operator="equal">
      <formula>TRUE</formula>
    </cfRule>
  </conditionalFormatting>
  <conditionalFormatting sqref="P67">
    <cfRule type="cellIs" dxfId="22" priority="23" operator="equal">
      <formula>TRUE</formula>
    </cfRule>
  </conditionalFormatting>
  <conditionalFormatting sqref="Q67">
    <cfRule type="cellIs" dxfId="21" priority="22" operator="equal">
      <formula>TRUE</formula>
    </cfRule>
  </conditionalFormatting>
  <conditionalFormatting sqref="C67">
    <cfRule type="cellIs" dxfId="20" priority="21" operator="equal">
      <formula>TRUE</formula>
    </cfRule>
  </conditionalFormatting>
  <conditionalFormatting sqref="D67">
    <cfRule type="cellIs" dxfId="19" priority="20" operator="equal">
      <formula>TRUE</formula>
    </cfRule>
  </conditionalFormatting>
  <conditionalFormatting sqref="E67">
    <cfRule type="cellIs" dxfId="18" priority="19" operator="equal">
      <formula>TRUE</formula>
    </cfRule>
  </conditionalFormatting>
  <conditionalFormatting sqref="F67">
    <cfRule type="cellIs" dxfId="17" priority="18" operator="equal">
      <formula>TRUE</formula>
    </cfRule>
  </conditionalFormatting>
  <conditionalFormatting sqref="G67">
    <cfRule type="cellIs" dxfId="16" priority="17" operator="equal">
      <formula>TRUE</formula>
    </cfRule>
  </conditionalFormatting>
  <conditionalFormatting sqref="C100">
    <cfRule type="cellIs" dxfId="15" priority="16" operator="equal">
      <formula>TRUE</formula>
    </cfRule>
  </conditionalFormatting>
  <conditionalFormatting sqref="D100">
    <cfRule type="cellIs" dxfId="14" priority="15" operator="equal">
      <formula>TRUE</formula>
    </cfRule>
  </conditionalFormatting>
  <conditionalFormatting sqref="E100">
    <cfRule type="cellIs" dxfId="13" priority="14" operator="equal">
      <formula>TRUE</formula>
    </cfRule>
  </conditionalFormatting>
  <conditionalFormatting sqref="F100">
    <cfRule type="cellIs" dxfId="12" priority="13" operator="equal">
      <formula>TRUE</formula>
    </cfRule>
  </conditionalFormatting>
  <conditionalFormatting sqref="G100">
    <cfRule type="cellIs" dxfId="11" priority="12" operator="equal">
      <formula>TRUE</formula>
    </cfRule>
  </conditionalFormatting>
  <conditionalFormatting sqref="H100">
    <cfRule type="cellIs" dxfId="10" priority="11" operator="equal">
      <formula>TRUE</formula>
    </cfRule>
  </conditionalFormatting>
  <conditionalFormatting sqref="Y3:Y64 W3:AA63">
    <cfRule type="colorScale" priority="37">
      <colorScale>
        <cfvo type="min"/>
        <cfvo type="max"/>
        <color rgb="FFFFEF9C"/>
        <color rgb="FF63BE7B"/>
      </colorScale>
    </cfRule>
  </conditionalFormatting>
  <conditionalFormatting sqref="Z3:Z64">
    <cfRule type="colorScale" priority="38">
      <colorScale>
        <cfvo type="min"/>
        <cfvo type="max"/>
        <color rgb="FFFFEF9C"/>
        <color rgb="FF63BE7B"/>
      </colorScale>
    </cfRule>
  </conditionalFormatting>
  <conditionalFormatting sqref="AA3:AA64">
    <cfRule type="colorScale" priority="39">
      <colorScale>
        <cfvo type="min"/>
        <cfvo type="max"/>
        <color rgb="FFFFEF9C"/>
        <color rgb="FF63BE7B"/>
      </colorScale>
    </cfRule>
  </conditionalFormatting>
  <conditionalFormatting sqref="T3:T64">
    <cfRule type="colorScale" priority="40">
      <colorScale>
        <cfvo type="min"/>
        <cfvo type="max"/>
        <color rgb="FFFFEF9C"/>
        <color rgb="FF63BE7B"/>
      </colorScale>
    </cfRule>
  </conditionalFormatting>
  <conditionalFormatting sqref="U3:U64">
    <cfRule type="colorScale" priority="41">
      <colorScale>
        <cfvo type="min"/>
        <cfvo type="max"/>
        <color rgb="FFFFEF9C"/>
        <color rgb="FF63BE7B"/>
      </colorScale>
    </cfRule>
  </conditionalFormatting>
  <conditionalFormatting sqref="X3:AA63 V3:X64 R3:U63">
    <cfRule type="colorScale" priority="42">
      <colorScale>
        <cfvo type="min"/>
        <cfvo type="max"/>
        <color rgb="FFFFEF9C"/>
        <color rgb="FF63BE7B"/>
      </colorScale>
    </cfRule>
  </conditionalFormatting>
  <conditionalFormatting sqref="S3:S64">
    <cfRule type="colorScale" priority="43">
      <colorScale>
        <cfvo type="min"/>
        <cfvo type="max"/>
        <color rgb="FFFFEF9C"/>
        <color rgb="FF63BE7B"/>
      </colorScale>
    </cfRule>
  </conditionalFormatting>
  <conditionalFormatting sqref="R3:R64">
    <cfRule type="colorScale" priority="44">
      <colorScale>
        <cfvo type="min"/>
        <cfvo type="max"/>
        <color rgb="FFFFEF9C"/>
        <color rgb="FF63BE7B"/>
      </colorScale>
    </cfRule>
  </conditionalFormatting>
  <conditionalFormatting sqref="X3:X64">
    <cfRule type="colorScale" priority="45">
      <colorScale>
        <cfvo type="min"/>
        <cfvo type="max"/>
        <color rgb="FFFFEF9C"/>
        <color rgb="FF63BE7B"/>
      </colorScale>
    </cfRule>
  </conditionalFormatting>
  <conditionalFormatting sqref="W3:W64 X3:AA63">
    <cfRule type="colorScale" priority="46">
      <colorScale>
        <cfvo type="min"/>
        <cfvo type="max"/>
        <color rgb="FFFFEF9C"/>
        <color rgb="FF63BE7B"/>
      </colorScale>
    </cfRule>
  </conditionalFormatting>
  <conditionalFormatting sqref="W100">
    <cfRule type="cellIs" dxfId="9" priority="10" operator="equal">
      <formula>TRUE</formula>
    </cfRule>
  </conditionalFormatting>
  <conditionalFormatting sqref="X100">
    <cfRule type="cellIs" dxfId="8" priority="9" operator="equal">
      <formula>TRUE</formula>
    </cfRule>
  </conditionalFormatting>
  <conditionalFormatting sqref="Y100">
    <cfRule type="cellIs" dxfId="7" priority="8" operator="equal">
      <formula>TRUE</formula>
    </cfRule>
  </conditionalFormatting>
  <conditionalFormatting sqref="Z100">
    <cfRule type="cellIs" dxfId="6" priority="7" operator="equal">
      <formula>TRUE</formula>
    </cfRule>
  </conditionalFormatting>
  <conditionalFormatting sqref="AA100">
    <cfRule type="cellIs" dxfId="5" priority="6" operator="equal">
      <formula>TRUE</formula>
    </cfRule>
  </conditionalFormatting>
  <conditionalFormatting sqref="W84">
    <cfRule type="cellIs" dxfId="4" priority="5" operator="equal">
      <formula>TRUE</formula>
    </cfRule>
  </conditionalFormatting>
  <conditionalFormatting sqref="X84">
    <cfRule type="cellIs" dxfId="3" priority="4" operator="equal">
      <formula>TRUE</formula>
    </cfRule>
  </conditionalFormatting>
  <conditionalFormatting sqref="Y84">
    <cfRule type="cellIs" dxfId="2" priority="3" operator="equal">
      <formula>TRUE</formula>
    </cfRule>
  </conditionalFormatting>
  <conditionalFormatting sqref="Z84">
    <cfRule type="cellIs" dxfId="1" priority="2" operator="equal">
      <formula>TRUE</formula>
    </cfRule>
  </conditionalFormatting>
  <conditionalFormatting sqref="AA84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Movie Analysis</vt:lpstr>
      <vt:lpstr>2010</vt:lpstr>
      <vt:lpstr>2009</vt:lpstr>
      <vt:lpstr>2008</vt:lpstr>
      <vt:lpstr>2007</vt:lpstr>
      <vt:lpstr>2006</vt:lpstr>
      <vt:lpstr>Summary World</vt:lpstr>
      <vt:lpstr>Summary USA</vt:lpstr>
      <vt:lpstr>budget.2006</vt:lpstr>
      <vt:lpstr>budget.2007</vt:lpstr>
      <vt:lpstr>budget.2008</vt:lpstr>
      <vt:lpstr>budget.2010</vt:lpstr>
      <vt:lpstr>date.2006</vt:lpstr>
      <vt:lpstr>date.2007</vt:lpstr>
      <vt:lpstr>date.2008</vt:lpstr>
      <vt:lpstr>date.2009</vt:lpstr>
      <vt:lpstr>date.2010</vt:lpstr>
      <vt:lpstr>gross.us.2006</vt:lpstr>
      <vt:lpstr>gross.us.2007</vt:lpstr>
      <vt:lpstr>gross.us.2008</vt:lpstr>
      <vt:lpstr>gross.us.2009</vt:lpstr>
      <vt:lpstr>gross.us.2010</vt:lpstr>
      <vt:lpstr>gross.world.2006</vt:lpstr>
      <vt:lpstr>gross.world.2007</vt:lpstr>
      <vt:lpstr>gross.world.2008</vt:lpstr>
      <vt:lpstr>gross.world.2009</vt:lpstr>
      <vt:lpstr>gross.world.2010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Correia</cp:lastModifiedBy>
  <dcterms:created xsi:type="dcterms:W3CDTF">2011-02-13T00:46:12Z</dcterms:created>
  <dcterms:modified xsi:type="dcterms:W3CDTF">2018-02-06T04:05:14Z</dcterms:modified>
</cp:coreProperties>
</file>