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k5\Desktop\Vax Calc CDC Clearance\"/>
    </mc:Choice>
  </mc:AlternateContent>
  <bookViews>
    <workbookView xWindow="0" yWindow="0" windowWidth="15120" windowHeight="4365" tabRatio="892" activeTab="2"/>
  </bookViews>
  <sheets>
    <sheet name="Title" sheetId="11" r:id="rId1"/>
    <sheet name="Definitions" sheetId="6" r:id="rId2"/>
    <sheet name="VACCINATION CALCULATOR" sheetId="3" r:id="rId3"/>
    <sheet name="VACCINATION COSTS" sheetId="9" r:id="rId4"/>
    <sheet name="Calculations" sheetId="8" r:id="rId5"/>
  </sheets>
  <definedNames>
    <definedName name="CP_Procured">'VACCINATION CALCULATOR'!$C$14</definedName>
    <definedName name="CVR_Procured">'VACCINATION CALCULATOR'!$C$16</definedName>
    <definedName name="DD_Procured">'VACCINATION CALCULATOR'!$C$15</definedName>
    <definedName name="ORV_Procured">'VACCINATION CALCULATOR'!$C$17</definedName>
    <definedName name="Pop_all">'VACCINATION CALCULATOR'!$C$4</definedName>
    <definedName name="Pop_C">'VACCINATION CALCULATOR'!$C$5</definedName>
    <definedName name="Pop_NC">'VACCINATION CALCULATOR'!$C$7</definedName>
    <definedName name="Pop_SC">'VACCINATION CALCULATOR'!$C$6</definedName>
    <definedName name="Vax_C">Calculations!$Z$24</definedName>
    <definedName name="Vax_CP">Calculations!$V$27</definedName>
    <definedName name="Vax_CVR">Calculations!$X$27</definedName>
    <definedName name="Vax_DD">Calculations!$W$27</definedName>
    <definedName name="Vax_NC">Calculations!$Z$26</definedName>
    <definedName name="Vax_ORV">Calculations!$Y$27</definedName>
    <definedName name="Vax_SC">Calculations!$Z$25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3" l="1"/>
  <c r="K19" i="3"/>
  <c r="C50" i="9" l="1"/>
  <c r="C44" i="9"/>
  <c r="C45" i="9"/>
  <c r="C43" i="9"/>
  <c r="C38" i="9" s="1"/>
  <c r="C33" i="9"/>
  <c r="D37" i="9"/>
  <c r="R58" i="8" l="1"/>
  <c r="U10" i="8"/>
  <c r="H9" i="8"/>
  <c r="G9" i="8"/>
  <c r="M24" i="8" s="1"/>
  <c r="F9" i="8"/>
  <c r="E9" i="8"/>
  <c r="H8" i="8"/>
  <c r="G8" i="8"/>
  <c r="F8" i="8"/>
  <c r="E8" i="8"/>
  <c r="T7" i="8"/>
  <c r="H7" i="8"/>
  <c r="G7" i="8"/>
  <c r="F7" i="8"/>
  <c r="E7" i="8"/>
  <c r="U6" i="8"/>
  <c r="Q4" i="8"/>
  <c r="K62" i="9"/>
  <c r="J62" i="9"/>
  <c r="I62" i="9"/>
  <c r="K59" i="9"/>
  <c r="J59" i="9"/>
  <c r="I59" i="9"/>
  <c r="K51" i="9"/>
  <c r="J51" i="9"/>
  <c r="I51" i="9"/>
  <c r="K50" i="9"/>
  <c r="J50" i="9"/>
  <c r="I50" i="9"/>
  <c r="K49" i="9"/>
  <c r="J49" i="9"/>
  <c r="I49" i="9"/>
  <c r="D46" i="9"/>
  <c r="J46" i="9" s="1"/>
  <c r="D45" i="9"/>
  <c r="J45" i="9" s="1"/>
  <c r="D44" i="9"/>
  <c r="J44" i="9" s="1"/>
  <c r="D43" i="9"/>
  <c r="J43" i="9" s="1"/>
  <c r="D42" i="9"/>
  <c r="J42" i="9" s="1"/>
  <c r="D39" i="9"/>
  <c r="I39" i="9" s="1"/>
  <c r="D38" i="9"/>
  <c r="I38" i="9" s="1"/>
  <c r="D36" i="9"/>
  <c r="D35" i="9"/>
  <c r="D34" i="9"/>
  <c r="D33" i="9"/>
  <c r="I33" i="9" s="1"/>
  <c r="D32" i="9"/>
  <c r="J32" i="9" s="1"/>
  <c r="D31" i="9"/>
  <c r="I31" i="9" s="1"/>
  <c r="C17" i="3"/>
  <c r="Y33" i="8" s="1"/>
  <c r="K15" i="3"/>
  <c r="C16" i="3"/>
  <c r="W33" i="8" s="1"/>
  <c r="C15" i="3"/>
  <c r="U33" i="8" s="1"/>
  <c r="C14" i="3"/>
  <c r="S33" i="8" s="1"/>
  <c r="C7" i="3"/>
  <c r="C5" i="3"/>
  <c r="B9" i="11"/>
  <c r="C30" i="8" l="1"/>
  <c r="C24" i="8"/>
  <c r="J24" i="8"/>
  <c r="N24" i="8"/>
  <c r="D24" i="8"/>
  <c r="K24" i="8"/>
  <c r="F24" i="8"/>
  <c r="C25" i="8"/>
  <c r="E30" i="8"/>
  <c r="E24" i="8"/>
  <c r="L24" i="8"/>
  <c r="R24" i="8"/>
  <c r="T33" i="8" s="1"/>
  <c r="V24" i="8" s="1"/>
  <c r="U11" i="8"/>
  <c r="C33" i="3" s="1"/>
  <c r="K39" i="9"/>
  <c r="J48" i="9"/>
  <c r="I48" i="9"/>
  <c r="K31" i="9"/>
  <c r="K33" i="9"/>
  <c r="J33" i="9"/>
  <c r="L66" i="8"/>
  <c r="K43" i="8"/>
  <c r="E82" i="8"/>
  <c r="E42" i="8"/>
  <c r="E78" i="8"/>
  <c r="E90" i="8"/>
  <c r="E63" i="8"/>
  <c r="E94" i="8"/>
  <c r="E74" i="8"/>
  <c r="E125" i="8"/>
  <c r="L33" i="8"/>
  <c r="L37" i="8"/>
  <c r="L65" i="8"/>
  <c r="L43" i="8"/>
  <c r="L124" i="8"/>
  <c r="K31" i="8"/>
  <c r="K53" i="8"/>
  <c r="J31" i="9"/>
  <c r="L30" i="8"/>
  <c r="K36" i="8"/>
  <c r="E41" i="8"/>
  <c r="K46" i="8"/>
  <c r="E62" i="8"/>
  <c r="E70" i="8"/>
  <c r="E86" i="8"/>
  <c r="K109" i="8"/>
  <c r="K48" i="9"/>
  <c r="K38" i="8"/>
  <c r="K58" i="8"/>
  <c r="K38" i="9"/>
  <c r="K30" i="8"/>
  <c r="K35" i="8"/>
  <c r="L39" i="8"/>
  <c r="K44" i="8"/>
  <c r="K101" i="8"/>
  <c r="U12" i="8"/>
  <c r="K32" i="9"/>
  <c r="I32" i="9"/>
  <c r="M6" i="3"/>
  <c r="F10" i="3"/>
  <c r="M5" i="3"/>
  <c r="D32" i="8"/>
  <c r="D130" i="8"/>
  <c r="E25" i="8"/>
  <c r="D68" i="8"/>
  <c r="D35" i="8"/>
  <c r="F25" i="8"/>
  <c r="C107" i="8"/>
  <c r="N105" i="8"/>
  <c r="D64" i="8"/>
  <c r="D31" i="8"/>
  <c r="D39" i="8"/>
  <c r="D43" i="8"/>
  <c r="D114" i="8"/>
  <c r="D34" i="8"/>
  <c r="D37" i="8"/>
  <c r="D56" i="8"/>
  <c r="D63" i="8"/>
  <c r="C32" i="8"/>
  <c r="C34" i="8"/>
  <c r="C46" i="8"/>
  <c r="C55" i="8"/>
  <c r="C99" i="8"/>
  <c r="C44" i="8"/>
  <c r="C53" i="8"/>
  <c r="J41" i="9"/>
  <c r="K25" i="8"/>
  <c r="M92" i="8"/>
  <c r="R26" i="8"/>
  <c r="T35" i="8" s="1"/>
  <c r="N34" i="8"/>
  <c r="M25" i="8"/>
  <c r="N63" i="8"/>
  <c r="U26" i="8"/>
  <c r="R57" i="8"/>
  <c r="N25" i="8"/>
  <c r="N55" i="8"/>
  <c r="N32" i="8"/>
  <c r="F130" i="8"/>
  <c r="F129" i="8"/>
  <c r="F128" i="8"/>
  <c r="F127" i="8"/>
  <c r="F126" i="8"/>
  <c r="F125" i="8"/>
  <c r="F124" i="8"/>
  <c r="F123" i="8"/>
  <c r="F122" i="8"/>
  <c r="F121" i="8"/>
  <c r="F120" i="8"/>
  <c r="F119" i="8"/>
  <c r="F118" i="8"/>
  <c r="F117" i="8"/>
  <c r="F116" i="8"/>
  <c r="F115" i="8"/>
  <c r="F114" i="8"/>
  <c r="F113" i="8"/>
  <c r="F112" i="8"/>
  <c r="F111" i="8"/>
  <c r="F110" i="8"/>
  <c r="F108" i="8"/>
  <c r="F106" i="8"/>
  <c r="F104" i="8"/>
  <c r="F102" i="8"/>
  <c r="F100" i="8"/>
  <c r="F98" i="8"/>
  <c r="F96" i="8"/>
  <c r="F67" i="8"/>
  <c r="F63" i="8"/>
  <c r="F59" i="8"/>
  <c r="F56" i="8"/>
  <c r="F42" i="8"/>
  <c r="F109" i="8"/>
  <c r="F105" i="8"/>
  <c r="F101" i="8"/>
  <c r="F97" i="8"/>
  <c r="F93" i="8"/>
  <c r="F91" i="8"/>
  <c r="F89" i="8"/>
  <c r="F87" i="8"/>
  <c r="F85" i="8"/>
  <c r="F83" i="8"/>
  <c r="F81" i="8"/>
  <c r="F79" i="8"/>
  <c r="F77" i="8"/>
  <c r="F75" i="8"/>
  <c r="F73" i="8"/>
  <c r="F71" i="8"/>
  <c r="F68" i="8"/>
  <c r="F64" i="8"/>
  <c r="F60" i="8"/>
  <c r="F55" i="8"/>
  <c r="F43" i="8"/>
  <c r="F39" i="8"/>
  <c r="F38" i="8"/>
  <c r="F37" i="8"/>
  <c r="F36" i="8"/>
  <c r="F57" i="8"/>
  <c r="F61" i="8"/>
  <c r="F69" i="8"/>
  <c r="I43" i="9"/>
  <c r="I46" i="9"/>
  <c r="C130" i="8"/>
  <c r="C129" i="8"/>
  <c r="C128" i="8"/>
  <c r="C127" i="8"/>
  <c r="C126" i="8"/>
  <c r="C125" i="8"/>
  <c r="C124" i="8"/>
  <c r="C123" i="8"/>
  <c r="C122" i="8"/>
  <c r="C121" i="8"/>
  <c r="C120" i="8"/>
  <c r="C119" i="8"/>
  <c r="C118" i="8"/>
  <c r="C117" i="8"/>
  <c r="C116" i="8"/>
  <c r="C115" i="8"/>
  <c r="C114" i="8"/>
  <c r="C113" i="8"/>
  <c r="C112" i="8"/>
  <c r="C111" i="8"/>
  <c r="C110" i="8"/>
  <c r="C108" i="8"/>
  <c r="C106" i="8"/>
  <c r="C104" i="8"/>
  <c r="C102" i="8"/>
  <c r="C100" i="8"/>
  <c r="C98" i="8"/>
  <c r="C96"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109" i="8"/>
  <c r="C105" i="8"/>
  <c r="C101" i="8"/>
  <c r="C97" i="8"/>
  <c r="C58" i="8"/>
  <c r="C41" i="8"/>
  <c r="C57" i="8"/>
  <c r="C42" i="8"/>
  <c r="F31" i="8"/>
  <c r="C33" i="8"/>
  <c r="N33" i="8"/>
  <c r="F35" i="8"/>
  <c r="C36" i="8"/>
  <c r="N64" i="8"/>
  <c r="M65" i="8"/>
  <c r="F74" i="8"/>
  <c r="F78" i="8"/>
  <c r="N80" i="8"/>
  <c r="R55" i="8"/>
  <c r="C6" i="3"/>
  <c r="H88" i="8" s="1"/>
  <c r="J38" i="9"/>
  <c r="J39" i="9"/>
  <c r="K42" i="9"/>
  <c r="K43" i="9"/>
  <c r="K44" i="9"/>
  <c r="K45" i="9"/>
  <c r="K46" i="9"/>
  <c r="E130" i="8"/>
  <c r="E128" i="8"/>
  <c r="E126" i="8"/>
  <c r="E124" i="8"/>
  <c r="E122" i="8"/>
  <c r="E120" i="8"/>
  <c r="E118" i="8"/>
  <c r="E116" i="8"/>
  <c r="E114" i="8"/>
  <c r="E112" i="8"/>
  <c r="E110" i="8"/>
  <c r="E109" i="8"/>
  <c r="E108" i="8"/>
  <c r="E107" i="8"/>
  <c r="E106" i="8"/>
  <c r="E105" i="8"/>
  <c r="E104" i="8"/>
  <c r="E103" i="8"/>
  <c r="E102" i="8"/>
  <c r="E101" i="8"/>
  <c r="E100" i="8"/>
  <c r="E99" i="8"/>
  <c r="E98" i="8"/>
  <c r="E97" i="8"/>
  <c r="E96" i="8"/>
  <c r="E95" i="8"/>
  <c r="E58" i="8"/>
  <c r="E57" i="8"/>
  <c r="E56" i="8"/>
  <c r="E55" i="8"/>
  <c r="E127" i="8"/>
  <c r="E123" i="8"/>
  <c r="E119" i="8"/>
  <c r="E115" i="8"/>
  <c r="E111" i="8"/>
  <c r="E93" i="8"/>
  <c r="E91" i="8"/>
  <c r="E89" i="8"/>
  <c r="E87" i="8"/>
  <c r="E85" i="8"/>
  <c r="E83" i="8"/>
  <c r="E81" i="8"/>
  <c r="E79" i="8"/>
  <c r="E77" i="8"/>
  <c r="E75" i="8"/>
  <c r="E73" i="8"/>
  <c r="E71" i="8"/>
  <c r="E68" i="8"/>
  <c r="E64" i="8"/>
  <c r="E60" i="8"/>
  <c r="E43" i="8"/>
  <c r="E39" i="8"/>
  <c r="E38" i="8"/>
  <c r="E37" i="8"/>
  <c r="E36" i="8"/>
  <c r="E35" i="8"/>
  <c r="E34" i="8"/>
  <c r="E33" i="8"/>
  <c r="E32" i="8"/>
  <c r="E31" i="8"/>
  <c r="E129" i="8"/>
  <c r="E121" i="8"/>
  <c r="E113" i="8"/>
  <c r="E69" i="8"/>
  <c r="E65" i="8"/>
  <c r="E61" i="8"/>
  <c r="E54" i="8"/>
  <c r="E53" i="8"/>
  <c r="E52" i="8"/>
  <c r="E51" i="8"/>
  <c r="E50" i="8"/>
  <c r="E49" i="8"/>
  <c r="E48" i="8"/>
  <c r="E47" i="8"/>
  <c r="E46" i="8"/>
  <c r="E45" i="8"/>
  <c r="E44" i="8"/>
  <c r="E40" i="8"/>
  <c r="L109" i="8"/>
  <c r="L108" i="8"/>
  <c r="L107" i="8"/>
  <c r="L106" i="8"/>
  <c r="L105" i="8"/>
  <c r="L104" i="8"/>
  <c r="L103" i="8"/>
  <c r="L102" i="8"/>
  <c r="L101" i="8"/>
  <c r="L100" i="8"/>
  <c r="L99" i="8"/>
  <c r="L98" i="8"/>
  <c r="L97" i="8"/>
  <c r="L96" i="8"/>
  <c r="L95" i="8"/>
  <c r="L94" i="8"/>
  <c r="L129" i="8"/>
  <c r="L127" i="8"/>
  <c r="L125" i="8"/>
  <c r="L123" i="8"/>
  <c r="L121" i="8"/>
  <c r="L119" i="8"/>
  <c r="L117" i="8"/>
  <c r="L115" i="8"/>
  <c r="L113" i="8"/>
  <c r="L111" i="8"/>
  <c r="L130" i="8"/>
  <c r="L126" i="8"/>
  <c r="L122" i="8"/>
  <c r="L118" i="8"/>
  <c r="L114" i="8"/>
  <c r="L110" i="8"/>
  <c r="L93" i="8"/>
  <c r="L92" i="8"/>
  <c r="L91" i="8"/>
  <c r="L90" i="8"/>
  <c r="L89" i="8"/>
  <c r="L88" i="8"/>
  <c r="L87" i="8"/>
  <c r="L86" i="8"/>
  <c r="L85" i="8"/>
  <c r="L84" i="8"/>
  <c r="L83" i="8"/>
  <c r="L82" i="8"/>
  <c r="L81" i="8"/>
  <c r="L80" i="8"/>
  <c r="L79" i="8"/>
  <c r="L78" i="8"/>
  <c r="L77" i="8"/>
  <c r="L76" i="8"/>
  <c r="L75" i="8"/>
  <c r="L74" i="8"/>
  <c r="L73" i="8"/>
  <c r="L72" i="8"/>
  <c r="L71" i="8"/>
  <c r="L70" i="8"/>
  <c r="L128" i="8"/>
  <c r="L120" i="8"/>
  <c r="L112" i="8"/>
  <c r="L67" i="8"/>
  <c r="L63" i="8"/>
  <c r="L59" i="8"/>
  <c r="L57" i="8"/>
  <c r="L54" i="8"/>
  <c r="L53" i="8"/>
  <c r="L52" i="8"/>
  <c r="L51" i="8"/>
  <c r="L50" i="8"/>
  <c r="L49" i="8"/>
  <c r="L48" i="8"/>
  <c r="L47" i="8"/>
  <c r="L46" i="8"/>
  <c r="L45" i="8"/>
  <c r="L44" i="8"/>
  <c r="L40" i="8"/>
  <c r="L68" i="8"/>
  <c r="L64" i="8"/>
  <c r="L60" i="8"/>
  <c r="L56" i="8"/>
  <c r="L41" i="8"/>
  <c r="T24" i="8"/>
  <c r="T26" i="8"/>
  <c r="D25" i="8"/>
  <c r="L25" i="8"/>
  <c r="D30" i="8"/>
  <c r="C31" i="8"/>
  <c r="N31" i="8"/>
  <c r="L32" i="8"/>
  <c r="F33" i="8"/>
  <c r="K33" i="8"/>
  <c r="L34" i="8"/>
  <c r="C35" i="8"/>
  <c r="N35" i="8"/>
  <c r="C37" i="8"/>
  <c r="K37" i="8"/>
  <c r="C39" i="8"/>
  <c r="K39" i="8"/>
  <c r="F40" i="8"/>
  <c r="N40" i="8"/>
  <c r="D42" i="8"/>
  <c r="L42" i="8"/>
  <c r="C43" i="8"/>
  <c r="F45" i="8"/>
  <c r="N45" i="8"/>
  <c r="F47" i="8"/>
  <c r="N47" i="8"/>
  <c r="F48" i="8"/>
  <c r="N48" i="8"/>
  <c r="F49" i="8"/>
  <c r="N49" i="8"/>
  <c r="F50" i="8"/>
  <c r="N50" i="8"/>
  <c r="F51" i="8"/>
  <c r="N51" i="8"/>
  <c r="F52" i="8"/>
  <c r="N52" i="8"/>
  <c r="F54" i="8"/>
  <c r="N54" i="8"/>
  <c r="L55" i="8"/>
  <c r="C56" i="8"/>
  <c r="N56" i="8"/>
  <c r="D57" i="8"/>
  <c r="F58" i="8"/>
  <c r="E59" i="8"/>
  <c r="D60" i="8"/>
  <c r="N60" i="8"/>
  <c r="M61" i="8"/>
  <c r="L62" i="8"/>
  <c r="F66" i="8"/>
  <c r="E67" i="8"/>
  <c r="N68" i="8"/>
  <c r="M69" i="8"/>
  <c r="N70" i="8"/>
  <c r="F72" i="8"/>
  <c r="N74" i="8"/>
  <c r="F76" i="8"/>
  <c r="N78" i="8"/>
  <c r="F80" i="8"/>
  <c r="N82" i="8"/>
  <c r="F84" i="8"/>
  <c r="N86" i="8"/>
  <c r="F88" i="8"/>
  <c r="N90" i="8"/>
  <c r="F92" i="8"/>
  <c r="F95" i="8"/>
  <c r="N97" i="8"/>
  <c r="F103" i="8"/>
  <c r="M111" i="8"/>
  <c r="E117" i="8"/>
  <c r="M127" i="8"/>
  <c r="U24" i="8"/>
  <c r="M42" i="8"/>
  <c r="M76" i="8"/>
  <c r="M80" i="8"/>
  <c r="M84" i="8"/>
  <c r="M130" i="8"/>
  <c r="M128" i="8"/>
  <c r="M126" i="8"/>
  <c r="M124" i="8"/>
  <c r="M122" i="8"/>
  <c r="M120" i="8"/>
  <c r="M118" i="8"/>
  <c r="M116" i="8"/>
  <c r="M114" i="8"/>
  <c r="M112" i="8"/>
  <c r="M110" i="8"/>
  <c r="M109" i="8"/>
  <c r="M108" i="8"/>
  <c r="M107" i="8"/>
  <c r="M106" i="8"/>
  <c r="M105" i="8"/>
  <c r="M104" i="8"/>
  <c r="M103" i="8"/>
  <c r="M102" i="8"/>
  <c r="M101" i="8"/>
  <c r="M100" i="8"/>
  <c r="M99" i="8"/>
  <c r="M98" i="8"/>
  <c r="M97" i="8"/>
  <c r="M96" i="8"/>
  <c r="M95" i="8"/>
  <c r="M94" i="8"/>
  <c r="M58" i="8"/>
  <c r="M57" i="8"/>
  <c r="M56" i="8"/>
  <c r="M55" i="8"/>
  <c r="M129" i="8"/>
  <c r="M125" i="8"/>
  <c r="M121" i="8"/>
  <c r="M117" i="8"/>
  <c r="M113" i="8"/>
  <c r="M93" i="8"/>
  <c r="M91" i="8"/>
  <c r="M89" i="8"/>
  <c r="M87" i="8"/>
  <c r="M85" i="8"/>
  <c r="M83" i="8"/>
  <c r="M81" i="8"/>
  <c r="M79" i="8"/>
  <c r="M77" i="8"/>
  <c r="M75" i="8"/>
  <c r="M73" i="8"/>
  <c r="M71" i="8"/>
  <c r="M66" i="8"/>
  <c r="M62" i="8"/>
  <c r="M43" i="8"/>
  <c r="M39" i="8"/>
  <c r="M38" i="8"/>
  <c r="M37" i="8"/>
  <c r="M36" i="8"/>
  <c r="M35" i="8"/>
  <c r="M34" i="8"/>
  <c r="M33" i="8"/>
  <c r="M32" i="8"/>
  <c r="M31" i="8"/>
  <c r="M30" i="8"/>
  <c r="M123" i="8"/>
  <c r="M115" i="8"/>
  <c r="M67" i="8"/>
  <c r="M63" i="8"/>
  <c r="M59" i="8"/>
  <c r="M54" i="8"/>
  <c r="M53" i="8"/>
  <c r="M52" i="8"/>
  <c r="M51" i="8"/>
  <c r="M50" i="8"/>
  <c r="M49" i="8"/>
  <c r="M48" i="8"/>
  <c r="M47" i="8"/>
  <c r="M46" i="8"/>
  <c r="M45" i="8"/>
  <c r="M44" i="8"/>
  <c r="M40" i="8"/>
  <c r="F30" i="8"/>
  <c r="M64" i="8"/>
  <c r="M72" i="8"/>
  <c r="M88" i="8"/>
  <c r="I42" i="9"/>
  <c r="I44" i="9"/>
  <c r="I45" i="9"/>
  <c r="N130" i="8"/>
  <c r="N129" i="8"/>
  <c r="N128" i="8"/>
  <c r="N127" i="8"/>
  <c r="N126" i="8"/>
  <c r="N125" i="8"/>
  <c r="N124" i="8"/>
  <c r="N123" i="8"/>
  <c r="N122" i="8"/>
  <c r="N121" i="8"/>
  <c r="N120" i="8"/>
  <c r="N119" i="8"/>
  <c r="N118" i="8"/>
  <c r="N117" i="8"/>
  <c r="N116" i="8"/>
  <c r="N115" i="8"/>
  <c r="N114" i="8"/>
  <c r="N113" i="8"/>
  <c r="N112" i="8"/>
  <c r="N111" i="8"/>
  <c r="N110" i="8"/>
  <c r="N108" i="8"/>
  <c r="N106" i="8"/>
  <c r="N104" i="8"/>
  <c r="N102" i="8"/>
  <c r="N100" i="8"/>
  <c r="N98" i="8"/>
  <c r="N96" i="8"/>
  <c r="N94" i="8"/>
  <c r="N69" i="8"/>
  <c r="N65" i="8"/>
  <c r="N61" i="8"/>
  <c r="N58" i="8"/>
  <c r="N42" i="8"/>
  <c r="N107" i="8"/>
  <c r="N103" i="8"/>
  <c r="N99" i="8"/>
  <c r="N95" i="8"/>
  <c r="N93" i="8"/>
  <c r="N91" i="8"/>
  <c r="N89" i="8"/>
  <c r="N87" i="8"/>
  <c r="N85" i="8"/>
  <c r="N83" i="8"/>
  <c r="N81" i="8"/>
  <c r="N79" i="8"/>
  <c r="N77" i="8"/>
  <c r="N75" i="8"/>
  <c r="N73" i="8"/>
  <c r="N71" i="8"/>
  <c r="N66" i="8"/>
  <c r="N62" i="8"/>
  <c r="N57" i="8"/>
  <c r="N43" i="8"/>
  <c r="N39" i="8"/>
  <c r="N38" i="8"/>
  <c r="N37" i="8"/>
  <c r="N36" i="8"/>
  <c r="C38" i="8"/>
  <c r="M41" i="8"/>
  <c r="F44" i="8"/>
  <c r="N44" i="8"/>
  <c r="F46" i="8"/>
  <c r="N46" i="8"/>
  <c r="F53" i="8"/>
  <c r="N53" i="8"/>
  <c r="F62" i="8"/>
  <c r="F70" i="8"/>
  <c r="N72" i="8"/>
  <c r="N76" i="8"/>
  <c r="F82" i="8"/>
  <c r="N84" i="8"/>
  <c r="F86" i="8"/>
  <c r="N88" i="8"/>
  <c r="F90" i="8"/>
  <c r="N92" i="8"/>
  <c r="F94" i="8"/>
  <c r="F99" i="8"/>
  <c r="N101" i="8"/>
  <c r="F107" i="8"/>
  <c r="N109" i="8"/>
  <c r="M119" i="8"/>
  <c r="M7" i="3"/>
  <c r="F17" i="3"/>
  <c r="C69" i="9"/>
  <c r="C70" i="9"/>
  <c r="D110" i="8"/>
  <c r="D109" i="8"/>
  <c r="D108" i="8"/>
  <c r="D107" i="8"/>
  <c r="D106" i="8"/>
  <c r="D105" i="8"/>
  <c r="D104" i="8"/>
  <c r="D103" i="8"/>
  <c r="D102" i="8"/>
  <c r="D101" i="8"/>
  <c r="D100" i="8"/>
  <c r="D99" i="8"/>
  <c r="D98" i="8"/>
  <c r="D97" i="8"/>
  <c r="D96" i="8"/>
  <c r="D95" i="8"/>
  <c r="D129" i="8"/>
  <c r="D127" i="8"/>
  <c r="D125" i="8"/>
  <c r="D123" i="8"/>
  <c r="D121" i="8"/>
  <c r="D119" i="8"/>
  <c r="D117" i="8"/>
  <c r="D115" i="8"/>
  <c r="D113" i="8"/>
  <c r="D111" i="8"/>
  <c r="D128" i="8"/>
  <c r="D124" i="8"/>
  <c r="D120" i="8"/>
  <c r="D116" i="8"/>
  <c r="D112" i="8"/>
  <c r="D94" i="8"/>
  <c r="D93" i="8"/>
  <c r="D92" i="8"/>
  <c r="D91" i="8"/>
  <c r="D90" i="8"/>
  <c r="D89" i="8"/>
  <c r="D88" i="8"/>
  <c r="D87" i="8"/>
  <c r="D86" i="8"/>
  <c r="D85" i="8"/>
  <c r="D84" i="8"/>
  <c r="D83" i="8"/>
  <c r="D82" i="8"/>
  <c r="D81" i="8"/>
  <c r="D80" i="8"/>
  <c r="D79" i="8"/>
  <c r="D78" i="8"/>
  <c r="D77" i="8"/>
  <c r="D76" i="8"/>
  <c r="D75" i="8"/>
  <c r="D74" i="8"/>
  <c r="D73" i="8"/>
  <c r="D72" i="8"/>
  <c r="D71" i="8"/>
  <c r="D126" i="8"/>
  <c r="D118" i="8"/>
  <c r="D69" i="8"/>
  <c r="D65" i="8"/>
  <c r="D61" i="8"/>
  <c r="D55" i="8"/>
  <c r="D54" i="8"/>
  <c r="D53" i="8"/>
  <c r="D52" i="8"/>
  <c r="D51" i="8"/>
  <c r="D50" i="8"/>
  <c r="D49" i="8"/>
  <c r="D48" i="8"/>
  <c r="D47" i="8"/>
  <c r="D46" i="8"/>
  <c r="D45" i="8"/>
  <c r="D44" i="8"/>
  <c r="D40" i="8"/>
  <c r="D70" i="8"/>
  <c r="D66" i="8"/>
  <c r="D62" i="8"/>
  <c r="D58" i="8"/>
  <c r="D41" i="8"/>
  <c r="K130" i="8"/>
  <c r="K129" i="8"/>
  <c r="K128" i="8"/>
  <c r="K127" i="8"/>
  <c r="K126" i="8"/>
  <c r="K125" i="8"/>
  <c r="K124" i="8"/>
  <c r="K123" i="8"/>
  <c r="K122" i="8"/>
  <c r="K121" i="8"/>
  <c r="K120" i="8"/>
  <c r="K119" i="8"/>
  <c r="K118" i="8"/>
  <c r="K117" i="8"/>
  <c r="K116" i="8"/>
  <c r="K115" i="8"/>
  <c r="K114" i="8"/>
  <c r="K113" i="8"/>
  <c r="K112" i="8"/>
  <c r="K111" i="8"/>
  <c r="K110" i="8"/>
  <c r="K108" i="8"/>
  <c r="K106" i="8"/>
  <c r="K104" i="8"/>
  <c r="K102" i="8"/>
  <c r="K100" i="8"/>
  <c r="K98" i="8"/>
  <c r="K96"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107" i="8"/>
  <c r="K103" i="8"/>
  <c r="K99" i="8"/>
  <c r="K95" i="8"/>
  <c r="K56" i="8"/>
  <c r="K41" i="8"/>
  <c r="K94" i="8"/>
  <c r="K55" i="8"/>
  <c r="K42" i="8"/>
  <c r="S24" i="8"/>
  <c r="S26" i="8"/>
  <c r="N30" i="8"/>
  <c r="L31" i="8"/>
  <c r="F32" i="8"/>
  <c r="K32" i="8"/>
  <c r="D33" i="8"/>
  <c r="F34" i="8"/>
  <c r="K34" i="8"/>
  <c r="L35" i="8"/>
  <c r="D36" i="8"/>
  <c r="L36" i="8"/>
  <c r="D38" i="8"/>
  <c r="L38" i="8"/>
  <c r="C40" i="8"/>
  <c r="K40" i="8"/>
  <c r="F41" i="8"/>
  <c r="N41" i="8"/>
  <c r="C45" i="8"/>
  <c r="K45" i="8"/>
  <c r="C47" i="8"/>
  <c r="K47" i="8"/>
  <c r="C48" i="8"/>
  <c r="K48" i="8"/>
  <c r="C49" i="8"/>
  <c r="K49" i="8"/>
  <c r="C50" i="8"/>
  <c r="K50" i="8"/>
  <c r="C51" i="8"/>
  <c r="K51" i="8"/>
  <c r="C52" i="8"/>
  <c r="K52" i="8"/>
  <c r="C54" i="8"/>
  <c r="K54" i="8"/>
  <c r="K57" i="8"/>
  <c r="L58" i="8"/>
  <c r="D59" i="8"/>
  <c r="N59" i="8"/>
  <c r="M60" i="8"/>
  <c r="L61" i="8"/>
  <c r="F65" i="8"/>
  <c r="E66" i="8"/>
  <c r="D67" i="8"/>
  <c r="N67" i="8"/>
  <c r="M68" i="8"/>
  <c r="L69" i="8"/>
  <c r="M70" i="8"/>
  <c r="E72" i="8"/>
  <c r="M74" i="8"/>
  <c r="E76" i="8"/>
  <c r="M78" i="8"/>
  <c r="E80" i="8"/>
  <c r="M82" i="8"/>
  <c r="E84" i="8"/>
  <c r="M86" i="8"/>
  <c r="E88" i="8"/>
  <c r="M90" i="8"/>
  <c r="E92" i="8"/>
  <c r="C95" i="8"/>
  <c r="K97" i="8"/>
  <c r="C103" i="8"/>
  <c r="K105" i="8"/>
  <c r="L116" i="8"/>
  <c r="D122" i="8"/>
  <c r="G24" i="8" l="1"/>
  <c r="H24" i="8"/>
  <c r="I24" i="8"/>
  <c r="T25" i="8" s="1"/>
  <c r="F36" i="3"/>
  <c r="C35" i="3"/>
  <c r="E36" i="3"/>
  <c r="C36" i="3"/>
  <c r="E37" i="3"/>
  <c r="D35" i="3"/>
  <c r="D36" i="3"/>
  <c r="C37" i="3"/>
  <c r="D37" i="3"/>
  <c r="E35" i="3"/>
  <c r="F35" i="3"/>
  <c r="S57" i="8"/>
  <c r="S58" i="8"/>
  <c r="F37" i="3"/>
  <c r="S55" i="8"/>
  <c r="T55" i="8" s="1"/>
  <c r="G72" i="8"/>
  <c r="G93" i="8"/>
  <c r="I130" i="8"/>
  <c r="I68" i="8"/>
  <c r="I80" i="8"/>
  <c r="I42" i="8"/>
  <c r="G123" i="8"/>
  <c r="J39" i="8"/>
  <c r="I89" i="8"/>
  <c r="G42" i="8"/>
  <c r="J100" i="8"/>
  <c r="H122" i="8"/>
  <c r="G102" i="8"/>
  <c r="G77" i="8"/>
  <c r="G128" i="8"/>
  <c r="J90" i="8"/>
  <c r="I58" i="8"/>
  <c r="H46" i="8"/>
  <c r="H105" i="8"/>
  <c r="G31" i="8"/>
  <c r="G61" i="8"/>
  <c r="G83" i="8"/>
  <c r="G112" i="8"/>
  <c r="J57" i="8"/>
  <c r="J47" i="8"/>
  <c r="J103" i="8"/>
  <c r="I46" i="8"/>
  <c r="I110" i="8"/>
  <c r="H72" i="8"/>
  <c r="I73" i="8"/>
  <c r="G103" i="8"/>
  <c r="J52" i="8"/>
  <c r="H37" i="8"/>
  <c r="G35" i="8"/>
  <c r="G67" i="8"/>
  <c r="G88" i="8"/>
  <c r="G117" i="8"/>
  <c r="J123" i="8"/>
  <c r="I33" i="8"/>
  <c r="J53" i="8"/>
  <c r="J30" i="8"/>
  <c r="I67" i="8"/>
  <c r="H108" i="8"/>
  <c r="H104" i="8"/>
  <c r="H100" i="8"/>
  <c r="H96" i="8"/>
  <c r="H128" i="8"/>
  <c r="H120" i="8"/>
  <c r="H112" i="8"/>
  <c r="H117" i="8"/>
  <c r="H91" i="8"/>
  <c r="H87" i="8"/>
  <c r="H83" i="8"/>
  <c r="H79" i="8"/>
  <c r="H75" i="8"/>
  <c r="H71" i="8"/>
  <c r="H66" i="8"/>
  <c r="H53" i="8"/>
  <c r="H49" i="8"/>
  <c r="H45" i="8"/>
  <c r="H63" i="8"/>
  <c r="H25" i="8"/>
  <c r="G36" i="8"/>
  <c r="J63" i="8"/>
  <c r="J77" i="8"/>
  <c r="J93" i="8"/>
  <c r="I123" i="8"/>
  <c r="I115" i="8"/>
  <c r="I109" i="8"/>
  <c r="I105" i="8"/>
  <c r="I101" i="8"/>
  <c r="I97" i="8"/>
  <c r="I57" i="8"/>
  <c r="I124" i="8"/>
  <c r="I94" i="8"/>
  <c r="I86" i="8"/>
  <c r="I78" i="8"/>
  <c r="I70" i="8"/>
  <c r="I43" i="8"/>
  <c r="I36" i="8"/>
  <c r="I32" i="8"/>
  <c r="I118" i="8"/>
  <c r="I53" i="8"/>
  <c r="I49" i="8"/>
  <c r="I45" i="8"/>
  <c r="I79" i="8"/>
  <c r="I87" i="8"/>
  <c r="J130" i="8"/>
  <c r="J126" i="8"/>
  <c r="J122" i="8"/>
  <c r="J118" i="8"/>
  <c r="J114" i="8"/>
  <c r="J109" i="8"/>
  <c r="J101" i="8"/>
  <c r="J94" i="8"/>
  <c r="J55" i="8"/>
  <c r="J102" i="8"/>
  <c r="J88" i="8"/>
  <c r="J80" i="8"/>
  <c r="J72" i="8"/>
  <c r="J61" i="8"/>
  <c r="J38" i="8"/>
  <c r="H107" i="8"/>
  <c r="H103" i="8"/>
  <c r="H99" i="8"/>
  <c r="H95" i="8"/>
  <c r="H126" i="8"/>
  <c r="H118" i="8"/>
  <c r="H129" i="8"/>
  <c r="H113" i="8"/>
  <c r="H90" i="8"/>
  <c r="H86" i="8"/>
  <c r="H82" i="8"/>
  <c r="H78" i="8"/>
  <c r="H74" i="8"/>
  <c r="H70" i="8"/>
  <c r="H62" i="8"/>
  <c r="H52" i="8"/>
  <c r="H48" i="8"/>
  <c r="H44" i="8"/>
  <c r="H59" i="8"/>
  <c r="H31" i="8"/>
  <c r="I64" i="8"/>
  <c r="J73" i="8"/>
  <c r="J89" i="8"/>
  <c r="I129" i="8"/>
  <c r="I121" i="8"/>
  <c r="I113" i="8"/>
  <c r="I108" i="8"/>
  <c r="I104" i="8"/>
  <c r="I100" i="8"/>
  <c r="I96" i="8"/>
  <c r="I56" i="8"/>
  <c r="I120" i="8"/>
  <c r="I92" i="8"/>
  <c r="I84" i="8"/>
  <c r="I76" i="8"/>
  <c r="I69" i="8"/>
  <c r="I39" i="8"/>
  <c r="I35" i="8"/>
  <c r="I31" i="8"/>
  <c r="I66" i="8"/>
  <c r="I52" i="8"/>
  <c r="I48" i="8"/>
  <c r="I44" i="8"/>
  <c r="I71" i="8"/>
  <c r="I91" i="8"/>
  <c r="I59" i="8"/>
  <c r="J129" i="8"/>
  <c r="J125" i="8"/>
  <c r="J121" i="8"/>
  <c r="J117" i="8"/>
  <c r="J113" i="8"/>
  <c r="J107" i="8"/>
  <c r="J99" i="8"/>
  <c r="J68" i="8"/>
  <c r="J42" i="8"/>
  <c r="J98" i="8"/>
  <c r="J86" i="8"/>
  <c r="J78" i="8"/>
  <c r="J70" i="8"/>
  <c r="J58" i="8"/>
  <c r="J37" i="8"/>
  <c r="J50" i="8"/>
  <c r="I60" i="8"/>
  <c r="J79" i="8"/>
  <c r="J104" i="8"/>
  <c r="G130" i="8"/>
  <c r="G126" i="8"/>
  <c r="G122" i="8"/>
  <c r="G118" i="8"/>
  <c r="G114" i="8"/>
  <c r="G109" i="8"/>
  <c r="G101" i="8"/>
  <c r="G94" i="8"/>
  <c r="G90" i="8"/>
  <c r="G86" i="8"/>
  <c r="G82" i="8"/>
  <c r="G78" i="8"/>
  <c r="G74" i="8"/>
  <c r="G70" i="8"/>
  <c r="G66" i="8"/>
  <c r="G62" i="8"/>
  <c r="G110" i="8"/>
  <c r="G57" i="8"/>
  <c r="G25" i="8"/>
  <c r="H110" i="8"/>
  <c r="H106" i="8"/>
  <c r="H102" i="8"/>
  <c r="H98" i="8"/>
  <c r="H94" i="8"/>
  <c r="H124" i="8"/>
  <c r="H116" i="8"/>
  <c r="H125" i="8"/>
  <c r="H93" i="8"/>
  <c r="H89" i="8"/>
  <c r="H85" i="8"/>
  <c r="H81" i="8"/>
  <c r="H77" i="8"/>
  <c r="H73" i="8"/>
  <c r="H123" i="8"/>
  <c r="H58" i="8"/>
  <c r="H51" i="8"/>
  <c r="H47" i="8"/>
  <c r="H40" i="8"/>
  <c r="H57" i="8"/>
  <c r="H35" i="8"/>
  <c r="J46" i="8"/>
  <c r="H65" i="8"/>
  <c r="J85" i="8"/>
  <c r="I127" i="8"/>
  <c r="I119" i="8"/>
  <c r="I111" i="8"/>
  <c r="I107" i="8"/>
  <c r="I103" i="8"/>
  <c r="I99" i="8"/>
  <c r="I95" i="8"/>
  <c r="I55" i="8"/>
  <c r="I116" i="8"/>
  <c r="I90" i="8"/>
  <c r="I82" i="8"/>
  <c r="I74" i="8"/>
  <c r="I65" i="8"/>
  <c r="I38" i="8"/>
  <c r="I34" i="8"/>
  <c r="I30" i="8"/>
  <c r="I62" i="8"/>
  <c r="I51" i="8"/>
  <c r="I47" i="8"/>
  <c r="I40" i="8"/>
  <c r="I75" i="8"/>
  <c r="I83" i="8"/>
  <c r="J128" i="8"/>
  <c r="J124" i="8"/>
  <c r="J120" i="8"/>
  <c r="J116" i="8"/>
  <c r="J112" i="8"/>
  <c r="J105" i="8"/>
  <c r="J97" i="8"/>
  <c r="J64" i="8"/>
  <c r="J110" i="8"/>
  <c r="J92" i="8"/>
  <c r="J84" i="8"/>
  <c r="J76" i="8"/>
  <c r="J69" i="8"/>
  <c r="J43" i="8"/>
  <c r="J36" i="8"/>
  <c r="H64" i="8"/>
  <c r="H39" i="8"/>
  <c r="G56" i="8"/>
  <c r="G106" i="8"/>
  <c r="G63" i="8"/>
  <c r="G68" i="8"/>
  <c r="G73" i="8"/>
  <c r="G79" i="8"/>
  <c r="G84" i="8"/>
  <c r="G89" i="8"/>
  <c r="G95" i="8"/>
  <c r="G105" i="8"/>
  <c r="G113" i="8"/>
  <c r="G119" i="8"/>
  <c r="G124" i="8"/>
  <c r="G129" i="8"/>
  <c r="J75" i="8"/>
  <c r="J67" i="8"/>
  <c r="J54" i="8"/>
  <c r="J51" i="8"/>
  <c r="J65" i="8"/>
  <c r="J106" i="8"/>
  <c r="J111" i="8"/>
  <c r="J127" i="8"/>
  <c r="I50" i="8"/>
  <c r="I37" i="8"/>
  <c r="I88" i="8"/>
  <c r="I98" i="8"/>
  <c r="I117" i="8"/>
  <c r="J81" i="8"/>
  <c r="G34" i="8"/>
  <c r="G32" i="8"/>
  <c r="H50" i="8"/>
  <c r="H76" i="8"/>
  <c r="H92" i="8"/>
  <c r="H130" i="8"/>
  <c r="H109" i="8"/>
  <c r="J108" i="8"/>
  <c r="I93" i="8"/>
  <c r="I77" i="8"/>
  <c r="H111" i="8"/>
  <c r="G100" i="8"/>
  <c r="I81" i="8"/>
  <c r="I63" i="8"/>
  <c r="J56" i="8"/>
  <c r="G53" i="8"/>
  <c r="G44" i="8"/>
  <c r="H30" i="8"/>
  <c r="S25" i="8"/>
  <c r="G41" i="8"/>
  <c r="G59" i="8"/>
  <c r="G64" i="8"/>
  <c r="G69" i="8"/>
  <c r="G75" i="8"/>
  <c r="G80" i="8"/>
  <c r="G85" i="8"/>
  <c r="G91" i="8"/>
  <c r="G97" i="8"/>
  <c r="G107" i="8"/>
  <c r="G115" i="8"/>
  <c r="G120" i="8"/>
  <c r="G125" i="8"/>
  <c r="I114" i="8"/>
  <c r="J91" i="8"/>
  <c r="J49" i="8"/>
  <c r="J74" i="8"/>
  <c r="J60" i="8"/>
  <c r="J115" i="8"/>
  <c r="I54" i="8"/>
  <c r="I61" i="8"/>
  <c r="I112" i="8"/>
  <c r="I102" i="8"/>
  <c r="I125" i="8"/>
  <c r="H41" i="8"/>
  <c r="H54" i="8"/>
  <c r="H80" i="8"/>
  <c r="H121" i="8"/>
  <c r="H97" i="8"/>
  <c r="H127" i="8"/>
  <c r="G108" i="8"/>
  <c r="I85" i="8"/>
  <c r="J62" i="8"/>
  <c r="H55" i="8"/>
  <c r="G46" i="8"/>
  <c r="H43" i="8"/>
  <c r="J33" i="8"/>
  <c r="G98" i="8"/>
  <c r="G60" i="8"/>
  <c r="G65" i="8"/>
  <c r="G71" i="8"/>
  <c r="G76" i="8"/>
  <c r="G81" i="8"/>
  <c r="G87" i="8"/>
  <c r="G92" i="8"/>
  <c r="G99" i="8"/>
  <c r="G111" i="8"/>
  <c r="G116" i="8"/>
  <c r="G121" i="8"/>
  <c r="G127" i="8"/>
  <c r="J96" i="8"/>
  <c r="J59" i="8"/>
  <c r="J48" i="8"/>
  <c r="J45" i="8"/>
  <c r="J40" i="8"/>
  <c r="J82" i="8"/>
  <c r="J95" i="8"/>
  <c r="J119" i="8"/>
  <c r="I126" i="8"/>
  <c r="I72" i="8"/>
  <c r="I128" i="8"/>
  <c r="I106" i="8"/>
  <c r="J44" i="8"/>
  <c r="I41" i="8"/>
  <c r="H67" i="8"/>
  <c r="H115" i="8"/>
  <c r="H84" i="8"/>
  <c r="H114" i="8"/>
  <c r="H101" i="8"/>
  <c r="K26" i="8"/>
  <c r="S34" i="8"/>
  <c r="F26" i="8"/>
  <c r="F27" i="8"/>
  <c r="N27" i="8"/>
  <c r="N26" i="8"/>
  <c r="V33" i="8"/>
  <c r="W24" i="8" s="1"/>
  <c r="X35" i="8" s="1"/>
  <c r="C71" i="9"/>
  <c r="J69" i="9"/>
  <c r="I69" i="9"/>
  <c r="K69" i="9"/>
  <c r="E27" i="8"/>
  <c r="E26" i="8"/>
  <c r="J87" i="8"/>
  <c r="K27" i="8"/>
  <c r="K70" i="9"/>
  <c r="J70" i="9"/>
  <c r="I70" i="9"/>
  <c r="L27" i="8"/>
  <c r="L26" i="8"/>
  <c r="C27" i="8"/>
  <c r="C26" i="8"/>
  <c r="M27" i="8"/>
  <c r="M26" i="8"/>
  <c r="D26" i="8"/>
  <c r="D27" i="8"/>
  <c r="K41" i="9"/>
  <c r="S56" i="8"/>
  <c r="H61" i="8"/>
  <c r="H56" i="8"/>
  <c r="G55" i="8"/>
  <c r="G43" i="8"/>
  <c r="H42" i="8"/>
  <c r="G39" i="8"/>
  <c r="G37" i="8"/>
  <c r="R25" i="8"/>
  <c r="T34" i="8" s="1"/>
  <c r="R56" i="8"/>
  <c r="G52" i="8"/>
  <c r="G51" i="8"/>
  <c r="G50" i="8"/>
  <c r="G47" i="8"/>
  <c r="G45" i="8"/>
  <c r="G40" i="8"/>
  <c r="H36" i="8"/>
  <c r="J35" i="8"/>
  <c r="H119" i="8"/>
  <c r="G104" i="8"/>
  <c r="G96" i="8"/>
  <c r="H68" i="8"/>
  <c r="J66" i="8"/>
  <c r="G58" i="8"/>
  <c r="G48" i="8"/>
  <c r="J41" i="8"/>
  <c r="H38" i="8"/>
  <c r="J31" i="8"/>
  <c r="I25" i="8"/>
  <c r="U25" i="8"/>
  <c r="K16" i="3"/>
  <c r="F4" i="3"/>
  <c r="H69" i="8"/>
  <c r="H33" i="8"/>
  <c r="G30" i="8"/>
  <c r="J25" i="8"/>
  <c r="H60" i="8"/>
  <c r="G54" i="8"/>
  <c r="G49" i="8"/>
  <c r="H34" i="8"/>
  <c r="G33" i="8"/>
  <c r="H32" i="8"/>
  <c r="J83" i="8"/>
  <c r="J71" i="8"/>
  <c r="J32" i="8"/>
  <c r="G38" i="8"/>
  <c r="I122" i="8"/>
  <c r="I41" i="9"/>
  <c r="J34" i="8"/>
  <c r="U55" i="8" l="1"/>
  <c r="I27" i="8"/>
  <c r="H26" i="8"/>
  <c r="H27" i="8"/>
  <c r="J26" i="8"/>
  <c r="I26" i="8"/>
  <c r="J27" i="8"/>
  <c r="K71" i="9"/>
  <c r="J71" i="9"/>
  <c r="I71" i="9"/>
  <c r="U34" i="8"/>
  <c r="V25" i="8"/>
  <c r="G27" i="8"/>
  <c r="G26" i="8"/>
  <c r="S35" i="8" l="1"/>
  <c r="V26" i="8" s="1"/>
  <c r="T56" i="8"/>
  <c r="V34" i="8"/>
  <c r="W25" i="8" s="1"/>
  <c r="V27" i="8" l="1"/>
  <c r="N4" i="3" s="1"/>
  <c r="U56" i="8"/>
  <c r="T57" i="8"/>
  <c r="V35" i="8"/>
  <c r="X33" i="8"/>
  <c r="X25" i="8" s="1"/>
  <c r="W34" i="8" s="1"/>
  <c r="U35" i="8"/>
  <c r="T58" i="8"/>
  <c r="W26" i="8" l="1"/>
  <c r="V28" i="8"/>
  <c r="Z34" i="8"/>
  <c r="V56" i="8"/>
  <c r="W27" i="8" l="1"/>
  <c r="W28" i="8" s="1"/>
  <c r="N5" i="3"/>
  <c r="C12" i="9" s="1"/>
  <c r="U58" i="8"/>
  <c r="U57" i="8"/>
  <c r="X34" i="8"/>
  <c r="X26" i="8" s="1"/>
  <c r="Z33" i="8" s="1"/>
  <c r="Y26" i="8" s="1"/>
  <c r="Y34" i="8" s="1"/>
  <c r="C11" i="9"/>
  <c r="O4" i="3"/>
  <c r="R41" i="8" l="1"/>
  <c r="AA26" i="8"/>
  <c r="P12" i="3" s="1"/>
  <c r="D60" i="9"/>
  <c r="C35" i="9"/>
  <c r="W35" i="8"/>
  <c r="X24" i="8" s="1"/>
  <c r="O5" i="3"/>
  <c r="V57" i="8"/>
  <c r="V41" i="8"/>
  <c r="W41" i="8" s="1"/>
  <c r="X41" i="8"/>
  <c r="Y41" i="8" s="1"/>
  <c r="C34" i="9"/>
  <c r="C54" i="9"/>
  <c r="X57" i="8"/>
  <c r="T41" i="8"/>
  <c r="U41" i="8" s="1"/>
  <c r="W57" i="8"/>
  <c r="S41" i="8"/>
  <c r="Y25" i="8"/>
  <c r="AA25" i="8" s="1"/>
  <c r="Z26" i="8"/>
  <c r="K12" i="3" s="1"/>
  <c r="P11" i="3" l="1"/>
  <c r="P16" i="3"/>
  <c r="V58" i="8"/>
  <c r="I60" i="9"/>
  <c r="J60" i="9"/>
  <c r="K35" i="9"/>
  <c r="J35" i="9"/>
  <c r="I35" i="9"/>
  <c r="K60" i="9"/>
  <c r="Z35" i="8"/>
  <c r="V55" i="8"/>
  <c r="X27" i="8"/>
  <c r="N6" i="3" s="1"/>
  <c r="Z41" i="8"/>
  <c r="R49" i="8" s="1"/>
  <c r="T49" i="8" s="1"/>
  <c r="O12" i="3" s="1"/>
  <c r="V40" i="8"/>
  <c r="W40" i="8" s="1"/>
  <c r="W43" i="8" s="1"/>
  <c r="X56" i="8"/>
  <c r="R40" i="8"/>
  <c r="S40" i="8" s="1"/>
  <c r="Z25" i="8"/>
  <c r="K11" i="3" s="1"/>
  <c r="X40" i="8"/>
  <c r="Y40" i="8" s="1"/>
  <c r="Y43" i="8" s="1"/>
  <c r="T40" i="8"/>
  <c r="U40" i="8" s="1"/>
  <c r="U43" i="8" s="1"/>
  <c r="W56" i="8"/>
  <c r="Y35" i="8"/>
  <c r="K34" i="9"/>
  <c r="I34" i="9"/>
  <c r="J34" i="9"/>
  <c r="M12" i="3"/>
  <c r="L12" i="3"/>
  <c r="K54" i="9"/>
  <c r="J54" i="9"/>
  <c r="I54" i="9"/>
  <c r="D61" i="9" l="1"/>
  <c r="J61" i="9" s="1"/>
  <c r="C13" i="9"/>
  <c r="X28" i="8"/>
  <c r="Y24" i="8"/>
  <c r="R39" i="8" s="1"/>
  <c r="S39" i="8" s="1"/>
  <c r="S49" i="8"/>
  <c r="N12" i="3" s="1"/>
  <c r="L16" i="3"/>
  <c r="M16" i="3" s="1"/>
  <c r="M11" i="3"/>
  <c r="L11" i="3"/>
  <c r="O6" i="3"/>
  <c r="S43" i="8"/>
  <c r="Z43" i="8" s="1"/>
  <c r="R51" i="8" s="1"/>
  <c r="Z40" i="8"/>
  <c r="R48" i="8" s="1"/>
  <c r="T39" i="8" l="1"/>
  <c r="U39" i="8" s="1"/>
  <c r="U42" i="8" s="1"/>
  <c r="Z24" i="8"/>
  <c r="K10" i="3" s="1"/>
  <c r="L10" i="3" s="1"/>
  <c r="AA24" i="8"/>
  <c r="I61" i="9"/>
  <c r="K61" i="9"/>
  <c r="C57" i="9"/>
  <c r="X39" i="8"/>
  <c r="Y39" i="8" s="1"/>
  <c r="Y42" i="8" s="1"/>
  <c r="X55" i="8"/>
  <c r="V39" i="8"/>
  <c r="W39" i="8" s="1"/>
  <c r="W42" i="8" s="1"/>
  <c r="W58" i="8"/>
  <c r="Y27" i="8"/>
  <c r="N7" i="3" s="1"/>
  <c r="S42" i="8"/>
  <c r="W55" i="8"/>
  <c r="U49" i="8"/>
  <c r="S48" i="8"/>
  <c r="N11" i="3" s="1"/>
  <c r="T48" i="8"/>
  <c r="O11" i="3" s="1"/>
  <c r="S51" i="8"/>
  <c r="N16" i="3" s="1"/>
  <c r="T51" i="8"/>
  <c r="O16" i="3" s="1"/>
  <c r="C36" i="9"/>
  <c r="C56" i="9"/>
  <c r="P10" i="3" l="1"/>
  <c r="P15" i="3"/>
  <c r="AA27" i="8"/>
  <c r="C14" i="9"/>
  <c r="C58" i="9" s="1"/>
  <c r="L19" i="3"/>
  <c r="Y56" i="8"/>
  <c r="J57" i="9"/>
  <c r="K57" i="9"/>
  <c r="I57" i="9"/>
  <c r="Y55" i="8"/>
  <c r="Z42" i="8"/>
  <c r="R50" i="8" s="1"/>
  <c r="T50" i="8" s="1"/>
  <c r="O15" i="3" s="1"/>
  <c r="N19" i="3" s="1"/>
  <c r="I68" i="9" s="1"/>
  <c r="Y57" i="8"/>
  <c r="Z39" i="8"/>
  <c r="R47" i="8" s="1"/>
  <c r="Z27" i="8"/>
  <c r="Y28" i="8"/>
  <c r="U51" i="8"/>
  <c r="U48" i="8"/>
  <c r="K56" i="9"/>
  <c r="J56" i="9"/>
  <c r="I56" i="9"/>
  <c r="O7" i="3"/>
  <c r="I20" i="9"/>
  <c r="J22" i="9" s="1"/>
  <c r="I36" i="9"/>
  <c r="K36" i="9"/>
  <c r="J36" i="9"/>
  <c r="C37" i="9" l="1"/>
  <c r="S47" i="8"/>
  <c r="N10" i="3" s="1"/>
  <c r="M10" i="3"/>
  <c r="M19" i="3"/>
  <c r="J68" i="9" s="1"/>
  <c r="I22" i="9"/>
  <c r="K22" i="9"/>
  <c r="I37" i="9"/>
  <c r="I30" i="9" s="1"/>
  <c r="I21" i="9" s="1"/>
  <c r="K37" i="9"/>
  <c r="K30" i="9" s="1"/>
  <c r="K21" i="9" s="1"/>
  <c r="J37" i="9"/>
  <c r="J30" i="9" s="1"/>
  <c r="J21" i="9" s="1"/>
  <c r="S50" i="8"/>
  <c r="N15" i="3" s="1"/>
  <c r="O19" i="3" s="1"/>
  <c r="K68" i="9" s="1"/>
  <c r="L15" i="3"/>
  <c r="M15" i="3" s="1"/>
  <c r="C73" i="9"/>
  <c r="C72" i="9"/>
  <c r="K24" i="9"/>
  <c r="I24" i="9"/>
  <c r="J24" i="9"/>
  <c r="J23" i="9"/>
  <c r="K23" i="9"/>
  <c r="I23" i="9"/>
  <c r="C55" i="9"/>
  <c r="U47" i="8" l="1"/>
  <c r="T47" i="8"/>
  <c r="O10" i="3" s="1"/>
  <c r="U50" i="8"/>
  <c r="K58" i="9"/>
  <c r="J58" i="9"/>
  <c r="I58" i="9"/>
  <c r="K72" i="9"/>
  <c r="J72" i="9"/>
  <c r="I72" i="9"/>
  <c r="K55" i="9"/>
  <c r="J55" i="9"/>
  <c r="I55" i="9"/>
  <c r="K73" i="9"/>
  <c r="I73" i="9"/>
  <c r="J73" i="9"/>
  <c r="K25" i="9" l="1"/>
  <c r="I25" i="9"/>
  <c r="J25" i="9"/>
  <c r="J53" i="9"/>
  <c r="J64" i="9" s="1"/>
  <c r="K53" i="9"/>
  <c r="K67" i="9"/>
  <c r="K75" i="9"/>
  <c r="I67" i="9"/>
  <c r="I75" i="9"/>
  <c r="I53" i="9"/>
  <c r="J75" i="9"/>
  <c r="J67" i="9"/>
  <c r="K64" i="9" l="1"/>
  <c r="K77" i="9" s="1"/>
  <c r="I26" i="9"/>
  <c r="K26" i="9"/>
  <c r="J77" i="9"/>
  <c r="J26" i="9"/>
  <c r="I64" i="9"/>
  <c r="I77" i="9" s="1"/>
  <c r="I78" i="9" l="1"/>
  <c r="K11" i="9"/>
  <c r="K24" i="3" s="1"/>
  <c r="K78" i="9"/>
  <c r="K12" i="9"/>
  <c r="K25" i="3" s="1"/>
  <c r="K23" i="3"/>
  <c r="J78" i="9"/>
  <c r="K10" i="9"/>
  <c r="K5" i="9" l="1"/>
  <c r="K22" i="3"/>
  <c r="J18" i="9"/>
  <c r="K18" i="9"/>
  <c r="K7" i="9"/>
  <c r="I18" i="9"/>
  <c r="K6" i="9"/>
</calcChain>
</file>

<file path=xl/sharedStrings.xml><?xml version="1.0" encoding="utf-8"?>
<sst xmlns="http://schemas.openxmlformats.org/spreadsheetml/2006/main" count="428" uniqueCount="285">
  <si>
    <t>CP</t>
  </si>
  <si>
    <t>DD</t>
  </si>
  <si>
    <t>CVR</t>
  </si>
  <si>
    <t>ORV</t>
  </si>
  <si>
    <t>Probability of Vaccination</t>
  </si>
  <si>
    <t>Confined</t>
  </si>
  <si>
    <t>Sometimes Confined</t>
  </si>
  <si>
    <t>Never Confined</t>
  </si>
  <si>
    <t xml:space="preserve">Vaccination Doses by Strategy </t>
  </si>
  <si>
    <t>Demand</t>
  </si>
  <si>
    <t>Lower</t>
  </si>
  <si>
    <t>Upper</t>
  </si>
  <si>
    <t>Weighted stdev</t>
  </si>
  <si>
    <t>% DD</t>
  </si>
  <si>
    <t>%CP</t>
  </si>
  <si>
    <t>%CVR</t>
  </si>
  <si>
    <t>%ORV</t>
  </si>
  <si>
    <t>w_SD</t>
  </si>
  <si>
    <t>Total SD</t>
  </si>
  <si>
    <t>Vaccination Efficiency</t>
  </si>
  <si>
    <t>Pop</t>
  </si>
  <si>
    <t>Vax Dif</t>
  </si>
  <si>
    <t>Ratio</t>
  </si>
  <si>
    <t>CP Ratio</t>
  </si>
  <si>
    <t>DD Ratio</t>
  </si>
  <si>
    <t>CVR Ratio</t>
  </si>
  <si>
    <t>ORV Ratio</t>
  </si>
  <si>
    <t>Total</t>
  </si>
  <si>
    <t>Central Point: Dogs/person/day</t>
  </si>
  <si>
    <t>Door to Door: Dogs/person/day</t>
  </si>
  <si>
    <t>CVR: Dogs/person/day</t>
  </si>
  <si>
    <t>Oral Vaccination: Dogs/person/day</t>
  </si>
  <si>
    <t>Central Point</t>
  </si>
  <si>
    <t>Door to Door</t>
  </si>
  <si>
    <t>Oral Vaccination</t>
  </si>
  <si>
    <t>Other costs</t>
  </si>
  <si>
    <t>Summary of dog vaccination costs (per dog vaccinated)</t>
  </si>
  <si>
    <t xml:space="preserve">Lower bound </t>
  </si>
  <si>
    <t>Average</t>
  </si>
  <si>
    <t>Upper bound</t>
  </si>
  <si>
    <t>Average cost per dog vaccinated (calculated using worksheet)</t>
  </si>
  <si>
    <t>Human resources</t>
  </si>
  <si>
    <t>Transport costs</t>
  </si>
  <si>
    <t>Awareness campaign</t>
  </si>
  <si>
    <t> Item</t>
  </si>
  <si>
    <t>Units</t>
  </si>
  <si>
    <t>Work days</t>
  </si>
  <si>
    <t>Price/Unit</t>
  </si>
  <si>
    <t>Total cost</t>
  </si>
  <si>
    <t>Workers participating in campaign (per diem)</t>
  </si>
  <si>
    <t>Informational supervisor</t>
  </si>
  <si>
    <t>Driver</t>
  </si>
  <si>
    <t>Other Personnel</t>
  </si>
  <si>
    <t>Transportation</t>
  </si>
  <si>
    <t>Gasoline</t>
  </si>
  <si>
    <t>Maintenance vehicle</t>
  </si>
  <si>
    <t>Public transport</t>
  </si>
  <si>
    <t xml:space="preserve">Awareness campaign </t>
  </si>
  <si>
    <t>Media (e.g. posters)</t>
  </si>
  <si>
    <t>N/A</t>
  </si>
  <si>
    <t>Air time (radio, car with speakers, etc.)</t>
  </si>
  <si>
    <t>Tables</t>
  </si>
  <si>
    <t>Coolers</t>
  </si>
  <si>
    <t>Dog handling (e.g., muzzles)</t>
  </si>
  <si>
    <t>First-aid</t>
  </si>
  <si>
    <t>Other equipment / supplies</t>
  </si>
  <si>
    <t>Total fixed costs </t>
  </si>
  <si>
    <t>Dog vaccinations</t>
  </si>
  <si>
    <t>Percent vaccine wastage</t>
  </si>
  <si>
    <t>Syringes and needles</t>
  </si>
  <si>
    <t>Vaccination certificates</t>
  </si>
  <si>
    <t>Dog marking</t>
  </si>
  <si>
    <t>Total variable costs</t>
  </si>
  <si>
    <t>Total costs</t>
  </si>
  <si>
    <t>Average cost per dog vaccinated</t>
  </si>
  <si>
    <t>Notes</t>
  </si>
  <si>
    <t>Estimates of cost per dog vaccinated from previous studies</t>
  </si>
  <si>
    <t>Location</t>
  </si>
  <si>
    <t>Author</t>
  </si>
  <si>
    <t>Estimate (US$)</t>
  </si>
  <si>
    <t>N'Djamena, Chad</t>
  </si>
  <si>
    <t>Kayali et al 2006</t>
  </si>
  <si>
    <t>Rural Tanzania (pastoralist and agro-pastolarist villages)</t>
  </si>
  <si>
    <t>Kaare et al 2009</t>
  </si>
  <si>
    <t>Petchabun, Thailand</t>
  </si>
  <si>
    <t>Knobel et al 2005</t>
  </si>
  <si>
    <t>Dar es Salaam, Tanzania</t>
  </si>
  <si>
    <t>Hatch et al 2016</t>
  </si>
  <si>
    <t>Bohol, Visayas Islands, Philippines</t>
  </si>
  <si>
    <t>Lapiz et al 2012</t>
  </si>
  <si>
    <t>Bhutan</t>
  </si>
  <si>
    <t>Tenzin et al 2012</t>
  </si>
  <si>
    <t xml:space="preserve">* All costs shown are in 2015 US dollars using US gross domestic product implicit price deflators. </t>
  </si>
  <si>
    <t>Kayali U, Mindekem R, Hutton G, Ndoutamia A, Zinsstag J. Cost‐description of a pilot parenteral vaccination campaign against rabies in dogs in N'Djaména, Chad. Trop Med Int Health (2006) 11(7):1058-65.</t>
  </si>
  <si>
    <t>Kaare M, Lembo T, Hampson K, Ernest E, Estes A, Mentzel C, et al. Rabies control in rural Africa: evaluating strategies for effective domestic dog vaccination. Vaccine (2009) 27(1):152-60.</t>
  </si>
  <si>
    <t>Lapiz SMD, Miranda MEG, Garcia RG, Daguro LI, Paman MD, Madrinan FP, et al. Implementation of an intersectoral program to eliminate human and canine rabies: the Bohol Rabies Prevention and Elimination Project. PLoS Negl Trop Dis (2012) 6(12):e1891.</t>
  </si>
  <si>
    <t>Hatch B, Anderson A, Sambo M, Maziku M, Mchau G, Mbunda E, et al. Towards Canine Rabies Elimination in South‐Eastern Tanzania: Assessment of Health Economic Data. Transbound Emerg Dis (2016).</t>
  </si>
  <si>
    <t>Knobel DL, Cleaveland S, Coleman PG, Fèvre EM, Meltzer MI, Miranda MEG, et al. Re-evaluating the burden of rabies in Africa and Asia. Bull WHO (2005) 83(5):360-8.</t>
  </si>
  <si>
    <t>Tenzin, Wangdi K, Ward MP. Human and animal rabies prevention and control cost in Bhutan, 2001–2008: The cost–benefit of dog rabies elimination. Vaccine (2012) 31(1):260-70.</t>
  </si>
  <si>
    <t>Program manager</t>
  </si>
  <si>
    <t>Central Point technician</t>
  </si>
  <si>
    <t>Door to Door technician</t>
  </si>
  <si>
    <t xml:space="preserve">US Department of Commerce BoEA. National income and product account tables. Table 1.1.9 Implicit price deflators for Gross Domestic Product (2015) [cited 2015 22 December]. 
Available from: http://www.bea.gov/iTable/iTable.cfm?reqid=9&amp;step=3&amp;isuri=1&amp;903=13#reqid=9&amp;step=3&amp;isuri=1&amp;904=2000&amp;903=13&amp;906=a&amp;905=2015&amp;910=x&amp;911=0 </t>
  </si>
  <si>
    <t>Total Campaign Cost</t>
  </si>
  <si>
    <t>Cost per Dog Vaccinated</t>
  </si>
  <si>
    <t xml:space="preserve">Equipment </t>
  </si>
  <si>
    <t>Central Vaccine Storage</t>
  </si>
  <si>
    <t>Dog vaccines (consumables)</t>
  </si>
  <si>
    <t>Duration of campaign</t>
  </si>
  <si>
    <t>Personnel required for each vaccination strategy</t>
  </si>
  <si>
    <t>Total dogs vaccinated in pilot campaign</t>
  </si>
  <si>
    <t>References used in the worksheet to estimate the default values utilized</t>
  </si>
  <si>
    <t>Vaccines (Parenteral)</t>
  </si>
  <si>
    <t>Vaccines (Oral)</t>
  </si>
  <si>
    <t>Government perspective</t>
  </si>
  <si>
    <t>*This spreasheet is a beta test version. It has not been officially cleared by the funding agency. The use of this version is for testing purposes only. The methodology used, findings, and conclusions produced from this software are those of the authors and do not necessarily represent the views of the Centers for Disease Control and Prevention.</t>
  </si>
  <si>
    <r>
      <rPr>
        <b/>
        <sz val="11"/>
        <color rgb="FF002060"/>
        <rFont val="Calibri"/>
        <family val="2"/>
        <scheme val="minor"/>
      </rPr>
      <t xml:space="preserve">Affiliation: </t>
    </r>
    <r>
      <rPr>
        <sz val="11"/>
        <color rgb="FF002060"/>
        <rFont val="Calibri"/>
        <family val="2"/>
        <scheme val="minor"/>
      </rPr>
      <t>Poxvirus and Rabies Branch (PRB), Division of High Consequence Pathogens and Pathology (DHCPP), National Center for Emerging and Zoonotic Infectious Diseases (NCEZID)</t>
    </r>
  </si>
  <si>
    <r>
      <rPr>
        <b/>
        <sz val="11"/>
        <color indexed="56"/>
        <rFont val="Calibri"/>
        <family val="2"/>
      </rPr>
      <t>Authors</t>
    </r>
    <r>
      <rPr>
        <sz val="11"/>
        <color indexed="56"/>
        <rFont val="Calibri"/>
        <family val="2"/>
      </rPr>
      <t>:     Ryan M. Wallace and Jesse D. Blanton</t>
    </r>
  </si>
  <si>
    <t>Important definitions and clarifications</t>
  </si>
  <si>
    <t>DD clinics are more labor intensive, but do not require the owner to bring the dog to a centralized point. This method allows reaching owners of aggressive or overly shy dogs, and dog owners that were not aware of an ongoing dog vaccination campaign. However, as with CP, DD vaccination is unlikely to reach community owned and stray dogs. Similarly, owned dogs that are allowed to roam freely may not be at home when the vaccinators arrive.</t>
  </si>
  <si>
    <t>CVR programs can be successful at reaching free roaming dogs, including owned and stray dogs. Free roaming dogs are the largest contributor to enzootic rabies transmission; thus CVR programs target the highest rabies-risk dog population, but  require a skilled workforce to capture and vaccinate dogs, can be more labor intensive, and may be more costly than DD and CP vaccination strategies. CVR should only be conducted under conditions which utilize humane methods and equipment that ensure the safety of both the animal and the vaccinator.</t>
  </si>
  <si>
    <t>ORV is still a developing technology; it has not been widely adopted nor has it been shown to be successful as a singular vaccination method. However, recent advances in ORV technology have shown great promise, and field studies have shown that ORV in combination with DD and CP strategies can improve the vaccination coverage of the dog population.</t>
  </si>
  <si>
    <t>1. Methods of dog vaccination</t>
  </si>
  <si>
    <t>Capture, vaccinate, and release (CVR)</t>
  </si>
  <si>
    <t>Oral rabies vaccination (ORV)</t>
  </si>
  <si>
    <t>Updated:</t>
  </si>
  <si>
    <t>Study perspective:</t>
  </si>
  <si>
    <t xml:space="preserve">Government </t>
  </si>
  <si>
    <t>Instructions:</t>
  </si>
  <si>
    <t>Blue tabs indicate sheets were program data are required</t>
  </si>
  <si>
    <t>White cell: user can modify content</t>
  </si>
  <si>
    <t>Grey cell: do not modify content</t>
  </si>
  <si>
    <t>Uses community engagement to encourage people to bring their dogs to a centralized location where vaccinators have established a temporary dog vaccination clinic. Owned dogs and dogs which are always or partially confined to an owner’s control are typically favored by this vaccination method. Free roaming dogs may not be readily handled by dog owners and are thus less likely to be reached by this method. Likewise, community owned and stray dogs typically have no person or family which feels responsibility to bring these dogs to a central point vaccination clinic.</t>
  </si>
  <si>
    <t>Instructions and definitions</t>
  </si>
  <si>
    <t>2. Confinement status</t>
  </si>
  <si>
    <t>Semi-confined dogs</t>
  </si>
  <si>
    <t>Never-confined dogs</t>
  </si>
  <si>
    <t>Free roaming dogs</t>
  </si>
  <si>
    <t xml:space="preserve">Include all semi-confined and never confined dogs in a community. </t>
  </si>
  <si>
    <t xml:space="preserve"> Total number of dogs multiplied by the probability that the dog category would become vaccinated.</t>
  </si>
  <si>
    <t>The probability that a dog will be vaccinated is dependent on the method of the campaign that is undertaken. CP and DD campaigns will have a higher probability of reaching confined and semi-confined dogs and will have a lower probability of reaching dogs which are never confined. CV R and ORV will have a higher probability of reaching dogs that are on the streets. Few studies have looked at vaccination coverage by method and the confinement status of the dog. The probability table should be completed to the best ability of the user, understanding that exact probability values are likely not available.</t>
  </si>
  <si>
    <t xml:space="preserve">Vaccination methods were ranked based on their ability to reach dogs, startified by confinement status. The rank order determines which dogs have first access to the vaccines. When either the number of vaccines in demand are reached or all dogs of the higher ranked status are predicted to be vaccinated, the remaining vaccines become available to the next highest ranked dog category. </t>
  </si>
  <si>
    <t>Rank order</t>
  </si>
  <si>
    <t>3. Methodological clarifications and assumptions</t>
  </si>
  <si>
    <t>Number vaccines that would be predicted to be left over after the vaccination campaign. Wastage is stratified by vaccination method.</t>
  </si>
  <si>
    <t>Vaccine wastage</t>
  </si>
  <si>
    <t>References used in the spreadsheet</t>
  </si>
  <si>
    <t>Vaccination Method*</t>
  </si>
  <si>
    <t>Score</t>
  </si>
  <si>
    <t>Upper &lt;</t>
  </si>
  <si>
    <t>Vaccination strategy*</t>
  </si>
  <si>
    <t>Calculations worksheet</t>
  </si>
  <si>
    <t>Vax %</t>
  </si>
  <si>
    <t>Transformation of input data from user</t>
  </si>
  <si>
    <t>Stand dev</t>
  </si>
  <si>
    <t>*Vaccination strategies = CP: central point / fixed point vaccination. CVR: Capture, vaccinate, and release. DD: door to door. ORV: Oral rabies vaccination</t>
  </si>
  <si>
    <t xml:space="preserve">Total </t>
  </si>
  <si>
    <t>Check</t>
  </si>
  <si>
    <t>Total vax</t>
  </si>
  <si>
    <t>Rank</t>
  </si>
  <si>
    <t>Dog Type</t>
  </si>
  <si>
    <t>Availability</t>
  </si>
  <si>
    <t>Estimated demand for vaccines and total vaccinated dogs</t>
  </si>
  <si>
    <t>Total vaccinated</t>
  </si>
  <si>
    <t>Estimated demand and availability of vaccines by rank</t>
  </si>
  <si>
    <t>Conf</t>
  </si>
  <si>
    <t>Delt (%)</t>
  </si>
  <si>
    <t>Vax threshold</t>
  </si>
  <si>
    <t>Response</t>
  </si>
  <si>
    <r>
      <t xml:space="preserve">Lower </t>
    </r>
    <r>
      <rPr>
        <b/>
        <sz val="11"/>
        <color theme="0"/>
        <rFont val="Calibri"/>
        <family val="2"/>
      </rPr>
      <t>≥</t>
    </r>
  </si>
  <si>
    <t>User's confidence</t>
  </si>
  <si>
    <t>Eq. score</t>
  </si>
  <si>
    <t>Weights</t>
  </si>
  <si>
    <t>GDREP phases</t>
  </si>
  <si>
    <t>Wallace RM, Undurraga EA, Blanton JD, Cleaton J, Franka R, 2017. Elimination of dog-mediated rabies deaths by 2030: needs assessment and alternatives for progress based on dog vaccination. Front. Vet. Sci. 4:9. doi: 10.3389/fvets.2017.00009</t>
  </si>
  <si>
    <r>
      <t>GDREP</t>
    </r>
    <r>
      <rPr>
        <b/>
        <sz val="11"/>
        <color theme="1"/>
        <rFont val="Calibri"/>
        <family val="2"/>
      </rPr>
      <t>§</t>
    </r>
    <r>
      <rPr>
        <b/>
        <sz val="11"/>
        <color theme="1"/>
        <rFont val="Calibri"/>
        <family val="2"/>
        <scheme val="minor"/>
      </rPr>
      <t xml:space="preserve"> phase:</t>
    </r>
  </si>
  <si>
    <t>§ GDREP stands for Global Dog Rabies Elimination Pathway. See Wallace et al. 2017 for details.</t>
  </si>
  <si>
    <t>Vax coverage</t>
  </si>
  <si>
    <t>Lower bound</t>
  </si>
  <si>
    <t>Part 1: Reference numbers and assumptions</t>
  </si>
  <si>
    <t>Part 2: Calculations</t>
  </si>
  <si>
    <t>Phase III</t>
  </si>
  <si>
    <t>GDREP Phase</t>
  </si>
  <si>
    <t>Eq. number</t>
  </si>
  <si>
    <t>Suggested values:</t>
  </si>
  <si>
    <t>Procured</t>
  </si>
  <si>
    <t>Results: calculated values</t>
  </si>
  <si>
    <t>Used</t>
  </si>
  <si>
    <t>Unused</t>
  </si>
  <si>
    <t>Free roaming</t>
  </si>
  <si>
    <t>Vaccinated</t>
  </si>
  <si>
    <t>Unvaccinated</t>
  </si>
  <si>
    <t xml:space="preserve">Upper </t>
  </si>
  <si>
    <t>Confidence</t>
  </si>
  <si>
    <t>Dogs</t>
  </si>
  <si>
    <t>Percent</t>
  </si>
  <si>
    <t>Vaccine utilization</t>
  </si>
  <si>
    <t>Cost per dog vaccinated</t>
  </si>
  <si>
    <t>Estimated cost</t>
  </si>
  <si>
    <t>Economic costs</t>
  </si>
  <si>
    <t>Total ($)</t>
  </si>
  <si>
    <t>4. Ways to improve vaccination coverage</t>
  </si>
  <si>
    <t>Estimated economic costs of a dog vaccination campaign</t>
  </si>
  <si>
    <t>Vaccination campaign costs</t>
  </si>
  <si>
    <r>
      <t>Vaccination campaign costs per vaccinated dog</t>
    </r>
    <r>
      <rPr>
        <b/>
        <sz val="11"/>
        <color theme="1"/>
        <rFont val="Calibri"/>
        <family val="2"/>
      </rPr>
      <t>†</t>
    </r>
  </si>
  <si>
    <r>
      <rPr>
        <sz val="11"/>
        <color theme="1"/>
        <rFont val="Calibri"/>
        <family val="2"/>
      </rPr>
      <t>†</t>
    </r>
    <r>
      <rPr>
        <sz val="11"/>
        <color theme="1"/>
        <rFont val="Calibri"/>
        <family val="2"/>
        <scheme val="minor"/>
      </rPr>
      <t xml:space="preserve"> Use "Dog Vax Cost" help worksheet to estimate vaccination campaign costs (best cost estimate, and lower and upper bounds)</t>
    </r>
  </si>
  <si>
    <t xml:space="preserve">Capture, Vaccinate, Release </t>
  </si>
  <si>
    <t>Oral Vaccine Handouts</t>
  </si>
  <si>
    <t>Phase I</t>
  </si>
  <si>
    <t>Estimation of Standard Deviation  from user confidence, weighted by method coverage</t>
  </si>
  <si>
    <t>Vaccination Coverage 95% CI</t>
  </si>
  <si>
    <t>Phase II a</t>
  </si>
  <si>
    <t>CVR Kit</t>
  </si>
  <si>
    <t>Capture/Vax/Release technician</t>
  </si>
  <si>
    <t>ORV technician</t>
  </si>
  <si>
    <t>Vaccination supervisor (1 per 25,000 dogs)</t>
  </si>
  <si>
    <t>CP/DD Bite PEP (1 in 2,000)</t>
  </si>
  <si>
    <t>Other vehicle (ie rental, purchase, other)</t>
  </si>
  <si>
    <t>Government vehicle (including gasoline)</t>
  </si>
  <si>
    <t>CVR Bite Booster PEP (1 in 500)</t>
  </si>
  <si>
    <t>Human vaccines / PEP</t>
  </si>
  <si>
    <t>Central Point Vaccination</t>
  </si>
  <si>
    <t>Door to Door Vaccination</t>
  </si>
  <si>
    <t>CPV</t>
  </si>
  <si>
    <t>DDV</t>
  </si>
  <si>
    <t>Always confined</t>
  </si>
  <si>
    <t>Total Population</t>
  </si>
  <si>
    <t>Free-roaming Population</t>
  </si>
  <si>
    <t>Vaccination coverage by dog type</t>
  </si>
  <si>
    <t>Vaccination doses by dog type</t>
  </si>
  <si>
    <t>Number of Dogs</t>
  </si>
  <si>
    <t>%</t>
  </si>
  <si>
    <t>Doses Procured</t>
  </si>
  <si>
    <t>Phase II b</t>
  </si>
  <si>
    <t>Enter values in white cells</t>
  </si>
  <si>
    <r>
      <t>Planning aid for the implementation of dog vaccine campaigns to prevent and control rabies</t>
    </r>
    <r>
      <rPr>
        <b/>
        <sz val="16"/>
        <color rgb="FF002060"/>
        <rFont val="Calibri"/>
        <family val="2"/>
      </rPr>
      <t>†</t>
    </r>
  </si>
  <si>
    <t>Central point / fixed point vaccination (CPV)</t>
  </si>
  <si>
    <t>Always confined dogs</t>
  </si>
  <si>
    <t>Dogs that remain under the owner's control at all times (i.e. walked on a leash and only unsupervised when inside a home or a securely walled compound)</t>
  </si>
  <si>
    <t>Dogs that are allowed to roam freely within a community. The amount of time freely roaming may vary and this variation should be considered when estimated the probability of vaccination by each vaccination method.</t>
  </si>
  <si>
    <t>Dogs that are never under the control of an owner. These are typically referred to as community owned dogs or feral dogs, but a small percentage may have a single owner</t>
  </si>
  <si>
    <t>Semi-confined</t>
  </si>
  <si>
    <t>Never confined</t>
  </si>
  <si>
    <t>Users can experiment with the tool to identify the cost and vaccination coverage benefits of utilizing alternative vaccination strategies or through improve vaccination effectiveness. Methods to improve effectiveness may include: Shifting the dog population structure into the always confined category, improving vaccinator training and capacity, improve community awareness and engagement, or procure more vaccines.</t>
  </si>
  <si>
    <t>Door to door vaccination (DDV)</t>
  </si>
  <si>
    <t>Allocation</t>
  </si>
  <si>
    <t>Accessibility</t>
  </si>
  <si>
    <t>Percent Efficacious (%)</t>
  </si>
  <si>
    <t>3. Vaccination strategy (doses)</t>
  </si>
  <si>
    <t>6. How confident are you in your responses to the input variables?</t>
  </si>
  <si>
    <t>4. Vaccine Efficacy (percent)</t>
  </si>
  <si>
    <t>2. Dog vaccination campaign (number)</t>
  </si>
  <si>
    <t>1. Dog population (number, percent)</t>
  </si>
  <si>
    <r>
      <t xml:space="preserve">5. Expected Vaccination Effectiveness by Method </t>
    </r>
    <r>
      <rPr>
        <b/>
        <sz val="11"/>
        <color theme="1"/>
        <rFont val="Calibri"/>
        <family val="2"/>
      </rPr>
      <t>§</t>
    </r>
  </si>
  <si>
    <t xml:space="preserve">   Confinement status:</t>
  </si>
  <si>
    <t xml:space="preserve">         Always confined</t>
  </si>
  <si>
    <t xml:space="preserve">         Semi-confined</t>
  </si>
  <si>
    <t xml:space="preserve">         Never confined</t>
  </si>
  <si>
    <t>Current program area vaccination coverage (%)</t>
  </si>
  <si>
    <t xml:space="preserve">          Always confined</t>
  </si>
  <si>
    <t xml:space="preserve">          Semi-confined</t>
  </si>
  <si>
    <t xml:space="preserve">          Never confined</t>
  </si>
  <si>
    <t xml:space="preserve">         Average cost per dog vaccinated</t>
  </si>
  <si>
    <t xml:space="preserve">       Number of dogs in program area </t>
  </si>
  <si>
    <t xml:space="preserve">         Always confined dogs </t>
  </si>
  <si>
    <t xml:space="preserve">         Semi-confined dogs </t>
  </si>
  <si>
    <t xml:space="preserve">         Never confined dogs </t>
  </si>
  <si>
    <t xml:space="preserve">      Parenteral vaccines procured</t>
  </si>
  <si>
    <t xml:space="preserve">        Oral vaccines procured</t>
  </si>
  <si>
    <r>
      <t xml:space="preserve">        </t>
    </r>
    <r>
      <rPr>
        <b/>
        <sz val="11"/>
        <color theme="1"/>
        <rFont val="Calibri"/>
        <family val="2"/>
        <scheme val="minor"/>
      </rPr>
      <t xml:space="preserve">CPV </t>
    </r>
    <r>
      <rPr>
        <sz val="11"/>
        <color theme="1"/>
        <rFont val="Calibri"/>
        <family val="2"/>
        <scheme val="minor"/>
      </rPr>
      <t>Central Point Vaccination</t>
    </r>
  </si>
  <si>
    <r>
      <t xml:space="preserve">        </t>
    </r>
    <r>
      <rPr>
        <b/>
        <sz val="11"/>
        <color theme="1"/>
        <rFont val="Calibri"/>
        <family val="2"/>
        <scheme val="minor"/>
      </rPr>
      <t xml:space="preserve">DDV </t>
    </r>
    <r>
      <rPr>
        <sz val="11"/>
        <color theme="1"/>
        <rFont val="Calibri"/>
        <family val="2"/>
        <scheme val="minor"/>
      </rPr>
      <t>Door to Door Vaccination</t>
    </r>
  </si>
  <si>
    <r>
      <t xml:space="preserve">        </t>
    </r>
    <r>
      <rPr>
        <b/>
        <sz val="11"/>
        <color theme="1"/>
        <rFont val="Calibri"/>
        <family val="2"/>
        <scheme val="minor"/>
      </rPr>
      <t xml:space="preserve">CVR </t>
    </r>
    <r>
      <rPr>
        <sz val="11"/>
        <color theme="1"/>
        <rFont val="Calibri"/>
        <family val="2"/>
        <scheme val="minor"/>
      </rPr>
      <t xml:space="preserve">Capture, Vaccinate, Release </t>
    </r>
  </si>
  <si>
    <r>
      <t xml:space="preserve">        </t>
    </r>
    <r>
      <rPr>
        <b/>
        <sz val="11"/>
        <color theme="1"/>
        <rFont val="Calibri"/>
        <family val="2"/>
        <scheme val="minor"/>
      </rPr>
      <t xml:space="preserve">ORV </t>
    </r>
    <r>
      <rPr>
        <sz val="11"/>
        <color theme="1"/>
        <rFont val="Calibri"/>
        <family val="2"/>
        <scheme val="minor"/>
      </rPr>
      <t>Oral Vaccine Handouts</t>
    </r>
  </si>
  <si>
    <t xml:space="preserve">       Parenteral vaccine efficacy</t>
  </si>
  <si>
    <t xml:space="preserve">       Oral vaccine efficacy</t>
  </si>
  <si>
    <t>Abbreviation</t>
  </si>
  <si>
    <t>7. Vaccination Campaign Duration (Days)</t>
  </si>
  <si>
    <t>8. Vaccinator Capacity (dogs/person/day)</t>
  </si>
  <si>
    <t>9. Costs per dog vaccination campaign</t>
  </si>
  <si>
    <t xml:space="preserve">Planning aid for the implementation of dog vaccination campaigns </t>
  </si>
  <si>
    <t>OPTIONAL: Suggested values for vaccine strategy table</t>
  </si>
  <si>
    <t>Immunized</t>
  </si>
  <si>
    <t>Estimated Wastage</t>
  </si>
  <si>
    <t>Total Immunized</t>
  </si>
  <si>
    <t>* Vaccination strategies = CPV: central point / fixed point vaccination. CVR: Capture, vaccinate, and release. DDV: door to door. ORV: Oral rabies 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</si>
</sst>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7" formatCode="&quot;$&quot;#,##0.00_);\(&quot;$&quot;#,##0.00\)"/>
    <numFmt numFmtId="44" formatCode="_(&quot;$&quot;* #,##0.00_);_(&quot;$&quot;* \(#,##0.00\);_(&quot;$&quot;* &quot;-&quot;??_);_(@_)"/>
    <numFmt numFmtId="43" formatCode="_(* #,##0.00_);_(* \(#,##0.00\);_(* &quot;-&quot;??_);_(@_)"/>
    <numFmt numFmtId="164" formatCode="0.0%"/>
    <numFmt numFmtId="165" formatCode="0.000"/>
    <numFmt numFmtId="166" formatCode="#,##0.0"/>
    <numFmt numFmtId="167" formatCode="&quot;$&quot;#,##0;[Red]&quot;$&quot;#,##0"/>
    <numFmt numFmtId="168" formatCode="_(* #,##0_);_(* \(#,##0\);_(* &quot;-&quot;??_);_(@_)"/>
    <numFmt numFmtId="169" formatCode="_(&quot;$&quot;* #,##0_);_(&quot;$&quot;* \(#,##0\);_(&quot;$&quot;* &quot;-&quot;??_);_(@_)"/>
    <numFmt numFmtId="170" formatCode="&quot;$&quot;#,##0.00"/>
    <numFmt numFmtId="171" formatCode="[$-409]mmmm\ d\,\ yyyy;@"/>
  </numFmts>
  <fonts count="44"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9"/>
      <color theme="1"/>
      <name val="Calibri"/>
      <family val="2"/>
      <scheme val="minor"/>
    </font>
    <font>
      <sz val="9"/>
      <color theme="1"/>
      <name val="Calibri"/>
      <family val="2"/>
      <scheme val="minor"/>
    </font>
    <font>
      <sz val="8"/>
      <color theme="1"/>
      <name val="Calibri"/>
      <family val="2"/>
      <scheme val="minor"/>
    </font>
    <font>
      <sz val="12"/>
      <color theme="1"/>
      <name val="Calibri"/>
      <family val="2"/>
      <scheme val="minor"/>
    </font>
    <font>
      <sz val="24"/>
      <color theme="1"/>
      <name val="Calibri"/>
      <family val="2"/>
      <scheme val="minor"/>
    </font>
    <font>
      <sz val="26"/>
      <color theme="1"/>
      <name val="Calibri"/>
      <family val="2"/>
      <scheme val="minor"/>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b/>
      <sz val="11"/>
      <name val="Calibri"/>
      <family val="2"/>
      <scheme val="minor"/>
    </font>
    <font>
      <sz val="10"/>
      <name val="Calibri"/>
      <family val="2"/>
      <scheme val="minor"/>
    </font>
    <font>
      <b/>
      <sz val="10"/>
      <name val="Calibri"/>
      <family val="2"/>
      <scheme val="minor"/>
    </font>
    <font>
      <sz val="11"/>
      <name val="Calibri"/>
      <family val="2"/>
      <scheme val="minor"/>
    </font>
    <font>
      <b/>
      <sz val="10"/>
      <color theme="0"/>
      <name val="Calibri"/>
      <family val="2"/>
      <scheme val="minor"/>
    </font>
    <font>
      <sz val="28"/>
      <color theme="1"/>
      <name val="Calibri"/>
      <family val="2"/>
      <scheme val="minor"/>
    </font>
    <font>
      <i/>
      <sz val="10"/>
      <color theme="1"/>
      <name val="Calibri"/>
      <family val="2"/>
      <scheme val="minor"/>
    </font>
    <font>
      <b/>
      <sz val="12"/>
      <color theme="1"/>
      <name val="Calibri"/>
      <family val="2"/>
      <scheme val="minor"/>
    </font>
    <font>
      <sz val="10"/>
      <name val="Arial"/>
      <family val="2"/>
    </font>
    <font>
      <b/>
      <sz val="16"/>
      <color rgb="FF002060"/>
      <name val="Calibri"/>
      <family val="2"/>
      <scheme val="minor"/>
    </font>
    <font>
      <sz val="10"/>
      <color rgb="FF002060"/>
      <name val="Calibri"/>
      <family val="2"/>
      <scheme val="minor"/>
    </font>
    <font>
      <sz val="10"/>
      <color indexed="18"/>
      <name val="Calibri"/>
      <family val="2"/>
      <scheme val="minor"/>
    </font>
    <font>
      <b/>
      <sz val="11"/>
      <color rgb="FF002060"/>
      <name val="Calibri"/>
      <family val="2"/>
      <scheme val="minor"/>
    </font>
    <font>
      <sz val="11"/>
      <color indexed="56"/>
      <name val="Calibri"/>
      <family val="2"/>
    </font>
    <font>
      <b/>
      <sz val="11"/>
      <color indexed="56"/>
      <name val="Calibri"/>
      <family val="2"/>
    </font>
    <font>
      <sz val="11"/>
      <color rgb="FF002060"/>
      <name val="Calibri"/>
      <family val="2"/>
      <scheme val="minor"/>
    </font>
    <font>
      <b/>
      <i/>
      <sz val="12"/>
      <color rgb="FF002060"/>
      <name val="Calibri"/>
      <family val="2"/>
      <scheme val="minor"/>
    </font>
    <font>
      <u/>
      <sz val="11"/>
      <color theme="10"/>
      <name val="Calibri"/>
      <family val="2"/>
      <scheme val="minor"/>
    </font>
    <font>
      <b/>
      <sz val="16"/>
      <color rgb="FF002060"/>
      <name val="Calibri"/>
      <family val="2"/>
    </font>
    <font>
      <b/>
      <sz val="12"/>
      <color theme="0"/>
      <name val="Calibri"/>
      <family val="2"/>
      <scheme val="minor"/>
    </font>
    <font>
      <sz val="12"/>
      <color theme="0"/>
      <name val="Calibri"/>
      <family val="2"/>
      <scheme val="minor"/>
    </font>
    <font>
      <b/>
      <sz val="11"/>
      <color theme="1"/>
      <name val="Calibri"/>
      <family val="2"/>
    </font>
    <font>
      <b/>
      <sz val="9"/>
      <color theme="0"/>
      <name val="Calibri"/>
      <family val="2"/>
      <scheme val="minor"/>
    </font>
    <font>
      <b/>
      <sz val="11"/>
      <color theme="0"/>
      <name val="Calibri"/>
      <family val="2"/>
    </font>
    <font>
      <sz val="11"/>
      <color theme="1"/>
      <name val="Calibri"/>
      <family val="2"/>
    </font>
    <font>
      <b/>
      <sz val="12"/>
      <name val="Calibri"/>
      <family val="2"/>
      <scheme val="minor"/>
    </font>
    <font>
      <sz val="11"/>
      <color rgb="FFFF0000"/>
      <name val="Calibri"/>
      <family val="2"/>
      <scheme val="minor"/>
    </font>
    <font>
      <b/>
      <sz val="18"/>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249977111117893"/>
        <bgColor indexed="64"/>
      </patternFill>
    </fill>
    <fill>
      <patternFill patternType="solid">
        <fgColor rgb="FF002060"/>
        <bgColor indexed="64"/>
      </patternFill>
    </fill>
    <fill>
      <patternFill patternType="solid">
        <fgColor theme="8" tint="0.79998168889431442"/>
        <bgColor indexed="64"/>
      </patternFill>
    </fill>
    <fill>
      <patternFill patternType="solid">
        <fgColor theme="2"/>
        <bgColor indexed="64"/>
      </patternFill>
    </fill>
    <fill>
      <patternFill patternType="solid">
        <fgColor theme="8" tint="-0.49998474074526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EDF1F9"/>
        <bgColor indexed="64"/>
      </patternFill>
    </fill>
    <fill>
      <patternFill patternType="solid">
        <fgColor theme="2" tint="-9.9978637043366805E-2"/>
        <bgColor indexed="64"/>
      </patternFill>
    </fill>
  </fills>
  <borders count="68">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style="hair">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6">
    <xf numFmtId="0" fontId="0" fillId="0" borderId="0"/>
    <xf numFmtId="43" fontId="11" fillId="0" borderId="0" applyFont="0" applyFill="0" applyBorder="0" applyAlignment="0" applyProtection="0"/>
    <xf numFmtId="44" fontId="11" fillId="0" borderId="0" applyFont="0" applyFill="0" applyBorder="0" applyAlignment="0" applyProtection="0"/>
    <xf numFmtId="9" fontId="11" fillId="0" borderId="0" applyFont="0" applyFill="0" applyBorder="0" applyAlignment="0" applyProtection="0"/>
    <xf numFmtId="0" fontId="24" fillId="0" borderId="0"/>
    <xf numFmtId="0" fontId="33" fillId="0" borderId="0" applyNumberFormat="0" applyFill="0" applyBorder="0" applyAlignment="0" applyProtection="0"/>
  </cellStyleXfs>
  <cellXfs count="525">
    <xf numFmtId="0" fontId="0" fillId="0" borderId="0" xfId="0"/>
    <xf numFmtId="0" fontId="0" fillId="0" borderId="0" xfId="0" applyAlignment="1">
      <alignment wrapText="1"/>
    </xf>
    <xf numFmtId="0" fontId="0" fillId="0" borderId="0" xfId="0" applyAlignment="1">
      <alignment horizontal="center"/>
    </xf>
    <xf numFmtId="0" fontId="5" fillId="0" borderId="0" xfId="0" applyFont="1"/>
    <xf numFmtId="3" fontId="5" fillId="0" borderId="0" xfId="0" applyNumberFormat="1" applyFont="1"/>
    <xf numFmtId="0" fontId="5" fillId="0" borderId="0" xfId="0" applyFont="1" applyFill="1" applyBorder="1" applyAlignment="1">
      <alignment horizontal="center"/>
    </xf>
    <xf numFmtId="4" fontId="5" fillId="0" borderId="0" xfId="0" applyNumberFormat="1" applyFont="1"/>
    <xf numFmtId="165" fontId="0" fillId="0" borderId="0" xfId="0" applyNumberFormat="1"/>
    <xf numFmtId="0" fontId="0" fillId="0" borderId="0" xfId="0" applyBorder="1"/>
    <xf numFmtId="0" fontId="0" fillId="0" borderId="14" xfId="0" applyBorder="1"/>
    <xf numFmtId="166" fontId="0" fillId="0" borderId="0" xfId="0" applyNumberFormat="1" applyBorder="1"/>
    <xf numFmtId="0" fontId="0" fillId="0" borderId="0" xfId="0" applyFill="1" applyBorder="1"/>
    <xf numFmtId="0" fontId="5" fillId="0" borderId="0" xfId="0" applyFont="1" applyFill="1" applyBorder="1"/>
    <xf numFmtId="0" fontId="0" fillId="0" borderId="0" xfId="0" applyFill="1" applyBorder="1" applyAlignment="1">
      <alignment horizontal="center"/>
    </xf>
    <xf numFmtId="0" fontId="4" fillId="0" borderId="0" xfId="0" applyFont="1" applyFill="1" applyBorder="1"/>
    <xf numFmtId="3" fontId="5" fillId="0" borderId="0" xfId="0" applyNumberFormat="1" applyFont="1" applyFill="1" applyBorder="1" applyAlignment="1">
      <alignment horizontal="center"/>
    </xf>
    <xf numFmtId="4" fontId="5" fillId="0" borderId="0" xfId="0" applyNumberFormat="1" applyFont="1" applyFill="1" applyBorder="1"/>
    <xf numFmtId="3" fontId="5" fillId="0" borderId="0" xfId="0" applyNumberFormat="1" applyFont="1" applyFill="1" applyBorder="1"/>
    <xf numFmtId="0" fontId="1" fillId="7" borderId="0" xfId="0" applyFont="1" applyFill="1" applyBorder="1" applyAlignment="1">
      <alignment vertical="center"/>
    </xf>
    <xf numFmtId="0" fontId="15" fillId="7" borderId="0" xfId="0" applyFont="1" applyFill="1" applyBorder="1" applyAlignment="1">
      <alignment horizontal="right" vertical="center"/>
    </xf>
    <xf numFmtId="0" fontId="18" fillId="0" borderId="0" xfId="0" applyFont="1" applyFill="1" applyBorder="1" applyAlignment="1">
      <alignment vertical="center" wrapText="1"/>
    </xf>
    <xf numFmtId="0" fontId="15" fillId="0" borderId="0" xfId="0" applyFont="1" applyFill="1" applyAlignment="1">
      <alignment vertical="center"/>
    </xf>
    <xf numFmtId="0" fontId="15" fillId="0" borderId="0" xfId="0" applyFont="1" applyFill="1" applyBorder="1" applyAlignment="1">
      <alignment vertical="center"/>
    </xf>
    <xf numFmtId="0" fontId="15" fillId="0" borderId="14" xfId="0" applyFont="1" applyFill="1" applyBorder="1" applyAlignment="1">
      <alignment vertical="center"/>
    </xf>
    <xf numFmtId="0" fontId="14" fillId="0" borderId="0" xfId="0" applyFont="1" applyFill="1" applyAlignment="1">
      <alignment vertical="center"/>
    </xf>
    <xf numFmtId="167" fontId="8" fillId="0" borderId="0" xfId="0" applyNumberFormat="1" applyFont="1" applyFill="1" applyBorder="1" applyAlignment="1">
      <alignment vertical="center"/>
    </xf>
    <xf numFmtId="7" fontId="9" fillId="0" borderId="0" xfId="0" applyNumberFormat="1" applyFont="1" applyFill="1" applyBorder="1" applyAlignment="1">
      <alignment vertical="center"/>
    </xf>
    <xf numFmtId="0" fontId="0" fillId="7" borderId="0" xfId="0" applyFont="1" applyFill="1" applyBorder="1" applyAlignment="1">
      <alignment vertical="center"/>
    </xf>
    <xf numFmtId="44" fontId="15" fillId="8" borderId="23" xfId="2" applyFont="1" applyFill="1" applyBorder="1" applyAlignment="1">
      <alignment vertical="center"/>
    </xf>
    <xf numFmtId="44" fontId="15" fillId="8" borderId="24" xfId="2" applyFont="1" applyFill="1" applyBorder="1" applyAlignment="1">
      <alignment vertical="center"/>
    </xf>
    <xf numFmtId="44" fontId="15" fillId="8" borderId="25" xfId="2" applyFont="1" applyFill="1" applyBorder="1" applyAlignment="1">
      <alignment vertical="center"/>
    </xf>
    <xf numFmtId="0" fontId="12" fillId="5" borderId="0" xfId="0" applyFont="1" applyFill="1" applyBorder="1" applyAlignment="1">
      <alignment vertical="center"/>
    </xf>
    <xf numFmtId="0" fontId="15" fillId="4" borderId="20" xfId="0" applyFont="1" applyFill="1" applyBorder="1" applyAlignment="1">
      <alignment vertical="center"/>
    </xf>
    <xf numFmtId="170" fontId="15" fillId="4" borderId="23" xfId="2" applyNumberFormat="1" applyFont="1" applyFill="1" applyBorder="1" applyAlignment="1">
      <alignment vertical="center"/>
    </xf>
    <xf numFmtId="170" fontId="15" fillId="4" borderId="22" xfId="2" applyNumberFormat="1" applyFont="1" applyFill="1" applyBorder="1" applyAlignment="1">
      <alignment vertical="center"/>
    </xf>
    <xf numFmtId="0" fontId="14" fillId="7" borderId="0" xfId="0" applyFont="1" applyFill="1" applyBorder="1" applyAlignment="1">
      <alignment vertical="center"/>
    </xf>
    <xf numFmtId="169" fontId="17" fillId="8" borderId="23" xfId="2" applyNumberFormat="1" applyFont="1" applyFill="1" applyBorder="1" applyAlignment="1">
      <alignment vertical="center"/>
    </xf>
    <xf numFmtId="0" fontId="15" fillId="4" borderId="12" xfId="0" applyFont="1" applyFill="1" applyBorder="1" applyAlignment="1">
      <alignment vertical="center"/>
    </xf>
    <xf numFmtId="170" fontId="15" fillId="4" borderId="24" xfId="2" applyNumberFormat="1" applyFont="1" applyFill="1" applyBorder="1" applyAlignment="1">
      <alignment vertical="center"/>
    </xf>
    <xf numFmtId="170" fontId="15" fillId="4" borderId="13" xfId="2" applyNumberFormat="1" applyFont="1" applyFill="1" applyBorder="1" applyAlignment="1">
      <alignment vertical="center"/>
    </xf>
    <xf numFmtId="169" fontId="17" fillId="8" borderId="24" xfId="2" applyNumberFormat="1" applyFont="1" applyFill="1" applyBorder="1" applyAlignment="1">
      <alignment vertical="center"/>
    </xf>
    <xf numFmtId="0" fontId="15" fillId="4" borderId="15" xfId="0" applyFont="1" applyFill="1" applyBorder="1" applyAlignment="1">
      <alignment vertical="center"/>
    </xf>
    <xf numFmtId="170" fontId="15" fillId="4" borderId="25" xfId="2" applyNumberFormat="1" applyFont="1" applyFill="1" applyBorder="1" applyAlignment="1">
      <alignment vertical="center"/>
    </xf>
    <xf numFmtId="170" fontId="15" fillId="4" borderId="16" xfId="2" applyNumberFormat="1" applyFont="1" applyFill="1" applyBorder="1" applyAlignment="1">
      <alignment vertical="center"/>
    </xf>
    <xf numFmtId="169" fontId="17" fillId="8" borderId="25" xfId="2" applyNumberFormat="1" applyFont="1" applyFill="1" applyBorder="1" applyAlignment="1">
      <alignment vertical="center"/>
    </xf>
    <xf numFmtId="0" fontId="15" fillId="7" borderId="0" xfId="0" applyFont="1" applyFill="1" applyBorder="1" applyAlignment="1">
      <alignment vertical="center"/>
    </xf>
    <xf numFmtId="169" fontId="18" fillId="8" borderId="9" xfId="2" applyNumberFormat="1" applyFont="1" applyFill="1" applyBorder="1" applyAlignment="1">
      <alignment vertical="center"/>
    </xf>
    <xf numFmtId="3" fontId="15" fillId="4" borderId="15" xfId="0" applyNumberFormat="1" applyFont="1" applyFill="1" applyBorder="1" applyAlignment="1">
      <alignment vertical="center"/>
    </xf>
    <xf numFmtId="170" fontId="15" fillId="4" borderId="23" xfId="0" applyNumberFormat="1" applyFont="1" applyFill="1" applyBorder="1" applyAlignment="1">
      <alignment vertical="center"/>
    </xf>
    <xf numFmtId="170" fontId="15" fillId="4" borderId="22" xfId="0" applyNumberFormat="1" applyFont="1" applyFill="1" applyBorder="1" applyAlignment="1">
      <alignment vertical="center"/>
    </xf>
    <xf numFmtId="168" fontId="17" fillId="8" borderId="23" xfId="1" applyNumberFormat="1" applyFont="1" applyFill="1" applyBorder="1" applyAlignment="1">
      <alignment vertical="center"/>
    </xf>
    <xf numFmtId="170" fontId="15" fillId="4" borderId="24" xfId="0" applyNumberFormat="1" applyFont="1" applyFill="1" applyBorder="1" applyAlignment="1">
      <alignment vertical="center"/>
    </xf>
    <xf numFmtId="170" fontId="15" fillId="4" borderId="13" xfId="0" applyNumberFormat="1" applyFont="1" applyFill="1" applyBorder="1" applyAlignment="1">
      <alignment vertical="center"/>
    </xf>
    <xf numFmtId="168" fontId="17" fillId="8" borderId="24" xfId="1" applyNumberFormat="1" applyFont="1" applyFill="1" applyBorder="1" applyAlignment="1">
      <alignment vertical="center"/>
    </xf>
    <xf numFmtId="170" fontId="15" fillId="4" borderId="25" xfId="0" applyNumberFormat="1" applyFont="1" applyFill="1" applyBorder="1" applyAlignment="1">
      <alignment vertical="center"/>
    </xf>
    <xf numFmtId="170" fontId="15" fillId="4" borderId="16" xfId="0" applyNumberFormat="1" applyFont="1" applyFill="1" applyBorder="1" applyAlignment="1">
      <alignment vertical="center"/>
    </xf>
    <xf numFmtId="168" fontId="17" fillId="8" borderId="25" xfId="1" applyNumberFormat="1" applyFont="1" applyFill="1" applyBorder="1" applyAlignment="1">
      <alignment vertical="center"/>
    </xf>
    <xf numFmtId="1" fontId="15" fillId="4" borderId="15" xfId="0" applyNumberFormat="1" applyFont="1" applyFill="1" applyBorder="1" applyAlignment="1">
      <alignment vertical="center"/>
    </xf>
    <xf numFmtId="0" fontId="14" fillId="7" borderId="31" xfId="0" applyFont="1" applyFill="1" applyBorder="1" applyAlignment="1">
      <alignment vertical="center"/>
    </xf>
    <xf numFmtId="169" fontId="14" fillId="8" borderId="9" xfId="2" applyNumberFormat="1" applyFont="1" applyFill="1" applyBorder="1" applyAlignment="1">
      <alignment vertical="center"/>
    </xf>
    <xf numFmtId="170" fontId="15" fillId="4" borderId="30" xfId="0" applyNumberFormat="1" applyFont="1" applyFill="1" applyBorder="1" applyAlignment="1">
      <alignment vertical="center"/>
    </xf>
    <xf numFmtId="169" fontId="15" fillId="8" borderId="24" xfId="2" applyNumberFormat="1" applyFont="1" applyFill="1" applyBorder="1" applyAlignment="1">
      <alignment vertical="center"/>
    </xf>
    <xf numFmtId="169" fontId="15" fillId="8" borderId="25" xfId="2" applyNumberFormat="1" applyFont="1" applyFill="1" applyBorder="1" applyAlignment="1">
      <alignment vertical="center"/>
    </xf>
    <xf numFmtId="169" fontId="14" fillId="8" borderId="23" xfId="2" applyNumberFormat="1" applyFont="1" applyFill="1" applyBorder="1" applyAlignment="1">
      <alignment vertical="center"/>
    </xf>
    <xf numFmtId="44" fontId="14" fillId="8" borderId="25" xfId="2" applyFont="1" applyFill="1" applyBorder="1" applyAlignment="1">
      <alignment vertical="center"/>
    </xf>
    <xf numFmtId="0" fontId="16" fillId="0" borderId="0" xfId="0" applyFont="1" applyFill="1" applyBorder="1" applyAlignment="1">
      <alignment vertical="center" wrapText="1"/>
    </xf>
    <xf numFmtId="0" fontId="19" fillId="0" borderId="0" xfId="0" applyFont="1" applyFill="1" applyBorder="1" applyAlignment="1">
      <alignment vertical="center" wrapText="1"/>
    </xf>
    <xf numFmtId="0" fontId="0" fillId="0" borderId="0" xfId="0" applyAlignment="1">
      <alignment vertical="center"/>
    </xf>
    <xf numFmtId="164" fontId="2" fillId="0" borderId="0" xfId="0" applyNumberFormat="1" applyFont="1" applyFill="1" applyBorder="1" applyAlignment="1">
      <alignment vertical="center" wrapText="1"/>
    </xf>
    <xf numFmtId="164" fontId="10" fillId="0" borderId="0" xfId="0" applyNumberFormat="1" applyFont="1" applyFill="1" applyBorder="1" applyAlignment="1">
      <alignment vertical="center" wrapText="1"/>
    </xf>
    <xf numFmtId="0" fontId="0" fillId="0" borderId="0" xfId="0" applyFont="1" applyFill="1" applyAlignment="1">
      <alignment vertical="center"/>
    </xf>
    <xf numFmtId="0" fontId="0" fillId="0" borderId="0" xfId="0" applyFont="1" applyFill="1" applyBorder="1" applyAlignment="1">
      <alignment vertical="center"/>
    </xf>
    <xf numFmtId="0" fontId="6" fillId="0" borderId="0" xfId="0" applyFont="1" applyFill="1" applyBorder="1" applyAlignment="1">
      <alignment vertical="center"/>
    </xf>
    <xf numFmtId="170" fontId="15" fillId="0" borderId="0" xfId="0" applyNumberFormat="1" applyFont="1" applyFill="1" applyBorder="1" applyAlignment="1">
      <alignment vertical="center"/>
    </xf>
    <xf numFmtId="0" fontId="6" fillId="0" borderId="14" xfId="0" applyFont="1" applyFill="1" applyBorder="1" applyAlignment="1">
      <alignment vertical="center"/>
    </xf>
    <xf numFmtId="170" fontId="15" fillId="0" borderId="14" xfId="0" applyNumberFormat="1" applyFont="1" applyFill="1" applyBorder="1" applyAlignment="1">
      <alignment vertical="center"/>
    </xf>
    <xf numFmtId="0" fontId="1" fillId="0" borderId="0" xfId="0" applyFont="1" applyFill="1" applyAlignment="1">
      <alignment vertical="center"/>
    </xf>
    <xf numFmtId="0" fontId="6" fillId="0" borderId="0" xfId="0" applyFont="1" applyAlignment="1">
      <alignment vertical="center"/>
    </xf>
    <xf numFmtId="0" fontId="0" fillId="0" borderId="0" xfId="0" applyFill="1" applyBorder="1" applyAlignment="1">
      <alignment vertical="center"/>
    </xf>
    <xf numFmtId="0" fontId="0" fillId="0" borderId="0" xfId="0" applyFill="1" applyAlignment="1">
      <alignment vertical="center"/>
    </xf>
    <xf numFmtId="0" fontId="6" fillId="0" borderId="0" xfId="0" applyFont="1" applyFill="1" applyAlignment="1">
      <alignment vertical="center"/>
    </xf>
    <xf numFmtId="3" fontId="1" fillId="0" borderId="0" xfId="0" applyNumberFormat="1" applyFont="1" applyFill="1" applyBorder="1" applyAlignment="1">
      <alignment vertical="center"/>
    </xf>
    <xf numFmtId="3" fontId="0" fillId="0" borderId="0" xfId="0" applyNumberFormat="1" applyFill="1" applyBorder="1" applyAlignment="1">
      <alignment vertical="center"/>
    </xf>
    <xf numFmtId="0" fontId="1" fillId="0" borderId="0" xfId="0" applyFont="1" applyFill="1" applyBorder="1" applyAlignment="1">
      <alignment vertical="center"/>
    </xf>
    <xf numFmtId="0" fontId="21" fillId="0" borderId="0" xfId="0" applyFont="1" applyFill="1" applyBorder="1" applyAlignment="1">
      <alignment vertical="center"/>
    </xf>
    <xf numFmtId="1" fontId="15" fillId="4" borderId="12" xfId="0" applyNumberFormat="1" applyFont="1" applyFill="1" applyBorder="1" applyAlignment="1">
      <alignment vertical="center"/>
    </xf>
    <xf numFmtId="0" fontId="15" fillId="0" borderId="0" xfId="0" applyFont="1" applyFill="1" applyBorder="1" applyAlignment="1">
      <alignment horizontal="right" vertical="center"/>
    </xf>
    <xf numFmtId="0" fontId="15" fillId="4" borderId="0" xfId="0" applyFont="1" applyFill="1" applyBorder="1" applyAlignment="1">
      <alignment horizontal="right" vertical="center"/>
    </xf>
    <xf numFmtId="0" fontId="15" fillId="8" borderId="21" xfId="0" applyFont="1" applyFill="1" applyBorder="1" applyAlignment="1">
      <alignment vertical="center"/>
    </xf>
    <xf numFmtId="0" fontId="15" fillId="8" borderId="0" xfId="0" applyFont="1" applyFill="1" applyBorder="1" applyAlignment="1">
      <alignment vertical="center"/>
    </xf>
    <xf numFmtId="0" fontId="15" fillId="8" borderId="14" xfId="0" applyFont="1" applyFill="1" applyBorder="1" applyAlignment="1">
      <alignment vertical="center"/>
    </xf>
    <xf numFmtId="3" fontId="15" fillId="8" borderId="12" xfId="0" applyNumberFormat="1" applyFont="1" applyFill="1" applyBorder="1" applyAlignment="1">
      <alignment vertical="center"/>
    </xf>
    <xf numFmtId="0" fontId="15" fillId="8" borderId="21" xfId="0" applyFont="1" applyFill="1" applyBorder="1" applyAlignment="1">
      <alignment horizontal="right" vertical="center"/>
    </xf>
    <xf numFmtId="0" fontId="15" fillId="8" borderId="14" xfId="0" applyFont="1" applyFill="1" applyBorder="1" applyAlignment="1">
      <alignment horizontal="right" vertical="center"/>
    </xf>
    <xf numFmtId="0" fontId="15" fillId="8" borderId="0" xfId="0" applyFont="1" applyFill="1" applyBorder="1" applyAlignment="1">
      <alignment horizontal="right" vertical="center"/>
    </xf>
    <xf numFmtId="1" fontId="15" fillId="8" borderId="20" xfId="0" applyNumberFormat="1" applyFont="1" applyFill="1" applyBorder="1" applyAlignment="1">
      <alignment vertical="center"/>
    </xf>
    <xf numFmtId="1" fontId="15" fillId="8" borderId="12" xfId="0" applyNumberFormat="1" applyFont="1" applyFill="1" applyBorder="1" applyAlignment="1">
      <alignment vertical="center"/>
    </xf>
    <xf numFmtId="0" fontId="15" fillId="8" borderId="26" xfId="0" applyFont="1" applyFill="1" applyBorder="1" applyAlignment="1">
      <alignment vertical="center"/>
    </xf>
    <xf numFmtId="0" fontId="15" fillId="8" borderId="27" xfId="0" applyFont="1" applyFill="1" applyBorder="1" applyAlignment="1">
      <alignment vertical="center"/>
    </xf>
    <xf numFmtId="0" fontId="15" fillId="8" borderId="29" xfId="0" applyFont="1" applyFill="1" applyBorder="1" applyAlignment="1">
      <alignment vertical="center"/>
    </xf>
    <xf numFmtId="3" fontId="15" fillId="8" borderId="15" xfId="0" applyNumberFormat="1" applyFont="1" applyFill="1" applyBorder="1" applyAlignment="1">
      <alignment vertical="center"/>
    </xf>
    <xf numFmtId="9" fontId="15" fillId="8" borderId="28" xfId="0" applyNumberFormat="1" applyFont="1" applyFill="1" applyBorder="1" applyAlignment="1">
      <alignment vertical="center"/>
    </xf>
    <xf numFmtId="9" fontId="15" fillId="8" borderId="29" xfId="0" applyNumberFormat="1" applyFont="1" applyFill="1" applyBorder="1" applyAlignment="1">
      <alignment vertical="center"/>
    </xf>
    <xf numFmtId="0" fontId="0" fillId="0" borderId="0" xfId="0" applyFill="1"/>
    <xf numFmtId="0" fontId="5" fillId="0" borderId="0" xfId="0" applyFont="1" applyFill="1"/>
    <xf numFmtId="10" fontId="5" fillId="0" borderId="0" xfId="3" applyNumberFormat="1" applyFont="1" applyFill="1" applyBorder="1" applyAlignment="1">
      <alignment horizontal="center"/>
    </xf>
    <xf numFmtId="10" fontId="5" fillId="0" borderId="0" xfId="0" applyNumberFormat="1" applyFont="1" applyFill="1" applyBorder="1"/>
    <xf numFmtId="0" fontId="25" fillId="7" borderId="0" xfId="4" applyFont="1" applyFill="1" applyAlignment="1">
      <alignment horizontal="center"/>
    </xf>
    <xf numFmtId="0" fontId="26" fillId="7" borderId="0" xfId="4" applyFont="1" applyFill="1"/>
    <xf numFmtId="0" fontId="27" fillId="7" borderId="0" xfId="4" applyFont="1" applyFill="1"/>
    <xf numFmtId="0" fontId="26" fillId="7" borderId="0" xfId="4" applyFont="1" applyFill="1" applyAlignment="1">
      <alignment horizontal="center"/>
    </xf>
    <xf numFmtId="0" fontId="32" fillId="7" borderId="0" xfId="4" applyFont="1" applyFill="1" applyAlignment="1">
      <alignment horizontal="center"/>
    </xf>
    <xf numFmtId="0" fontId="26" fillId="7" borderId="0" xfId="4" applyNumberFormat="1" applyFont="1" applyFill="1" applyAlignment="1">
      <alignment horizontal="left" wrapText="1"/>
    </xf>
    <xf numFmtId="0" fontId="33" fillId="7" borderId="0" xfId="5" applyNumberFormat="1" applyFill="1" applyAlignment="1">
      <alignment horizontal="left" wrapText="1"/>
    </xf>
    <xf numFmtId="15" fontId="31" fillId="7" borderId="0" xfId="4" applyNumberFormat="1" applyFont="1" applyFill="1" applyAlignment="1">
      <alignment horizontal="center"/>
    </xf>
    <xf numFmtId="0" fontId="27" fillId="7" borderId="0" xfId="4" applyFont="1" applyFill="1" applyAlignment="1">
      <alignment horizontal="center" wrapText="1"/>
    </xf>
    <xf numFmtId="0" fontId="27" fillId="7" borderId="0" xfId="4" applyFont="1" applyFill="1" applyAlignment="1">
      <alignment horizontal="center"/>
    </xf>
    <xf numFmtId="0" fontId="31" fillId="7" borderId="0" xfId="4" applyFont="1" applyFill="1" applyAlignment="1">
      <alignment horizontal="left" wrapText="1"/>
    </xf>
    <xf numFmtId="0" fontId="1" fillId="0" borderId="0" xfId="0" applyFont="1"/>
    <xf numFmtId="0" fontId="1" fillId="0" borderId="0" xfId="0" applyFont="1" applyAlignment="1">
      <alignment horizontal="left" vertical="center" wrapText="1"/>
    </xf>
    <xf numFmtId="0" fontId="0" fillId="0" borderId="0" xfId="0" applyFont="1" applyAlignment="1">
      <alignment horizontal="left" vertical="center" wrapText="1" indent="1"/>
    </xf>
    <xf numFmtId="0" fontId="0" fillId="0" borderId="9" xfId="0" applyBorder="1"/>
    <xf numFmtId="0" fontId="0" fillId="0" borderId="0" xfId="0" applyAlignment="1">
      <alignment horizontal="left" wrapText="1"/>
    </xf>
    <xf numFmtId="0" fontId="0" fillId="0" borderId="0" xfId="0" applyFill="1" applyAlignment="1">
      <alignment wrapText="1"/>
    </xf>
    <xf numFmtId="0" fontId="1" fillId="0" borderId="0" xfId="0" applyFont="1" applyFill="1"/>
    <xf numFmtId="171" fontId="0" fillId="0" borderId="0" xfId="0" applyNumberFormat="1" applyFill="1" applyAlignment="1"/>
    <xf numFmtId="0" fontId="0" fillId="0" borderId="0" xfId="0" applyFill="1" applyAlignment="1">
      <alignment horizontal="right"/>
    </xf>
    <xf numFmtId="0" fontId="15" fillId="0" borderId="0" xfId="0" applyFont="1" applyFill="1"/>
    <xf numFmtId="0" fontId="1" fillId="0" borderId="0" xfId="0" applyFont="1" applyFill="1" applyAlignment="1">
      <alignment horizontal="left" vertical="center" indent="1"/>
    </xf>
    <xf numFmtId="0" fontId="1" fillId="0" borderId="0" xfId="0" applyFont="1" applyFill="1" applyAlignment="1">
      <alignment horizontal="left" vertical="center" wrapText="1" indent="1"/>
    </xf>
    <xf numFmtId="0" fontId="0" fillId="0" borderId="0" xfId="0" applyFont="1" applyAlignment="1">
      <alignment vertical="center" wrapText="1"/>
    </xf>
    <xf numFmtId="171" fontId="26" fillId="7" borderId="0" xfId="4" applyNumberFormat="1" applyFont="1" applyFill="1" applyAlignment="1">
      <alignment horizontal="center"/>
    </xf>
    <xf numFmtId="0" fontId="1" fillId="0" borderId="0" xfId="0" applyFont="1" applyFill="1" applyAlignment="1">
      <alignment horizontal="left" indent="1"/>
    </xf>
    <xf numFmtId="0" fontId="15" fillId="0" borderId="0" xfId="0" applyFont="1" applyFill="1" applyAlignment="1">
      <alignment horizontal="left" indent="2"/>
    </xf>
    <xf numFmtId="0" fontId="0" fillId="9" borderId="0" xfId="0" applyFill="1"/>
    <xf numFmtId="0" fontId="36" fillId="9" borderId="0" xfId="0" applyFont="1" applyFill="1" applyAlignment="1">
      <alignment horizontal="center" wrapText="1"/>
    </xf>
    <xf numFmtId="0" fontId="36" fillId="9" borderId="0" xfId="0" applyFont="1" applyFill="1" applyAlignment="1">
      <alignment horizontal="center"/>
    </xf>
    <xf numFmtId="0" fontId="35" fillId="9" borderId="0" xfId="0" applyFont="1" applyFill="1" applyAlignment="1">
      <alignment horizontal="left"/>
    </xf>
    <xf numFmtId="0" fontId="0" fillId="0" borderId="0" xfId="0" applyFont="1" applyFill="1"/>
    <xf numFmtId="0" fontId="0" fillId="0" borderId="0" xfId="0" applyFont="1" applyAlignment="1">
      <alignment wrapText="1"/>
    </xf>
    <xf numFmtId="0" fontId="1" fillId="0" borderId="0" xfId="0" applyFont="1" applyFill="1" applyAlignment="1">
      <alignment wrapText="1"/>
    </xf>
    <xf numFmtId="0" fontId="0" fillId="0" borderId="14" xfId="0" applyFill="1" applyBorder="1"/>
    <xf numFmtId="0" fontId="0" fillId="0" borderId="0" xfId="0" applyFont="1" applyFill="1" applyBorder="1" applyAlignment="1"/>
    <xf numFmtId="0" fontId="16" fillId="7" borderId="0" xfId="0" applyFont="1" applyFill="1" applyAlignment="1">
      <alignment vertical="center"/>
    </xf>
    <xf numFmtId="0" fontId="19" fillId="7" borderId="0" xfId="0" applyFont="1" applyFill="1" applyAlignment="1">
      <alignment wrapText="1"/>
    </xf>
    <xf numFmtId="0" fontId="19" fillId="7" borderId="0" xfId="0" applyFont="1" applyFill="1"/>
    <xf numFmtId="0" fontId="0" fillId="7" borderId="0" xfId="0" applyFont="1" applyFill="1" applyAlignment="1">
      <alignment wrapText="1"/>
    </xf>
    <xf numFmtId="0" fontId="0" fillId="7" borderId="0" xfId="0" applyFont="1" applyFill="1"/>
    <xf numFmtId="0" fontId="0" fillId="7" borderId="0" xfId="0" applyFill="1"/>
    <xf numFmtId="0" fontId="1" fillId="7" borderId="0" xfId="0" applyFont="1" applyFill="1" applyAlignment="1">
      <alignment horizontal="left" vertical="center"/>
    </xf>
    <xf numFmtId="0" fontId="0" fillId="7" borderId="0" xfId="0" applyFill="1" applyAlignment="1">
      <alignment wrapText="1"/>
    </xf>
    <xf numFmtId="0" fontId="1" fillId="7" borderId="0" xfId="0" applyFont="1" applyFill="1" applyAlignment="1">
      <alignment vertical="center"/>
    </xf>
    <xf numFmtId="0" fontId="2" fillId="0" borderId="0" xfId="0" applyFont="1"/>
    <xf numFmtId="0" fontId="0" fillId="7" borderId="0" xfId="0" applyFill="1" applyBorder="1" applyAlignment="1">
      <alignment horizontal="center"/>
    </xf>
    <xf numFmtId="0" fontId="1" fillId="7" borderId="0" xfId="0" applyFont="1" applyFill="1" applyBorder="1" applyAlignment="1">
      <alignment horizontal="center"/>
    </xf>
    <xf numFmtId="0" fontId="0" fillId="7" borderId="0" xfId="0" applyFont="1" applyFill="1" applyBorder="1" applyAlignment="1">
      <alignment horizontal="center"/>
    </xf>
    <xf numFmtId="0" fontId="0" fillId="7" borderId="0" xfId="0" applyFont="1" applyFill="1" applyBorder="1" applyAlignment="1">
      <alignment horizontal="left"/>
    </xf>
    <xf numFmtId="0" fontId="0" fillId="7" borderId="0" xfId="0" applyFill="1" applyBorder="1"/>
    <xf numFmtId="0" fontId="0" fillId="0" borderId="0" xfId="0" applyFont="1" applyFill="1" applyBorder="1" applyAlignment="1">
      <alignment horizontal="left"/>
    </xf>
    <xf numFmtId="0" fontId="13" fillId="5" borderId="0" xfId="0" applyFont="1" applyFill="1" applyBorder="1"/>
    <xf numFmtId="0" fontId="0" fillId="7" borderId="0" xfId="0" applyFill="1" applyBorder="1" applyAlignment="1">
      <alignment horizontal="center" vertical="center"/>
    </xf>
    <xf numFmtId="9" fontId="0" fillId="7" borderId="0" xfId="3" applyFont="1" applyFill="1" applyBorder="1" applyAlignment="1">
      <alignment horizontal="right"/>
    </xf>
    <xf numFmtId="9" fontId="0" fillId="7" borderId="0" xfId="3" applyFont="1" applyFill="1" applyBorder="1" applyAlignment="1">
      <alignment horizontal="right" vertical="center"/>
    </xf>
    <xf numFmtId="0" fontId="0" fillId="7" borderId="0" xfId="0" applyNumberFormat="1" applyFont="1" applyFill="1" applyBorder="1" applyAlignment="1">
      <alignment horizontal="center"/>
    </xf>
    <xf numFmtId="0" fontId="12" fillId="5" borderId="0" xfId="0" applyFont="1" applyFill="1" applyBorder="1" applyAlignment="1">
      <alignment horizontal="center"/>
    </xf>
    <xf numFmtId="168" fontId="0" fillId="0" borderId="0" xfId="1" applyNumberFormat="1" applyFont="1"/>
    <xf numFmtId="168" fontId="0" fillId="0" borderId="12" xfId="1" applyNumberFormat="1" applyFont="1" applyBorder="1"/>
    <xf numFmtId="168" fontId="0" fillId="0" borderId="0" xfId="1" applyNumberFormat="1" applyFont="1" applyBorder="1"/>
    <xf numFmtId="168" fontId="0" fillId="0" borderId="13" xfId="1" applyNumberFormat="1" applyFont="1" applyBorder="1"/>
    <xf numFmtId="168" fontId="0" fillId="0" borderId="14" xfId="1" applyNumberFormat="1" applyFont="1" applyBorder="1"/>
    <xf numFmtId="168" fontId="0" fillId="0" borderId="15" xfId="1" applyNumberFormat="1" applyFont="1" applyBorder="1"/>
    <xf numFmtId="168" fontId="0" fillId="0" borderId="21" xfId="1" applyNumberFormat="1" applyFont="1" applyBorder="1"/>
    <xf numFmtId="168" fontId="0" fillId="0" borderId="20" xfId="1" applyNumberFormat="1" applyFont="1" applyBorder="1"/>
    <xf numFmtId="168" fontId="0" fillId="0" borderId="22" xfId="1" applyNumberFormat="1" applyFont="1" applyBorder="1"/>
    <xf numFmtId="168" fontId="0" fillId="0" borderId="16" xfId="1" applyNumberFormat="1" applyFont="1" applyBorder="1"/>
    <xf numFmtId="0" fontId="12" fillId="5" borderId="17" xfId="0" applyFont="1" applyFill="1" applyBorder="1" applyAlignment="1">
      <alignment horizontal="center"/>
    </xf>
    <xf numFmtId="0" fontId="12" fillId="5" borderId="18" xfId="0" applyFont="1" applyFill="1" applyBorder="1" applyAlignment="1">
      <alignment horizontal="center"/>
    </xf>
    <xf numFmtId="0" fontId="12" fillId="5" borderId="19" xfId="0" applyFont="1" applyFill="1" applyBorder="1" applyAlignment="1">
      <alignment horizontal="center"/>
    </xf>
    <xf numFmtId="0" fontId="0" fillId="5" borderId="0" xfId="0" applyFill="1"/>
    <xf numFmtId="0" fontId="0" fillId="9" borderId="0" xfId="0" applyFill="1" applyBorder="1"/>
    <xf numFmtId="0" fontId="0" fillId="5" borderId="0" xfId="0" applyFill="1" applyBorder="1"/>
    <xf numFmtId="0" fontId="0" fillId="7" borderId="14" xfId="0" applyFill="1" applyBorder="1"/>
    <xf numFmtId="0" fontId="0" fillId="7" borderId="14" xfId="0" applyFill="1" applyBorder="1" applyAlignment="1">
      <alignment horizontal="center" vertical="center"/>
    </xf>
    <xf numFmtId="9" fontId="0" fillId="7" borderId="14" xfId="3" applyFont="1" applyFill="1" applyBorder="1" applyAlignment="1">
      <alignment horizontal="right" vertical="center"/>
    </xf>
    <xf numFmtId="9" fontId="0" fillId="7" borderId="14" xfId="3" applyFont="1" applyFill="1" applyBorder="1" applyAlignment="1">
      <alignment horizontal="right"/>
    </xf>
    <xf numFmtId="0" fontId="0" fillId="7" borderId="14" xfId="0" applyFont="1" applyFill="1" applyBorder="1" applyAlignment="1">
      <alignment horizontal="center"/>
    </xf>
    <xf numFmtId="0" fontId="0" fillId="7" borderId="14" xfId="0" applyFont="1" applyFill="1" applyBorder="1" applyAlignment="1">
      <alignment horizontal="left"/>
    </xf>
    <xf numFmtId="0" fontId="12" fillId="5" borderId="0" xfId="0" applyFont="1" applyFill="1" applyBorder="1"/>
    <xf numFmtId="3" fontId="0" fillId="0" borderId="0" xfId="0" applyNumberFormat="1" applyBorder="1"/>
    <xf numFmtId="3" fontId="0" fillId="0" borderId="14" xfId="0" applyNumberFormat="1" applyBorder="1"/>
    <xf numFmtId="0" fontId="12" fillId="9" borderId="0" xfId="0" applyFont="1" applyFill="1" applyBorder="1"/>
    <xf numFmtId="0" fontId="0" fillId="0" borderId="21" xfId="0" applyBorder="1"/>
    <xf numFmtId="3" fontId="0" fillId="0" borderId="21" xfId="0" applyNumberFormat="1" applyBorder="1"/>
    <xf numFmtId="0" fontId="0" fillId="0" borderId="14" xfId="0" applyFont="1" applyFill="1" applyBorder="1" applyAlignment="1">
      <alignment horizontal="left"/>
    </xf>
    <xf numFmtId="0" fontId="0" fillId="0" borderId="21" xfId="0" applyFont="1" applyFill="1" applyBorder="1" applyAlignment="1">
      <alignment horizontal="left"/>
    </xf>
    <xf numFmtId="0" fontId="12" fillId="9" borderId="0" xfId="0" applyFont="1" applyFill="1" applyBorder="1" applyAlignment="1">
      <alignment horizontal="center"/>
    </xf>
    <xf numFmtId="0" fontId="12" fillId="5" borderId="0" xfId="0" applyFont="1" applyFill="1" applyBorder="1" applyAlignment="1">
      <alignment horizontal="right"/>
    </xf>
    <xf numFmtId="0" fontId="12" fillId="9" borderId="0" xfId="0" applyFont="1" applyFill="1" applyAlignment="1">
      <alignment horizontal="center"/>
    </xf>
    <xf numFmtId="165" fontId="0" fillId="0" borderId="0" xfId="0" applyNumberFormat="1" applyBorder="1"/>
    <xf numFmtId="165" fontId="0" fillId="0" borderId="14" xfId="0" applyNumberFormat="1" applyBorder="1"/>
    <xf numFmtId="2" fontId="0" fillId="0" borderId="0" xfId="0" applyNumberFormat="1" applyBorder="1"/>
    <xf numFmtId="1" fontId="0" fillId="0" borderId="0" xfId="0" applyNumberFormat="1" applyBorder="1"/>
    <xf numFmtId="1" fontId="0" fillId="0" borderId="14" xfId="0" applyNumberFormat="1" applyBorder="1"/>
    <xf numFmtId="4" fontId="0" fillId="0" borderId="0" xfId="0" applyNumberFormat="1" applyBorder="1"/>
    <xf numFmtId="4" fontId="0" fillId="0" borderId="14" xfId="0" applyNumberFormat="1" applyBorder="1"/>
    <xf numFmtId="0" fontId="38" fillId="5" borderId="0" xfId="0" applyFont="1" applyFill="1" applyBorder="1"/>
    <xf numFmtId="0" fontId="38" fillId="5" borderId="0" xfId="0" applyFont="1" applyFill="1" applyBorder="1" applyAlignment="1">
      <alignment horizontal="center"/>
    </xf>
    <xf numFmtId="0" fontId="12" fillId="5" borderId="0" xfId="0" applyFont="1" applyFill="1" applyBorder="1" applyAlignment="1">
      <alignment horizontal="center" vertical="center"/>
    </xf>
    <xf numFmtId="0" fontId="12" fillId="5" borderId="0" xfId="0" applyFont="1" applyFill="1" applyBorder="1" applyAlignment="1">
      <alignment horizontal="right" vertical="center"/>
    </xf>
    <xf numFmtId="0" fontId="0" fillId="7" borderId="14" xfId="0" applyFill="1" applyBorder="1" applyAlignment="1">
      <alignment horizontal="center"/>
    </xf>
    <xf numFmtId="0" fontId="2" fillId="0" borderId="0" xfId="0" applyFont="1" applyFill="1" applyBorder="1" applyAlignment="1">
      <alignment horizontal="left"/>
    </xf>
    <xf numFmtId="0" fontId="0" fillId="7" borderId="0" xfId="0" applyFill="1" applyBorder="1" applyAlignment="1">
      <alignment horizontal="right"/>
    </xf>
    <xf numFmtId="0" fontId="0" fillId="7" borderId="14" xfId="0" applyFill="1" applyBorder="1" applyAlignment="1">
      <alignment horizontal="right"/>
    </xf>
    <xf numFmtId="0" fontId="0" fillId="7" borderId="21" xfId="0" applyFill="1" applyBorder="1" applyAlignment="1">
      <alignment horizontal="right"/>
    </xf>
    <xf numFmtId="9" fontId="0" fillId="7" borderId="21" xfId="0" applyNumberFormat="1" applyFill="1" applyBorder="1"/>
    <xf numFmtId="0" fontId="0" fillId="0" borderId="0" xfId="0" applyFill="1" applyBorder="1" applyAlignment="1">
      <alignment wrapText="1"/>
    </xf>
    <xf numFmtId="44" fontId="0" fillId="10" borderId="0" xfId="0" applyNumberFormat="1" applyFont="1" applyFill="1" applyBorder="1" applyAlignment="1"/>
    <xf numFmtId="0" fontId="10" fillId="0" borderId="0" xfId="0" applyFont="1"/>
    <xf numFmtId="0" fontId="1" fillId="7" borderId="0" xfId="0" applyFont="1" applyFill="1" applyBorder="1" applyAlignment="1"/>
    <xf numFmtId="0" fontId="0" fillId="0" borderId="0" xfId="0" applyFont="1" applyFill="1" applyBorder="1"/>
    <xf numFmtId="0" fontId="0" fillId="10" borderId="0" xfId="0" applyFont="1" applyFill="1" applyBorder="1" applyAlignment="1"/>
    <xf numFmtId="0" fontId="0" fillId="0" borderId="0" xfId="0" applyFont="1"/>
    <xf numFmtId="169" fontId="15" fillId="7" borderId="0" xfId="0" applyNumberFormat="1" applyFont="1" applyFill="1" applyBorder="1" applyAlignment="1">
      <alignment vertical="center"/>
    </xf>
    <xf numFmtId="0" fontId="13" fillId="5" borderId="0" xfId="0" applyFont="1" applyFill="1" applyBorder="1" applyAlignment="1">
      <alignment vertical="center"/>
    </xf>
    <xf numFmtId="0" fontId="12" fillId="9" borderId="0" xfId="0" applyFont="1" applyFill="1" applyBorder="1" applyAlignment="1">
      <alignment vertical="center"/>
    </xf>
    <xf numFmtId="0" fontId="20" fillId="9" borderId="21" xfId="0" applyFont="1" applyFill="1" applyBorder="1" applyAlignment="1">
      <alignment vertical="center"/>
    </xf>
    <xf numFmtId="0" fontId="20" fillId="5" borderId="14" xfId="0" applyFont="1" applyFill="1" applyBorder="1" applyAlignment="1">
      <alignment vertical="center"/>
    </xf>
    <xf numFmtId="0" fontId="0" fillId="7" borderId="0" xfId="0" applyFill="1" applyBorder="1" applyAlignment="1">
      <alignment vertical="center"/>
    </xf>
    <xf numFmtId="44" fontId="14" fillId="8" borderId="15" xfId="2" applyFont="1" applyFill="1" applyBorder="1" applyAlignment="1">
      <alignment vertical="center"/>
    </xf>
    <xf numFmtId="44" fontId="14" fillId="8" borderId="16" xfId="2" applyFont="1" applyFill="1" applyBorder="1" applyAlignment="1">
      <alignment vertical="center"/>
    </xf>
    <xf numFmtId="169" fontId="16" fillId="8" borderId="25" xfId="2" applyNumberFormat="1" applyFont="1" applyFill="1" applyBorder="1" applyAlignment="1">
      <alignment vertical="center"/>
    </xf>
    <xf numFmtId="0" fontId="41" fillId="7" borderId="0" xfId="0" applyFont="1" applyFill="1" applyBorder="1" applyAlignment="1">
      <alignment vertical="center"/>
    </xf>
    <xf numFmtId="44" fontId="0" fillId="8" borderId="0" xfId="0" applyNumberFormat="1" applyFont="1" applyFill="1" applyBorder="1" applyAlignment="1">
      <alignment vertical="center"/>
    </xf>
    <xf numFmtId="169" fontId="0" fillId="8" borderId="0" xfId="0" applyNumberFormat="1" applyFont="1" applyFill="1" applyBorder="1" applyAlignment="1">
      <alignment vertical="center"/>
    </xf>
    <xf numFmtId="0" fontId="12" fillId="5" borderId="33" xfId="0" applyFont="1" applyFill="1" applyBorder="1" applyAlignment="1">
      <alignment horizontal="center"/>
    </xf>
    <xf numFmtId="0" fontId="12" fillId="5" borderId="34" xfId="0" applyFont="1" applyFill="1" applyBorder="1" applyAlignment="1">
      <alignment horizontal="center"/>
    </xf>
    <xf numFmtId="0" fontId="12" fillId="5" borderId="35" xfId="0" applyFont="1" applyFill="1" applyBorder="1" applyAlignment="1">
      <alignment horizontal="center"/>
    </xf>
    <xf numFmtId="164" fontId="0" fillId="2" borderId="47" xfId="0" applyNumberFormat="1" applyFont="1" applyFill="1" applyBorder="1" applyAlignment="1">
      <alignment horizontal="center"/>
    </xf>
    <xf numFmtId="2" fontId="0" fillId="0" borderId="14" xfId="0" applyNumberFormat="1" applyBorder="1"/>
    <xf numFmtId="164" fontId="0" fillId="4" borderId="45" xfId="0" applyNumberFormat="1" applyFont="1" applyFill="1" applyBorder="1" applyAlignment="1" applyProtection="1">
      <alignment horizontal="center"/>
      <protection locked="0"/>
    </xf>
    <xf numFmtId="164" fontId="0" fillId="4" borderId="46" xfId="0" applyNumberFormat="1" applyFont="1" applyFill="1" applyBorder="1" applyAlignment="1" applyProtection="1">
      <alignment horizontal="center"/>
      <protection locked="0"/>
    </xf>
    <xf numFmtId="164" fontId="0" fillId="4" borderId="47" xfId="0" applyNumberFormat="1" applyFont="1" applyFill="1" applyBorder="1" applyAlignment="1" applyProtection="1">
      <alignment horizontal="center"/>
      <protection locked="0"/>
    </xf>
    <xf numFmtId="9" fontId="15" fillId="4" borderId="36" xfId="3" applyFont="1" applyFill="1" applyBorder="1" applyAlignment="1" applyProtection="1">
      <alignment horizontal="center"/>
      <protection locked="0"/>
    </xf>
    <xf numFmtId="9" fontId="15" fillId="4" borderId="25" xfId="3" applyFont="1" applyFill="1" applyBorder="1" applyAlignment="1" applyProtection="1">
      <alignment horizontal="center"/>
      <protection locked="0"/>
    </xf>
    <xf numFmtId="9" fontId="15" fillId="4" borderId="37" xfId="3" applyFont="1" applyFill="1" applyBorder="1" applyAlignment="1" applyProtection="1">
      <alignment horizontal="center"/>
      <protection locked="0"/>
    </xf>
    <xf numFmtId="9" fontId="15" fillId="4" borderId="38" xfId="3" applyFont="1" applyFill="1" applyBorder="1" applyAlignment="1" applyProtection="1">
      <alignment horizontal="center"/>
      <protection locked="0"/>
    </xf>
    <xf numFmtId="9" fontId="15" fillId="4" borderId="9" xfId="3" applyFont="1" applyFill="1" applyBorder="1" applyAlignment="1" applyProtection="1">
      <alignment horizontal="center"/>
      <protection locked="0"/>
    </xf>
    <xf numFmtId="9" fontId="15" fillId="4" borderId="39" xfId="3" applyFont="1" applyFill="1" applyBorder="1" applyAlignment="1" applyProtection="1">
      <alignment horizontal="center"/>
      <protection locked="0"/>
    </xf>
    <xf numFmtId="9" fontId="15" fillId="4" borderId="40" xfId="3" applyFont="1" applyFill="1" applyBorder="1" applyAlignment="1" applyProtection="1">
      <alignment horizontal="center"/>
      <protection locked="0"/>
    </xf>
    <xf numFmtId="9" fontId="15" fillId="4" borderId="41" xfId="3" applyFont="1" applyFill="1" applyBorder="1" applyAlignment="1" applyProtection="1">
      <alignment horizontal="center"/>
      <protection locked="0"/>
    </xf>
    <xf numFmtId="9" fontId="15" fillId="4" borderId="42" xfId="3" applyFont="1" applyFill="1" applyBorder="1" applyAlignment="1" applyProtection="1">
      <alignment horizontal="center"/>
      <protection locked="0"/>
    </xf>
    <xf numFmtId="164" fontId="19" fillId="2" borderId="10" xfId="0" applyNumberFormat="1" applyFont="1" applyFill="1" applyBorder="1" applyAlignment="1">
      <alignment horizontal="center"/>
    </xf>
    <xf numFmtId="9" fontId="0" fillId="7" borderId="0" xfId="3" applyFont="1" applyFill="1" applyBorder="1" applyAlignment="1"/>
    <xf numFmtId="0" fontId="42" fillId="0" borderId="0" xfId="0" applyFont="1"/>
    <xf numFmtId="1" fontId="15" fillId="8" borderId="0" xfId="0" applyNumberFormat="1" applyFont="1" applyFill="1" applyBorder="1" applyAlignment="1">
      <alignment horizontal="right" vertical="center"/>
    </xf>
    <xf numFmtId="0" fontId="15" fillId="8" borderId="12" xfId="0" applyFont="1" applyFill="1" applyBorder="1" applyAlignment="1">
      <alignment vertical="center"/>
    </xf>
    <xf numFmtId="0" fontId="0" fillId="11" borderId="0" xfId="0" applyFont="1" applyFill="1" applyBorder="1"/>
    <xf numFmtId="3" fontId="0" fillId="11" borderId="0" xfId="0" applyNumberFormat="1" applyFont="1" applyFill="1" applyBorder="1" applyAlignment="1">
      <alignment horizontal="center"/>
    </xf>
    <xf numFmtId="0" fontId="0" fillId="11" borderId="0" xfId="0" applyFont="1" applyFill="1" applyBorder="1" applyAlignment="1">
      <alignment horizontal="center"/>
    </xf>
    <xf numFmtId="0" fontId="0" fillId="11" borderId="0" xfId="0" applyFill="1" applyBorder="1"/>
    <xf numFmtId="0" fontId="0" fillId="11" borderId="0" xfId="0" applyFont="1" applyFill="1" applyBorder="1" applyAlignment="1"/>
    <xf numFmtId="44" fontId="0" fillId="11" borderId="0" xfId="0" applyNumberFormat="1" applyFont="1" applyFill="1" applyBorder="1" applyAlignment="1"/>
    <xf numFmtId="169" fontId="0" fillId="11" borderId="0" xfId="0" applyNumberFormat="1" applyFont="1" applyFill="1" applyBorder="1" applyAlignment="1"/>
    <xf numFmtId="169" fontId="0" fillId="11" borderId="0" xfId="0" applyNumberFormat="1" applyFont="1" applyFill="1" applyBorder="1" applyAlignment="1">
      <alignment horizontal="center"/>
    </xf>
    <xf numFmtId="168" fontId="0" fillId="8" borderId="9" xfId="1" applyNumberFormat="1" applyFont="1" applyFill="1" applyBorder="1" applyAlignment="1">
      <alignment horizontal="right"/>
    </xf>
    <xf numFmtId="168" fontId="0" fillId="8" borderId="43" xfId="1" applyNumberFormat="1" applyFont="1" applyFill="1" applyBorder="1" applyAlignment="1">
      <alignment horizontal="right"/>
    </xf>
    <xf numFmtId="168" fontId="0" fillId="8" borderId="44" xfId="1" applyNumberFormat="1" applyFont="1" applyFill="1" applyBorder="1" applyAlignment="1">
      <alignment horizontal="right"/>
    </xf>
    <xf numFmtId="168" fontId="0" fillId="8" borderId="59" xfId="1" applyNumberFormat="1" applyFont="1" applyFill="1" applyBorder="1" applyAlignment="1">
      <alignment horizontal="right"/>
    </xf>
    <xf numFmtId="168" fontId="0" fillId="8" borderId="38" xfId="1" applyNumberFormat="1" applyFont="1" applyFill="1" applyBorder="1" applyAlignment="1">
      <alignment horizontal="right"/>
    </xf>
    <xf numFmtId="168" fontId="0" fillId="8" borderId="39" xfId="1" applyNumberFormat="1" applyFont="1" applyFill="1" applyBorder="1" applyAlignment="1">
      <alignment horizontal="right"/>
    </xf>
    <xf numFmtId="168" fontId="0" fillId="8" borderId="40" xfId="1" applyNumberFormat="1" applyFont="1" applyFill="1" applyBorder="1" applyAlignment="1">
      <alignment horizontal="right"/>
    </xf>
    <xf numFmtId="168" fontId="0" fillId="8" borderId="41" xfId="1" applyNumberFormat="1" applyFont="1" applyFill="1" applyBorder="1" applyAlignment="1">
      <alignment horizontal="right"/>
    </xf>
    <xf numFmtId="168" fontId="0" fillId="8" borderId="42" xfId="1" applyNumberFormat="1" applyFont="1" applyFill="1" applyBorder="1" applyAlignment="1">
      <alignment horizontal="right"/>
    </xf>
    <xf numFmtId="3" fontId="12" fillId="12" borderId="58" xfId="0" applyNumberFormat="1" applyFont="1" applyFill="1" applyBorder="1" applyAlignment="1">
      <alignment horizontal="center" vertical="center"/>
    </xf>
    <xf numFmtId="3" fontId="12" fillId="12" borderId="32" xfId="0" applyNumberFormat="1" applyFont="1" applyFill="1" applyBorder="1" applyAlignment="1">
      <alignment horizontal="center" vertical="center"/>
    </xf>
    <xf numFmtId="3" fontId="12" fillId="12" borderId="7" xfId="0" applyNumberFormat="1" applyFont="1" applyFill="1" applyBorder="1" applyAlignment="1">
      <alignment horizontal="center" vertical="center"/>
    </xf>
    <xf numFmtId="0" fontId="12" fillId="12" borderId="7" xfId="0" applyFont="1" applyFill="1" applyBorder="1" applyAlignment="1">
      <alignment horizontal="center" vertical="center"/>
    </xf>
    <xf numFmtId="3" fontId="12" fillId="12" borderId="6" xfId="0" applyNumberFormat="1" applyFont="1" applyFill="1" applyBorder="1" applyAlignment="1">
      <alignment horizontal="center" vertical="center"/>
    </xf>
    <xf numFmtId="164" fontId="0" fillId="8" borderId="9" xfId="0" applyNumberFormat="1" applyFont="1" applyFill="1" applyBorder="1" applyAlignment="1">
      <alignment horizontal="center"/>
    </xf>
    <xf numFmtId="3" fontId="0" fillId="8" borderId="43" xfId="0" applyNumberFormat="1" applyFont="1" applyFill="1" applyBorder="1" applyAlignment="1">
      <alignment horizontal="center"/>
    </xf>
    <xf numFmtId="164" fontId="0" fillId="8" borderId="44" xfId="0" applyNumberFormat="1" applyFont="1" applyFill="1" applyBorder="1" applyAlignment="1">
      <alignment horizontal="center"/>
    </xf>
    <xf numFmtId="3" fontId="0" fillId="8" borderId="38" xfId="0" applyNumberFormat="1" applyFont="1" applyFill="1" applyBorder="1" applyAlignment="1">
      <alignment horizontal="center"/>
    </xf>
    <xf numFmtId="3" fontId="0" fillId="8" borderId="40" xfId="0" applyNumberFormat="1" applyFont="1" applyFill="1" applyBorder="1" applyAlignment="1">
      <alignment horizontal="center"/>
    </xf>
    <xf numFmtId="164" fontId="0" fillId="8" borderId="41" xfId="0" applyNumberFormat="1" applyFont="1" applyFill="1" applyBorder="1" applyAlignment="1">
      <alignment horizontal="center"/>
    </xf>
    <xf numFmtId="3" fontId="0" fillId="8" borderId="33" xfId="0" applyNumberFormat="1" applyFont="1" applyFill="1" applyBorder="1" applyAlignment="1">
      <alignment horizontal="center"/>
    </xf>
    <xf numFmtId="164" fontId="0" fillId="8" borderId="34" xfId="0" applyNumberFormat="1" applyFont="1" applyFill="1" applyBorder="1" applyAlignment="1">
      <alignment horizontal="center"/>
    </xf>
    <xf numFmtId="164" fontId="0" fillId="8" borderId="35" xfId="0" applyNumberFormat="1" applyFont="1" applyFill="1" applyBorder="1" applyAlignment="1">
      <alignment horizontal="center"/>
    </xf>
    <xf numFmtId="3" fontId="12" fillId="12" borderId="10" xfId="0" applyNumberFormat="1" applyFont="1" applyFill="1" applyBorder="1" applyAlignment="1">
      <alignment horizontal="center" vertical="center"/>
    </xf>
    <xf numFmtId="44" fontId="0" fillId="8" borderId="45" xfId="0" applyNumberFormat="1" applyFont="1" applyFill="1" applyBorder="1" applyAlignment="1"/>
    <xf numFmtId="169" fontId="0" fillId="8" borderId="46" xfId="0" applyNumberFormat="1" applyFont="1" applyFill="1" applyBorder="1" applyAlignment="1"/>
    <xf numFmtId="169" fontId="0" fillId="8" borderId="47" xfId="0" applyNumberFormat="1" applyFont="1" applyFill="1" applyBorder="1" applyAlignment="1"/>
    <xf numFmtId="0" fontId="0" fillId="11" borderId="60" xfId="0" applyFill="1" applyBorder="1"/>
    <xf numFmtId="0" fontId="0" fillId="11" borderId="61" xfId="0" applyFill="1" applyBorder="1" applyAlignment="1">
      <alignment horizontal="center"/>
    </xf>
    <xf numFmtId="169" fontId="0" fillId="11" borderId="61" xfId="0" applyNumberFormat="1" applyFont="1" applyFill="1" applyBorder="1" applyAlignment="1"/>
    <xf numFmtId="0" fontId="0" fillId="11" borderId="60" xfId="0" applyFont="1" applyFill="1" applyBorder="1"/>
    <xf numFmtId="169" fontId="0" fillId="11" borderId="61" xfId="0" applyNumberFormat="1" applyFont="1" applyFill="1" applyBorder="1" applyAlignment="1">
      <alignment horizontal="center"/>
    </xf>
    <xf numFmtId="0" fontId="0" fillId="11" borderId="60" xfId="0" applyFont="1" applyFill="1" applyBorder="1" applyAlignment="1"/>
    <xf numFmtId="3" fontId="12" fillId="12" borderId="3" xfId="0" applyNumberFormat="1" applyFont="1" applyFill="1" applyBorder="1" applyAlignment="1">
      <alignment horizontal="center" vertical="center"/>
    </xf>
    <xf numFmtId="3" fontId="12" fillId="12" borderId="11" xfId="0" applyNumberFormat="1" applyFont="1" applyFill="1" applyBorder="1" applyAlignment="1">
      <alignment horizontal="center" vertical="center"/>
    </xf>
    <xf numFmtId="0" fontId="12" fillId="12" borderId="5" xfId="0" applyFont="1" applyFill="1" applyBorder="1" applyAlignment="1">
      <alignment horizontal="center" vertical="center"/>
    </xf>
    <xf numFmtId="0" fontId="0" fillId="11" borderId="60" xfId="0" applyFont="1" applyFill="1" applyBorder="1" applyAlignment="1">
      <alignment horizontal="left" indent="1"/>
    </xf>
    <xf numFmtId="0" fontId="0" fillId="11" borderId="3" xfId="0" applyFont="1" applyFill="1" applyBorder="1" applyAlignment="1">
      <alignment horizontal="left" indent="1"/>
    </xf>
    <xf numFmtId="0" fontId="0" fillId="11" borderId="32" xfId="0" applyFont="1" applyFill="1" applyBorder="1"/>
    <xf numFmtId="0" fontId="1" fillId="11" borderId="60" xfId="0" applyFont="1" applyFill="1" applyBorder="1"/>
    <xf numFmtId="0" fontId="1" fillId="11" borderId="3" xfId="0" applyFont="1" applyFill="1" applyBorder="1" applyAlignment="1">
      <alignment horizontal="left"/>
    </xf>
    <xf numFmtId="0" fontId="1" fillId="11" borderId="32" xfId="0" applyFont="1" applyFill="1" applyBorder="1" applyAlignment="1"/>
    <xf numFmtId="44" fontId="0" fillId="11" borderId="60" xfId="0" applyNumberFormat="1" applyFont="1" applyFill="1" applyBorder="1" applyAlignment="1">
      <alignment horizontal="right" indent="9"/>
    </xf>
    <xf numFmtId="44" fontId="0" fillId="11" borderId="3" xfId="0" applyNumberFormat="1" applyFont="1" applyFill="1" applyBorder="1" applyAlignment="1">
      <alignment horizontal="right" indent="9"/>
    </xf>
    <xf numFmtId="3" fontId="12" fillId="12" borderId="33" xfId="0" applyNumberFormat="1" applyFont="1" applyFill="1" applyBorder="1" applyAlignment="1">
      <alignment horizontal="center" vertical="center"/>
    </xf>
    <xf numFmtId="0" fontId="1" fillId="11" borderId="10" xfId="0" applyFont="1" applyFill="1" applyBorder="1"/>
    <xf numFmtId="0" fontId="0" fillId="11" borderId="63" xfId="0" applyFont="1" applyFill="1" applyBorder="1" applyAlignment="1">
      <alignment horizontal="left" indent="1"/>
    </xf>
    <xf numFmtId="0" fontId="0" fillId="11" borderId="11" xfId="0" applyFont="1" applyFill="1" applyBorder="1" applyAlignment="1">
      <alignment horizontal="left" indent="1"/>
    </xf>
    <xf numFmtId="0" fontId="0" fillId="7" borderId="61" xfId="0" applyFill="1" applyBorder="1"/>
    <xf numFmtId="0" fontId="0" fillId="7" borderId="60" xfId="0" applyFill="1" applyBorder="1"/>
    <xf numFmtId="0" fontId="0" fillId="7" borderId="61" xfId="0" applyFill="1" applyBorder="1" applyAlignment="1">
      <alignment horizontal="center"/>
    </xf>
    <xf numFmtId="0" fontId="0" fillId="7" borderId="61" xfId="0" applyFill="1" applyBorder="1" applyAlignment="1"/>
    <xf numFmtId="0" fontId="1" fillId="7" borderId="61" xfId="0" applyFont="1" applyFill="1" applyBorder="1" applyAlignment="1">
      <alignment horizontal="center"/>
    </xf>
    <xf numFmtId="0" fontId="0" fillId="7" borderId="61" xfId="0" applyFont="1" applyFill="1" applyBorder="1" applyAlignment="1">
      <alignment horizontal="center"/>
    </xf>
    <xf numFmtId="0" fontId="0" fillId="7" borderId="61" xfId="0" applyFont="1" applyFill="1" applyBorder="1" applyAlignment="1">
      <alignment horizontal="left"/>
    </xf>
    <xf numFmtId="0" fontId="8" fillId="7" borderId="61" xfId="0" applyFont="1" applyFill="1" applyBorder="1" applyAlignment="1">
      <alignment horizontal="center" vertical="center"/>
    </xf>
    <xf numFmtId="0" fontId="3" fillId="7" borderId="61" xfId="0" applyFont="1" applyFill="1" applyBorder="1" applyAlignment="1">
      <alignment horizontal="center"/>
    </xf>
    <xf numFmtId="0" fontId="12" fillId="5" borderId="58" xfId="0" applyFont="1" applyFill="1" applyBorder="1" applyAlignment="1">
      <alignment horizontal="center"/>
    </xf>
    <xf numFmtId="168" fontId="15" fillId="4" borderId="20" xfId="1" applyNumberFormat="1" applyFont="1" applyFill="1" applyBorder="1" applyAlignment="1">
      <alignment vertical="center"/>
    </xf>
    <xf numFmtId="0" fontId="0" fillId="8" borderId="9" xfId="0" applyFill="1" applyBorder="1"/>
    <xf numFmtId="3" fontId="1" fillId="11" borderId="0" xfId="0" applyNumberFormat="1" applyFont="1" applyFill="1" applyBorder="1" applyAlignment="1">
      <alignment horizontal="center"/>
    </xf>
    <xf numFmtId="0" fontId="12" fillId="5" borderId="0" xfId="0" applyFont="1" applyFill="1" applyBorder="1" applyAlignment="1">
      <alignment horizontal="center"/>
    </xf>
    <xf numFmtId="0" fontId="0" fillId="7" borderId="5" xfId="0" applyFill="1" applyBorder="1"/>
    <xf numFmtId="0" fontId="35" fillId="5" borderId="32" xfId="0" applyFont="1" applyFill="1" applyBorder="1" applyAlignment="1">
      <alignment wrapText="1"/>
    </xf>
    <xf numFmtId="0" fontId="13" fillId="5" borderId="6" xfId="0" applyFont="1" applyFill="1" applyBorder="1" applyAlignment="1">
      <alignment horizontal="center" wrapText="1"/>
    </xf>
    <xf numFmtId="0" fontId="0" fillId="0" borderId="5" xfId="0" applyFill="1" applyBorder="1"/>
    <xf numFmtId="0" fontId="22" fillId="7" borderId="6" xfId="0" applyFont="1" applyFill="1" applyBorder="1" applyAlignment="1">
      <alignment horizontal="center"/>
    </xf>
    <xf numFmtId="0" fontId="0" fillId="0" borderId="0" xfId="0" applyFill="1" applyAlignment="1">
      <alignment horizontal="center"/>
    </xf>
    <xf numFmtId="0" fontId="0" fillId="0" borderId="32" xfId="0" applyFont="1" applyFill="1" applyBorder="1"/>
    <xf numFmtId="0" fontId="0" fillId="0" borderId="7" xfId="0" applyFill="1" applyBorder="1"/>
    <xf numFmtId="0" fontId="0" fillId="0" borderId="7" xfId="0" applyFont="1" applyFill="1" applyBorder="1" applyAlignment="1"/>
    <xf numFmtId="0" fontId="0" fillId="0" borderId="7" xfId="0" applyFill="1" applyBorder="1" applyAlignment="1">
      <alignment horizontal="center"/>
    </xf>
    <xf numFmtId="0" fontId="0" fillId="0" borderId="6" xfId="0" applyFill="1" applyBorder="1"/>
    <xf numFmtId="0" fontId="40" fillId="0" borderId="60" xfId="0" applyFont="1" applyBorder="1"/>
    <xf numFmtId="0" fontId="0" fillId="0" borderId="61" xfId="0" applyFill="1" applyBorder="1"/>
    <xf numFmtId="0" fontId="0" fillId="0" borderId="3" xfId="0" applyFill="1" applyBorder="1"/>
    <xf numFmtId="0" fontId="0" fillId="0" borderId="4" xfId="0" applyFill="1" applyBorder="1"/>
    <xf numFmtId="0" fontId="0" fillId="0" borderId="4" xfId="0" applyFill="1" applyBorder="1" applyAlignment="1">
      <alignment horizontal="center"/>
    </xf>
    <xf numFmtId="0" fontId="1" fillId="13" borderId="32" xfId="0" applyFont="1" applyFill="1" applyBorder="1"/>
    <xf numFmtId="0" fontId="0" fillId="13" borderId="60" xfId="0" applyFont="1" applyFill="1" applyBorder="1" applyAlignment="1">
      <alignment horizontal="left" indent="1"/>
    </xf>
    <xf numFmtId="0" fontId="0" fillId="13" borderId="60" xfId="0" applyFont="1" applyFill="1" applyBorder="1"/>
    <xf numFmtId="0" fontId="0" fillId="13" borderId="3" xfId="0" applyFont="1" applyFill="1" applyBorder="1"/>
    <xf numFmtId="0" fontId="0" fillId="13" borderId="3" xfId="0" applyFill="1" applyBorder="1"/>
    <xf numFmtId="0" fontId="1" fillId="13" borderId="32" xfId="0" applyFont="1" applyFill="1" applyBorder="1" applyAlignment="1"/>
    <xf numFmtId="0" fontId="1" fillId="13" borderId="10" xfId="0" applyFont="1" applyFill="1" applyBorder="1"/>
    <xf numFmtId="0" fontId="0" fillId="13" borderId="63" xfId="0" applyFill="1" applyBorder="1"/>
    <xf numFmtId="0" fontId="0" fillId="13" borderId="11" xfId="0" applyFill="1" applyBorder="1"/>
    <xf numFmtId="0" fontId="1" fillId="13" borderId="10" xfId="0" applyFont="1" applyFill="1" applyBorder="1" applyAlignment="1">
      <alignment vertical="center"/>
    </xf>
    <xf numFmtId="0" fontId="1" fillId="13" borderId="63" xfId="0" applyFont="1" applyFill="1" applyBorder="1" applyAlignment="1">
      <alignment vertical="center"/>
    </xf>
    <xf numFmtId="0" fontId="0" fillId="13" borderId="60" xfId="0" applyFont="1" applyFill="1" applyBorder="1" applyAlignment="1">
      <alignment horizontal="left"/>
    </xf>
    <xf numFmtId="0" fontId="0" fillId="13" borderId="3" xfId="0" applyFont="1" applyFill="1" applyBorder="1" applyAlignment="1">
      <alignment horizontal="left"/>
    </xf>
    <xf numFmtId="0" fontId="1" fillId="13" borderId="3" xfId="0" applyFont="1" applyFill="1" applyBorder="1"/>
    <xf numFmtId="0" fontId="1" fillId="13" borderId="32" xfId="0" applyFont="1" applyFill="1" applyBorder="1" applyAlignment="1">
      <alignment vertical="center"/>
    </xf>
    <xf numFmtId="0" fontId="1" fillId="13" borderId="10" xfId="0" applyFont="1" applyFill="1" applyBorder="1" applyAlignment="1"/>
    <xf numFmtId="0" fontId="0" fillId="13" borderId="11" xfId="0" applyFont="1" applyFill="1" applyBorder="1" applyAlignment="1">
      <alignment wrapText="1"/>
    </xf>
    <xf numFmtId="0" fontId="12" fillId="6" borderId="60" xfId="0" applyFont="1" applyFill="1" applyBorder="1" applyAlignment="1">
      <alignment vertical="center"/>
    </xf>
    <xf numFmtId="0" fontId="0" fillId="7" borderId="60" xfId="0" applyFill="1" applyBorder="1" applyAlignment="1">
      <alignment vertical="center"/>
    </xf>
    <xf numFmtId="0" fontId="0" fillId="7" borderId="61" xfId="0" applyFill="1" applyBorder="1" applyAlignment="1">
      <alignment vertical="center"/>
    </xf>
    <xf numFmtId="0" fontId="41" fillId="7" borderId="61" xfId="0" applyFont="1" applyFill="1" applyBorder="1" applyAlignment="1">
      <alignment vertical="center"/>
    </xf>
    <xf numFmtId="0" fontId="1" fillId="7" borderId="60" xfId="0" applyFont="1" applyFill="1" applyBorder="1" applyAlignment="1">
      <alignment vertical="center"/>
    </xf>
    <xf numFmtId="0" fontId="0" fillId="0" borderId="0" xfId="0" applyBorder="1" applyAlignment="1">
      <alignment vertical="center"/>
    </xf>
    <xf numFmtId="7" fontId="9" fillId="0" borderId="61" xfId="0" applyNumberFormat="1" applyFont="1" applyFill="1" applyBorder="1" applyAlignment="1">
      <alignment vertical="center"/>
    </xf>
    <xf numFmtId="0" fontId="0" fillId="0" borderId="60" xfId="0" applyFill="1" applyBorder="1" applyAlignment="1">
      <alignment vertical="center"/>
    </xf>
    <xf numFmtId="0" fontId="12" fillId="9" borderId="60" xfId="0" applyFont="1" applyFill="1" applyBorder="1" applyAlignment="1">
      <alignment vertical="center"/>
    </xf>
    <xf numFmtId="0" fontId="12" fillId="9" borderId="61" xfId="0" applyFont="1" applyFill="1" applyBorder="1" applyAlignment="1">
      <alignment vertical="center"/>
    </xf>
    <xf numFmtId="0" fontId="12" fillId="5" borderId="60" xfId="0" applyFont="1" applyFill="1" applyBorder="1" applyAlignment="1">
      <alignment vertical="center"/>
    </xf>
    <xf numFmtId="0" fontId="12" fillId="5" borderId="61" xfId="0" applyFont="1" applyFill="1" applyBorder="1" applyAlignment="1">
      <alignment vertical="center"/>
    </xf>
    <xf numFmtId="0" fontId="0" fillId="7" borderId="60" xfId="0" applyFont="1" applyFill="1" applyBorder="1" applyAlignment="1">
      <alignment vertical="center"/>
    </xf>
    <xf numFmtId="0" fontId="0" fillId="7" borderId="61" xfId="0" applyFont="1" applyFill="1" applyBorder="1" applyAlignment="1">
      <alignment vertical="center"/>
    </xf>
    <xf numFmtId="0" fontId="0" fillId="9" borderId="61" xfId="0" applyFill="1" applyBorder="1" applyAlignment="1">
      <alignment vertical="center"/>
    </xf>
    <xf numFmtId="0" fontId="0" fillId="5" borderId="61" xfId="0" applyFill="1" applyBorder="1" applyAlignment="1">
      <alignment vertical="center"/>
    </xf>
    <xf numFmtId="0" fontId="1" fillId="7" borderId="64" xfId="0" applyFont="1" applyFill="1" applyBorder="1" applyAlignment="1">
      <alignment vertical="center"/>
    </xf>
    <xf numFmtId="0" fontId="19" fillId="7" borderId="60" xfId="0" applyFont="1" applyFill="1" applyBorder="1" applyAlignment="1">
      <alignment vertical="center"/>
    </xf>
    <xf numFmtId="0" fontId="1" fillId="7" borderId="3" xfId="0" applyFont="1" applyFill="1" applyBorder="1" applyAlignment="1">
      <alignment vertical="center"/>
    </xf>
    <xf numFmtId="0" fontId="0" fillId="7" borderId="4" xfId="0" applyFont="1" applyFill="1" applyBorder="1" applyAlignment="1">
      <alignment vertical="center"/>
    </xf>
    <xf numFmtId="0" fontId="1" fillId="7" borderId="4" xfId="0" applyFont="1" applyFill="1" applyBorder="1" applyAlignment="1">
      <alignment vertical="center"/>
    </xf>
    <xf numFmtId="0" fontId="0" fillId="7" borderId="5" xfId="0" applyFill="1" applyBorder="1" applyAlignment="1">
      <alignment vertical="center"/>
    </xf>
    <xf numFmtId="0" fontId="0" fillId="0" borderId="1" xfId="0" applyBorder="1" applyAlignment="1">
      <alignment vertical="center"/>
    </xf>
    <xf numFmtId="0" fontId="0" fillId="0" borderId="2" xfId="0" applyFill="1" applyBorder="1" applyAlignment="1">
      <alignment vertical="center"/>
    </xf>
    <xf numFmtId="0" fontId="10" fillId="0" borderId="8" xfId="0" applyFont="1" applyBorder="1" applyAlignment="1">
      <alignment vertical="center"/>
    </xf>
    <xf numFmtId="0" fontId="35" fillId="6" borderId="32" xfId="0" applyFont="1" applyFill="1" applyBorder="1" applyAlignment="1">
      <alignment vertical="center"/>
    </xf>
    <xf numFmtId="0" fontId="35" fillId="6" borderId="7" xfId="0" applyFont="1" applyFill="1" applyBorder="1" applyAlignment="1">
      <alignment vertical="center"/>
    </xf>
    <xf numFmtId="0" fontId="35" fillId="6" borderId="6" xfId="0" applyFont="1" applyFill="1" applyBorder="1" applyAlignment="1">
      <alignment vertical="center"/>
    </xf>
    <xf numFmtId="0" fontId="16" fillId="7" borderId="60" xfId="0" applyFont="1" applyFill="1" applyBorder="1" applyAlignment="1">
      <alignment vertical="center"/>
    </xf>
    <xf numFmtId="169" fontId="0" fillId="7" borderId="60" xfId="0" applyNumberFormat="1" applyFont="1" applyFill="1" applyBorder="1" applyAlignment="1">
      <alignment vertical="center"/>
    </xf>
    <xf numFmtId="169" fontId="0" fillId="7" borderId="60" xfId="0" applyNumberFormat="1" applyFont="1" applyFill="1" applyBorder="1" applyAlignment="1">
      <alignment horizontal="right" vertical="center"/>
    </xf>
    <xf numFmtId="169" fontId="15" fillId="7" borderId="60" xfId="0" applyNumberFormat="1" applyFont="1" applyFill="1" applyBorder="1" applyAlignment="1">
      <alignment vertical="center"/>
    </xf>
    <xf numFmtId="44" fontId="0" fillId="7" borderId="3" xfId="0" applyNumberFormat="1" applyFont="1" applyFill="1" applyBorder="1" applyAlignment="1">
      <alignment vertical="center"/>
    </xf>
    <xf numFmtId="44" fontId="0" fillId="7" borderId="4" xfId="0" applyNumberFormat="1" applyFont="1" applyFill="1" applyBorder="1" applyAlignment="1">
      <alignment vertical="center"/>
    </xf>
    <xf numFmtId="0" fontId="41" fillId="7" borderId="5" xfId="0" applyFont="1" applyFill="1" applyBorder="1" applyAlignment="1">
      <alignment vertical="center"/>
    </xf>
    <xf numFmtId="0" fontId="12" fillId="6" borderId="32" xfId="0" applyFont="1" applyFill="1" applyBorder="1" applyAlignment="1">
      <alignment vertical="center"/>
    </xf>
    <xf numFmtId="0" fontId="13" fillId="6" borderId="6" xfId="0" applyFont="1" applyFill="1" applyBorder="1" applyAlignment="1">
      <alignment vertical="center"/>
    </xf>
    <xf numFmtId="0" fontId="15" fillId="4" borderId="61" xfId="0" applyFont="1" applyFill="1" applyBorder="1" applyAlignment="1">
      <alignment vertical="center"/>
    </xf>
    <xf numFmtId="0" fontId="20" fillId="6" borderId="61" xfId="0" applyFont="1" applyFill="1" applyBorder="1" applyAlignment="1">
      <alignment vertical="center"/>
    </xf>
    <xf numFmtId="0" fontId="15" fillId="6" borderId="61" xfId="0" applyFont="1" applyFill="1" applyBorder="1" applyAlignment="1">
      <alignment vertical="center"/>
    </xf>
    <xf numFmtId="0" fontId="14" fillId="7" borderId="61" xfId="0" applyFont="1" applyFill="1" applyBorder="1" applyAlignment="1">
      <alignment vertical="center"/>
    </xf>
    <xf numFmtId="3" fontId="17" fillId="8" borderId="61" xfId="0" applyNumberFormat="1" applyFont="1" applyFill="1" applyBorder="1" applyAlignment="1">
      <alignment vertical="center"/>
    </xf>
    <xf numFmtId="0" fontId="0" fillId="7" borderId="3" xfId="0" applyFill="1" applyBorder="1" applyAlignment="1">
      <alignment vertical="center"/>
    </xf>
    <xf numFmtId="3" fontId="17" fillId="8" borderId="5" xfId="0" applyNumberFormat="1" applyFont="1" applyFill="1" applyBorder="1" applyAlignment="1">
      <alignment vertical="center"/>
    </xf>
    <xf numFmtId="9" fontId="15" fillId="14" borderId="36" xfId="3" applyFont="1" applyFill="1" applyBorder="1" applyAlignment="1">
      <alignment horizontal="center"/>
    </xf>
    <xf numFmtId="9" fontId="15" fillId="14" borderId="25" xfId="3" applyFont="1" applyFill="1" applyBorder="1" applyAlignment="1">
      <alignment horizontal="center"/>
    </xf>
    <xf numFmtId="9" fontId="15" fillId="14" borderId="37" xfId="3" applyFont="1" applyFill="1" applyBorder="1" applyAlignment="1">
      <alignment horizontal="center"/>
    </xf>
    <xf numFmtId="9" fontId="15" fillId="14" borderId="38" xfId="3" applyFont="1" applyFill="1" applyBorder="1" applyAlignment="1">
      <alignment horizontal="center"/>
    </xf>
    <xf numFmtId="9" fontId="15" fillId="14" borderId="9" xfId="3" applyFont="1" applyFill="1" applyBorder="1" applyAlignment="1">
      <alignment horizontal="center"/>
    </xf>
    <xf numFmtId="9" fontId="15" fillId="14" borderId="39" xfId="3" applyFont="1" applyFill="1" applyBorder="1" applyAlignment="1">
      <alignment horizontal="center"/>
    </xf>
    <xf numFmtId="9" fontId="15" fillId="14" borderId="40" xfId="3" applyFont="1" applyFill="1" applyBorder="1" applyAlignment="1">
      <alignment horizontal="center"/>
    </xf>
    <xf numFmtId="9" fontId="15" fillId="14" borderId="41" xfId="3" applyFont="1" applyFill="1" applyBorder="1" applyAlignment="1">
      <alignment horizontal="center"/>
    </xf>
    <xf numFmtId="9" fontId="15" fillId="14" borderId="42" xfId="3" applyFont="1" applyFill="1" applyBorder="1" applyAlignment="1">
      <alignment horizontal="center"/>
    </xf>
    <xf numFmtId="0" fontId="0" fillId="12" borderId="8" xfId="0" applyFill="1" applyBorder="1" applyAlignment="1">
      <alignment wrapText="1"/>
    </xf>
    <xf numFmtId="0" fontId="35" fillId="12" borderId="1" xfId="0" applyFont="1" applyFill="1" applyBorder="1" applyAlignment="1">
      <alignment wrapText="1"/>
    </xf>
    <xf numFmtId="0" fontId="12" fillId="12" borderId="1" xfId="0" applyFont="1" applyFill="1" applyBorder="1" applyAlignment="1">
      <alignment horizontal="center" wrapText="1"/>
    </xf>
    <xf numFmtId="0" fontId="12" fillId="12" borderId="2" xfId="0" applyFont="1" applyFill="1" applyBorder="1" applyAlignment="1">
      <alignment horizontal="center" wrapText="1"/>
    </xf>
    <xf numFmtId="0" fontId="12" fillId="11" borderId="32" xfId="0" applyFont="1" applyFill="1" applyBorder="1" applyAlignment="1">
      <alignment horizontal="center" vertical="center"/>
    </xf>
    <xf numFmtId="0" fontId="0" fillId="11" borderId="6" xfId="0" applyFill="1" applyBorder="1" applyAlignment="1">
      <alignment horizontal="center"/>
    </xf>
    <xf numFmtId="168" fontId="0" fillId="11" borderId="60" xfId="1" applyNumberFormat="1" applyFont="1" applyFill="1" applyBorder="1" applyAlignment="1">
      <alignment horizontal="right"/>
    </xf>
    <xf numFmtId="168" fontId="0" fillId="11" borderId="3" xfId="1" applyNumberFormat="1" applyFont="1" applyFill="1" applyBorder="1" applyAlignment="1">
      <alignment horizontal="right"/>
    </xf>
    <xf numFmtId="0" fontId="0" fillId="11" borderId="5" xfId="0" applyFill="1" applyBorder="1" applyAlignment="1">
      <alignment horizontal="center"/>
    </xf>
    <xf numFmtId="3" fontId="12" fillId="11" borderId="0" xfId="0" applyNumberFormat="1" applyFont="1" applyFill="1" applyBorder="1" applyAlignment="1">
      <alignment horizontal="center"/>
    </xf>
    <xf numFmtId="164" fontId="0" fillId="8" borderId="48" xfId="0" applyNumberFormat="1" applyFont="1" applyFill="1" applyBorder="1" applyAlignment="1">
      <alignment horizontal="center"/>
    </xf>
    <xf numFmtId="164" fontId="0" fillId="8" borderId="18" xfId="0" applyNumberFormat="1" applyFont="1" applyFill="1" applyBorder="1" applyAlignment="1">
      <alignment horizontal="center"/>
    </xf>
    <xf numFmtId="3" fontId="12" fillId="12" borderId="35" xfId="0" applyNumberFormat="1" applyFont="1" applyFill="1" applyBorder="1" applyAlignment="1">
      <alignment horizontal="center" vertical="center"/>
    </xf>
    <xf numFmtId="164" fontId="0" fillId="8" borderId="49" xfId="0" applyNumberFormat="1" applyFont="1" applyFill="1" applyBorder="1" applyAlignment="1">
      <alignment horizontal="center"/>
    </xf>
    <xf numFmtId="164" fontId="0" fillId="8" borderId="45" xfId="0" applyNumberFormat="1" applyFont="1" applyFill="1" applyBorder="1" applyAlignment="1">
      <alignment horizontal="center"/>
    </xf>
    <xf numFmtId="164" fontId="0" fillId="8" borderId="47" xfId="0" applyNumberFormat="1" applyFont="1" applyFill="1" applyBorder="1" applyAlignment="1">
      <alignment horizontal="center"/>
    </xf>
    <xf numFmtId="3" fontId="12" fillId="12" borderId="65" xfId="0" applyNumberFormat="1" applyFont="1" applyFill="1" applyBorder="1" applyAlignment="1">
      <alignment horizontal="center" vertical="center"/>
    </xf>
    <xf numFmtId="3" fontId="12" fillId="11" borderId="0" xfId="0" applyNumberFormat="1" applyFont="1" applyFill="1" applyBorder="1" applyAlignment="1">
      <alignment horizontal="center" vertical="center"/>
    </xf>
    <xf numFmtId="164" fontId="0" fillId="11" borderId="0" xfId="0" applyNumberFormat="1" applyFont="1" applyFill="1" applyBorder="1" applyAlignment="1">
      <alignment horizontal="center"/>
    </xf>
    <xf numFmtId="3" fontId="12" fillId="12" borderId="62" xfId="0" applyNumberFormat="1" applyFont="1" applyFill="1" applyBorder="1" applyAlignment="1">
      <alignment horizontal="center" vertical="center"/>
    </xf>
    <xf numFmtId="164" fontId="0" fillId="8" borderId="46" xfId="0" applyNumberFormat="1" applyFont="1" applyFill="1" applyBorder="1" applyAlignment="1">
      <alignment horizontal="center"/>
    </xf>
    <xf numFmtId="3" fontId="12" fillId="12" borderId="12" xfId="0" applyNumberFormat="1" applyFont="1" applyFill="1" applyBorder="1" applyAlignment="1">
      <alignment horizontal="center" vertical="center"/>
    </xf>
    <xf numFmtId="0" fontId="12" fillId="12" borderId="1" xfId="0" applyFont="1" applyFill="1" applyBorder="1" applyAlignment="1">
      <alignment horizontal="center" vertical="center"/>
    </xf>
    <xf numFmtId="164" fontId="0" fillId="8" borderId="66" xfId="0" applyNumberFormat="1" applyFont="1" applyFill="1" applyBorder="1" applyAlignment="1">
      <alignment horizontal="center"/>
    </xf>
    <xf numFmtId="164" fontId="0" fillId="8" borderId="19" xfId="0" applyNumberFormat="1" applyFont="1" applyFill="1" applyBorder="1" applyAlignment="1">
      <alignment horizontal="center"/>
    </xf>
    <xf numFmtId="164" fontId="0" fillId="8" borderId="67" xfId="0" applyNumberFormat="1" applyFont="1" applyFill="1" applyBorder="1" applyAlignment="1">
      <alignment horizontal="center"/>
    </xf>
    <xf numFmtId="3" fontId="0" fillId="8" borderId="59" xfId="0" applyNumberFormat="1" applyFont="1" applyFill="1" applyBorder="1" applyAlignment="1">
      <alignment horizontal="center"/>
    </xf>
    <xf numFmtId="3" fontId="0" fillId="8" borderId="39" xfId="0" applyNumberFormat="1" applyFont="1" applyFill="1" applyBorder="1" applyAlignment="1">
      <alignment horizontal="center"/>
    </xf>
    <xf numFmtId="3" fontId="0" fillId="8" borderId="42" xfId="0" applyNumberFormat="1" applyFont="1" applyFill="1" applyBorder="1" applyAlignment="1">
      <alignment horizontal="center"/>
    </xf>
    <xf numFmtId="0" fontId="15" fillId="0" borderId="0" xfId="0" applyFont="1" applyFill="1" applyAlignment="1">
      <alignment vertical="center" wrapText="1"/>
    </xf>
    <xf numFmtId="0" fontId="29" fillId="7" borderId="0" xfId="4" applyFont="1" applyFill="1" applyAlignment="1">
      <alignment vertical="center"/>
    </xf>
    <xf numFmtId="0" fontId="31" fillId="7" borderId="0" xfId="4" applyFont="1" applyFill="1" applyAlignment="1">
      <alignment vertical="center"/>
    </xf>
    <xf numFmtId="0" fontId="0" fillId="0" borderId="0" xfId="0" applyFill="1" applyAlignment="1">
      <alignment horizontal="center" wrapText="1"/>
    </xf>
    <xf numFmtId="0" fontId="23" fillId="0" borderId="0" xfId="0" applyFont="1" applyAlignment="1"/>
    <xf numFmtId="0" fontId="7" fillId="0" borderId="0" xfId="0" applyFont="1" applyAlignment="1"/>
    <xf numFmtId="0" fontId="0" fillId="0" borderId="0" xfId="0" applyFont="1" applyAlignment="1">
      <alignment horizontal="left" vertical="center" wrapText="1" indent="1"/>
    </xf>
    <xf numFmtId="3" fontId="0" fillId="2" borderId="55" xfId="0" applyNumberFormat="1" applyFont="1" applyFill="1" applyBorder="1" applyAlignment="1">
      <alignment horizontal="center"/>
    </xf>
    <xf numFmtId="3" fontId="0" fillId="2" borderId="56" xfId="0" applyNumberFormat="1" applyFont="1" applyFill="1" applyBorder="1" applyAlignment="1">
      <alignment horizontal="center"/>
    </xf>
    <xf numFmtId="3" fontId="0" fillId="2" borderId="57" xfId="0" applyNumberFormat="1" applyFont="1" applyFill="1" applyBorder="1" applyAlignment="1">
      <alignment horizontal="center"/>
    </xf>
    <xf numFmtId="0" fontId="12" fillId="5" borderId="8" xfId="0" applyFont="1" applyFill="1" applyBorder="1" applyAlignment="1">
      <alignment horizontal="center"/>
    </xf>
    <xf numFmtId="0" fontId="12" fillId="5" borderId="1" xfId="0" applyFont="1" applyFill="1" applyBorder="1" applyAlignment="1">
      <alignment horizontal="center"/>
    </xf>
    <xf numFmtId="0" fontId="12" fillId="5" borderId="2" xfId="0" applyFont="1" applyFill="1" applyBorder="1" applyAlignment="1">
      <alignment horizontal="center"/>
    </xf>
    <xf numFmtId="0" fontId="1" fillId="13" borderId="10" xfId="0" applyFont="1" applyFill="1" applyBorder="1" applyAlignment="1">
      <alignment horizontal="left" wrapText="1"/>
    </xf>
    <xf numFmtId="0" fontId="1" fillId="13" borderId="11" xfId="0" applyFont="1" applyFill="1" applyBorder="1" applyAlignment="1">
      <alignment horizontal="left" wrapText="1"/>
    </xf>
    <xf numFmtId="3" fontId="1" fillId="11" borderId="0" xfId="0" applyNumberFormat="1" applyFont="1" applyFill="1" applyBorder="1" applyAlignment="1">
      <alignment horizontal="center"/>
    </xf>
    <xf numFmtId="3" fontId="1" fillId="11" borderId="61" xfId="0" applyNumberFormat="1" applyFont="1" applyFill="1" applyBorder="1" applyAlignment="1">
      <alignment horizontal="center"/>
    </xf>
    <xf numFmtId="3" fontId="1" fillId="11" borderId="4" xfId="0" applyNumberFormat="1" applyFont="1" applyFill="1" applyBorder="1" applyAlignment="1">
      <alignment horizontal="center"/>
    </xf>
    <xf numFmtId="3" fontId="1" fillId="11" borderId="5" xfId="0" applyNumberFormat="1" applyFont="1" applyFill="1" applyBorder="1" applyAlignment="1">
      <alignment horizontal="center"/>
    </xf>
    <xf numFmtId="3" fontId="0" fillId="0" borderId="32" xfId="0" applyNumberFormat="1" applyFont="1" applyFill="1" applyBorder="1" applyAlignment="1" applyProtection="1">
      <alignment horizontal="center"/>
      <protection locked="0"/>
    </xf>
    <xf numFmtId="0" fontId="0" fillId="0" borderId="7" xfId="0" applyFill="1" applyBorder="1" applyAlignment="1" applyProtection="1">
      <alignment horizontal="center"/>
      <protection locked="0"/>
    </xf>
    <xf numFmtId="0" fontId="0" fillId="0" borderId="6" xfId="0" applyFill="1" applyBorder="1" applyAlignment="1" applyProtection="1">
      <alignment horizontal="center"/>
      <protection locked="0"/>
    </xf>
    <xf numFmtId="3" fontId="0" fillId="2" borderId="43" xfId="0" applyNumberFormat="1" applyFont="1" applyFill="1" applyBorder="1" applyAlignment="1">
      <alignment horizontal="center"/>
    </xf>
    <xf numFmtId="0" fontId="0" fillId="2" borderId="44" xfId="0" applyFill="1" applyBorder="1" applyAlignment="1">
      <alignment horizontal="center"/>
    </xf>
    <xf numFmtId="0" fontId="0" fillId="2" borderId="48" xfId="0" applyFill="1" applyBorder="1" applyAlignment="1">
      <alignment horizontal="center"/>
    </xf>
    <xf numFmtId="3" fontId="0" fillId="2" borderId="38" xfId="0" applyNumberFormat="1" applyFont="1" applyFill="1" applyBorder="1" applyAlignment="1">
      <alignment horizontal="center"/>
    </xf>
    <xf numFmtId="0" fontId="0" fillId="2" borderId="9" xfId="0" applyFill="1" applyBorder="1" applyAlignment="1">
      <alignment horizontal="center"/>
    </xf>
    <xf numFmtId="0" fontId="0" fillId="2" borderId="18" xfId="0" applyFill="1" applyBorder="1" applyAlignment="1">
      <alignment horizontal="center"/>
    </xf>
    <xf numFmtId="3" fontId="0" fillId="2" borderId="40" xfId="0" applyNumberFormat="1" applyFont="1" applyFill="1" applyBorder="1" applyAlignment="1">
      <alignment horizontal="center"/>
    </xf>
    <xf numFmtId="0" fontId="0" fillId="2" borderId="41" xfId="0" applyFill="1" applyBorder="1" applyAlignment="1">
      <alignment horizontal="center"/>
    </xf>
    <xf numFmtId="0" fontId="0" fillId="2" borderId="49" xfId="0" applyFill="1" applyBorder="1" applyAlignment="1">
      <alignment horizontal="center"/>
    </xf>
    <xf numFmtId="1" fontId="0" fillId="14" borderId="55" xfId="0" applyNumberFormat="1" applyFill="1" applyBorder="1" applyAlignment="1">
      <alignment horizontal="center"/>
    </xf>
    <xf numFmtId="1" fontId="0" fillId="14" borderId="56" xfId="0" applyNumberFormat="1" applyFill="1" applyBorder="1" applyAlignment="1">
      <alignment horizontal="center"/>
    </xf>
    <xf numFmtId="1" fontId="0" fillId="14" borderId="57" xfId="0" applyNumberFormat="1" applyFill="1" applyBorder="1" applyAlignment="1">
      <alignment horizontal="center"/>
    </xf>
    <xf numFmtId="0" fontId="10" fillId="4" borderId="32" xfId="0" applyFont="1" applyFill="1" applyBorder="1" applyAlignment="1" applyProtection="1">
      <alignment horizontal="center" vertical="center"/>
      <protection locked="0"/>
    </xf>
    <xf numFmtId="0" fontId="10" fillId="4" borderId="7" xfId="0" applyFont="1" applyFill="1" applyBorder="1" applyAlignment="1" applyProtection="1">
      <alignment horizontal="center" vertical="center"/>
      <protection locked="0"/>
    </xf>
    <xf numFmtId="0" fontId="10" fillId="4" borderId="6" xfId="0" applyFont="1" applyFill="1" applyBorder="1" applyAlignment="1" applyProtection="1">
      <alignment horizontal="center" vertical="center"/>
      <protection locked="0"/>
    </xf>
    <xf numFmtId="0" fontId="10" fillId="4" borderId="3" xfId="0" applyFont="1" applyFill="1" applyBorder="1" applyAlignment="1" applyProtection="1">
      <alignment horizontal="center" vertical="center"/>
      <protection locked="0"/>
    </xf>
    <xf numFmtId="0" fontId="10" fillId="4" borderId="4" xfId="0" applyFont="1" applyFill="1" applyBorder="1" applyAlignment="1" applyProtection="1">
      <alignment horizontal="center" vertical="center"/>
      <protection locked="0"/>
    </xf>
    <xf numFmtId="0" fontId="10" fillId="4" borderId="5" xfId="0" applyFont="1" applyFill="1" applyBorder="1" applyAlignment="1" applyProtection="1">
      <alignment horizontal="center" vertical="center"/>
      <protection locked="0"/>
    </xf>
    <xf numFmtId="9" fontId="0" fillId="0" borderId="55" xfId="3" applyFont="1" applyBorder="1" applyAlignment="1">
      <alignment horizontal="center"/>
    </xf>
    <xf numFmtId="9" fontId="0" fillId="0" borderId="56" xfId="3" applyFont="1" applyBorder="1" applyAlignment="1">
      <alignment horizontal="center"/>
    </xf>
    <xf numFmtId="9" fontId="0" fillId="0" borderId="57" xfId="3" applyFont="1" applyBorder="1" applyAlignment="1">
      <alignment horizontal="center"/>
    </xf>
    <xf numFmtId="9" fontId="0" fillId="0" borderId="50" xfId="3" applyFont="1" applyBorder="1" applyAlignment="1">
      <alignment horizontal="center"/>
    </xf>
    <xf numFmtId="9" fontId="0" fillId="0" borderId="51" xfId="3" applyFont="1" applyBorder="1" applyAlignment="1">
      <alignment horizontal="center"/>
    </xf>
    <xf numFmtId="9" fontId="0" fillId="0" borderId="52" xfId="3" applyFont="1" applyBorder="1" applyAlignment="1">
      <alignment horizontal="center"/>
    </xf>
    <xf numFmtId="0" fontId="35" fillId="5" borderId="8" xfId="0" applyFont="1" applyFill="1" applyBorder="1" applyAlignment="1">
      <alignment horizontal="left"/>
    </xf>
    <xf numFmtId="0" fontId="35" fillId="5" borderId="1" xfId="0" applyFont="1" applyFill="1" applyBorder="1" applyAlignment="1">
      <alignment horizontal="left"/>
    </xf>
    <xf numFmtId="0" fontId="35" fillId="5" borderId="2" xfId="0" applyFont="1" applyFill="1" applyBorder="1" applyAlignment="1">
      <alignment horizontal="left"/>
    </xf>
    <xf numFmtId="9" fontId="1" fillId="4" borderId="50" xfId="3" applyFont="1" applyFill="1" applyBorder="1" applyAlignment="1" applyProtection="1">
      <alignment horizontal="center"/>
      <protection locked="0"/>
    </xf>
    <xf numFmtId="9" fontId="1" fillId="4" borderId="51" xfId="3" applyFont="1" applyFill="1" applyBorder="1" applyAlignment="1" applyProtection="1">
      <alignment horizontal="center"/>
      <protection locked="0"/>
    </xf>
    <xf numFmtId="9" fontId="1" fillId="4" borderId="52" xfId="3" applyFont="1" applyFill="1" applyBorder="1" applyAlignment="1" applyProtection="1">
      <alignment horizontal="center"/>
      <protection locked="0"/>
    </xf>
    <xf numFmtId="0" fontId="43" fillId="3" borderId="8" xfId="0" applyFont="1" applyFill="1" applyBorder="1" applyAlignment="1">
      <alignment horizontal="center"/>
    </xf>
    <xf numFmtId="0" fontId="43" fillId="3" borderId="1" xfId="0" applyFont="1" applyFill="1" applyBorder="1" applyAlignment="1">
      <alignment horizontal="center"/>
    </xf>
    <xf numFmtId="0" fontId="43" fillId="3" borderId="2" xfId="0" applyFont="1" applyFill="1" applyBorder="1" applyAlignment="1">
      <alignment horizontal="center"/>
    </xf>
    <xf numFmtId="3" fontId="0" fillId="2" borderId="53" xfId="0" applyNumberFormat="1" applyFont="1" applyFill="1" applyBorder="1" applyAlignment="1">
      <alignment horizontal="center"/>
    </xf>
    <xf numFmtId="3" fontId="0" fillId="2" borderId="17" xfId="0" applyNumberFormat="1" applyFont="1" applyFill="1" applyBorder="1" applyAlignment="1">
      <alignment horizontal="center"/>
    </xf>
    <xf numFmtId="3" fontId="0" fillId="2" borderId="54" xfId="0" applyNumberFormat="1" applyFont="1" applyFill="1" applyBorder="1" applyAlignment="1">
      <alignment horizontal="center"/>
    </xf>
    <xf numFmtId="3" fontId="0" fillId="4" borderId="40" xfId="0" applyNumberFormat="1" applyFill="1" applyBorder="1" applyAlignment="1" applyProtection="1">
      <alignment horizontal="center"/>
      <protection locked="0"/>
    </xf>
    <xf numFmtId="3" fontId="0" fillId="4" borderId="41" xfId="0" applyNumberFormat="1" applyFill="1" applyBorder="1" applyAlignment="1" applyProtection="1">
      <alignment horizontal="center"/>
      <protection locked="0"/>
    </xf>
    <xf numFmtId="3" fontId="0" fillId="4" borderId="42" xfId="0" applyNumberFormat="1" applyFill="1" applyBorder="1" applyAlignment="1" applyProtection="1">
      <alignment horizontal="center"/>
      <protection locked="0"/>
    </xf>
    <xf numFmtId="164" fontId="0" fillId="2" borderId="6" xfId="0" applyNumberFormat="1" applyFont="1" applyFill="1" applyBorder="1" applyAlignment="1">
      <alignment horizontal="center" vertical="center"/>
    </xf>
    <xf numFmtId="164" fontId="0" fillId="2" borderId="5" xfId="0" applyNumberFormat="1" applyFont="1" applyFill="1" applyBorder="1" applyAlignment="1">
      <alignment horizontal="center" vertical="center"/>
    </xf>
    <xf numFmtId="3" fontId="12" fillId="12" borderId="33" xfId="0" applyNumberFormat="1" applyFont="1" applyFill="1" applyBorder="1" applyAlignment="1">
      <alignment horizontal="center"/>
    </xf>
    <xf numFmtId="3" fontId="12" fillId="12" borderId="35" xfId="0" applyNumberFormat="1" applyFont="1" applyFill="1" applyBorder="1" applyAlignment="1">
      <alignment horizontal="center"/>
    </xf>
    <xf numFmtId="3" fontId="19" fillId="0" borderId="32" xfId="0" applyNumberFormat="1" applyFont="1" applyFill="1" applyBorder="1" applyAlignment="1" applyProtection="1">
      <alignment horizontal="center"/>
      <protection locked="0"/>
    </xf>
    <xf numFmtId="0" fontId="19" fillId="0" borderId="7" xfId="0" applyFont="1" applyFill="1" applyBorder="1" applyAlignment="1" applyProtection="1">
      <alignment horizontal="center"/>
      <protection locked="0"/>
    </xf>
    <xf numFmtId="0" fontId="19" fillId="0" borderId="6" xfId="0" applyFont="1" applyFill="1" applyBorder="1" applyAlignment="1" applyProtection="1">
      <alignment horizontal="center"/>
      <protection locked="0"/>
    </xf>
    <xf numFmtId="3" fontId="0" fillId="2" borderId="50" xfId="0" applyNumberFormat="1" applyFont="1" applyFill="1" applyBorder="1" applyAlignment="1">
      <alignment horizontal="center"/>
    </xf>
    <xf numFmtId="3" fontId="0" fillId="2" borderId="51" xfId="0" applyNumberFormat="1" applyFont="1" applyFill="1" applyBorder="1" applyAlignment="1">
      <alignment horizontal="center"/>
    </xf>
    <xf numFmtId="3" fontId="0" fillId="2" borderId="52" xfId="0" applyNumberFormat="1" applyFont="1" applyFill="1" applyBorder="1" applyAlignment="1">
      <alignment horizontal="center"/>
    </xf>
    <xf numFmtId="0" fontId="12" fillId="5" borderId="7" xfId="0" applyFont="1" applyFill="1" applyBorder="1" applyAlignment="1">
      <alignment horizontal="center" wrapText="1"/>
    </xf>
    <xf numFmtId="0" fontId="13" fillId="5" borderId="7" xfId="0" applyFont="1" applyFill="1" applyBorder="1" applyAlignment="1">
      <alignment horizontal="center" wrapText="1"/>
    </xf>
    <xf numFmtId="0" fontId="0" fillId="7" borderId="0" xfId="0" applyFont="1" applyFill="1" applyBorder="1" applyAlignment="1">
      <alignment horizontal="center"/>
    </xf>
    <xf numFmtId="0" fontId="12" fillId="12" borderId="1" xfId="0" applyFont="1" applyFill="1" applyBorder="1" applyAlignment="1">
      <alignment horizontal="center" wrapText="1"/>
    </xf>
    <xf numFmtId="3" fontId="12" fillId="12" borderId="8" xfId="0" applyNumberFormat="1" applyFont="1" applyFill="1" applyBorder="1" applyAlignment="1">
      <alignment horizontal="center"/>
    </xf>
    <xf numFmtId="3" fontId="12" fillId="12" borderId="2" xfId="0" applyNumberFormat="1" applyFont="1" applyFill="1" applyBorder="1" applyAlignment="1">
      <alignment horizontal="center"/>
    </xf>
    <xf numFmtId="168" fontId="14" fillId="8" borderId="18" xfId="1" applyNumberFormat="1" applyFont="1" applyFill="1" applyBorder="1" applyAlignment="1">
      <alignment vertical="center"/>
    </xf>
    <xf numFmtId="168" fontId="14" fillId="8" borderId="17" xfId="1" applyNumberFormat="1" applyFont="1" applyFill="1" applyBorder="1" applyAlignment="1">
      <alignment vertical="center"/>
    </xf>
    <xf numFmtId="168" fontId="14" fillId="8" borderId="19" xfId="1" applyNumberFormat="1" applyFont="1" applyFill="1" applyBorder="1" applyAlignment="1">
      <alignment vertical="center"/>
    </xf>
    <xf numFmtId="0" fontId="12" fillId="9" borderId="0" xfId="0" applyFont="1" applyFill="1" applyBorder="1" applyAlignment="1">
      <alignment horizontal="center"/>
    </xf>
    <xf numFmtId="0" fontId="12" fillId="5" borderId="0" xfId="0" applyFont="1" applyFill="1" applyBorder="1" applyAlignment="1">
      <alignment horizontal="center"/>
    </xf>
    <xf numFmtId="0" fontId="0" fillId="0" borderId="21" xfId="0" applyBorder="1" applyAlignment="1">
      <alignment horizontal="center" wrapText="1"/>
    </xf>
    <xf numFmtId="0" fontId="0" fillId="0" borderId="0" xfId="0" applyAlignment="1">
      <alignment horizontal="center" wrapText="1"/>
    </xf>
  </cellXfs>
  <cellStyles count="6">
    <cellStyle name="Comma" xfId="1" builtinId="3"/>
    <cellStyle name="Currency" xfId="2" builtinId="4"/>
    <cellStyle name="Hyperlink" xfId="5" builtinId="8"/>
    <cellStyle name="Normal" xfId="0" builtinId="0"/>
    <cellStyle name="Normal_HIV testing 080808" xfId="4"/>
    <cellStyle name="Percent" xfId="3" builtinId="5"/>
  </cellStyles>
  <dxfs count="8">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1"/>
      </font>
      <numFmt numFmtId="164" formatCode="0.0%"/>
      <fill>
        <patternFill>
          <bgColor theme="0" tint="-0.14996795556505021"/>
        </patternFill>
      </fill>
    </dxf>
    <dxf>
      <font>
        <color rgb="FF9C0006"/>
      </font>
      <fill>
        <patternFill>
          <bgColor rgb="FFFFC7CE"/>
        </patternFill>
      </fill>
    </dxf>
  </dxfs>
  <tableStyles count="0" defaultTableStyle="TableStyleMedium2" defaultPivotStyle="PivotStyleLight16"/>
  <colors>
    <mruColors>
      <color rgb="FFEDF1F9"/>
      <color rgb="FFFF9999"/>
      <color rgb="FFA24A0E"/>
      <color rgb="FFEF8B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r>
              <a:rPr lang="en-US" sz="1050" b="1"/>
              <a:t>Vaccination coverage</a:t>
            </a:r>
            <a:r>
              <a:rPr lang="en-US" sz="1050" b="1" baseline="0"/>
              <a:t> by dog type</a:t>
            </a:r>
            <a:endParaRPr lang="en-US" sz="1050" b="1"/>
          </a:p>
        </c:rich>
      </c:tx>
      <c:layout>
        <c:manualLayout>
          <c:xMode val="edge"/>
          <c:yMode val="edge"/>
          <c:x val="0.26470045233383543"/>
          <c:y val="2.9562115264391661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4756427644558065E-3"/>
          <c:y val="0.1666026476183467"/>
          <c:w val="0.99752435723554422"/>
          <c:h val="0.64860364739052434"/>
        </c:manualLayout>
      </c:layout>
      <c:barChart>
        <c:barDir val="col"/>
        <c:grouping val="clustered"/>
        <c:varyColors val="0"/>
        <c:ser>
          <c:idx val="0"/>
          <c:order val="0"/>
          <c:spPr>
            <a:solidFill>
              <a:schemeClr val="accent5">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'VACCINATION CALCULATOR'!$AO$16:$AO$19</c:f>
                <c:numCache>
                  <c:formatCode>General</c:formatCode>
                  <c:ptCount val="4"/>
                </c:numCache>
              </c:numRef>
            </c:plus>
            <c:minus>
              <c:numRef>
                <c:f>'VACCINATION CALCULATOR'!$AO$16:$AO$19</c:f>
                <c:numCache>
                  <c:formatCode>General</c:formatCode>
                  <c:ptCount val="4"/>
                </c:numCache>
              </c:numRef>
            </c:minus>
            <c:spPr>
              <a:noFill/>
              <a:ln w="9525" cap="flat" cmpd="sng" algn="ctr">
                <a:solidFill>
                  <a:schemeClr val="tx1">
                    <a:lumMod val="65000"/>
                    <a:lumOff val="35000"/>
                  </a:schemeClr>
                </a:solidFill>
                <a:round/>
              </a:ln>
              <a:effectLst/>
            </c:spPr>
          </c:errBars>
          <c:cat>
            <c:strRef>
              <c:f>('VACCINATION CALCULATOR'!$J$10:$J$12,'VACCINATION CALCULATOR'!$J$15:$J$16)</c:f>
              <c:strCache>
                <c:ptCount val="5"/>
                <c:pt idx="0">
                  <c:v>Always confined</c:v>
                </c:pt>
                <c:pt idx="1">
                  <c:v>Semi-confined</c:v>
                </c:pt>
                <c:pt idx="2">
                  <c:v>Never confined</c:v>
                </c:pt>
                <c:pt idx="3">
                  <c:v>Total Population</c:v>
                </c:pt>
                <c:pt idx="4">
                  <c:v>Free-roaming Population</c:v>
                </c:pt>
              </c:strCache>
            </c:strRef>
          </c:cat>
          <c:val>
            <c:numRef>
              <c:f>('VACCINATION CALCULATOR'!$M$10:$M$12,'VACCINATION CALCULATOR'!$M$15:$M$16)</c:f>
              <c:numCache>
                <c:formatCode>0.0%</c:formatCode>
                <c:ptCount val="5"/>
                <c:pt idx="0">
                  <c:v>0.8</c:v>
                </c:pt>
                <c:pt idx="1">
                  <c:v>0.68333333333333335</c:v>
                </c:pt>
                <c:pt idx="2">
                  <c:v>0.55000000000000004</c:v>
                </c:pt>
                <c:pt idx="3">
                  <c:v>0.68400000000000005</c:v>
                </c:pt>
                <c:pt idx="4">
                  <c:v>0.63888888888888884</c:v>
                </c:pt>
              </c:numCache>
            </c:numRef>
          </c:val>
          <c:extLst>
            <c:ext xmlns:c16="http://schemas.microsoft.com/office/drawing/2014/chart" uri="{C3380CC4-5D6E-409C-BE32-E72D297353CC}">
              <c16:uniqueId val="{00000000-233C-407A-9EAB-A2D5B6F571FB}"/>
            </c:ext>
          </c:extLst>
        </c:ser>
        <c:dLbls>
          <c:showLegendKey val="0"/>
          <c:showVal val="0"/>
          <c:showCatName val="0"/>
          <c:showSerName val="0"/>
          <c:showPercent val="0"/>
          <c:showBubbleSize val="0"/>
        </c:dLbls>
        <c:gapWidth val="50"/>
        <c:overlap val="-27"/>
        <c:axId val="383411120"/>
        <c:axId val="383413472"/>
      </c:barChart>
      <c:catAx>
        <c:axId val="383411120"/>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383413472"/>
        <c:crosses val="autoZero"/>
        <c:auto val="1"/>
        <c:lblAlgn val="ctr"/>
        <c:lblOffset val="100"/>
        <c:noMultiLvlLbl val="0"/>
      </c:catAx>
      <c:valAx>
        <c:axId val="383413472"/>
        <c:scaling>
          <c:orientation val="minMax"/>
          <c:max val="1"/>
        </c:scaling>
        <c:delete val="1"/>
        <c:axPos val="l"/>
        <c:numFmt formatCode="0%" sourceLinked="0"/>
        <c:majorTickMark val="out"/>
        <c:minorTickMark val="out"/>
        <c:tickLblPos val="nextTo"/>
        <c:crossAx val="383411120"/>
        <c:crosses val="autoZero"/>
        <c:crossBetween val="between"/>
        <c:majorUnit val="0.2"/>
        <c:minorUnit val="0.1"/>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r>
              <a:rPr lang="en-US" sz="1050" b="1"/>
              <a:t>Vaccine wastage by dog</a:t>
            </a:r>
            <a:r>
              <a:rPr lang="en-US" sz="1050" b="1" baseline="0"/>
              <a:t> vaccination strategy (1000s)</a:t>
            </a:r>
            <a:endParaRPr lang="en-US" sz="1050" b="1"/>
          </a:p>
        </c:rich>
      </c:tx>
      <c:layout>
        <c:manualLayout>
          <c:xMode val="edge"/>
          <c:yMode val="edge"/>
          <c:x val="0.1272838295503613"/>
          <c:y val="5.1088446351103449E-3"/>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1.8401288495212111E-3"/>
          <c:y val="0.18668154761904765"/>
          <c:w val="0.99344114641563175"/>
          <c:h val="0.62914415499657728"/>
        </c:manualLayout>
      </c:layout>
      <c:barChart>
        <c:barDir val="col"/>
        <c:grouping val="clustered"/>
        <c:varyColors val="0"/>
        <c:ser>
          <c:idx val="0"/>
          <c:order val="0"/>
          <c:spPr>
            <a:solidFill>
              <a:schemeClr val="accent2">
                <a:lumMod val="75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'VACCINATION CALCULATOR'!$K$4:$K$7</c:f>
              <c:strCache>
                <c:ptCount val="4"/>
                <c:pt idx="0">
                  <c:v>CPV</c:v>
                </c:pt>
                <c:pt idx="1">
                  <c:v>DDV</c:v>
                </c:pt>
                <c:pt idx="2">
                  <c:v>CVR</c:v>
                </c:pt>
                <c:pt idx="3">
                  <c:v>ORV</c:v>
                </c:pt>
              </c:strCache>
            </c:strRef>
          </c:cat>
          <c:val>
            <c:numRef>
              <c:f>'VACCINATION CALCULATOR'!$O$4:$O$7</c:f>
              <c:numCache>
                <c:formatCode>_(* #,##0_);_(* \(#,##0\);_(* "-"??_);_(@_)</c:formatCode>
                <c:ptCount val="4"/>
                <c:pt idx="0">
                  <c:v>1080</c:v>
                </c:pt>
                <c:pt idx="1">
                  <c:v>2400</c:v>
                </c:pt>
                <c:pt idx="2">
                  <c:v>0</c:v>
                </c:pt>
                <c:pt idx="3">
                  <c:v>0</c:v>
                </c:pt>
              </c:numCache>
            </c:numRef>
          </c:val>
          <c:extLst>
            <c:ext xmlns:c16="http://schemas.microsoft.com/office/drawing/2014/chart" uri="{C3380CC4-5D6E-409C-BE32-E72D297353CC}">
              <c16:uniqueId val="{00000000-0A55-43B1-92CC-E785EF1533BA}"/>
            </c:ext>
          </c:extLst>
        </c:ser>
        <c:dLbls>
          <c:dLblPos val="outEnd"/>
          <c:showLegendKey val="0"/>
          <c:showVal val="1"/>
          <c:showCatName val="0"/>
          <c:showSerName val="0"/>
          <c:showPercent val="0"/>
          <c:showBubbleSize val="0"/>
        </c:dLbls>
        <c:gapWidth val="50"/>
        <c:axId val="380852688"/>
        <c:axId val="380852296"/>
      </c:barChart>
      <c:catAx>
        <c:axId val="38085268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80852296"/>
        <c:crosses val="autoZero"/>
        <c:auto val="1"/>
        <c:lblAlgn val="ctr"/>
        <c:lblOffset val="100"/>
        <c:noMultiLvlLbl val="0"/>
      </c:catAx>
      <c:valAx>
        <c:axId val="380852296"/>
        <c:scaling>
          <c:orientation val="minMax"/>
        </c:scaling>
        <c:delete val="1"/>
        <c:axPos val="l"/>
        <c:numFmt formatCode="_(* #,##0_);_(* \(#,##0\);_(* &quot;-&quot;??_);_(@_)" sourceLinked="1"/>
        <c:majorTickMark val="none"/>
        <c:minorTickMark val="none"/>
        <c:tickLblPos val="nextTo"/>
        <c:crossAx val="380852688"/>
        <c:crosses val="autoZero"/>
        <c:crossBetween val="between"/>
        <c:dispUnits>
          <c:builtInUnit val="thousands"/>
        </c:dispUnits>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r>
              <a:rPr lang="en-US" sz="1050" b="1"/>
              <a:t>Vaccine wastage</a:t>
            </a:r>
          </a:p>
        </c:rich>
      </c:tx>
      <c:layout>
        <c:manualLayout>
          <c:xMode val="edge"/>
          <c:yMode val="edge"/>
          <c:x val="0.38871233958014956"/>
          <c:y val="3.4728482014040343E-2"/>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6171018024760514E-2"/>
          <c:y val="0.23678212206190777"/>
          <c:w val="0.88832790107801518"/>
          <c:h val="0.55434665818023454"/>
        </c:manualLayout>
      </c:layout>
      <c:barChart>
        <c:barDir val="bar"/>
        <c:grouping val="stacked"/>
        <c:varyColors val="0"/>
        <c:ser>
          <c:idx val="0"/>
          <c:order val="0"/>
          <c:tx>
            <c:strRef>
              <c:f>'VACCINATION CALCULATOR'!$L$18</c:f>
              <c:strCache>
                <c:ptCount val="1"/>
                <c:pt idx="0">
                  <c:v>Used</c:v>
                </c:pt>
              </c:strCache>
            </c:strRef>
          </c:tx>
          <c:spPr>
            <a:solidFill>
              <a:schemeClr val="accent5">
                <a:lumMod val="50000"/>
              </a:schemeClr>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824D-4B01-9E0C-9FD55C417E24}"/>
              </c:ext>
            </c:extLst>
          </c:dPt>
          <c:dPt>
            <c:idx val="1"/>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824D-4B01-9E0C-9FD55C417E24}"/>
              </c:ext>
            </c:extLst>
          </c:dPt>
          <c:val>
            <c:numRef>
              <c:f>'VACCINATION CALCULATOR'!$L$19</c:f>
              <c:numCache>
                <c:formatCode>0.0%</c:formatCode>
                <c:ptCount val="1"/>
                <c:pt idx="0">
                  <c:v>0.85499999999999998</c:v>
                </c:pt>
              </c:numCache>
            </c:numRef>
          </c:val>
          <c:extLst>
            <c:ext xmlns:c16="http://schemas.microsoft.com/office/drawing/2014/chart" uri="{C3380CC4-5D6E-409C-BE32-E72D297353CC}">
              <c16:uniqueId val="{00000004-824D-4B01-9E0C-9FD55C417E24}"/>
            </c:ext>
          </c:extLst>
        </c:ser>
        <c:ser>
          <c:idx val="1"/>
          <c:order val="1"/>
          <c:tx>
            <c:strRef>
              <c:f>'VACCINATION CALCULATOR'!$M$18</c:f>
              <c:strCache>
                <c:ptCount val="1"/>
                <c:pt idx="0">
                  <c:v>Unused</c:v>
                </c:pt>
              </c:strCache>
            </c:strRef>
          </c:tx>
          <c:spPr>
            <a:solidFill>
              <a:srgbClr val="EF8B47"/>
            </a:solidFill>
            <a:ln w="19050">
              <a:solidFill>
                <a:schemeClr val="lt1"/>
              </a:solidFill>
            </a:ln>
            <a:effectLst/>
          </c:spPr>
          <c:invertIfNegative val="0"/>
          <c:dLbls>
            <c:dLbl>
              <c:idx val="0"/>
              <c:layout>
                <c:manualLayout>
                  <c:x val="0.2157816594119262"/>
                  <c:y val="-0.31237586149385688"/>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24D-4B01-9E0C-9FD55C417E24}"/>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'VACCINATION CALCULATOR'!$M$19</c:f>
              <c:numCache>
                <c:formatCode>0.0%</c:formatCode>
                <c:ptCount val="1"/>
                <c:pt idx="0">
                  <c:v>0.14499999999999999</c:v>
                </c:pt>
              </c:numCache>
            </c:numRef>
          </c:val>
          <c:extLst>
            <c:ext xmlns:c16="http://schemas.microsoft.com/office/drawing/2014/chart" uri="{C3380CC4-5D6E-409C-BE32-E72D297353CC}">
              <c16:uniqueId val="{00000006-824D-4B01-9E0C-9FD55C417E24}"/>
            </c:ext>
          </c:extLst>
        </c:ser>
        <c:dLbls>
          <c:showLegendKey val="0"/>
          <c:showVal val="0"/>
          <c:showCatName val="0"/>
          <c:showSerName val="0"/>
          <c:showPercent val="0"/>
          <c:showBubbleSize val="0"/>
        </c:dLbls>
        <c:gapWidth val="40"/>
        <c:overlap val="100"/>
        <c:axId val="380851120"/>
        <c:axId val="380851512"/>
      </c:barChart>
      <c:valAx>
        <c:axId val="380851512"/>
        <c:scaling>
          <c:orientation val="minMax"/>
          <c:max val="1"/>
          <c:min val="0"/>
        </c:scaling>
        <c:delete val="0"/>
        <c:axPos val="b"/>
        <c:numFmt formatCode="0%" sourceLinked="0"/>
        <c:majorTickMark val="out"/>
        <c:minorTickMark val="none"/>
        <c:tickLblPos val="nextTo"/>
        <c:spPr>
          <a:noFill/>
          <a:ln>
            <a:noFill/>
          </a:ln>
          <a:effectLst/>
        </c:spPr>
        <c:txPr>
          <a:bodyPr rot="-60000000" spcFirstLastPara="1" vertOverflow="ellipsis" vert="horz" wrap="square" anchor="t" anchorCtr="0"/>
          <a:lstStyle/>
          <a:p>
            <a:pPr>
              <a:defRPr sz="1000" b="0" i="0" u="none" strike="noStrike" kern="1200" baseline="0">
                <a:solidFill>
                  <a:schemeClr val="tx1"/>
                </a:solidFill>
                <a:latin typeface="+mn-lt"/>
                <a:ea typeface="+mn-ea"/>
                <a:cs typeface="+mn-cs"/>
              </a:defRPr>
            </a:pPr>
            <a:endParaRPr lang="en-US"/>
          </a:p>
        </c:txPr>
        <c:crossAx val="380851120"/>
        <c:crosses val="autoZero"/>
        <c:crossBetween val="between"/>
        <c:majorUnit val="1"/>
      </c:valAx>
      <c:catAx>
        <c:axId val="380851120"/>
        <c:scaling>
          <c:orientation val="minMax"/>
        </c:scaling>
        <c:delete val="1"/>
        <c:axPos val="l"/>
        <c:majorTickMark val="out"/>
        <c:minorTickMark val="none"/>
        <c:tickLblPos val="nextTo"/>
        <c:crossAx val="380851512"/>
        <c:crosses val="autoZero"/>
        <c:auto val="1"/>
        <c:lblAlgn val="ctr"/>
        <c:lblOffset val="100"/>
        <c:noMultiLvlLbl val="0"/>
      </c:catAx>
      <c:spPr>
        <a:noFill/>
        <a:ln>
          <a:noFill/>
        </a:ln>
        <a:effectLst/>
      </c:spPr>
    </c:plotArea>
    <c:legend>
      <c:legendPos val="b"/>
      <c:layout>
        <c:manualLayout>
          <c:xMode val="edge"/>
          <c:yMode val="edge"/>
          <c:x val="0.25669770106005413"/>
          <c:y val="0.80822790111421605"/>
          <c:w val="0.47088187090502692"/>
          <c:h val="0.1321131796325976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t>Average cost of vaccination per dog: breakdown</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5828801454137521"/>
          <c:y val="0.15735636839160747"/>
          <c:w val="0.60741646115701386"/>
          <c:h val="0.76397511734986745"/>
        </c:manualLayout>
      </c:layout>
      <c:barChart>
        <c:barDir val="bar"/>
        <c:grouping val="clustered"/>
        <c:varyColors val="0"/>
        <c:ser>
          <c:idx val="0"/>
          <c:order val="0"/>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'VACCINATION COSTS'!$B$21:$B$26</c:f>
              <c:strCache>
                <c:ptCount val="6"/>
                <c:pt idx="0">
                  <c:v>Human resources</c:v>
                </c:pt>
                <c:pt idx="1">
                  <c:v>Human vaccines / PEP</c:v>
                </c:pt>
                <c:pt idx="2">
                  <c:v>Transport costs</c:v>
                </c:pt>
                <c:pt idx="3">
                  <c:v>Awareness campaign</c:v>
                </c:pt>
                <c:pt idx="4">
                  <c:v>Equipment </c:v>
                </c:pt>
                <c:pt idx="5">
                  <c:v>Dog vaccines (consumables)</c:v>
                </c:pt>
              </c:strCache>
            </c:strRef>
          </c:cat>
          <c:val>
            <c:numRef>
              <c:f>'VACCINATION COSTS'!$J$21:$J$26</c:f>
              <c:numCache>
                <c:formatCode>_("$"* #,##0.00_);_("$"* \(#,##0.00\);_("$"* "-"??_);_(@_)</c:formatCode>
                <c:ptCount val="6"/>
                <c:pt idx="0">
                  <c:v>0.29964912280701761</c:v>
                </c:pt>
                <c:pt idx="1">
                  <c:v>0.05</c:v>
                </c:pt>
                <c:pt idx="2">
                  <c:v>0.13031189083820663</c:v>
                </c:pt>
                <c:pt idx="3">
                  <c:v>0.80019493177387913</c:v>
                </c:pt>
                <c:pt idx="4">
                  <c:v>0.78480228348649395</c:v>
                </c:pt>
                <c:pt idx="5">
                  <c:v>0.95877192982456139</c:v>
                </c:pt>
              </c:numCache>
            </c:numRef>
          </c:val>
          <c:extLst>
            <c:ext xmlns:c16="http://schemas.microsoft.com/office/drawing/2014/chart" uri="{C3380CC4-5D6E-409C-BE32-E72D297353CC}">
              <c16:uniqueId val="{00000000-8AF2-42D3-87D8-E04B74CCF7D2}"/>
            </c:ext>
          </c:extLst>
        </c:ser>
        <c:dLbls>
          <c:showLegendKey val="0"/>
          <c:showVal val="0"/>
          <c:showCatName val="0"/>
          <c:showSerName val="0"/>
          <c:showPercent val="0"/>
          <c:showBubbleSize val="0"/>
        </c:dLbls>
        <c:gapWidth val="100"/>
        <c:axId val="381124760"/>
        <c:axId val="381123584"/>
      </c:barChart>
      <c:catAx>
        <c:axId val="38112476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381123584"/>
        <c:crosses val="autoZero"/>
        <c:auto val="1"/>
        <c:lblAlgn val="ctr"/>
        <c:lblOffset val="100"/>
        <c:noMultiLvlLbl val="0"/>
      </c:catAx>
      <c:valAx>
        <c:axId val="381123584"/>
        <c:scaling>
          <c:orientation val="minMax"/>
        </c:scaling>
        <c:delete val="1"/>
        <c:axPos val="b"/>
        <c:numFmt formatCode="#,##0.00" sourceLinked="0"/>
        <c:majorTickMark val="none"/>
        <c:minorTickMark val="none"/>
        <c:tickLblPos val="nextTo"/>
        <c:crossAx val="381124760"/>
        <c:crosses val="autoZero"/>
        <c:crossBetween val="between"/>
      </c:valAx>
      <c:spPr>
        <a:noFill/>
        <a:ln>
          <a:noFill/>
        </a:ln>
        <a:effectLst/>
      </c:spPr>
    </c:plotArea>
    <c:plotVisOnly val="1"/>
    <c:dispBlanksAs val="gap"/>
    <c:showDLblsOverMax val="0"/>
  </c:chart>
  <c:spPr>
    <a:no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efinition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VACCINATION COSTS'!A1"/></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106680</xdr:colOff>
      <xdr:row>0</xdr:row>
      <xdr:rowOff>60960</xdr:rowOff>
    </xdr:from>
    <xdr:to>
      <xdr:col>1</xdr:col>
      <xdr:colOff>1028700</xdr:colOff>
      <xdr:row>4</xdr:row>
      <xdr:rowOff>0</xdr:rowOff>
    </xdr:to>
    <xdr:pic>
      <xdr:nvPicPr>
        <xdr:cNvPr id="2" name="Picture 3" descr="CDCLOGO-rgb_good">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lum contrast="30000"/>
          <a:extLst>
            <a:ext uri="{28A0092B-C50C-407E-A947-70E740481C1C}">
              <a14:useLocalDpi xmlns:a14="http://schemas.microsoft.com/office/drawing/2010/main" val="0"/>
            </a:ext>
          </a:extLst>
        </a:blip>
        <a:srcRect/>
        <a:stretch>
          <a:fillRect/>
        </a:stretch>
      </xdr:blipFill>
      <xdr:spPr bwMode="auto">
        <a:xfrm>
          <a:off x="304800" y="60960"/>
          <a:ext cx="92202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4096310</xdr:colOff>
      <xdr:row>16</xdr:row>
      <xdr:rowOff>18824</xdr:rowOff>
    </xdr:from>
    <xdr:to>
      <xdr:col>1</xdr:col>
      <xdr:colOff>5256455</xdr:colOff>
      <xdr:row>17</xdr:row>
      <xdr:rowOff>102646</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4294430" y="3790724"/>
          <a:ext cx="1160145" cy="259082"/>
        </a:xfrm>
        <a:prstGeom prst="rect">
          <a:avLst/>
        </a:prstGeom>
        <a:solidFill>
          <a:schemeClr val="accent5">
            <a:lumMod val="75000"/>
          </a:schemeClr>
        </a:solidFill>
        <a:effectLst>
          <a:innerShdw blurRad="114300">
            <a:prstClr val="black"/>
          </a:innerShdw>
        </a:effectLst>
        <a:scene3d>
          <a:camera prst="orthographicFront"/>
          <a:lightRig rig="threePt" dir="t"/>
        </a:scene3d>
        <a:sp3d>
          <a:bevelT/>
          <a:bevelB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itchFamily="34" charset="0"/>
              <a:cs typeface="Arial" pitchFamily="34" charset="0"/>
            </a:rPr>
            <a:t>Start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12279</xdr:colOff>
      <xdr:row>25</xdr:row>
      <xdr:rowOff>100854</xdr:rowOff>
    </xdr:from>
    <xdr:to>
      <xdr:col>11</xdr:col>
      <xdr:colOff>829236</xdr:colOff>
      <xdr:row>38</xdr:row>
      <xdr:rowOff>76522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907677</xdr:colOff>
      <xdr:row>25</xdr:row>
      <xdr:rowOff>100853</xdr:rowOff>
    </xdr:from>
    <xdr:to>
      <xdr:col>16</xdr:col>
      <xdr:colOff>2240</xdr:colOff>
      <xdr:row>38</xdr:row>
      <xdr:rowOff>76200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315686</xdr:colOff>
      <xdr:row>19</xdr:row>
      <xdr:rowOff>163285</xdr:rowOff>
    </xdr:from>
    <xdr:to>
      <xdr:col>16</xdr:col>
      <xdr:colOff>1</xdr:colOff>
      <xdr:row>25</xdr:row>
      <xdr:rowOff>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318370</xdr:colOff>
      <xdr:row>37</xdr:row>
      <xdr:rowOff>68762</xdr:rowOff>
    </xdr:from>
    <xdr:to>
      <xdr:col>5</xdr:col>
      <xdr:colOff>309405</xdr:colOff>
      <xdr:row>38</xdr:row>
      <xdr:rowOff>124791</xdr:rowOff>
    </xdr:to>
    <xdr:sp macro="" textlink="">
      <xdr:nvSpPr>
        <xdr:cNvPr id="6" name="Rectangle 5">
          <a:hlinkClick xmlns:r="http://schemas.openxmlformats.org/officeDocument/2006/relationships" r:id="rId4"/>
          <a:extLst>
            <a:ext uri="{FF2B5EF4-FFF2-40B4-BE49-F238E27FC236}">
              <a16:creationId xmlns:a16="http://schemas.microsoft.com/office/drawing/2014/main" id="{00000000-0008-0000-0200-000006000000}"/>
            </a:ext>
          </a:extLst>
        </xdr:cNvPr>
        <xdr:cNvSpPr/>
      </xdr:nvSpPr>
      <xdr:spPr>
        <a:xfrm>
          <a:off x="3406145" y="7427086"/>
          <a:ext cx="1435485" cy="244436"/>
        </a:xfrm>
        <a:prstGeom prst="rect">
          <a:avLst/>
        </a:prstGeom>
        <a:solidFill>
          <a:schemeClr val="accent5">
            <a:lumMod val="50000"/>
          </a:schemeClr>
        </a:solidFill>
        <a:effectLst>
          <a:innerShdw blurRad="114300">
            <a:prstClr val="black"/>
          </a:innerShdw>
        </a:effectLst>
        <a:scene3d>
          <a:camera prst="orthographicFront"/>
          <a:lightRig rig="threePt" dir="t"/>
        </a:scene3d>
        <a:sp3d>
          <a:bevelT/>
          <a:bevelB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a:latin typeface="+mn-lt"/>
              <a:cs typeface="Arial" pitchFamily="34" charset="0"/>
            </a:rPr>
            <a:t>Estimate</a:t>
          </a:r>
          <a:r>
            <a:rPr lang="en-US" sz="1000" b="0" baseline="0">
              <a:latin typeface="+mn-lt"/>
              <a:cs typeface="Arial" pitchFamily="34" charset="0"/>
            </a:rPr>
            <a:t> value</a:t>
          </a:r>
          <a:endParaRPr lang="en-US" sz="1000" b="0">
            <a:latin typeface="+mn-lt"/>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168087</xdr:colOff>
      <xdr:row>1</xdr:row>
      <xdr:rowOff>42585</xdr:rowOff>
    </xdr:from>
    <xdr:to>
      <xdr:col>8</xdr:col>
      <xdr:colOff>1001806</xdr:colOff>
      <xdr:row>14</xdr:row>
      <xdr:rowOff>33619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662216</xdr:colOff>
      <xdr:row>71</xdr:row>
      <xdr:rowOff>181430</xdr:rowOff>
    </xdr:from>
    <xdr:to>
      <xdr:col>21</xdr:col>
      <xdr:colOff>496858</xdr:colOff>
      <xdr:row>89</xdr:row>
      <xdr:rowOff>150950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1561537" y="13720537"/>
          <a:ext cx="5331928" cy="33985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showGridLines="0" showRowColHeaders="0" topLeftCell="B1" workbookViewId="0">
      <selection activeCell="B1" sqref="B1"/>
    </sheetView>
  </sheetViews>
  <sheetFormatPr defaultColWidth="9.28515625" defaultRowHeight="12.75" x14ac:dyDescent="0.2"/>
  <cols>
    <col min="1" max="1" width="2.7109375" style="109" customWidth="1"/>
    <col min="2" max="2" width="131.7109375" style="109" customWidth="1"/>
    <col min="3" max="257" width="9.28515625" style="109"/>
    <col min="258" max="258" width="136.7109375" style="109" customWidth="1"/>
    <col min="259" max="513" width="9.28515625" style="109"/>
    <col min="514" max="514" width="136.7109375" style="109" customWidth="1"/>
    <col min="515" max="769" width="9.28515625" style="109"/>
    <col min="770" max="770" width="136.7109375" style="109" customWidth="1"/>
    <col min="771" max="1025" width="9.28515625" style="109"/>
    <col min="1026" max="1026" width="136.7109375" style="109" customWidth="1"/>
    <col min="1027" max="1281" width="9.28515625" style="109"/>
    <col min="1282" max="1282" width="136.7109375" style="109" customWidth="1"/>
    <col min="1283" max="1537" width="9.28515625" style="109"/>
    <col min="1538" max="1538" width="136.7109375" style="109" customWidth="1"/>
    <col min="1539" max="1793" width="9.28515625" style="109"/>
    <col min="1794" max="1794" width="136.7109375" style="109" customWidth="1"/>
    <col min="1795" max="2049" width="9.28515625" style="109"/>
    <col min="2050" max="2050" width="136.7109375" style="109" customWidth="1"/>
    <col min="2051" max="2305" width="9.28515625" style="109"/>
    <col min="2306" max="2306" width="136.7109375" style="109" customWidth="1"/>
    <col min="2307" max="2561" width="9.28515625" style="109"/>
    <col min="2562" max="2562" width="136.7109375" style="109" customWidth="1"/>
    <col min="2563" max="2817" width="9.28515625" style="109"/>
    <col min="2818" max="2818" width="136.7109375" style="109" customWidth="1"/>
    <col min="2819" max="3073" width="9.28515625" style="109"/>
    <col min="3074" max="3074" width="136.7109375" style="109" customWidth="1"/>
    <col min="3075" max="3329" width="9.28515625" style="109"/>
    <col min="3330" max="3330" width="136.7109375" style="109" customWidth="1"/>
    <col min="3331" max="3585" width="9.28515625" style="109"/>
    <col min="3586" max="3586" width="136.7109375" style="109" customWidth="1"/>
    <col min="3587" max="3841" width="9.28515625" style="109"/>
    <col min="3842" max="3842" width="136.7109375" style="109" customWidth="1"/>
    <col min="3843" max="4097" width="9.28515625" style="109"/>
    <col min="4098" max="4098" width="136.7109375" style="109" customWidth="1"/>
    <col min="4099" max="4353" width="9.28515625" style="109"/>
    <col min="4354" max="4354" width="136.7109375" style="109" customWidth="1"/>
    <col min="4355" max="4609" width="9.28515625" style="109"/>
    <col min="4610" max="4610" width="136.7109375" style="109" customWidth="1"/>
    <col min="4611" max="4865" width="9.28515625" style="109"/>
    <col min="4866" max="4866" width="136.7109375" style="109" customWidth="1"/>
    <col min="4867" max="5121" width="9.28515625" style="109"/>
    <col min="5122" max="5122" width="136.7109375" style="109" customWidth="1"/>
    <col min="5123" max="5377" width="9.28515625" style="109"/>
    <col min="5378" max="5378" width="136.7109375" style="109" customWidth="1"/>
    <col min="5379" max="5633" width="9.28515625" style="109"/>
    <col min="5634" max="5634" width="136.7109375" style="109" customWidth="1"/>
    <col min="5635" max="5889" width="9.28515625" style="109"/>
    <col min="5890" max="5890" width="136.7109375" style="109" customWidth="1"/>
    <col min="5891" max="6145" width="9.28515625" style="109"/>
    <col min="6146" max="6146" width="136.7109375" style="109" customWidth="1"/>
    <col min="6147" max="6401" width="9.28515625" style="109"/>
    <col min="6402" max="6402" width="136.7109375" style="109" customWidth="1"/>
    <col min="6403" max="6657" width="9.28515625" style="109"/>
    <col min="6658" max="6658" width="136.7109375" style="109" customWidth="1"/>
    <col min="6659" max="6913" width="9.28515625" style="109"/>
    <col min="6914" max="6914" width="136.7109375" style="109" customWidth="1"/>
    <col min="6915" max="7169" width="9.28515625" style="109"/>
    <col min="7170" max="7170" width="136.7109375" style="109" customWidth="1"/>
    <col min="7171" max="7425" width="9.28515625" style="109"/>
    <col min="7426" max="7426" width="136.7109375" style="109" customWidth="1"/>
    <col min="7427" max="7681" width="9.28515625" style="109"/>
    <col min="7682" max="7682" width="136.7109375" style="109" customWidth="1"/>
    <col min="7683" max="7937" width="9.28515625" style="109"/>
    <col min="7938" max="7938" width="136.7109375" style="109" customWidth="1"/>
    <col min="7939" max="8193" width="9.28515625" style="109"/>
    <col min="8194" max="8194" width="136.7109375" style="109" customWidth="1"/>
    <col min="8195" max="8449" width="9.28515625" style="109"/>
    <col min="8450" max="8450" width="136.7109375" style="109" customWidth="1"/>
    <col min="8451" max="8705" width="9.28515625" style="109"/>
    <col min="8706" max="8706" width="136.7109375" style="109" customWidth="1"/>
    <col min="8707" max="8961" width="9.28515625" style="109"/>
    <col min="8962" max="8962" width="136.7109375" style="109" customWidth="1"/>
    <col min="8963" max="9217" width="9.28515625" style="109"/>
    <col min="9218" max="9218" width="136.7109375" style="109" customWidth="1"/>
    <col min="9219" max="9473" width="9.28515625" style="109"/>
    <col min="9474" max="9474" width="136.7109375" style="109" customWidth="1"/>
    <col min="9475" max="9729" width="9.28515625" style="109"/>
    <col min="9730" max="9730" width="136.7109375" style="109" customWidth="1"/>
    <col min="9731" max="9985" width="9.28515625" style="109"/>
    <col min="9986" max="9986" width="136.7109375" style="109" customWidth="1"/>
    <col min="9987" max="10241" width="9.28515625" style="109"/>
    <col min="10242" max="10242" width="136.7109375" style="109" customWidth="1"/>
    <col min="10243" max="10497" width="9.28515625" style="109"/>
    <col min="10498" max="10498" width="136.7109375" style="109" customWidth="1"/>
    <col min="10499" max="10753" width="9.28515625" style="109"/>
    <col min="10754" max="10754" width="136.7109375" style="109" customWidth="1"/>
    <col min="10755" max="11009" width="9.28515625" style="109"/>
    <col min="11010" max="11010" width="136.7109375" style="109" customWidth="1"/>
    <col min="11011" max="11265" width="9.28515625" style="109"/>
    <col min="11266" max="11266" width="136.7109375" style="109" customWidth="1"/>
    <col min="11267" max="11521" width="9.28515625" style="109"/>
    <col min="11522" max="11522" width="136.7109375" style="109" customWidth="1"/>
    <col min="11523" max="11777" width="9.28515625" style="109"/>
    <col min="11778" max="11778" width="136.7109375" style="109" customWidth="1"/>
    <col min="11779" max="12033" width="9.28515625" style="109"/>
    <col min="12034" max="12034" width="136.7109375" style="109" customWidth="1"/>
    <col min="12035" max="12289" width="9.28515625" style="109"/>
    <col min="12290" max="12290" width="136.7109375" style="109" customWidth="1"/>
    <col min="12291" max="12545" width="9.28515625" style="109"/>
    <col min="12546" max="12546" width="136.7109375" style="109" customWidth="1"/>
    <col min="12547" max="12801" width="9.28515625" style="109"/>
    <col min="12802" max="12802" width="136.7109375" style="109" customWidth="1"/>
    <col min="12803" max="13057" width="9.28515625" style="109"/>
    <col min="13058" max="13058" width="136.7109375" style="109" customWidth="1"/>
    <col min="13059" max="13313" width="9.28515625" style="109"/>
    <col min="13314" max="13314" width="136.7109375" style="109" customWidth="1"/>
    <col min="13315" max="13569" width="9.28515625" style="109"/>
    <col min="13570" max="13570" width="136.7109375" style="109" customWidth="1"/>
    <col min="13571" max="13825" width="9.28515625" style="109"/>
    <col min="13826" max="13826" width="136.7109375" style="109" customWidth="1"/>
    <col min="13827" max="14081" width="9.28515625" style="109"/>
    <col min="14082" max="14082" width="136.7109375" style="109" customWidth="1"/>
    <col min="14083" max="14337" width="9.28515625" style="109"/>
    <col min="14338" max="14338" width="136.7109375" style="109" customWidth="1"/>
    <col min="14339" max="14593" width="9.28515625" style="109"/>
    <col min="14594" max="14594" width="136.7109375" style="109" customWidth="1"/>
    <col min="14595" max="14849" width="9.28515625" style="109"/>
    <col min="14850" max="14850" width="136.7109375" style="109" customWidth="1"/>
    <col min="14851" max="15105" width="9.28515625" style="109"/>
    <col min="15106" max="15106" width="136.7109375" style="109" customWidth="1"/>
    <col min="15107" max="15361" width="9.28515625" style="109"/>
    <col min="15362" max="15362" width="136.7109375" style="109" customWidth="1"/>
    <col min="15363" max="15617" width="9.28515625" style="109"/>
    <col min="15618" max="15618" width="136.7109375" style="109" customWidth="1"/>
    <col min="15619" max="15873" width="9.28515625" style="109"/>
    <col min="15874" max="15874" width="136.7109375" style="109" customWidth="1"/>
    <col min="15875" max="16129" width="9.28515625" style="109"/>
    <col min="16130" max="16130" width="136.7109375" style="109" customWidth="1"/>
    <col min="16131" max="16384" width="9.28515625" style="109"/>
  </cols>
  <sheetData>
    <row r="2" spans="2:4" x14ac:dyDescent="0.2">
      <c r="B2" s="116"/>
    </row>
    <row r="3" spans="2:4" x14ac:dyDescent="0.2">
      <c r="B3" s="115"/>
    </row>
    <row r="6" spans="2:4" ht="21" x14ac:dyDescent="0.35">
      <c r="B6" s="107" t="s">
        <v>235</v>
      </c>
      <c r="C6" s="108"/>
      <c r="D6" s="108"/>
    </row>
    <row r="7" spans="2:4" ht="15" x14ac:dyDescent="0.25">
      <c r="B7" s="114"/>
      <c r="C7" s="108"/>
      <c r="D7" s="108"/>
    </row>
    <row r="8" spans="2:4" ht="15" x14ac:dyDescent="0.25">
      <c r="B8" s="114" t="s">
        <v>114</v>
      </c>
      <c r="C8" s="108"/>
      <c r="D8" s="108"/>
    </row>
    <row r="9" spans="2:4" x14ac:dyDescent="0.2">
      <c r="B9" s="131">
        <f>Definitions!C4</f>
        <v>43141</v>
      </c>
      <c r="C9" s="108"/>
      <c r="D9" s="108"/>
    </row>
    <row r="10" spans="2:4" x14ac:dyDescent="0.2">
      <c r="B10" s="110"/>
      <c r="C10" s="108"/>
      <c r="D10" s="108"/>
    </row>
    <row r="11" spans="2:4" ht="15" x14ac:dyDescent="0.2">
      <c r="B11" s="442" t="s">
        <v>117</v>
      </c>
      <c r="C11" s="443"/>
      <c r="D11" s="443"/>
    </row>
    <row r="12" spans="2:4" ht="30" x14ac:dyDescent="0.25">
      <c r="B12" s="117" t="s">
        <v>116</v>
      </c>
      <c r="C12" s="108"/>
      <c r="D12" s="108"/>
    </row>
    <row r="13" spans="2:4" ht="15.75" x14ac:dyDescent="0.25">
      <c r="B13" s="111"/>
      <c r="C13" s="108"/>
      <c r="D13" s="108"/>
    </row>
    <row r="14" spans="2:4" ht="38.25" x14ac:dyDescent="0.2">
      <c r="B14" s="112" t="s">
        <v>115</v>
      </c>
      <c r="C14" s="108"/>
      <c r="D14" s="108"/>
    </row>
    <row r="15" spans="2:4" ht="15" x14ac:dyDescent="0.25">
      <c r="B15" s="113"/>
    </row>
  </sheetData>
  <mergeCells count="1">
    <mergeCell ref="B11:D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5"/>
  <sheetViews>
    <sheetView showGridLines="0" topLeftCell="A34" zoomScale="85" zoomScaleNormal="85" workbookViewId="0">
      <selection activeCell="L40" sqref="L40"/>
    </sheetView>
  </sheetViews>
  <sheetFormatPr defaultRowHeight="15" x14ac:dyDescent="0.25"/>
  <cols>
    <col min="1" max="1" width="2.28515625" customWidth="1"/>
    <col min="2" max="2" width="71.28515625" style="103" customWidth="1"/>
    <col min="3" max="3" width="20.5703125" style="1" customWidth="1"/>
    <col min="4" max="4" width="16.5703125" style="103" customWidth="1"/>
    <col min="5" max="6" width="8.7109375" style="103"/>
  </cols>
  <sheetData>
    <row r="2" spans="2:8" ht="15.75" x14ac:dyDescent="0.25">
      <c r="B2" s="137" t="s">
        <v>133</v>
      </c>
      <c r="C2" s="135"/>
      <c r="D2" s="136"/>
      <c r="E2" s="136"/>
      <c r="F2" s="136"/>
    </row>
    <row r="3" spans="2:8" s="103" customFormat="1" x14ac:dyDescent="0.25">
      <c r="C3" s="123"/>
    </row>
    <row r="4" spans="2:8" s="103" customFormat="1" x14ac:dyDescent="0.25">
      <c r="B4" s="132" t="s">
        <v>125</v>
      </c>
      <c r="C4" s="125">
        <v>43141</v>
      </c>
    </row>
    <row r="5" spans="2:8" s="103" customFormat="1" x14ac:dyDescent="0.25">
      <c r="B5" s="132" t="s">
        <v>126</v>
      </c>
      <c r="C5" s="126" t="s">
        <v>127</v>
      </c>
    </row>
    <row r="6" spans="2:8" x14ac:dyDescent="0.25">
      <c r="B6" s="127"/>
      <c r="C6" s="103"/>
    </row>
    <row r="7" spans="2:8" x14ac:dyDescent="0.25">
      <c r="B7" s="132" t="s">
        <v>128</v>
      </c>
    </row>
    <row r="8" spans="2:8" x14ac:dyDescent="0.25">
      <c r="B8" s="133" t="s">
        <v>129</v>
      </c>
      <c r="C8" s="134"/>
      <c r="D8" s="127"/>
    </row>
    <row r="9" spans="2:8" x14ac:dyDescent="0.25">
      <c r="B9" s="133" t="s">
        <v>130</v>
      </c>
      <c r="C9" s="121"/>
    </row>
    <row r="10" spans="2:8" x14ac:dyDescent="0.25">
      <c r="B10" s="133" t="s">
        <v>131</v>
      </c>
      <c r="C10" s="323"/>
    </row>
    <row r="11" spans="2:8" x14ac:dyDescent="0.25">
      <c r="B11" s="127"/>
      <c r="C11" s="11"/>
      <c r="D11" s="127"/>
    </row>
    <row r="12" spans="2:8" ht="15.75" x14ac:dyDescent="0.25">
      <c r="B12" s="445" t="s">
        <v>118</v>
      </c>
      <c r="C12" s="446"/>
    </row>
    <row r="14" spans="2:8" ht="19.149999999999999" customHeight="1" x14ac:dyDescent="0.25">
      <c r="B14" s="143" t="s">
        <v>122</v>
      </c>
      <c r="C14" s="144"/>
      <c r="D14" s="145"/>
      <c r="E14" s="145"/>
      <c r="F14" s="145"/>
    </row>
    <row r="15" spans="2:8" x14ac:dyDescent="0.25">
      <c r="B15" s="128" t="s">
        <v>236</v>
      </c>
    </row>
    <row r="16" spans="2:8" ht="72" customHeight="1" x14ac:dyDescent="0.25">
      <c r="B16" s="447" t="s">
        <v>132</v>
      </c>
      <c r="C16" s="447"/>
      <c r="D16" s="447"/>
      <c r="E16" s="130"/>
      <c r="F16" s="130"/>
      <c r="G16" s="130"/>
      <c r="H16" s="130"/>
    </row>
    <row r="17" spans="2:8" x14ac:dyDescent="0.25">
      <c r="B17" s="129" t="s">
        <v>123</v>
      </c>
      <c r="C17" s="122"/>
    </row>
    <row r="18" spans="2:8" ht="72" customHeight="1" x14ac:dyDescent="0.25">
      <c r="B18" s="447" t="s">
        <v>120</v>
      </c>
      <c r="C18" s="447"/>
      <c r="D18" s="447"/>
      <c r="E18" s="130"/>
      <c r="F18" s="130"/>
      <c r="G18" s="130"/>
      <c r="H18" s="130"/>
    </row>
    <row r="19" spans="2:8" x14ac:dyDescent="0.25">
      <c r="B19" s="128" t="s">
        <v>244</v>
      </c>
      <c r="C19" s="122"/>
    </row>
    <row r="20" spans="2:8" ht="57.6" customHeight="1" x14ac:dyDescent="0.25">
      <c r="B20" s="447" t="s">
        <v>119</v>
      </c>
      <c r="C20" s="447"/>
      <c r="D20" s="447"/>
      <c r="E20" s="130"/>
      <c r="F20" s="130"/>
      <c r="G20" s="130"/>
      <c r="H20" s="120"/>
    </row>
    <row r="21" spans="2:8" x14ac:dyDescent="0.25">
      <c r="B21" s="129" t="s">
        <v>124</v>
      </c>
      <c r="C21" s="122"/>
    </row>
    <row r="22" spans="2:8" ht="57.6" customHeight="1" x14ac:dyDescent="0.25">
      <c r="B22" s="447" t="s">
        <v>121</v>
      </c>
      <c r="C22" s="447"/>
      <c r="D22" s="447"/>
      <c r="E22" s="130"/>
      <c r="F22" s="130"/>
      <c r="G22" s="130"/>
      <c r="H22" s="120"/>
    </row>
    <row r="23" spans="2:8" ht="15" customHeight="1" x14ac:dyDescent="0.25">
      <c r="B23" s="120"/>
      <c r="C23" s="120"/>
      <c r="D23" s="120"/>
      <c r="E23" s="130"/>
      <c r="F23" s="130"/>
      <c r="G23" s="130"/>
      <c r="H23" s="120"/>
    </row>
    <row r="24" spans="2:8" ht="24" customHeight="1" x14ac:dyDescent="0.25">
      <c r="B24" s="149" t="s">
        <v>134</v>
      </c>
      <c r="C24" s="146"/>
      <c r="D24" s="147"/>
      <c r="E24" s="148"/>
      <c r="F24" s="148"/>
    </row>
    <row r="25" spans="2:8" x14ac:dyDescent="0.25">
      <c r="B25" s="124" t="s">
        <v>237</v>
      </c>
      <c r="C25" s="139"/>
      <c r="D25" s="138"/>
    </row>
    <row r="26" spans="2:8" ht="31.5" customHeight="1" x14ac:dyDescent="0.25">
      <c r="B26" s="447" t="s">
        <v>238</v>
      </c>
      <c r="C26" s="447"/>
      <c r="D26" s="447"/>
    </row>
    <row r="27" spans="2:8" x14ac:dyDescent="0.25">
      <c r="B27" s="124" t="s">
        <v>135</v>
      </c>
      <c r="C27" s="139"/>
      <c r="D27" s="138"/>
    </row>
    <row r="28" spans="2:8" ht="33.75" customHeight="1" x14ac:dyDescent="0.25">
      <c r="B28" s="447" t="s">
        <v>239</v>
      </c>
      <c r="C28" s="447"/>
      <c r="D28" s="447"/>
    </row>
    <row r="29" spans="2:8" x14ac:dyDescent="0.25">
      <c r="B29" s="124" t="s">
        <v>136</v>
      </c>
      <c r="C29" s="139"/>
      <c r="D29" s="138"/>
    </row>
    <row r="30" spans="2:8" ht="29.65" customHeight="1" x14ac:dyDescent="0.25">
      <c r="B30" s="447" t="s">
        <v>240</v>
      </c>
      <c r="C30" s="447"/>
      <c r="D30" s="447"/>
    </row>
    <row r="31" spans="2:8" x14ac:dyDescent="0.25">
      <c r="B31" s="124" t="s">
        <v>137</v>
      </c>
      <c r="C31" s="139"/>
      <c r="D31" s="138"/>
    </row>
    <row r="32" spans="2:8" x14ac:dyDescent="0.25">
      <c r="B32" s="138" t="s">
        <v>138</v>
      </c>
    </row>
    <row r="33" spans="2:11" x14ac:dyDescent="0.25">
      <c r="B33" s="138"/>
    </row>
    <row r="34" spans="2:11" ht="21" customHeight="1" x14ac:dyDescent="0.25">
      <c r="B34" s="149" t="s">
        <v>143</v>
      </c>
      <c r="C34" s="150"/>
      <c r="D34" s="148"/>
      <c r="E34" s="148"/>
      <c r="F34" s="148"/>
    </row>
    <row r="35" spans="2:11" x14ac:dyDescent="0.25">
      <c r="B35" s="140" t="s">
        <v>245</v>
      </c>
    </row>
    <row r="36" spans="2:11" x14ac:dyDescent="0.25">
      <c r="B36" s="447" t="s">
        <v>139</v>
      </c>
      <c r="C36" s="447"/>
      <c r="D36" s="447"/>
    </row>
    <row r="37" spans="2:11" x14ac:dyDescent="0.25">
      <c r="B37" s="140" t="s">
        <v>246</v>
      </c>
    </row>
    <row r="38" spans="2:11" ht="86.65" customHeight="1" x14ac:dyDescent="0.25">
      <c r="B38" s="447" t="s">
        <v>140</v>
      </c>
      <c r="C38" s="447"/>
      <c r="D38" s="447"/>
    </row>
    <row r="39" spans="2:11" x14ac:dyDescent="0.25">
      <c r="B39" s="119" t="s">
        <v>142</v>
      </c>
      <c r="C39" s="120"/>
      <c r="D39" s="120"/>
    </row>
    <row r="40" spans="2:11" ht="57" customHeight="1" x14ac:dyDescent="0.25">
      <c r="B40" s="447" t="s">
        <v>141</v>
      </c>
      <c r="C40" s="447"/>
      <c r="D40" s="447"/>
    </row>
    <row r="41" spans="2:11" ht="14.65" customHeight="1" x14ac:dyDescent="0.25">
      <c r="B41" s="140" t="s">
        <v>145</v>
      </c>
    </row>
    <row r="42" spans="2:11" ht="28.9" customHeight="1" x14ac:dyDescent="0.25">
      <c r="B42" s="447" t="s">
        <v>144</v>
      </c>
      <c r="C42" s="447"/>
      <c r="D42" s="447"/>
    </row>
    <row r="44" spans="2:11" ht="21.6" customHeight="1" x14ac:dyDescent="0.25">
      <c r="B44" s="149" t="s">
        <v>201</v>
      </c>
      <c r="C44" s="150"/>
      <c r="D44" s="148"/>
      <c r="E44" s="148"/>
      <c r="F44" s="148"/>
    </row>
    <row r="45" spans="2:11" ht="66" customHeight="1" x14ac:dyDescent="0.25">
      <c r="B45" s="444" t="s">
        <v>243</v>
      </c>
      <c r="C45" s="444"/>
      <c r="D45" s="444"/>
      <c r="E45" s="444"/>
      <c r="F45" s="444"/>
    </row>
    <row r="47" spans="2:11" ht="21" customHeight="1" x14ac:dyDescent="0.25">
      <c r="B47" s="151" t="s">
        <v>146</v>
      </c>
      <c r="C47" s="150"/>
      <c r="D47" s="148"/>
      <c r="E47" s="148"/>
      <c r="F47" s="148"/>
    </row>
    <row r="48" spans="2:11" ht="14.65" customHeight="1" x14ac:dyDescent="0.25">
      <c r="B48" s="21" t="s">
        <v>93</v>
      </c>
      <c r="C48" s="21"/>
      <c r="D48" s="21"/>
      <c r="E48" s="21"/>
      <c r="F48" s="21"/>
      <c r="G48" s="21"/>
      <c r="H48" s="21"/>
      <c r="I48" s="21"/>
      <c r="J48" s="21"/>
      <c r="K48" s="21"/>
    </row>
    <row r="49" spans="2:11" ht="14.65" customHeight="1" x14ac:dyDescent="0.25">
      <c r="B49" s="21" t="s">
        <v>94</v>
      </c>
      <c r="C49" s="21"/>
      <c r="D49" s="21"/>
      <c r="E49" s="21"/>
      <c r="F49" s="21"/>
      <c r="G49" s="21"/>
      <c r="H49" s="21"/>
      <c r="I49" s="21"/>
      <c r="J49" s="21"/>
      <c r="K49" s="21"/>
    </row>
    <row r="50" spans="2:11" ht="14.65" customHeight="1" x14ac:dyDescent="0.25">
      <c r="B50" s="21" t="s">
        <v>95</v>
      </c>
      <c r="C50" s="21"/>
      <c r="D50" s="21"/>
      <c r="E50" s="21"/>
      <c r="F50" s="21"/>
      <c r="G50" s="21"/>
      <c r="H50" s="21"/>
      <c r="I50" s="21"/>
      <c r="J50" s="21"/>
      <c r="K50" s="21"/>
    </row>
    <row r="51" spans="2:11" ht="14.65" customHeight="1" x14ac:dyDescent="0.25">
      <c r="B51" s="21" t="s">
        <v>96</v>
      </c>
      <c r="C51" s="21"/>
      <c r="D51" s="21"/>
      <c r="E51" s="21"/>
      <c r="F51" s="21"/>
      <c r="G51" s="21"/>
      <c r="H51" s="21"/>
      <c r="I51" s="21"/>
      <c r="J51" s="21"/>
      <c r="K51" s="21"/>
    </row>
    <row r="52" spans="2:11" ht="14.65" customHeight="1" x14ac:dyDescent="0.25">
      <c r="B52" s="21" t="s">
        <v>97</v>
      </c>
      <c r="C52" s="21"/>
      <c r="D52" s="21"/>
      <c r="E52" s="21"/>
      <c r="F52" s="21"/>
      <c r="G52" s="21"/>
      <c r="H52" s="21"/>
      <c r="I52" s="21"/>
      <c r="J52" s="21"/>
      <c r="K52" s="21"/>
    </row>
    <row r="53" spans="2:11" ht="14.65" customHeight="1" x14ac:dyDescent="0.25">
      <c r="B53" s="21" t="s">
        <v>98</v>
      </c>
      <c r="C53" s="21"/>
      <c r="D53" s="21"/>
      <c r="E53" s="21"/>
      <c r="F53" s="21"/>
      <c r="G53" s="21"/>
      <c r="H53" s="21"/>
      <c r="I53" s="21"/>
      <c r="J53" s="21"/>
      <c r="K53" s="21"/>
    </row>
    <row r="54" spans="2:11" ht="14.65" customHeight="1" x14ac:dyDescent="0.25">
      <c r="B54" s="21" t="s">
        <v>174</v>
      </c>
      <c r="C54" s="21"/>
      <c r="D54" s="21"/>
      <c r="E54" s="21"/>
      <c r="F54" s="21"/>
      <c r="G54" s="21"/>
      <c r="H54" s="21"/>
      <c r="I54" s="21"/>
      <c r="J54" s="21"/>
      <c r="K54" s="21"/>
    </row>
    <row r="55" spans="2:11" ht="14.65" customHeight="1" x14ac:dyDescent="0.25">
      <c r="B55" s="441" t="s">
        <v>102</v>
      </c>
      <c r="C55" s="21"/>
      <c r="D55" s="21"/>
      <c r="E55" s="21"/>
      <c r="F55" s="21"/>
      <c r="G55" s="21"/>
      <c r="H55" s="21"/>
      <c r="I55" s="21"/>
      <c r="J55" s="21"/>
      <c r="K55" s="21"/>
    </row>
  </sheetData>
  <mergeCells count="13">
    <mergeCell ref="B45:F45"/>
    <mergeCell ref="B12:C12"/>
    <mergeCell ref="B16:D16"/>
    <mergeCell ref="B18:D18"/>
    <mergeCell ref="B20:D20"/>
    <mergeCell ref="B22:D22"/>
    <mergeCell ref="B38:D38"/>
    <mergeCell ref="B40:D40"/>
    <mergeCell ref="B42:D42"/>
    <mergeCell ref="B26:D26"/>
    <mergeCell ref="B28:D28"/>
    <mergeCell ref="B30:D30"/>
    <mergeCell ref="B36:D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O44"/>
  <sheetViews>
    <sheetView showGridLines="0" tabSelected="1" zoomScale="82" zoomScaleNormal="82" workbookViewId="0">
      <selection activeCell="W31" sqref="W31"/>
    </sheetView>
  </sheetViews>
  <sheetFormatPr defaultRowHeight="15" x14ac:dyDescent="0.25"/>
  <cols>
    <col min="1" max="1" width="1.28515625" style="103" customWidth="1"/>
    <col min="2" max="2" width="45" customWidth="1"/>
    <col min="3" max="5" width="7.28515625" customWidth="1"/>
    <col min="6" max="6" width="8.5703125" customWidth="1"/>
    <col min="7" max="7" width="1.140625" customWidth="1"/>
    <col min="8" max="8" width="2.7109375" style="11" customWidth="1"/>
    <col min="9" max="9" width="1" style="11" customWidth="1"/>
    <col min="10" max="10" width="32.5703125" customWidth="1"/>
    <col min="11" max="11" width="12.5703125" style="2" customWidth="1"/>
    <col min="12" max="12" width="14.5703125" style="2" customWidth="1"/>
    <col min="13" max="13" width="12.7109375" style="2" customWidth="1"/>
    <col min="14" max="15" width="9.5703125" customWidth="1"/>
    <col min="16" max="16" width="13" customWidth="1"/>
    <col min="17" max="17" width="1.28515625" customWidth="1"/>
    <col min="18" max="18" width="2.28515625" style="103" customWidth="1"/>
    <col min="19" max="19" width="5.5703125" bestFit="1" customWidth="1"/>
    <col min="20" max="25" width="8.7109375" style="3" customWidth="1"/>
    <col min="26" max="26" width="8" style="3" bestFit="1" customWidth="1"/>
    <col min="27" max="31" width="7.28515625" style="3" customWidth="1"/>
  </cols>
  <sheetData>
    <row r="1" spans="1:41" ht="24" thickBot="1" x14ac:dyDescent="0.4">
      <c r="B1" s="493" t="s">
        <v>279</v>
      </c>
      <c r="C1" s="494"/>
      <c r="D1" s="494"/>
      <c r="E1" s="494"/>
      <c r="F1" s="494"/>
      <c r="G1" s="494"/>
      <c r="H1" s="494"/>
      <c r="I1" s="494"/>
      <c r="J1" s="494"/>
      <c r="K1" s="494"/>
      <c r="L1" s="494"/>
      <c r="M1" s="494"/>
      <c r="N1" s="494"/>
      <c r="O1" s="494"/>
      <c r="P1" s="494"/>
      <c r="Q1" s="495"/>
    </row>
    <row r="2" spans="1:41" s="1" customFormat="1" ht="20.25" customHeight="1" thickBot="1" x14ac:dyDescent="0.3">
      <c r="A2" s="123"/>
      <c r="B2" s="327" t="s">
        <v>234</v>
      </c>
      <c r="C2" s="512"/>
      <c r="D2" s="513"/>
      <c r="E2" s="513"/>
      <c r="F2" s="513"/>
      <c r="G2" s="328"/>
      <c r="H2" s="215"/>
      <c r="I2" s="412"/>
      <c r="J2" s="413" t="s">
        <v>186</v>
      </c>
      <c r="K2" s="515"/>
      <c r="L2" s="515"/>
      <c r="M2" s="515"/>
      <c r="N2" s="515"/>
      <c r="O2" s="515"/>
      <c r="P2" s="414"/>
      <c r="Q2" s="415"/>
      <c r="R2" s="123"/>
      <c r="AB2" s="3"/>
      <c r="AC2" s="3"/>
      <c r="AD2" s="3"/>
      <c r="AE2" s="3"/>
      <c r="AF2" s="3"/>
      <c r="AG2" s="3"/>
      <c r="AH2" s="3"/>
    </row>
    <row r="3" spans="1:41" ht="15.75" thickBot="1" x14ac:dyDescent="0.3">
      <c r="B3" s="342" t="s">
        <v>252</v>
      </c>
      <c r="C3" s="451" t="s">
        <v>230</v>
      </c>
      <c r="D3" s="452"/>
      <c r="E3" s="453"/>
      <c r="F3" s="321" t="s">
        <v>231</v>
      </c>
      <c r="G3" s="312"/>
      <c r="I3" s="291"/>
      <c r="J3" s="303" t="s">
        <v>8</v>
      </c>
      <c r="K3" s="456" t="s">
        <v>275</v>
      </c>
      <c r="L3" s="457"/>
      <c r="M3" s="297" t="s">
        <v>185</v>
      </c>
      <c r="N3" s="298" t="s">
        <v>187</v>
      </c>
      <c r="O3" s="299" t="s">
        <v>188</v>
      </c>
      <c r="P3" s="416"/>
      <c r="Q3" s="417"/>
      <c r="AF3" s="3"/>
      <c r="AG3" s="3"/>
      <c r="AH3" s="3"/>
    </row>
    <row r="4" spans="1:41" ht="15.75" thickBot="1" x14ac:dyDescent="0.3">
      <c r="B4" s="343" t="s">
        <v>263</v>
      </c>
      <c r="C4" s="460">
        <v>30000</v>
      </c>
      <c r="D4" s="461"/>
      <c r="E4" s="462"/>
      <c r="F4" s="251">
        <f>SUM(C5:E7)/Pop_all</f>
        <v>1</v>
      </c>
      <c r="G4" s="312"/>
      <c r="I4" s="291"/>
      <c r="J4" s="300" t="s">
        <v>221</v>
      </c>
      <c r="K4" s="456" t="s">
        <v>223</v>
      </c>
      <c r="L4" s="457"/>
      <c r="M4" s="265">
        <f>CP_Procured</f>
        <v>16800</v>
      </c>
      <c r="N4" s="266">
        <f>Vax_CP</f>
        <v>15720</v>
      </c>
      <c r="O4" s="267">
        <f>C14-N4</f>
        <v>1080</v>
      </c>
      <c r="P4" s="418"/>
      <c r="Q4" s="292"/>
      <c r="AF4" s="3"/>
      <c r="AG4" s="3"/>
      <c r="AH4" s="3"/>
    </row>
    <row r="5" spans="1:41" x14ac:dyDescent="0.25">
      <c r="B5" s="344" t="s">
        <v>264</v>
      </c>
      <c r="C5" s="463">
        <f>Pop_all*F5</f>
        <v>8400</v>
      </c>
      <c r="D5" s="464"/>
      <c r="E5" s="465"/>
      <c r="F5" s="239">
        <v>0.28000000000000003</v>
      </c>
      <c r="G5" s="312"/>
      <c r="I5" s="291"/>
      <c r="J5" s="300" t="s">
        <v>222</v>
      </c>
      <c r="K5" s="456" t="s">
        <v>224</v>
      </c>
      <c r="L5" s="457"/>
      <c r="M5" s="268">
        <f>DD_Procured</f>
        <v>2400</v>
      </c>
      <c r="N5" s="264">
        <f>Vax_DD</f>
        <v>0</v>
      </c>
      <c r="O5" s="269">
        <f>C15-N5</f>
        <v>2400</v>
      </c>
      <c r="P5" s="418"/>
      <c r="Q5" s="292"/>
      <c r="AF5" s="3"/>
      <c r="AG5" s="3"/>
      <c r="AH5" s="3"/>
    </row>
    <row r="6" spans="1:41" x14ac:dyDescent="0.25">
      <c r="B6" s="344" t="s">
        <v>265</v>
      </c>
      <c r="C6" s="466">
        <f>Pop_all*F6</f>
        <v>14400</v>
      </c>
      <c r="D6" s="467"/>
      <c r="E6" s="468"/>
      <c r="F6" s="240">
        <v>0.48</v>
      </c>
      <c r="G6" s="312"/>
      <c r="I6" s="291"/>
      <c r="J6" s="300" t="s">
        <v>206</v>
      </c>
      <c r="K6" s="456" t="s">
        <v>2</v>
      </c>
      <c r="L6" s="457"/>
      <c r="M6" s="268">
        <f>CVR_Procured</f>
        <v>1200</v>
      </c>
      <c r="N6" s="264">
        <f>Vax_CVR</f>
        <v>1200</v>
      </c>
      <c r="O6" s="269">
        <f>C16-N6</f>
        <v>0</v>
      </c>
      <c r="P6" s="418"/>
      <c r="Q6" s="292"/>
      <c r="V6" s="12"/>
      <c r="W6" s="13"/>
      <c r="X6" s="12"/>
      <c r="Y6" s="14"/>
      <c r="Z6" s="12"/>
      <c r="AA6" s="12"/>
      <c r="AB6" s="12"/>
      <c r="AC6" s="12"/>
      <c r="AD6" s="12"/>
      <c r="AE6" s="12"/>
      <c r="AF6" s="12"/>
      <c r="AG6" s="12"/>
      <c r="AH6" s="3"/>
    </row>
    <row r="7" spans="1:41" ht="15.75" thickBot="1" x14ac:dyDescent="0.3">
      <c r="B7" s="345" t="s">
        <v>266</v>
      </c>
      <c r="C7" s="469">
        <f>Pop_all*F7</f>
        <v>7200</v>
      </c>
      <c r="D7" s="470"/>
      <c r="E7" s="471"/>
      <c r="F7" s="241">
        <v>0.24</v>
      </c>
      <c r="G7" s="312"/>
      <c r="I7" s="291"/>
      <c r="J7" s="301" t="s">
        <v>207</v>
      </c>
      <c r="K7" s="458" t="s">
        <v>3</v>
      </c>
      <c r="L7" s="459"/>
      <c r="M7" s="270">
        <f>ORV_Procured</f>
        <v>3600</v>
      </c>
      <c r="N7" s="271">
        <f>Vax_ORV</f>
        <v>3600</v>
      </c>
      <c r="O7" s="272">
        <f>C17-N7</f>
        <v>0</v>
      </c>
      <c r="P7" s="419"/>
      <c r="Q7" s="420"/>
      <c r="V7" s="12"/>
      <c r="W7" s="13"/>
      <c r="X7" s="14"/>
      <c r="Y7" s="12"/>
      <c r="Z7" s="12"/>
      <c r="AA7" s="12"/>
      <c r="AB7" s="14"/>
      <c r="AC7" s="14"/>
      <c r="AD7" s="12"/>
      <c r="AE7" s="12"/>
      <c r="AF7" s="12"/>
      <c r="AG7" s="14"/>
      <c r="AH7" s="3"/>
    </row>
    <row r="8" spans="1:41" ht="15.75" thickBot="1" x14ac:dyDescent="0.3">
      <c r="B8" s="313"/>
      <c r="C8" s="514"/>
      <c r="D8" s="514"/>
      <c r="E8" s="514"/>
      <c r="F8" s="514"/>
      <c r="G8" s="314"/>
      <c r="I8" s="291"/>
      <c r="J8" s="256"/>
      <c r="K8" s="257"/>
      <c r="L8" s="257"/>
      <c r="M8" s="258"/>
      <c r="N8" s="516" t="s">
        <v>193</v>
      </c>
      <c r="O8" s="517"/>
      <c r="P8" s="421"/>
      <c r="Q8" s="292"/>
      <c r="V8" s="12"/>
      <c r="W8" s="13"/>
      <c r="X8" s="5"/>
      <c r="Y8" s="5"/>
      <c r="Z8" s="5"/>
      <c r="AA8" s="5"/>
      <c r="AB8" s="5"/>
      <c r="AC8" s="5"/>
      <c r="AD8" s="5"/>
      <c r="AE8" s="5"/>
      <c r="AF8" s="5"/>
      <c r="AG8" s="12"/>
      <c r="AH8" s="3"/>
      <c r="AI8" s="3"/>
    </row>
    <row r="9" spans="1:41" ht="15.75" thickBot="1" x14ac:dyDescent="0.3">
      <c r="B9" s="342" t="s">
        <v>251</v>
      </c>
      <c r="C9" s="451" t="s">
        <v>232</v>
      </c>
      <c r="D9" s="452"/>
      <c r="E9" s="452"/>
      <c r="F9" s="321" t="s">
        <v>231</v>
      </c>
      <c r="G9" s="314"/>
      <c r="I9" s="291"/>
      <c r="J9" s="309" t="s">
        <v>229</v>
      </c>
      <c r="K9" s="308" t="s">
        <v>190</v>
      </c>
      <c r="L9" s="424" t="s">
        <v>191</v>
      </c>
      <c r="M9" s="434" t="s">
        <v>195</v>
      </c>
      <c r="N9" s="308" t="s">
        <v>10</v>
      </c>
      <c r="O9" s="431" t="s">
        <v>192</v>
      </c>
      <c r="P9" s="273" t="s">
        <v>281</v>
      </c>
      <c r="Q9" s="292"/>
      <c r="V9" s="12"/>
      <c r="W9" s="13"/>
      <c r="X9" s="15"/>
      <c r="Y9" s="15"/>
      <c r="Z9" s="15"/>
      <c r="AA9" s="15"/>
      <c r="AB9" s="13"/>
      <c r="AC9" s="15"/>
      <c r="AD9" s="15"/>
      <c r="AE9" s="15"/>
      <c r="AF9" s="15"/>
      <c r="AG9" s="16"/>
      <c r="AH9" s="6"/>
      <c r="AI9" s="4"/>
    </row>
    <row r="10" spans="1:41" x14ac:dyDescent="0.25">
      <c r="B10" s="343" t="s">
        <v>267</v>
      </c>
      <c r="C10" s="506">
        <v>20400</v>
      </c>
      <c r="D10" s="507"/>
      <c r="E10" s="508"/>
      <c r="F10" s="502">
        <f>SUM(C14:E17)/(C10+C11)</f>
        <v>1</v>
      </c>
      <c r="G10" s="314"/>
      <c r="I10" s="291"/>
      <c r="J10" s="310" t="s">
        <v>225</v>
      </c>
      <c r="K10" s="279">
        <f>Vax_C</f>
        <v>6720</v>
      </c>
      <c r="L10" s="438">
        <f>C5-K10</f>
        <v>1680</v>
      </c>
      <c r="M10" s="435">
        <f>K10/Pop_C</f>
        <v>0.8</v>
      </c>
      <c r="N10" s="280">
        <f>Calculations!S47</f>
        <v>0.73925866474735458</v>
      </c>
      <c r="O10" s="422">
        <f>Calculations!T47</f>
        <v>0.8607413352526454</v>
      </c>
      <c r="P10" s="426">
        <f>Calculations!AA24/Pop_C</f>
        <v>0.8</v>
      </c>
      <c r="Q10" s="292"/>
      <c r="V10" s="12"/>
      <c r="W10" s="13"/>
      <c r="X10" s="15"/>
      <c r="Y10" s="15"/>
      <c r="Z10" s="15"/>
      <c r="AA10" s="15"/>
      <c r="AB10" s="13"/>
      <c r="AC10" s="15"/>
      <c r="AD10" s="15"/>
      <c r="AE10" s="15"/>
      <c r="AF10" s="15"/>
      <c r="AG10" s="17"/>
      <c r="AH10" s="4"/>
      <c r="AI10" s="4"/>
    </row>
    <row r="11" spans="1:41" ht="15.75" thickBot="1" x14ac:dyDescent="0.3">
      <c r="B11" s="346" t="s">
        <v>268</v>
      </c>
      <c r="C11" s="499">
        <v>3600</v>
      </c>
      <c r="D11" s="500"/>
      <c r="E11" s="501"/>
      <c r="F11" s="503"/>
      <c r="G11" s="314"/>
      <c r="I11" s="291"/>
      <c r="J11" s="310" t="s">
        <v>241</v>
      </c>
      <c r="K11" s="281">
        <f>Vax_SC</f>
        <v>9840</v>
      </c>
      <c r="L11" s="439">
        <f>C6-K11</f>
        <v>4560</v>
      </c>
      <c r="M11" s="436">
        <f>K11/Pop_SC</f>
        <v>0.68333333333333335</v>
      </c>
      <c r="N11" s="278">
        <f>Calculations!S48</f>
        <v>0.62259199808068788</v>
      </c>
      <c r="O11" s="423">
        <f>Calculations!T48</f>
        <v>0.7440746685859787</v>
      </c>
      <c r="P11" s="432">
        <f>Calculations!AA25/Pop_SC</f>
        <v>0.68333333333333335</v>
      </c>
      <c r="Q11" s="292"/>
      <c r="V11" s="12"/>
      <c r="W11" s="13"/>
      <c r="X11" s="15"/>
      <c r="Y11" s="15"/>
      <c r="Z11" s="15"/>
      <c r="AA11" s="15"/>
      <c r="AB11" s="13"/>
      <c r="AC11" s="15"/>
      <c r="AD11" s="15"/>
      <c r="AE11" s="15"/>
      <c r="AF11" s="15"/>
      <c r="AG11" s="17"/>
      <c r="AH11" s="4"/>
      <c r="AI11" s="4"/>
    </row>
    <row r="12" spans="1:41" ht="15.75" thickBot="1" x14ac:dyDescent="0.3">
      <c r="B12" s="313"/>
      <c r="C12" s="157"/>
      <c r="D12" s="157"/>
      <c r="E12" s="157"/>
      <c r="F12" s="157"/>
      <c r="G12" s="314"/>
      <c r="I12" s="291"/>
      <c r="J12" s="311" t="s">
        <v>242</v>
      </c>
      <c r="K12" s="282">
        <f>Vax_NC</f>
        <v>3960</v>
      </c>
      <c r="L12" s="440">
        <f>C7-K12</f>
        <v>3240</v>
      </c>
      <c r="M12" s="437">
        <f>K12/Pop_NC</f>
        <v>0.55000000000000004</v>
      </c>
      <c r="N12" s="283">
        <f>Calculations!S49</f>
        <v>0.48925866474735458</v>
      </c>
      <c r="O12" s="425">
        <f>Calculations!T49</f>
        <v>0.6107413352526454</v>
      </c>
      <c r="P12" s="427">
        <f>Calculations!AA26/Pop_NC</f>
        <v>0.55000000000000004</v>
      </c>
      <c r="Q12" s="292"/>
      <c r="V12" s="12"/>
      <c r="W12" s="13"/>
      <c r="X12" s="17"/>
      <c r="Y12" s="17"/>
      <c r="Z12" s="17"/>
      <c r="AA12" s="17"/>
      <c r="AB12" s="17"/>
      <c r="AC12" s="17"/>
      <c r="AD12" s="17"/>
      <c r="AE12" s="17"/>
      <c r="AF12" s="17"/>
      <c r="AG12" s="17"/>
      <c r="AH12" s="17"/>
      <c r="AI12" s="17"/>
      <c r="AJ12" s="11"/>
    </row>
    <row r="13" spans="1:41" ht="15.75" thickBot="1" x14ac:dyDescent="0.3">
      <c r="B13" s="347" t="s">
        <v>248</v>
      </c>
      <c r="C13" s="451" t="s">
        <v>232</v>
      </c>
      <c r="D13" s="452"/>
      <c r="E13" s="453"/>
      <c r="F13" s="321" t="s">
        <v>231</v>
      </c>
      <c r="G13" s="314"/>
      <c r="I13" s="291"/>
      <c r="J13" s="256"/>
      <c r="K13" s="257"/>
      <c r="L13" s="257"/>
      <c r="M13" s="258"/>
      <c r="N13" s="504" t="s">
        <v>193</v>
      </c>
      <c r="O13" s="505"/>
      <c r="P13" s="421"/>
      <c r="Q13" s="292"/>
      <c r="V13" s="12"/>
      <c r="W13" s="13"/>
      <c r="X13" s="17"/>
      <c r="Y13" s="17"/>
      <c r="Z13" s="17"/>
      <c r="AA13" s="17"/>
      <c r="AB13" s="17"/>
      <c r="AC13" s="17"/>
      <c r="AD13" s="17"/>
      <c r="AE13" s="17"/>
      <c r="AF13" s="17"/>
      <c r="AG13" s="17"/>
      <c r="AH13" s="17"/>
      <c r="AI13" s="17"/>
      <c r="AJ13" s="11"/>
    </row>
    <row r="14" spans="1:41" ht="15.75" thickBot="1" x14ac:dyDescent="0.3">
      <c r="B14" s="344" t="s">
        <v>269</v>
      </c>
      <c r="C14" s="509">
        <f>(C11+C10)*F14</f>
        <v>16800</v>
      </c>
      <c r="D14" s="510"/>
      <c r="E14" s="511"/>
      <c r="F14" s="239">
        <v>0.7</v>
      </c>
      <c r="G14" s="314"/>
      <c r="I14" s="291"/>
      <c r="J14" s="309" t="s">
        <v>228</v>
      </c>
      <c r="K14" s="274" t="s">
        <v>194</v>
      </c>
      <c r="L14" s="287" t="s">
        <v>281</v>
      </c>
      <c r="M14" s="276" t="s">
        <v>195</v>
      </c>
      <c r="N14" s="428" t="s">
        <v>10</v>
      </c>
      <c r="O14" s="433" t="s">
        <v>192</v>
      </c>
      <c r="P14" s="273" t="s">
        <v>281</v>
      </c>
      <c r="Q14" s="292"/>
      <c r="V14" s="12"/>
      <c r="W14" s="13"/>
      <c r="X14" s="15"/>
      <c r="Y14" s="15"/>
      <c r="Z14" s="15"/>
      <c r="AA14" s="15"/>
      <c r="AB14" s="15"/>
      <c r="AC14" s="15"/>
      <c r="AD14" s="15"/>
      <c r="AE14" s="15"/>
      <c r="AF14" s="15"/>
      <c r="AG14" s="15"/>
      <c r="AH14" s="15"/>
      <c r="AI14" s="15"/>
      <c r="AJ14" s="11"/>
    </row>
    <row r="15" spans="1:41" x14ac:dyDescent="0.25">
      <c r="B15" s="344" t="s">
        <v>270</v>
      </c>
      <c r="C15" s="496">
        <f>(C11+C10)*F15</f>
        <v>2400</v>
      </c>
      <c r="D15" s="497"/>
      <c r="E15" s="498"/>
      <c r="F15" s="240">
        <v>0.1</v>
      </c>
      <c r="G15" s="314"/>
      <c r="I15" s="291"/>
      <c r="J15" s="310" t="s">
        <v>226</v>
      </c>
      <c r="K15" s="279">
        <f>Pop_all</f>
        <v>30000</v>
      </c>
      <c r="L15" s="438">
        <f>SUM(K10:K12)</f>
        <v>20520</v>
      </c>
      <c r="M15" s="435">
        <f>L15/K15</f>
        <v>0.68400000000000005</v>
      </c>
      <c r="N15" s="280">
        <f>Calculations!S50</f>
        <v>0.62325866474735458</v>
      </c>
      <c r="O15" s="422">
        <f>Calculations!T50</f>
        <v>0.74474133525264541</v>
      </c>
      <c r="P15" s="426">
        <f>SUM(Calculations!AA24:AA26)/Pop_all</f>
        <v>0.68400000000000005</v>
      </c>
      <c r="Q15" s="292"/>
      <c r="V15" s="12"/>
      <c r="W15" s="13"/>
      <c r="X15" s="15"/>
      <c r="Y15" s="15"/>
      <c r="Z15" s="15"/>
      <c r="AA15" s="105"/>
      <c r="AB15" s="15"/>
      <c r="AC15" s="15"/>
      <c r="AD15" s="15"/>
      <c r="AE15" s="15"/>
      <c r="AF15" s="15"/>
      <c r="AG15" s="15"/>
      <c r="AH15" s="15"/>
      <c r="AI15" s="15"/>
      <c r="AJ15" s="11"/>
    </row>
    <row r="16" spans="1:41" ht="15.75" thickBot="1" x14ac:dyDescent="0.3">
      <c r="B16" s="344" t="s">
        <v>271</v>
      </c>
      <c r="C16" s="496">
        <f>(C10+C11)*F16</f>
        <v>1200</v>
      </c>
      <c r="D16" s="497"/>
      <c r="E16" s="498"/>
      <c r="F16" s="240">
        <v>0.05</v>
      </c>
      <c r="G16" s="315"/>
      <c r="I16" s="291"/>
      <c r="J16" s="311" t="s">
        <v>227</v>
      </c>
      <c r="K16" s="282">
        <f>Pop_SC+Pop_NC</f>
        <v>21600</v>
      </c>
      <c r="L16" s="440">
        <f>SUM(K11:K12)</f>
        <v>13800</v>
      </c>
      <c r="M16" s="437">
        <f>L16/K16</f>
        <v>0.63888888888888884</v>
      </c>
      <c r="N16" s="283">
        <f>Calculations!S51</f>
        <v>0.57814755363624348</v>
      </c>
      <c r="O16" s="425">
        <f>Calculations!T51</f>
        <v>0.69963022414153431</v>
      </c>
      <c r="P16" s="427">
        <f>SUM(Calculations!AA25:AA26)/SUM('VACCINATION CALCULATOR'!C6:E7)</f>
        <v>0.63888888888888884</v>
      </c>
      <c r="Q16" s="292"/>
      <c r="V16" s="12"/>
      <c r="W16" s="13"/>
      <c r="X16" s="15"/>
      <c r="Y16" s="15"/>
      <c r="Z16" s="15"/>
      <c r="AA16" s="105"/>
      <c r="AB16" s="15"/>
      <c r="AC16" s="15"/>
      <c r="AD16" s="15"/>
      <c r="AE16" s="15"/>
      <c r="AF16" s="15"/>
      <c r="AG16" s="15"/>
      <c r="AH16" s="15"/>
      <c r="AI16" s="15"/>
      <c r="AJ16" s="11"/>
      <c r="AO16" s="7"/>
    </row>
    <row r="17" spans="1:41" ht="14.65" customHeight="1" thickBot="1" x14ac:dyDescent="0.3">
      <c r="B17" s="345" t="s">
        <v>272</v>
      </c>
      <c r="C17" s="448">
        <f>C11</f>
        <v>3600</v>
      </c>
      <c r="D17" s="449"/>
      <c r="E17" s="450"/>
      <c r="F17" s="237">
        <f>ORV_Procured/(C10+C11)</f>
        <v>0.15</v>
      </c>
      <c r="G17" s="316"/>
      <c r="I17" s="291"/>
      <c r="J17" s="256"/>
      <c r="K17" s="257"/>
      <c r="L17" s="257"/>
      <c r="M17" s="258"/>
      <c r="N17" s="456"/>
      <c r="O17" s="456"/>
      <c r="P17" s="324"/>
      <c r="Q17" s="292"/>
      <c r="V17" s="12"/>
      <c r="W17" s="13"/>
      <c r="X17" s="15"/>
      <c r="Y17" s="15"/>
      <c r="Z17" s="15"/>
      <c r="AA17" s="105"/>
      <c r="AB17" s="15"/>
      <c r="AC17" s="15"/>
      <c r="AD17" s="15"/>
      <c r="AE17" s="15"/>
      <c r="AF17" s="15"/>
      <c r="AG17" s="15"/>
      <c r="AH17" s="15"/>
      <c r="AI17" s="15"/>
      <c r="AJ17" s="11"/>
      <c r="AO17" s="7"/>
    </row>
    <row r="18" spans="1:41" ht="15.6" customHeight="1" thickBot="1" x14ac:dyDescent="0.3">
      <c r="B18" s="313"/>
      <c r="C18" s="157"/>
      <c r="D18" s="157"/>
      <c r="E18" s="157"/>
      <c r="F18" s="157"/>
      <c r="G18" s="312"/>
      <c r="I18" s="291"/>
      <c r="J18" s="302"/>
      <c r="K18" s="274" t="s">
        <v>185</v>
      </c>
      <c r="L18" s="273" t="s">
        <v>187</v>
      </c>
      <c r="M18" s="275" t="s">
        <v>188</v>
      </c>
      <c r="N18" s="273" t="s">
        <v>10</v>
      </c>
      <c r="O18" s="277" t="s">
        <v>192</v>
      </c>
      <c r="P18" s="429"/>
      <c r="Q18" s="292"/>
      <c r="V18" s="12"/>
      <c r="W18" s="11"/>
      <c r="X18" s="12"/>
      <c r="Y18" s="12"/>
      <c r="Z18" s="12"/>
      <c r="AA18" s="106"/>
      <c r="AB18" s="12"/>
      <c r="AC18" s="12"/>
      <c r="AD18" s="12"/>
      <c r="AE18" s="12"/>
      <c r="AF18" s="12"/>
      <c r="AG18" s="12"/>
      <c r="AH18" s="12"/>
      <c r="AI18" s="12"/>
      <c r="AJ18" s="11"/>
      <c r="AO18" s="7"/>
    </row>
    <row r="19" spans="1:41" ht="15.75" thickBot="1" x14ac:dyDescent="0.3">
      <c r="B19" s="348" t="s">
        <v>250</v>
      </c>
      <c r="C19" s="451" t="s">
        <v>247</v>
      </c>
      <c r="D19" s="452"/>
      <c r="E19" s="452"/>
      <c r="F19" s="453"/>
      <c r="G19" s="312"/>
      <c r="I19" s="291"/>
      <c r="J19" s="304" t="s">
        <v>196</v>
      </c>
      <c r="K19" s="284">
        <f>SUM(C10:E11)</f>
        <v>24000</v>
      </c>
      <c r="L19" s="285">
        <f>SUM(N4:N7)/K19</f>
        <v>0.85499999999999998</v>
      </c>
      <c r="M19" s="285">
        <f>SUM(O4:O7)/K19</f>
        <v>0.14499999999999999</v>
      </c>
      <c r="N19" s="285">
        <f>MAX(0,1-((O15*C4)/(C10+C11)))</f>
        <v>6.9073330934193211E-2</v>
      </c>
      <c r="O19" s="286">
        <f>1-((N15*C4)/(C10+C11))</f>
        <v>0.22092666906580671</v>
      </c>
      <c r="P19" s="430"/>
      <c r="Q19" s="292"/>
      <c r="W19"/>
      <c r="AF19" s="3"/>
      <c r="AG19" s="3"/>
      <c r="AH19" s="3"/>
      <c r="AI19" s="3"/>
      <c r="AO19" s="7"/>
    </row>
    <row r="20" spans="1:41" ht="15.75" thickBot="1" x14ac:dyDescent="0.3">
      <c r="B20" s="349" t="s">
        <v>273</v>
      </c>
      <c r="C20" s="484">
        <v>1</v>
      </c>
      <c r="D20" s="485"/>
      <c r="E20" s="485"/>
      <c r="F20" s="486"/>
      <c r="G20" s="316"/>
      <c r="I20" s="291"/>
      <c r="J20" s="260"/>
      <c r="K20" s="260"/>
      <c r="L20" s="260"/>
      <c r="M20" s="260"/>
      <c r="N20" s="260"/>
      <c r="O20" s="260"/>
      <c r="P20" s="260"/>
      <c r="Q20" s="292"/>
      <c r="W20"/>
      <c r="AA20" s="105"/>
      <c r="AF20" s="3"/>
      <c r="AG20" s="3"/>
      <c r="AH20" s="3"/>
      <c r="AI20" s="3"/>
    </row>
    <row r="21" spans="1:41" ht="15.75" thickBot="1" x14ac:dyDescent="0.3">
      <c r="B21" s="350" t="s">
        <v>274</v>
      </c>
      <c r="C21" s="481">
        <v>1</v>
      </c>
      <c r="D21" s="482"/>
      <c r="E21" s="482"/>
      <c r="F21" s="483"/>
      <c r="G21" s="317"/>
      <c r="I21" s="291"/>
      <c r="J21" s="305" t="s">
        <v>199</v>
      </c>
      <c r="K21" s="287" t="s">
        <v>200</v>
      </c>
      <c r="L21" s="260"/>
      <c r="M21" s="220"/>
      <c r="N21" s="220"/>
      <c r="O21" s="220"/>
      <c r="P21" s="220"/>
      <c r="Q21" s="292"/>
      <c r="W21"/>
      <c r="AA21" s="105"/>
      <c r="AF21" s="3"/>
      <c r="AG21" s="3"/>
      <c r="AH21" s="3"/>
      <c r="AI21" s="3"/>
    </row>
    <row r="22" spans="1:41" ht="15" customHeight="1" thickBot="1" x14ac:dyDescent="0.3">
      <c r="B22" s="313"/>
      <c r="C22" s="157"/>
      <c r="D22" s="157"/>
      <c r="E22" s="157"/>
      <c r="F22" s="157"/>
      <c r="G22" s="317"/>
      <c r="I22" s="291"/>
      <c r="J22" s="300" t="s">
        <v>197</v>
      </c>
      <c r="K22" s="288">
        <f>'VACCINATION COSTS'!J78</f>
        <v>3.0237301587301588</v>
      </c>
      <c r="L22" s="260"/>
      <c r="M22" s="220"/>
      <c r="N22" s="220"/>
      <c r="O22" s="216"/>
      <c r="P22" s="216"/>
      <c r="Q22" s="292"/>
      <c r="W22"/>
      <c r="AF22" s="3"/>
      <c r="AG22" s="3"/>
      <c r="AH22" s="3"/>
      <c r="AI22" s="3"/>
    </row>
    <row r="23" spans="1:41" ht="14.65" customHeight="1" thickBot="1" x14ac:dyDescent="0.3">
      <c r="B23" s="351" t="s">
        <v>253</v>
      </c>
      <c r="C23" s="451" t="s">
        <v>150</v>
      </c>
      <c r="D23" s="452"/>
      <c r="E23" s="452"/>
      <c r="F23" s="453"/>
      <c r="G23" s="317"/>
      <c r="I23" s="291"/>
      <c r="J23" s="300" t="s">
        <v>103</v>
      </c>
      <c r="K23" s="289">
        <f>'VACCINATION COSTS'!J77</f>
        <v>62046.942857142858</v>
      </c>
      <c r="L23" s="260"/>
      <c r="M23" s="220"/>
      <c r="N23" s="220"/>
      <c r="O23" s="216"/>
      <c r="P23" s="216"/>
      <c r="Q23" s="292"/>
      <c r="W23"/>
      <c r="AF23" s="3"/>
      <c r="AG23" s="3"/>
      <c r="AH23" s="3"/>
      <c r="AI23" s="3"/>
    </row>
    <row r="24" spans="1:41" ht="15.6" customHeight="1" thickBot="1" x14ac:dyDescent="0.3">
      <c r="B24" s="352" t="s">
        <v>254</v>
      </c>
      <c r="C24" s="234" t="s">
        <v>223</v>
      </c>
      <c r="D24" s="235" t="s">
        <v>224</v>
      </c>
      <c r="E24" s="235" t="s">
        <v>2</v>
      </c>
      <c r="F24" s="236" t="s">
        <v>3</v>
      </c>
      <c r="G24" s="318"/>
      <c r="I24" s="291"/>
      <c r="J24" s="306" t="s">
        <v>178</v>
      </c>
      <c r="K24" s="289">
        <f>'VACCINATION COSTS'!K11</f>
        <v>41736.376190476192</v>
      </c>
      <c r="L24" s="261"/>
      <c r="M24" s="216"/>
      <c r="N24" s="216"/>
      <c r="O24" s="216"/>
      <c r="P24" s="216"/>
      <c r="Q24" s="292"/>
      <c r="W24"/>
      <c r="AF24" s="3"/>
      <c r="AG24" s="3"/>
      <c r="AH24" s="3"/>
      <c r="AI24" s="3"/>
    </row>
    <row r="25" spans="1:41" ht="15.6" customHeight="1" thickBot="1" x14ac:dyDescent="0.3">
      <c r="B25" s="353" t="s">
        <v>255</v>
      </c>
      <c r="C25" s="242">
        <v>0.8</v>
      </c>
      <c r="D25" s="243">
        <v>0.8</v>
      </c>
      <c r="E25" s="243">
        <v>0.05</v>
      </c>
      <c r="F25" s="244">
        <v>0.05</v>
      </c>
      <c r="G25" s="318"/>
      <c r="I25" s="291"/>
      <c r="J25" s="307" t="s">
        <v>39</v>
      </c>
      <c r="K25" s="290">
        <f>'VACCINATION COSTS'!K12</f>
        <v>81459.757142857139</v>
      </c>
      <c r="L25" s="261"/>
      <c r="M25" s="216"/>
      <c r="N25" s="216"/>
      <c r="O25" s="216"/>
      <c r="P25" s="216"/>
      <c r="Q25" s="292"/>
      <c r="W25"/>
      <c r="AF25" s="3"/>
      <c r="AG25" s="3"/>
      <c r="AH25" s="3"/>
      <c r="AI25" s="3"/>
    </row>
    <row r="26" spans="1:41" ht="15.6" customHeight="1" x14ac:dyDescent="0.25">
      <c r="B26" s="353" t="s">
        <v>256</v>
      </c>
      <c r="C26" s="245">
        <v>0.6</v>
      </c>
      <c r="D26" s="246">
        <v>0.6</v>
      </c>
      <c r="E26" s="246">
        <v>0.8</v>
      </c>
      <c r="F26" s="247">
        <v>0.8</v>
      </c>
      <c r="G26" s="312"/>
      <c r="I26" s="291"/>
      <c r="J26" s="259"/>
      <c r="K26" s="261"/>
      <c r="L26" s="261"/>
      <c r="M26" s="261"/>
      <c r="N26" s="261"/>
      <c r="O26" s="261"/>
      <c r="P26" s="261"/>
      <c r="Q26" s="292"/>
      <c r="W26"/>
      <c r="AF26" s="3"/>
      <c r="AG26" s="3"/>
      <c r="AH26" s="3"/>
      <c r="AI26" s="3"/>
    </row>
    <row r="27" spans="1:41" ht="15.6" customHeight="1" thickBot="1" x14ac:dyDescent="0.3">
      <c r="B27" s="354" t="s">
        <v>257</v>
      </c>
      <c r="C27" s="248">
        <v>0.05</v>
      </c>
      <c r="D27" s="249">
        <v>0.05</v>
      </c>
      <c r="E27" s="249">
        <v>0.6</v>
      </c>
      <c r="F27" s="250">
        <v>0.8</v>
      </c>
      <c r="G27" s="312"/>
      <c r="I27" s="291"/>
      <c r="J27" s="259"/>
      <c r="K27" s="260"/>
      <c r="L27" s="260"/>
      <c r="M27" s="260"/>
      <c r="N27" s="260"/>
      <c r="O27" s="260"/>
      <c r="P27" s="260"/>
      <c r="Q27" s="292"/>
      <c r="W27"/>
      <c r="AF27" s="3"/>
      <c r="AG27" s="3"/>
      <c r="AH27" s="3"/>
      <c r="AI27" s="3"/>
    </row>
    <row r="28" spans="1:41" ht="14.65" customHeight="1" thickBot="1" x14ac:dyDescent="0.3">
      <c r="B28" s="313"/>
      <c r="C28" s="157"/>
      <c r="D28" s="157"/>
      <c r="E28" s="157"/>
      <c r="F28" s="157"/>
      <c r="G28" s="319"/>
      <c r="I28" s="291"/>
      <c r="J28" s="259"/>
      <c r="K28" s="260"/>
      <c r="L28" s="260"/>
      <c r="M28" s="260"/>
      <c r="N28" s="260"/>
      <c r="O28" s="260"/>
      <c r="P28" s="260"/>
      <c r="Q28" s="292"/>
      <c r="W28"/>
      <c r="AF28" s="3"/>
      <c r="AG28" s="3"/>
      <c r="AH28" s="3"/>
      <c r="AI28" s="3"/>
    </row>
    <row r="29" spans="1:41" ht="14.65" customHeight="1" x14ac:dyDescent="0.25">
      <c r="B29" s="454" t="s">
        <v>249</v>
      </c>
      <c r="C29" s="475">
        <v>5</v>
      </c>
      <c r="D29" s="476"/>
      <c r="E29" s="476"/>
      <c r="F29" s="477"/>
      <c r="G29" s="319"/>
      <c r="I29" s="291"/>
      <c r="J29" s="259"/>
      <c r="K29" s="260"/>
      <c r="L29" s="260"/>
      <c r="M29" s="260"/>
      <c r="N29" s="260"/>
      <c r="O29" s="262"/>
      <c r="P29" s="262"/>
      <c r="Q29" s="292"/>
      <c r="W29"/>
      <c r="AF29" s="3"/>
      <c r="AG29" s="3"/>
      <c r="AH29" s="3"/>
      <c r="AI29" s="3"/>
    </row>
    <row r="30" spans="1:41" s="103" customFormat="1" ht="14.65" customHeight="1" thickBot="1" x14ac:dyDescent="0.3">
      <c r="B30" s="455"/>
      <c r="C30" s="478"/>
      <c r="D30" s="479"/>
      <c r="E30" s="479"/>
      <c r="F30" s="480"/>
      <c r="G30" s="326"/>
      <c r="H30" s="11"/>
      <c r="I30" s="291"/>
      <c r="J30" s="259"/>
      <c r="K30" s="260"/>
      <c r="L30" s="260"/>
      <c r="M30" s="260"/>
      <c r="N30" s="260"/>
      <c r="O30" s="262"/>
      <c r="P30" s="262"/>
      <c r="Q30" s="292"/>
      <c r="T30" s="104"/>
      <c r="U30" s="104"/>
      <c r="V30" s="104"/>
      <c r="X30" s="104"/>
      <c r="Y30" s="104"/>
      <c r="Z30" s="104"/>
      <c r="AA30" s="104"/>
      <c r="AB30" s="104"/>
      <c r="AC30" s="104"/>
      <c r="AD30" s="104"/>
      <c r="AE30" s="104"/>
      <c r="AF30" s="104"/>
      <c r="AG30" s="104"/>
      <c r="AH30" s="104"/>
      <c r="AI30" s="104"/>
    </row>
    <row r="31" spans="1:41" ht="19.5" customHeight="1" thickBot="1" x14ac:dyDescent="0.3">
      <c r="B31" s="487" t="s">
        <v>280</v>
      </c>
      <c r="C31" s="488"/>
      <c r="D31" s="488"/>
      <c r="E31" s="488"/>
      <c r="F31" s="488"/>
      <c r="G31" s="489"/>
      <c r="I31" s="291"/>
      <c r="J31" s="259"/>
      <c r="K31" s="260"/>
      <c r="L31" s="260"/>
      <c r="M31" s="260"/>
      <c r="N31" s="260"/>
      <c r="O31" s="262"/>
      <c r="P31" s="262"/>
      <c r="Q31" s="293"/>
      <c r="W31"/>
      <c r="AF31" s="3"/>
      <c r="AG31" s="3"/>
      <c r="AH31" s="3"/>
      <c r="AI31" s="3"/>
    </row>
    <row r="32" spans="1:41" s="221" customFormat="1" x14ac:dyDescent="0.25">
      <c r="A32" s="138"/>
      <c r="B32" s="342" t="s">
        <v>258</v>
      </c>
      <c r="C32" s="490">
        <v>0.1</v>
      </c>
      <c r="D32" s="491"/>
      <c r="E32" s="491"/>
      <c r="F32" s="492"/>
      <c r="G32" s="330"/>
      <c r="H32" s="219"/>
      <c r="I32" s="294"/>
      <c r="J32" s="256"/>
      <c r="K32" s="260"/>
      <c r="L32" s="260"/>
      <c r="M32" s="260"/>
      <c r="N32" s="260"/>
      <c r="O32" s="263"/>
      <c r="P32" s="263"/>
      <c r="Q32" s="295"/>
      <c r="R32" s="138"/>
    </row>
    <row r="33" spans="1:31" s="221" customFormat="1" ht="15.75" thickBot="1" x14ac:dyDescent="0.3">
      <c r="A33" s="138"/>
      <c r="B33" s="355" t="s">
        <v>175</v>
      </c>
      <c r="C33" s="472" t="str">
        <f>Calculations!U11</f>
        <v>Phase I</v>
      </c>
      <c r="D33" s="473"/>
      <c r="E33" s="473"/>
      <c r="F33" s="474"/>
      <c r="G33" s="320"/>
      <c r="H33" s="219"/>
      <c r="I33" s="294"/>
      <c r="J33" s="261"/>
      <c r="K33" s="258"/>
      <c r="L33" s="258"/>
      <c r="M33" s="258"/>
      <c r="N33" s="256"/>
      <c r="O33" s="256"/>
      <c r="P33" s="256"/>
      <c r="Q33" s="295"/>
      <c r="R33" s="138"/>
    </row>
    <row r="34" spans="1:31" s="221" customFormat="1" ht="16.149999999999999" customHeight="1" thickBot="1" x14ac:dyDescent="0.3">
      <c r="A34" s="138"/>
      <c r="B34" s="356" t="s">
        <v>184</v>
      </c>
      <c r="C34" s="234" t="s">
        <v>0</v>
      </c>
      <c r="D34" s="235" t="s">
        <v>1</v>
      </c>
      <c r="E34" s="235" t="s">
        <v>2</v>
      </c>
      <c r="F34" s="236" t="s">
        <v>3</v>
      </c>
      <c r="G34" s="320"/>
      <c r="H34" s="219"/>
      <c r="I34" s="294"/>
      <c r="J34" s="261"/>
      <c r="K34" s="258"/>
      <c r="L34" s="258"/>
      <c r="M34" s="258"/>
      <c r="N34" s="256"/>
      <c r="O34" s="256"/>
      <c r="P34" s="256"/>
      <c r="Q34" s="295"/>
      <c r="R34" s="138"/>
    </row>
    <row r="35" spans="1:31" s="138" customFormat="1" ht="16.149999999999999" customHeight="1" x14ac:dyDescent="0.25">
      <c r="B35" s="353" t="s">
        <v>259</v>
      </c>
      <c r="C35" s="403">
        <f>IF(Calculations!$U$12=1,0.2,IF(Calculations!$U$12=2,0.4,IF(Calculations!$U$12=3,0.8, IF(Calculations!$U$12=4,0.95,0))))</f>
        <v>0.2</v>
      </c>
      <c r="D35" s="404">
        <f>IF(Calculations!$U$12=1,0.2,IF(Calculations!$U$12=2,0.4,IF(Calculations!$U$12=3,0.8, IF(Calculations!$U$12=4,0.95,0))))</f>
        <v>0.2</v>
      </c>
      <c r="E35" s="404">
        <f>IF(Calculations!$U$12=1,0.05,IF(Calculations!$U$12=2,0.05,IF(Calculations!$U$12=3,0.05, IF(Calculations!$U$12=4,0.05,0))))</f>
        <v>0.05</v>
      </c>
      <c r="F35" s="405">
        <f>IF(Calculations!$U$12=1,0.05,IF(Calculations!$U$12=2,0.05,IF(Calculations!$U$12=3,0.05, IF(Calculations!$U$12=4,0.05,0))))</f>
        <v>0.05</v>
      </c>
      <c r="G35" s="316"/>
      <c r="H35" s="142"/>
      <c r="I35" s="296"/>
      <c r="J35" s="256"/>
      <c r="K35" s="256"/>
      <c r="L35" s="258"/>
      <c r="M35" s="258"/>
      <c r="N35" s="256"/>
      <c r="O35" s="256"/>
      <c r="P35" s="256"/>
      <c r="Q35" s="295"/>
    </row>
    <row r="36" spans="1:31" s="221" customFormat="1" ht="16.149999999999999" customHeight="1" x14ac:dyDescent="0.25">
      <c r="A36" s="138"/>
      <c r="B36" s="353" t="s">
        <v>260</v>
      </c>
      <c r="C36" s="406">
        <f>IF(Calculations!$U$12=1,0.2,IF(Calculations!$U$12=2,0.2,IF(Calculations!$U$12=3,0.6, IF(Calculations!$U$12=4,0.8,0))))</f>
        <v>0.2</v>
      </c>
      <c r="D36" s="407">
        <f>IF(Calculations!$U$12=1,0.2,IF(Calculations!$U$12=2,0.2,IF(Calculations!$U$12=3,0.6, IF(Calculations!$U$12=4,0.8,0))))</f>
        <v>0.2</v>
      </c>
      <c r="E36" s="407">
        <f>IF(Calculations!$U$12=1,0.2,IF(Calculations!$U$12=2,0.4,IF(Calculations!$U$12=3,0.8, IF(Calculations!$U$12=4,0.95,0))))</f>
        <v>0.2</v>
      </c>
      <c r="F36" s="408">
        <f>IF(Calculations!$U$12=1,0.2,IF(Calculations!$U$12=2,0.4,IF(Calculations!$U$12=3,0.8, IF(Calculations!$U$12=4,0.95,0))))</f>
        <v>0.2</v>
      </c>
      <c r="G36" s="316"/>
      <c r="H36" s="142"/>
      <c r="I36" s="296"/>
      <c r="J36" s="256"/>
      <c r="K36" s="256"/>
      <c r="L36" s="258"/>
      <c r="M36" s="258"/>
      <c r="N36" s="256"/>
      <c r="O36" s="256"/>
      <c r="P36" s="256"/>
      <c r="Q36" s="295"/>
      <c r="R36" s="138"/>
    </row>
    <row r="37" spans="1:31" s="138" customFormat="1" ht="15.75" thickBot="1" x14ac:dyDescent="0.3">
      <c r="B37" s="354" t="s">
        <v>261</v>
      </c>
      <c r="C37" s="409">
        <f>IF(Calculations!$U$12=1,0.05,IF(Calculations!$U$12=2,0.05,IF(Calculations!$U$12=3,0.05, IF(Calculations!$U$12=4,0.05,0))))</f>
        <v>0.05</v>
      </c>
      <c r="D37" s="410">
        <f>IF(Calculations!$U$12=1,0.05,IF(Calculations!$U$12=2,0.05,IF(Calculations!$U$12=3,0.05, IF(Calculations!$U$12=4,0.05,0))))</f>
        <v>0.05</v>
      </c>
      <c r="E37" s="410">
        <f>IF(Calculations!$U$12=1,0.2,IF(Calculations!$U$12=2,0.2,IF(Calculations!$U$12=3,0.6, IF(Calculations!$U$12=4,0.8,0))))</f>
        <v>0.2</v>
      </c>
      <c r="F37" s="411">
        <f>IF(Calculations!$U$12=1,0.2,IF(Calculations!$U$12=2,0.4,IF(Calculations!$U$12=3,0.8, IF(Calculations!$U$12=4,0.95,0))))</f>
        <v>0.2</v>
      </c>
      <c r="G37" s="316"/>
      <c r="H37" s="219"/>
      <c r="I37" s="294"/>
      <c r="J37" s="256"/>
      <c r="K37" s="256"/>
      <c r="L37" s="256"/>
      <c r="M37" s="256"/>
      <c r="N37" s="256"/>
      <c r="O37" s="256"/>
      <c r="P37" s="256"/>
      <c r="Q37" s="295"/>
    </row>
    <row r="38" spans="1:31" s="138" customFormat="1" x14ac:dyDescent="0.25">
      <c r="B38" s="357" t="s">
        <v>204</v>
      </c>
      <c r="C38" s="218"/>
      <c r="D38" s="218"/>
      <c r="E38" s="218"/>
      <c r="F38" s="218"/>
      <c r="G38" s="316"/>
      <c r="H38" s="219"/>
      <c r="I38" s="294"/>
      <c r="J38" s="256"/>
      <c r="K38" s="256"/>
      <c r="L38" s="256"/>
      <c r="M38" s="256"/>
      <c r="N38" s="256"/>
      <c r="O38" s="256"/>
      <c r="P38" s="256"/>
      <c r="Q38" s="295"/>
    </row>
    <row r="39" spans="1:31" s="138" customFormat="1" ht="15.75" thickBot="1" x14ac:dyDescent="0.3">
      <c r="B39" s="358" t="s">
        <v>262</v>
      </c>
      <c r="C39" s="218"/>
      <c r="D39" s="218"/>
      <c r="E39" s="218"/>
      <c r="F39" s="218"/>
      <c r="G39" s="316"/>
      <c r="H39" s="219"/>
      <c r="I39" s="294"/>
      <c r="J39" s="256"/>
      <c r="K39" s="256"/>
      <c r="L39" s="256"/>
      <c r="M39" s="256"/>
      <c r="N39" s="256"/>
      <c r="O39" s="256"/>
      <c r="P39" s="256"/>
      <c r="Q39" s="295"/>
    </row>
    <row r="40" spans="1:31" s="103" customFormat="1" x14ac:dyDescent="0.25">
      <c r="B40" s="332" t="s">
        <v>284</v>
      </c>
      <c r="C40" s="333"/>
      <c r="D40" s="333"/>
      <c r="E40" s="333"/>
      <c r="F40" s="333"/>
      <c r="G40" s="333"/>
      <c r="H40" s="333"/>
      <c r="I40" s="333"/>
      <c r="J40" s="334"/>
      <c r="K40" s="334"/>
      <c r="L40" s="334"/>
      <c r="M40" s="335"/>
      <c r="N40" s="333"/>
      <c r="O40" s="333"/>
      <c r="P40" s="333"/>
      <c r="Q40" s="336"/>
      <c r="T40" s="104"/>
      <c r="U40" s="104"/>
      <c r="V40" s="104"/>
      <c r="W40" s="104"/>
      <c r="X40" s="104"/>
      <c r="Y40" s="104"/>
      <c r="Z40" s="104"/>
      <c r="AA40" s="104"/>
      <c r="AB40" s="104"/>
    </row>
    <row r="41" spans="1:31" s="103" customFormat="1" x14ac:dyDescent="0.25">
      <c r="B41" s="337" t="s">
        <v>176</v>
      </c>
      <c r="C41" s="11"/>
      <c r="D41" s="11"/>
      <c r="E41" s="11"/>
      <c r="F41" s="11"/>
      <c r="G41" s="11"/>
      <c r="H41" s="11"/>
      <c r="I41" s="11"/>
      <c r="J41" s="11"/>
      <c r="K41" s="13"/>
      <c r="L41" s="13"/>
      <c r="M41" s="13"/>
      <c r="N41" s="11"/>
      <c r="O41" s="11"/>
      <c r="P41" s="11"/>
      <c r="Q41" s="338"/>
      <c r="T41" s="104"/>
      <c r="U41" s="104"/>
      <c r="V41" s="104"/>
      <c r="W41" s="104"/>
      <c r="X41" s="104"/>
      <c r="Y41" s="104"/>
      <c r="Z41" s="104"/>
      <c r="AA41" s="104"/>
      <c r="AB41" s="104"/>
    </row>
    <row r="42" spans="1:31" ht="15.75" thickBot="1" x14ac:dyDescent="0.3">
      <c r="B42" s="339" t="s">
        <v>205</v>
      </c>
      <c r="C42" s="340"/>
      <c r="D42" s="340"/>
      <c r="E42" s="340"/>
      <c r="F42" s="340"/>
      <c r="G42" s="340"/>
      <c r="H42" s="340"/>
      <c r="I42" s="340"/>
      <c r="J42" s="340"/>
      <c r="K42" s="341"/>
      <c r="L42" s="341"/>
      <c r="M42" s="341"/>
      <c r="N42" s="340"/>
      <c r="O42" s="340"/>
      <c r="P42" s="340"/>
      <c r="Q42" s="329"/>
      <c r="S42" s="103"/>
      <c r="AC42"/>
      <c r="AD42"/>
      <c r="AE42"/>
    </row>
    <row r="43" spans="1:31" x14ac:dyDescent="0.25">
      <c r="C43" s="103"/>
      <c r="D43" s="103"/>
      <c r="E43" s="103"/>
      <c r="F43" s="103"/>
      <c r="G43" s="11"/>
      <c r="J43" s="103"/>
      <c r="K43" s="331"/>
      <c r="L43" s="331"/>
      <c r="M43" s="331"/>
      <c r="N43" s="103"/>
      <c r="O43" s="103"/>
      <c r="P43" s="103"/>
      <c r="Q43" s="103"/>
      <c r="S43" s="103"/>
      <c r="AC43"/>
      <c r="AD43"/>
      <c r="AE43"/>
    </row>
    <row r="44" spans="1:31" x14ac:dyDescent="0.25">
      <c r="F44" s="103"/>
      <c r="G44" s="103"/>
      <c r="J44" s="103"/>
      <c r="K44" s="331"/>
      <c r="L44" s="331"/>
      <c r="M44" s="331"/>
      <c r="N44" s="103"/>
      <c r="O44" s="103"/>
      <c r="P44" s="103"/>
      <c r="Q44" s="103"/>
      <c r="S44" s="103"/>
      <c r="AC44"/>
      <c r="AD44"/>
      <c r="AE44"/>
    </row>
  </sheetData>
  <sheetProtection selectLockedCells="1"/>
  <mergeCells count="35">
    <mergeCell ref="B1:Q1"/>
    <mergeCell ref="C16:E16"/>
    <mergeCell ref="C11:E11"/>
    <mergeCell ref="F10:F11"/>
    <mergeCell ref="N17:O17"/>
    <mergeCell ref="N13:O13"/>
    <mergeCell ref="C15:E15"/>
    <mergeCell ref="C10:E10"/>
    <mergeCell ref="C14:E14"/>
    <mergeCell ref="C13:E13"/>
    <mergeCell ref="C2:F2"/>
    <mergeCell ref="C8:F8"/>
    <mergeCell ref="K2:O2"/>
    <mergeCell ref="N8:O8"/>
    <mergeCell ref="C3:E3"/>
    <mergeCell ref="C9:E9"/>
    <mergeCell ref="C33:F33"/>
    <mergeCell ref="C29:F30"/>
    <mergeCell ref="C19:F19"/>
    <mergeCell ref="C21:F21"/>
    <mergeCell ref="C20:F20"/>
    <mergeCell ref="B31:G31"/>
    <mergeCell ref="C32:F32"/>
    <mergeCell ref="C17:E17"/>
    <mergeCell ref="C23:F23"/>
    <mergeCell ref="B29:B30"/>
    <mergeCell ref="K3:L3"/>
    <mergeCell ref="K4:L4"/>
    <mergeCell ref="K5:L5"/>
    <mergeCell ref="K6:L6"/>
    <mergeCell ref="K7:L7"/>
    <mergeCell ref="C4:E4"/>
    <mergeCell ref="C5:E5"/>
    <mergeCell ref="C6:E6"/>
    <mergeCell ref="C7:E7"/>
  </mergeCells>
  <conditionalFormatting sqref="F10">
    <cfRule type="cellIs" dxfId="7" priority="7" operator="greaterThan">
      <formula>1</formula>
    </cfRule>
  </conditionalFormatting>
  <conditionalFormatting sqref="F4">
    <cfRule type="cellIs" dxfId="6" priority="1" operator="equal">
      <formula>1</formula>
    </cfRule>
    <cfRule type="cellIs" dxfId="5" priority="5" operator="greaterThan">
      <formula>100</formula>
    </cfRule>
    <cfRule type="cellIs" dxfId="4" priority="6" operator="lessThan">
      <formula>100</formula>
    </cfRule>
  </conditionalFormatting>
  <dataValidations count="1">
    <dataValidation operator="lessThan" allowBlank="1" showInputMessage="1" showErrorMessage="1" sqref="X17 Y15:Z17 AF15:AF16 AB15:AC17 AD17 AF17:AG17 AH15:AI17 AE15:AE17"/>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Choose option from 1-10 scale" prompt="1=not confident_x000a_10=very confident">
          <x14:formula1>
            <xm:f>Calculations!$O$6:$O$15</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M100"/>
  <sheetViews>
    <sheetView showGridLines="0" topLeftCell="A25" zoomScale="85" zoomScaleNormal="85" workbookViewId="0">
      <selection activeCell="N13" sqref="N13"/>
    </sheetView>
  </sheetViews>
  <sheetFormatPr defaultColWidth="8.7109375" defaultRowHeight="15" x14ac:dyDescent="0.25"/>
  <cols>
    <col min="1" max="1" width="1.42578125" style="79" customWidth="1"/>
    <col min="2" max="2" width="38.28515625" style="67" customWidth="1"/>
    <col min="3" max="3" width="18" style="67" customWidth="1"/>
    <col min="4" max="5" width="13.7109375" style="67" customWidth="1"/>
    <col min="6" max="6" width="12.28515625" style="67" customWidth="1"/>
    <col min="7" max="7" width="13.5703125" style="67" customWidth="1"/>
    <col min="8" max="8" width="4.7109375" style="67" customWidth="1"/>
    <col min="9" max="11" width="16.42578125" style="67" customWidth="1"/>
    <col min="12" max="12" width="1.28515625" style="79" customWidth="1"/>
    <col min="13" max="16384" width="8.7109375" style="67"/>
  </cols>
  <sheetData>
    <row r="1" spans="2:13" ht="21.75" thickBot="1" x14ac:dyDescent="0.3">
      <c r="B1" s="383" t="s">
        <v>202</v>
      </c>
      <c r="C1" s="381"/>
      <c r="D1" s="381"/>
      <c r="E1" s="381"/>
      <c r="F1" s="381"/>
      <c r="G1" s="381"/>
      <c r="H1" s="381"/>
      <c r="I1" s="381"/>
      <c r="J1" s="381"/>
      <c r="K1" s="381"/>
      <c r="L1" s="382"/>
    </row>
    <row r="2" spans="2:13" ht="14.65" customHeight="1" x14ac:dyDescent="0.25">
      <c r="B2" s="394" t="s">
        <v>276</v>
      </c>
      <c r="C2" s="395"/>
      <c r="D2" s="78"/>
      <c r="E2" s="78"/>
      <c r="F2" s="78"/>
      <c r="G2" s="78"/>
      <c r="H2" s="78"/>
      <c r="I2" s="78"/>
      <c r="J2" s="384" t="s">
        <v>199</v>
      </c>
      <c r="K2" s="385"/>
      <c r="L2" s="386"/>
      <c r="M2" s="68"/>
    </row>
    <row r="3" spans="2:13" ht="14.65" customHeight="1" x14ac:dyDescent="0.25">
      <c r="B3" s="360" t="s">
        <v>108</v>
      </c>
      <c r="C3" s="396">
        <v>14</v>
      </c>
      <c r="D3" s="78"/>
      <c r="E3" s="78"/>
      <c r="F3" s="78"/>
      <c r="G3" s="78"/>
      <c r="H3" s="78"/>
      <c r="I3" s="78"/>
      <c r="J3" s="360"/>
      <c r="K3" s="227"/>
      <c r="L3" s="361"/>
      <c r="M3" s="68"/>
    </row>
    <row r="4" spans="2:13" ht="14.65" customHeight="1" x14ac:dyDescent="0.25">
      <c r="B4" s="359" t="s">
        <v>277</v>
      </c>
      <c r="C4" s="397"/>
      <c r="D4" s="83"/>
      <c r="E4" s="78"/>
      <c r="F4" s="78"/>
      <c r="G4" s="78"/>
      <c r="H4" s="78"/>
      <c r="I4" s="78"/>
      <c r="J4" s="387" t="s">
        <v>104</v>
      </c>
      <c r="K4" s="231"/>
      <c r="L4" s="362"/>
      <c r="M4" s="25"/>
    </row>
    <row r="5" spans="2:13" ht="14.65" customHeight="1" x14ac:dyDescent="0.25">
      <c r="B5" s="360" t="s">
        <v>28</v>
      </c>
      <c r="C5" s="396">
        <v>30</v>
      </c>
      <c r="D5" s="78"/>
      <c r="E5" s="78"/>
      <c r="F5" s="78"/>
      <c r="G5" s="78"/>
      <c r="H5" s="78"/>
      <c r="I5" s="78"/>
      <c r="J5" s="388" t="s">
        <v>198</v>
      </c>
      <c r="K5" s="232">
        <f>J78</f>
        <v>3.0237301587301588</v>
      </c>
      <c r="L5" s="362"/>
      <c r="M5" s="25"/>
    </row>
    <row r="6" spans="2:13" ht="14.65" customHeight="1" x14ac:dyDescent="0.25">
      <c r="B6" s="360" t="s">
        <v>29</v>
      </c>
      <c r="C6" s="396">
        <v>30</v>
      </c>
      <c r="D6" s="78"/>
      <c r="E6" s="78"/>
      <c r="F6" s="78"/>
      <c r="G6" s="78"/>
      <c r="H6" s="78"/>
      <c r="I6" s="78"/>
      <c r="J6" s="389" t="s">
        <v>178</v>
      </c>
      <c r="K6" s="232">
        <f>I78</f>
        <v>2.0339364615241808</v>
      </c>
      <c r="L6" s="362"/>
      <c r="M6" s="25"/>
    </row>
    <row r="7" spans="2:13" ht="14.65" customHeight="1" x14ac:dyDescent="0.25">
      <c r="B7" s="360" t="s">
        <v>30</v>
      </c>
      <c r="C7" s="396">
        <v>30</v>
      </c>
      <c r="D7" s="78"/>
      <c r="E7" s="78"/>
      <c r="F7" s="78"/>
      <c r="G7" s="78"/>
      <c r="H7" s="78"/>
      <c r="I7" s="78"/>
      <c r="J7" s="389" t="s">
        <v>39</v>
      </c>
      <c r="K7" s="232">
        <f>K78</f>
        <v>3.9697737399053188</v>
      </c>
      <c r="L7" s="362"/>
      <c r="M7" s="25"/>
    </row>
    <row r="8" spans="2:13" ht="14.65" customHeight="1" x14ac:dyDescent="0.25">
      <c r="B8" s="360" t="s">
        <v>31</v>
      </c>
      <c r="C8" s="396">
        <v>100</v>
      </c>
      <c r="D8" s="78"/>
      <c r="E8" s="78"/>
      <c r="F8" s="78"/>
      <c r="G8" s="78"/>
      <c r="H8" s="78"/>
      <c r="I8" s="78"/>
      <c r="J8" s="390"/>
      <c r="K8" s="222"/>
      <c r="L8" s="362"/>
      <c r="M8" s="25"/>
    </row>
    <row r="9" spans="2:13" ht="14.65" customHeight="1" x14ac:dyDescent="0.25">
      <c r="B9" s="359" t="s">
        <v>109</v>
      </c>
      <c r="C9" s="398"/>
      <c r="D9" s="78"/>
      <c r="E9" s="78"/>
      <c r="F9" s="78"/>
      <c r="G9" s="78"/>
      <c r="H9" s="78"/>
      <c r="I9" s="78"/>
      <c r="J9" s="387" t="s">
        <v>203</v>
      </c>
      <c r="K9" s="231"/>
      <c r="L9" s="362"/>
      <c r="M9" s="25"/>
    </row>
    <row r="10" spans="2:13" ht="15.6" customHeight="1" x14ac:dyDescent="0.25">
      <c r="B10" s="363"/>
      <c r="C10" s="399"/>
      <c r="D10" s="81"/>
      <c r="E10" s="78"/>
      <c r="F10" s="78"/>
      <c r="G10" s="78"/>
      <c r="H10" s="78"/>
      <c r="I10" s="78"/>
      <c r="J10" s="388" t="s">
        <v>198</v>
      </c>
      <c r="K10" s="233">
        <f>J77</f>
        <v>62046.942857142858</v>
      </c>
      <c r="L10" s="362"/>
      <c r="M10" s="69"/>
    </row>
    <row r="11" spans="2:13" ht="14.65" customHeight="1" x14ac:dyDescent="0.25">
      <c r="B11" s="360" t="s">
        <v>32</v>
      </c>
      <c r="C11" s="400">
        <f>('VACCINATION CALCULATOR'!N4/C3/C5)*1.1</f>
        <v>41.171428571428578</v>
      </c>
      <c r="D11" s="82"/>
      <c r="E11" s="78"/>
      <c r="F11" s="78"/>
      <c r="G11" s="78"/>
      <c r="H11" s="78"/>
      <c r="I11" s="78"/>
      <c r="J11" s="389" t="s">
        <v>178</v>
      </c>
      <c r="K11" s="233">
        <f>I77</f>
        <v>41736.376190476192</v>
      </c>
      <c r="L11" s="362"/>
      <c r="M11" s="69"/>
    </row>
    <row r="12" spans="2:13" ht="14.65" customHeight="1" x14ac:dyDescent="0.25">
      <c r="B12" s="360" t="s">
        <v>33</v>
      </c>
      <c r="C12" s="400">
        <f>('VACCINATION CALCULATOR'!N5/C3/C6)*1.1</f>
        <v>0</v>
      </c>
      <c r="D12" s="82"/>
      <c r="E12" s="78"/>
      <c r="F12" s="78"/>
      <c r="G12" s="78"/>
      <c r="H12" s="78"/>
      <c r="I12" s="78"/>
      <c r="J12" s="389" t="s">
        <v>39</v>
      </c>
      <c r="K12" s="233">
        <f>K77</f>
        <v>81459.757142857139</v>
      </c>
      <c r="L12" s="362"/>
      <c r="M12" s="69"/>
    </row>
    <row r="13" spans="2:13" ht="14.65" customHeight="1" thickBot="1" x14ac:dyDescent="0.3">
      <c r="B13" s="360" t="s">
        <v>2</v>
      </c>
      <c r="C13" s="400">
        <f>('VACCINATION CALCULATOR'!N6/C3/C7)*1.1</f>
        <v>3.1428571428571428</v>
      </c>
      <c r="D13" s="82"/>
      <c r="E13" s="78"/>
      <c r="F13" s="78"/>
      <c r="G13" s="78"/>
      <c r="H13" s="78"/>
      <c r="I13" s="78"/>
      <c r="J13" s="391"/>
      <c r="K13" s="392"/>
      <c r="L13" s="393"/>
      <c r="M13" s="69"/>
    </row>
    <row r="14" spans="2:13" ht="13.15" customHeight="1" thickBot="1" x14ac:dyDescent="0.3">
      <c r="B14" s="401" t="s">
        <v>34</v>
      </c>
      <c r="C14" s="402">
        <f>IF('VACCINATION CALCULATOR'!N7/C3/C8-C12-C13&lt;0,0,IF('VACCINATION CALCULATOR'!N7/C3/C8-C12-C13&gt;0,'VACCINATION CALCULATOR'!N7/C3/C8-C12-C13,0))</f>
        <v>0</v>
      </c>
      <c r="D14" s="82"/>
      <c r="E14" s="78"/>
      <c r="F14" s="78"/>
      <c r="G14" s="78"/>
      <c r="H14" s="78"/>
      <c r="I14" s="78"/>
      <c r="J14" s="364"/>
      <c r="K14" s="364"/>
      <c r="L14" s="365"/>
      <c r="M14" s="26"/>
    </row>
    <row r="15" spans="2:13" s="79" customFormat="1" ht="13.15" customHeight="1" x14ac:dyDescent="0.25">
      <c r="B15" s="366"/>
      <c r="C15" s="82"/>
      <c r="D15" s="82"/>
      <c r="E15" s="78"/>
      <c r="F15" s="78"/>
      <c r="G15" s="78"/>
      <c r="H15" s="78"/>
      <c r="I15" s="78"/>
      <c r="J15" s="84"/>
      <c r="K15" s="84"/>
      <c r="L15" s="365"/>
      <c r="M15" s="26"/>
    </row>
    <row r="16" spans="2:13" x14ac:dyDescent="0.25">
      <c r="B16" s="367" t="s">
        <v>278</v>
      </c>
      <c r="C16" s="224"/>
      <c r="D16" s="224"/>
      <c r="E16" s="224"/>
      <c r="F16" s="224"/>
      <c r="G16" s="224"/>
      <c r="H16" s="224"/>
      <c r="I16" s="224"/>
      <c r="J16" s="224" t="s">
        <v>27</v>
      </c>
      <c r="K16" s="224"/>
      <c r="L16" s="368"/>
    </row>
    <row r="17" spans="2:12" x14ac:dyDescent="0.25">
      <c r="B17" s="369" t="s">
        <v>36</v>
      </c>
      <c r="C17" s="223"/>
      <c r="D17" s="223"/>
      <c r="E17" s="223"/>
      <c r="F17" s="31"/>
      <c r="G17" s="31"/>
      <c r="H17" s="31"/>
      <c r="I17" s="31" t="s">
        <v>37</v>
      </c>
      <c r="J17" s="31" t="s">
        <v>38</v>
      </c>
      <c r="K17" s="31" t="s">
        <v>39</v>
      </c>
      <c r="L17" s="370"/>
    </row>
    <row r="18" spans="2:12" x14ac:dyDescent="0.25">
      <c r="B18" s="363" t="s">
        <v>40</v>
      </c>
      <c r="C18" s="18"/>
      <c r="D18" s="18"/>
      <c r="E18" s="18"/>
      <c r="F18" s="18"/>
      <c r="G18" s="18"/>
      <c r="H18" s="18"/>
      <c r="I18" s="228">
        <f>I78</f>
        <v>2.0339364615241808</v>
      </c>
      <c r="J18" s="64">
        <f>J78</f>
        <v>3.0237301587301588</v>
      </c>
      <c r="K18" s="229">
        <f>K78</f>
        <v>3.9697737399053188</v>
      </c>
      <c r="L18" s="361"/>
    </row>
    <row r="19" spans="2:12" x14ac:dyDescent="0.25">
      <c r="B19" s="363"/>
      <c r="C19" s="18"/>
      <c r="D19" s="18"/>
      <c r="E19" s="18"/>
      <c r="F19" s="18"/>
      <c r="G19" s="18"/>
      <c r="H19" s="18"/>
      <c r="I19" s="18"/>
      <c r="J19" s="18"/>
      <c r="K19" s="18"/>
      <c r="L19" s="361"/>
    </row>
    <row r="20" spans="2:12" x14ac:dyDescent="0.25">
      <c r="B20" s="363" t="s">
        <v>110</v>
      </c>
      <c r="C20" s="18"/>
      <c r="D20" s="18"/>
      <c r="E20" s="18"/>
      <c r="F20" s="18"/>
      <c r="G20" s="18"/>
      <c r="H20" s="18"/>
      <c r="I20" s="518">
        <f>SUM('VACCINATION CALCULATOR'!N4:N7)</f>
        <v>20520</v>
      </c>
      <c r="J20" s="519"/>
      <c r="K20" s="520"/>
      <c r="L20" s="361"/>
    </row>
    <row r="21" spans="2:12" x14ac:dyDescent="0.25">
      <c r="B21" s="371" t="s">
        <v>41</v>
      </c>
      <c r="C21" s="27"/>
      <c r="D21" s="27"/>
      <c r="E21" s="27"/>
      <c r="F21" s="27"/>
      <c r="G21" s="27"/>
      <c r="H21" s="18"/>
      <c r="I21" s="28">
        <f>I30/$I$20</f>
        <v>0.22120857699805072</v>
      </c>
      <c r="J21" s="28">
        <f>J30/$I$20</f>
        <v>0.29964912280701761</v>
      </c>
      <c r="K21" s="28">
        <f>K30/$I$20</f>
        <v>0.37808966861598442</v>
      </c>
      <c r="L21" s="361"/>
    </row>
    <row r="22" spans="2:12" x14ac:dyDescent="0.25">
      <c r="B22" s="371" t="s">
        <v>220</v>
      </c>
      <c r="C22" s="27"/>
      <c r="D22" s="27"/>
      <c r="E22" s="27"/>
      <c r="F22" s="27"/>
      <c r="G22" s="27"/>
      <c r="H22" s="18"/>
      <c r="I22" s="29">
        <f>SUM(I60:I61)/I20</f>
        <v>3.0000000000000002E-2</v>
      </c>
      <c r="J22" s="29">
        <f>SUM(J60:J61)/I20</f>
        <v>0.05</v>
      </c>
      <c r="K22" s="29">
        <f>SUM(K60:K61)/I20</f>
        <v>7.0000000000000007E-2</v>
      </c>
      <c r="L22" s="361"/>
    </row>
    <row r="23" spans="2:12" x14ac:dyDescent="0.25">
      <c r="B23" s="371" t="s">
        <v>42</v>
      </c>
      <c r="C23" s="27"/>
      <c r="D23" s="27"/>
      <c r="E23" s="27"/>
      <c r="F23" s="27"/>
      <c r="G23" s="27"/>
      <c r="H23" s="18"/>
      <c r="I23" s="29">
        <f>I41/$I$20</f>
        <v>3.47953216374269E-2</v>
      </c>
      <c r="J23" s="29">
        <f>J41/$I$20</f>
        <v>0.13031189083820663</v>
      </c>
      <c r="K23" s="29">
        <f>K41/$I$20</f>
        <v>0.17465886939571151</v>
      </c>
      <c r="L23" s="361"/>
    </row>
    <row r="24" spans="2:12" x14ac:dyDescent="0.25">
      <c r="B24" s="371" t="s">
        <v>43</v>
      </c>
      <c r="C24" s="27"/>
      <c r="D24" s="27"/>
      <c r="E24" s="27"/>
      <c r="F24" s="27"/>
      <c r="G24" s="27"/>
      <c r="H24" s="18"/>
      <c r="I24" s="29">
        <f>I48/$I$20</f>
        <v>0.49512670565302142</v>
      </c>
      <c r="J24" s="29">
        <f>J48/$I$20</f>
        <v>0.80019493177387913</v>
      </c>
      <c r="K24" s="29">
        <f>K48/$I$20</f>
        <v>1.1052631578947369</v>
      </c>
      <c r="L24" s="361"/>
    </row>
    <row r="25" spans="2:12" x14ac:dyDescent="0.25">
      <c r="B25" s="371" t="s">
        <v>105</v>
      </c>
      <c r="C25" s="27"/>
      <c r="D25" s="27"/>
      <c r="E25" s="27"/>
      <c r="F25" s="27"/>
      <c r="G25" s="27"/>
      <c r="H25" s="18"/>
      <c r="I25" s="29">
        <f>SUM(I54:I59,I62)/$I$20</f>
        <v>0.53204562331755323</v>
      </c>
      <c r="J25" s="29">
        <f t="shared" ref="J25" si="0">SUM(J54:J59,J62)/$I$20</f>
        <v>0.78480228348649395</v>
      </c>
      <c r="K25" s="29">
        <f>SUM(K54:K59,K62)/$I$20</f>
        <v>1.0369667223614591</v>
      </c>
      <c r="L25" s="361"/>
    </row>
    <row r="26" spans="2:12" x14ac:dyDescent="0.25">
      <c r="B26" s="371" t="s">
        <v>107</v>
      </c>
      <c r="C26" s="27"/>
      <c r="D26" s="27"/>
      <c r="E26" s="27"/>
      <c r="F26" s="27"/>
      <c r="G26" s="27"/>
      <c r="H26" s="18"/>
      <c r="I26" s="30">
        <f>I75/$I$20</f>
        <v>0.7207602339181286</v>
      </c>
      <c r="J26" s="30">
        <f>J75/$I$20</f>
        <v>0.95877192982456139</v>
      </c>
      <c r="K26" s="30">
        <f>K75/$I$20</f>
        <v>1.2047953216374268</v>
      </c>
      <c r="L26" s="361"/>
    </row>
    <row r="27" spans="2:12" x14ac:dyDescent="0.25">
      <c r="B27" s="371"/>
      <c r="C27" s="27"/>
      <c r="D27" s="27"/>
      <c r="E27" s="27"/>
      <c r="F27" s="27"/>
      <c r="G27" s="27"/>
      <c r="H27" s="27"/>
      <c r="I27" s="27"/>
      <c r="J27" s="27"/>
      <c r="K27" s="27"/>
      <c r="L27" s="372"/>
    </row>
    <row r="28" spans="2:12" x14ac:dyDescent="0.25">
      <c r="B28" s="367" t="s">
        <v>44</v>
      </c>
      <c r="C28" s="224" t="s">
        <v>45</v>
      </c>
      <c r="D28" s="224" t="s">
        <v>46</v>
      </c>
      <c r="E28" s="224"/>
      <c r="F28" s="224" t="s">
        <v>47</v>
      </c>
      <c r="G28" s="224"/>
      <c r="H28" s="224"/>
      <c r="I28" s="224"/>
      <c r="J28" s="224" t="s">
        <v>48</v>
      </c>
      <c r="K28" s="224"/>
      <c r="L28" s="373"/>
    </row>
    <row r="29" spans="2:12" x14ac:dyDescent="0.25">
      <c r="B29" s="369"/>
      <c r="C29" s="31"/>
      <c r="D29" s="31"/>
      <c r="E29" s="31" t="s">
        <v>10</v>
      </c>
      <c r="F29" s="31" t="s">
        <v>38</v>
      </c>
      <c r="G29" s="31" t="s">
        <v>11</v>
      </c>
      <c r="H29" s="31"/>
      <c r="I29" s="31" t="s">
        <v>37</v>
      </c>
      <c r="J29" s="31" t="s">
        <v>38</v>
      </c>
      <c r="K29" s="31" t="s">
        <v>39</v>
      </c>
      <c r="L29" s="374"/>
    </row>
    <row r="30" spans="2:12" x14ac:dyDescent="0.25">
      <c r="B30" s="363" t="s">
        <v>49</v>
      </c>
      <c r="C30" s="27"/>
      <c r="D30" s="27"/>
      <c r="E30" s="27"/>
      <c r="F30" s="27"/>
      <c r="G30" s="27"/>
      <c r="H30" s="18"/>
      <c r="I30" s="230">
        <f>SUM(I31:I39)</f>
        <v>4539.2000000000007</v>
      </c>
      <c r="J30" s="230">
        <f>SUM(J31:J39)</f>
        <v>6148.8000000000011</v>
      </c>
      <c r="K30" s="230">
        <f>SUM(K31:K39)</f>
        <v>7758.4000000000005</v>
      </c>
      <c r="L30" s="361"/>
    </row>
    <row r="31" spans="2:12" x14ac:dyDescent="0.25">
      <c r="B31" s="371" t="s">
        <v>99</v>
      </c>
      <c r="C31" s="32">
        <v>1</v>
      </c>
      <c r="D31" s="88">
        <f>C3</f>
        <v>14</v>
      </c>
      <c r="E31" s="33">
        <v>12</v>
      </c>
      <c r="F31" s="33">
        <v>18</v>
      </c>
      <c r="G31" s="34">
        <v>24</v>
      </c>
      <c r="H31" s="35"/>
      <c r="I31" s="36">
        <f t="shared" ref="I31:I39" si="1">E31*$C31*$D31</f>
        <v>168</v>
      </c>
      <c r="J31" s="36">
        <f t="shared" ref="J31:K39" si="2">F31*$C31*$D31</f>
        <v>252</v>
      </c>
      <c r="K31" s="36">
        <f t="shared" si="2"/>
        <v>336</v>
      </c>
      <c r="L31" s="361"/>
    </row>
    <row r="32" spans="2:12" x14ac:dyDescent="0.25">
      <c r="B32" s="371" t="s">
        <v>50</v>
      </c>
      <c r="C32" s="37">
        <v>1</v>
      </c>
      <c r="D32" s="89">
        <f>'VACCINATION COSTS'!C3</f>
        <v>14</v>
      </c>
      <c r="E32" s="38">
        <v>12</v>
      </c>
      <c r="F32" s="38">
        <v>18</v>
      </c>
      <c r="G32" s="39">
        <v>24</v>
      </c>
      <c r="H32" s="35"/>
      <c r="I32" s="40">
        <f t="shared" si="1"/>
        <v>168</v>
      </c>
      <c r="J32" s="40">
        <f t="shared" si="2"/>
        <v>252</v>
      </c>
      <c r="K32" s="40">
        <f t="shared" si="2"/>
        <v>336</v>
      </c>
      <c r="L32" s="361"/>
    </row>
    <row r="33" spans="2:12" x14ac:dyDescent="0.25">
      <c r="B33" s="371" t="s">
        <v>215</v>
      </c>
      <c r="C33" s="37">
        <f>Pop_all/25000</f>
        <v>1.2</v>
      </c>
      <c r="D33" s="89">
        <f>C3</f>
        <v>14</v>
      </c>
      <c r="E33" s="38">
        <v>8</v>
      </c>
      <c r="F33" s="38">
        <v>10</v>
      </c>
      <c r="G33" s="39">
        <v>12</v>
      </c>
      <c r="H33" s="35"/>
      <c r="I33" s="40">
        <f t="shared" si="1"/>
        <v>134.4</v>
      </c>
      <c r="J33" s="40">
        <f t="shared" si="2"/>
        <v>168</v>
      </c>
      <c r="K33" s="40">
        <f t="shared" si="2"/>
        <v>201.59999999999997</v>
      </c>
      <c r="L33" s="361"/>
    </row>
    <row r="34" spans="2:12" x14ac:dyDescent="0.25">
      <c r="B34" s="371" t="s">
        <v>100</v>
      </c>
      <c r="C34" s="91">
        <f>C11</f>
        <v>41.171428571428578</v>
      </c>
      <c r="D34" s="89">
        <f>C3</f>
        <v>14</v>
      </c>
      <c r="E34" s="38">
        <v>6</v>
      </c>
      <c r="F34" s="38">
        <v>8</v>
      </c>
      <c r="G34" s="39">
        <v>10</v>
      </c>
      <c r="H34" s="35"/>
      <c r="I34" s="40">
        <f t="shared" si="1"/>
        <v>3458.4000000000005</v>
      </c>
      <c r="J34" s="40">
        <f t="shared" si="2"/>
        <v>4611.2000000000007</v>
      </c>
      <c r="K34" s="40">
        <f t="shared" si="2"/>
        <v>5764.0000000000009</v>
      </c>
      <c r="L34" s="361"/>
    </row>
    <row r="35" spans="2:12" x14ac:dyDescent="0.25">
      <c r="B35" s="371" t="s">
        <v>101</v>
      </c>
      <c r="C35" s="91">
        <f>C12</f>
        <v>0</v>
      </c>
      <c r="D35" s="89">
        <f>C3</f>
        <v>14</v>
      </c>
      <c r="E35" s="38">
        <v>7</v>
      </c>
      <c r="F35" s="38">
        <v>10</v>
      </c>
      <c r="G35" s="39">
        <v>13</v>
      </c>
      <c r="H35" s="35"/>
      <c r="I35" s="40">
        <f t="shared" si="1"/>
        <v>0</v>
      </c>
      <c r="J35" s="40">
        <f t="shared" si="2"/>
        <v>0</v>
      </c>
      <c r="K35" s="40">
        <f t="shared" si="2"/>
        <v>0</v>
      </c>
      <c r="L35" s="361"/>
    </row>
    <row r="36" spans="2:12" x14ac:dyDescent="0.25">
      <c r="B36" s="371" t="s">
        <v>213</v>
      </c>
      <c r="C36" s="91">
        <f>C13</f>
        <v>3.1428571428571428</v>
      </c>
      <c r="D36" s="89">
        <f>C3</f>
        <v>14</v>
      </c>
      <c r="E36" s="38">
        <v>7</v>
      </c>
      <c r="F36" s="38">
        <v>10</v>
      </c>
      <c r="G36" s="39">
        <v>13</v>
      </c>
      <c r="H36" s="35"/>
      <c r="I36" s="40">
        <f t="shared" si="1"/>
        <v>308</v>
      </c>
      <c r="J36" s="40">
        <f t="shared" si="2"/>
        <v>440</v>
      </c>
      <c r="K36" s="40">
        <f t="shared" si="2"/>
        <v>572</v>
      </c>
      <c r="L36" s="361"/>
    </row>
    <row r="37" spans="2:12" x14ac:dyDescent="0.25">
      <c r="B37" s="371" t="s">
        <v>214</v>
      </c>
      <c r="C37" s="91">
        <f>C14</f>
        <v>0</v>
      </c>
      <c r="D37" s="89">
        <f>C3</f>
        <v>14</v>
      </c>
      <c r="E37" s="38">
        <v>6</v>
      </c>
      <c r="F37" s="38">
        <v>8</v>
      </c>
      <c r="G37" s="39">
        <v>10</v>
      </c>
      <c r="H37" s="35"/>
      <c r="I37" s="40">
        <f t="shared" si="1"/>
        <v>0</v>
      </c>
      <c r="J37" s="40">
        <f t="shared" si="2"/>
        <v>0</v>
      </c>
      <c r="K37" s="40">
        <f t="shared" si="2"/>
        <v>0</v>
      </c>
      <c r="L37" s="361"/>
    </row>
    <row r="38" spans="2:12" x14ac:dyDescent="0.25">
      <c r="B38" s="371" t="s">
        <v>51</v>
      </c>
      <c r="C38" s="37">
        <f>C43+C42</f>
        <v>2.4</v>
      </c>
      <c r="D38" s="89">
        <f>C3</f>
        <v>14</v>
      </c>
      <c r="E38" s="38">
        <v>4</v>
      </c>
      <c r="F38" s="38">
        <v>6</v>
      </c>
      <c r="G38" s="39">
        <v>8</v>
      </c>
      <c r="H38" s="35"/>
      <c r="I38" s="40">
        <f t="shared" si="1"/>
        <v>134.4</v>
      </c>
      <c r="J38" s="40">
        <f t="shared" si="2"/>
        <v>201.59999999999997</v>
      </c>
      <c r="K38" s="40">
        <f t="shared" si="2"/>
        <v>268.8</v>
      </c>
      <c r="L38" s="361"/>
    </row>
    <row r="39" spans="2:12" x14ac:dyDescent="0.25">
      <c r="B39" s="371" t="s">
        <v>52</v>
      </c>
      <c r="C39" s="41">
        <v>2</v>
      </c>
      <c r="D39" s="90">
        <f>C3</f>
        <v>14</v>
      </c>
      <c r="E39" s="42">
        <v>6</v>
      </c>
      <c r="F39" s="42">
        <v>8</v>
      </c>
      <c r="G39" s="43">
        <v>10</v>
      </c>
      <c r="H39" s="35"/>
      <c r="I39" s="44">
        <f t="shared" si="1"/>
        <v>168</v>
      </c>
      <c r="J39" s="44">
        <f t="shared" si="2"/>
        <v>224</v>
      </c>
      <c r="K39" s="44">
        <f t="shared" si="2"/>
        <v>280</v>
      </c>
      <c r="L39" s="361"/>
    </row>
    <row r="40" spans="2:12" x14ac:dyDescent="0.25">
      <c r="B40" s="371"/>
      <c r="C40" s="45"/>
      <c r="D40" s="45"/>
      <c r="E40" s="45"/>
      <c r="F40" s="45"/>
      <c r="G40" s="45"/>
      <c r="H40" s="35"/>
      <c r="I40" s="45"/>
      <c r="J40" s="45"/>
      <c r="K40" s="45"/>
      <c r="L40" s="361"/>
    </row>
    <row r="41" spans="2:12" x14ac:dyDescent="0.25">
      <c r="B41" s="363" t="s">
        <v>53</v>
      </c>
      <c r="C41" s="45"/>
      <c r="D41" s="45"/>
      <c r="E41" s="45"/>
      <c r="F41" s="45"/>
      <c r="G41" s="45"/>
      <c r="H41" s="35"/>
      <c r="I41" s="46">
        <f>SUM(I42:I46)</f>
        <v>714</v>
      </c>
      <c r="J41" s="46">
        <f>SUM(J42:J46)</f>
        <v>2674</v>
      </c>
      <c r="K41" s="46">
        <f>SUM(K42:K46)</f>
        <v>3584</v>
      </c>
      <c r="L41" s="361"/>
    </row>
    <row r="42" spans="2:12" x14ac:dyDescent="0.25">
      <c r="B42" s="371" t="s">
        <v>218</v>
      </c>
      <c r="C42" s="32">
        <v>0</v>
      </c>
      <c r="D42" s="88">
        <f>C3</f>
        <v>14</v>
      </c>
      <c r="E42" s="33">
        <v>10</v>
      </c>
      <c r="F42" s="33">
        <v>15</v>
      </c>
      <c r="G42" s="34">
        <v>20</v>
      </c>
      <c r="H42" s="35"/>
      <c r="I42" s="36">
        <f>E42*$C42*$D42</f>
        <v>0</v>
      </c>
      <c r="J42" s="36">
        <f>F42*$C42*$D42</f>
        <v>0</v>
      </c>
      <c r="K42" s="36">
        <f>G42*$C42*$D42</f>
        <v>0</v>
      </c>
      <c r="L42" s="361"/>
    </row>
    <row r="43" spans="2:12" x14ac:dyDescent="0.25">
      <c r="B43" s="371" t="s">
        <v>217</v>
      </c>
      <c r="C43" s="37">
        <f>Pop_all/25000*2</f>
        <v>2.4</v>
      </c>
      <c r="D43" s="89">
        <f>C3</f>
        <v>14</v>
      </c>
      <c r="E43" s="38">
        <v>10</v>
      </c>
      <c r="F43" s="38">
        <v>15</v>
      </c>
      <c r="G43" s="39">
        <v>20</v>
      </c>
      <c r="H43" s="35"/>
      <c r="I43" s="40">
        <f>E43*$C43*$D43</f>
        <v>336</v>
      </c>
      <c r="J43" s="40">
        <f>F43*$E43*$D43</f>
        <v>2100</v>
      </c>
      <c r="K43" s="40">
        <f>G43*$E43*$D43</f>
        <v>2800</v>
      </c>
      <c r="L43" s="361"/>
    </row>
    <row r="44" spans="2:12" x14ac:dyDescent="0.25">
      <c r="B44" s="371" t="s">
        <v>54</v>
      </c>
      <c r="C44" s="37">
        <f>Pop_all/25000*2</f>
        <v>2.4</v>
      </c>
      <c r="D44" s="89">
        <f>C3</f>
        <v>14</v>
      </c>
      <c r="E44" s="38">
        <v>10</v>
      </c>
      <c r="F44" s="38">
        <v>15</v>
      </c>
      <c r="G44" s="39">
        <v>20</v>
      </c>
      <c r="H44" s="35"/>
      <c r="I44" s="40">
        <f>E44*$C44*$D44</f>
        <v>336</v>
      </c>
      <c r="J44" s="40">
        <f t="shared" ref="J44:K46" si="3">F44*$C44*$D44</f>
        <v>504</v>
      </c>
      <c r="K44" s="40">
        <f t="shared" si="3"/>
        <v>672</v>
      </c>
      <c r="L44" s="361"/>
    </row>
    <row r="45" spans="2:12" x14ac:dyDescent="0.25">
      <c r="B45" s="371" t="s">
        <v>55</v>
      </c>
      <c r="C45" s="37">
        <f>ROUNDUP(Pop_all/25000/2,0)</f>
        <v>1</v>
      </c>
      <c r="D45" s="89">
        <f>C3</f>
        <v>14</v>
      </c>
      <c r="E45" s="38">
        <v>3</v>
      </c>
      <c r="F45" s="38">
        <v>5</v>
      </c>
      <c r="G45" s="39">
        <v>8</v>
      </c>
      <c r="H45" s="35"/>
      <c r="I45" s="40">
        <f>E45*$C45*$D45</f>
        <v>42</v>
      </c>
      <c r="J45" s="40">
        <f t="shared" si="3"/>
        <v>70</v>
      </c>
      <c r="K45" s="40">
        <f t="shared" si="3"/>
        <v>112</v>
      </c>
      <c r="L45" s="361"/>
    </row>
    <row r="46" spans="2:12" x14ac:dyDescent="0.25">
      <c r="B46" s="371" t="s">
        <v>56</v>
      </c>
      <c r="C46" s="47">
        <v>0</v>
      </c>
      <c r="D46" s="90">
        <f>C3</f>
        <v>14</v>
      </c>
      <c r="E46" s="42">
        <v>1.3</v>
      </c>
      <c r="F46" s="42">
        <v>1.6</v>
      </c>
      <c r="G46" s="43">
        <v>1.9</v>
      </c>
      <c r="H46" s="35"/>
      <c r="I46" s="44">
        <f>E46*$C46*$D46</f>
        <v>0</v>
      </c>
      <c r="J46" s="44">
        <f t="shared" si="3"/>
        <v>0</v>
      </c>
      <c r="K46" s="44">
        <f t="shared" si="3"/>
        <v>0</v>
      </c>
      <c r="L46" s="361"/>
    </row>
    <row r="47" spans="2:12" x14ac:dyDescent="0.25">
      <c r="B47" s="371"/>
      <c r="C47" s="45"/>
      <c r="D47" s="45"/>
      <c r="E47" s="45"/>
      <c r="F47" s="45"/>
      <c r="G47" s="45"/>
      <c r="H47" s="35"/>
      <c r="I47" s="45"/>
      <c r="J47" s="45"/>
      <c r="K47" s="45"/>
      <c r="L47" s="361"/>
    </row>
    <row r="48" spans="2:12" x14ac:dyDescent="0.25">
      <c r="B48" s="363" t="s">
        <v>57</v>
      </c>
      <c r="C48" s="45"/>
      <c r="D48" s="45"/>
      <c r="E48" s="45"/>
      <c r="F48" s="45"/>
      <c r="G48" s="45"/>
      <c r="H48" s="35"/>
      <c r="I48" s="46">
        <f>SUM(I49:I51)</f>
        <v>10160</v>
      </c>
      <c r="J48" s="46">
        <f>SUM(J49:J51)</f>
        <v>16420</v>
      </c>
      <c r="K48" s="46">
        <f>SUM(K49:K51)</f>
        <v>22680</v>
      </c>
      <c r="L48" s="361"/>
    </row>
    <row r="49" spans="2:12" x14ac:dyDescent="0.25">
      <c r="B49" s="371" t="s">
        <v>58</v>
      </c>
      <c r="C49" s="322">
        <v>10000</v>
      </c>
      <c r="D49" s="92" t="s">
        <v>59</v>
      </c>
      <c r="E49" s="48">
        <v>0.48</v>
      </c>
      <c r="F49" s="48">
        <v>0.6</v>
      </c>
      <c r="G49" s="49">
        <v>0.72</v>
      </c>
      <c r="H49" s="35"/>
      <c r="I49" s="50">
        <f>E49*$C49</f>
        <v>4800</v>
      </c>
      <c r="J49" s="50">
        <f>F49*$C49</f>
        <v>6000</v>
      </c>
      <c r="K49" s="50">
        <f>G49*$C49</f>
        <v>7200</v>
      </c>
      <c r="L49" s="361"/>
    </row>
    <row r="50" spans="2:12" x14ac:dyDescent="0.25">
      <c r="B50" s="371" t="s">
        <v>60</v>
      </c>
      <c r="C50" s="255">
        <f>Pop_all/25000</f>
        <v>1.2</v>
      </c>
      <c r="D50" s="86">
        <v>10</v>
      </c>
      <c r="E50" s="51">
        <v>30</v>
      </c>
      <c r="F50" s="51">
        <v>35</v>
      </c>
      <c r="G50" s="52">
        <v>40</v>
      </c>
      <c r="H50" s="35"/>
      <c r="I50" s="53">
        <f>E50*$C50*$D50</f>
        <v>360</v>
      </c>
      <c r="J50" s="53">
        <f>F50*$C50*$D50</f>
        <v>420</v>
      </c>
      <c r="K50" s="53">
        <f>G50*$C50*$D50</f>
        <v>480</v>
      </c>
      <c r="L50" s="361"/>
    </row>
    <row r="51" spans="2:12" x14ac:dyDescent="0.25">
      <c r="B51" s="371" t="s">
        <v>35</v>
      </c>
      <c r="C51" s="41">
        <v>2</v>
      </c>
      <c r="D51" s="93" t="s">
        <v>59</v>
      </c>
      <c r="E51" s="54">
        <v>2500</v>
      </c>
      <c r="F51" s="54">
        <v>5000</v>
      </c>
      <c r="G51" s="55">
        <v>7500</v>
      </c>
      <c r="H51" s="35"/>
      <c r="I51" s="56">
        <f>E51*$C51</f>
        <v>5000</v>
      </c>
      <c r="J51" s="56">
        <f>F51*$C51</f>
        <v>10000</v>
      </c>
      <c r="K51" s="56">
        <f>G51*$C51</f>
        <v>15000</v>
      </c>
      <c r="L51" s="361"/>
    </row>
    <row r="52" spans="2:12" x14ac:dyDescent="0.25">
      <c r="B52" s="371"/>
      <c r="C52" s="45"/>
      <c r="D52" s="19"/>
      <c r="E52" s="45"/>
      <c r="F52" s="45"/>
      <c r="G52" s="45"/>
      <c r="H52" s="35"/>
      <c r="I52" s="45"/>
      <c r="J52" s="45"/>
      <c r="K52" s="45"/>
      <c r="L52" s="361"/>
    </row>
    <row r="53" spans="2:12" x14ac:dyDescent="0.25">
      <c r="B53" s="363" t="s">
        <v>105</v>
      </c>
      <c r="C53" s="45"/>
      <c r="D53" s="19"/>
      <c r="E53" s="45"/>
      <c r="F53" s="45"/>
      <c r="G53" s="45"/>
      <c r="H53" s="35"/>
      <c r="I53" s="46">
        <f>SUM(I54:I62)</f>
        <v>11533.176190476192</v>
      </c>
      <c r="J53" s="46">
        <f>SUM(J54:J62)</f>
        <v>17130.142857142855</v>
      </c>
      <c r="K53" s="46">
        <f>SUM(K54:K62)</f>
        <v>22714.957142857143</v>
      </c>
      <c r="L53" s="361"/>
    </row>
    <row r="54" spans="2:12" x14ac:dyDescent="0.25">
      <c r="B54" s="371" t="s">
        <v>61</v>
      </c>
      <c r="C54" s="95">
        <f>C11/6</f>
        <v>6.8619047619047633</v>
      </c>
      <c r="D54" s="92" t="s">
        <v>59</v>
      </c>
      <c r="E54" s="48">
        <v>31</v>
      </c>
      <c r="F54" s="48">
        <v>45</v>
      </c>
      <c r="G54" s="49">
        <v>54</v>
      </c>
      <c r="H54" s="35"/>
      <c r="I54" s="36">
        <f>E54*$C54</f>
        <v>212.71904761904767</v>
      </c>
      <c r="J54" s="36">
        <f>F54*$C54</f>
        <v>308.78571428571433</v>
      </c>
      <c r="K54" s="36">
        <f>G54*$C54</f>
        <v>370.5428571428572</v>
      </c>
      <c r="L54" s="361"/>
    </row>
    <row r="55" spans="2:12" x14ac:dyDescent="0.25">
      <c r="B55" s="371" t="s">
        <v>62</v>
      </c>
      <c r="C55" s="96">
        <f>SUM(C11:F14)/2</f>
        <v>22.157142857142862</v>
      </c>
      <c r="D55" s="94" t="s">
        <v>59</v>
      </c>
      <c r="E55" s="51">
        <v>15</v>
      </c>
      <c r="F55" s="51">
        <v>18</v>
      </c>
      <c r="G55" s="52">
        <v>21</v>
      </c>
      <c r="H55" s="35"/>
      <c r="I55" s="40">
        <f>E55*$C55</f>
        <v>332.35714285714295</v>
      </c>
      <c r="J55" s="40">
        <f>F55*$C55</f>
        <v>398.82857142857154</v>
      </c>
      <c r="K55" s="40">
        <f t="shared" ref="J55:K62" si="4">G55*$C55</f>
        <v>465.30000000000013</v>
      </c>
      <c r="L55" s="361"/>
    </row>
    <row r="56" spans="2:12" x14ac:dyDescent="0.25">
      <c r="B56" s="371" t="s">
        <v>63</v>
      </c>
      <c r="C56" s="96">
        <f>C13/2</f>
        <v>1.5714285714285714</v>
      </c>
      <c r="D56" s="94" t="s">
        <v>59</v>
      </c>
      <c r="E56" s="51">
        <v>112</v>
      </c>
      <c r="F56" s="51">
        <v>140</v>
      </c>
      <c r="G56" s="52">
        <v>168</v>
      </c>
      <c r="H56" s="35"/>
      <c r="I56" s="40">
        <f>E56*$C56</f>
        <v>176</v>
      </c>
      <c r="J56" s="40">
        <f t="shared" si="4"/>
        <v>220</v>
      </c>
      <c r="K56" s="40">
        <f t="shared" si="4"/>
        <v>264</v>
      </c>
      <c r="L56" s="361"/>
    </row>
    <row r="57" spans="2:12" x14ac:dyDescent="0.25">
      <c r="B57" s="371" t="s">
        <v>212</v>
      </c>
      <c r="C57" s="96">
        <f>C13</f>
        <v>3.1428571428571428</v>
      </c>
      <c r="D57" s="94" t="s">
        <v>59</v>
      </c>
      <c r="E57" s="51">
        <v>250</v>
      </c>
      <c r="F57" s="51">
        <v>500</v>
      </c>
      <c r="G57" s="52">
        <v>750</v>
      </c>
      <c r="H57" s="35"/>
      <c r="I57" s="40">
        <f>E57*$C$57</f>
        <v>785.71428571428567</v>
      </c>
      <c r="J57" s="40">
        <f t="shared" ref="J57:K57" si="5">F57*$C$57</f>
        <v>1571.4285714285713</v>
      </c>
      <c r="K57" s="40">
        <f t="shared" si="5"/>
        <v>2357.1428571428569</v>
      </c>
      <c r="L57" s="361"/>
    </row>
    <row r="58" spans="2:12" x14ac:dyDescent="0.25">
      <c r="B58" s="371" t="s">
        <v>64</v>
      </c>
      <c r="C58" s="96">
        <f>SUM(C11:F14)/2</f>
        <v>22.157142857142862</v>
      </c>
      <c r="D58" s="94" t="s">
        <v>59</v>
      </c>
      <c r="E58" s="51">
        <v>5</v>
      </c>
      <c r="F58" s="51">
        <v>7</v>
      </c>
      <c r="G58" s="52">
        <v>10</v>
      </c>
      <c r="H58" s="35"/>
      <c r="I58" s="40">
        <f>E58*$C58</f>
        <v>110.78571428571431</v>
      </c>
      <c r="J58" s="40">
        <f t="shared" si="4"/>
        <v>155.10000000000002</v>
      </c>
      <c r="K58" s="40">
        <f t="shared" si="4"/>
        <v>221.57142857142861</v>
      </c>
      <c r="L58" s="361"/>
    </row>
    <row r="59" spans="2:12" x14ac:dyDescent="0.25">
      <c r="B59" s="371" t="s">
        <v>106</v>
      </c>
      <c r="C59" s="85">
        <v>1</v>
      </c>
      <c r="D59" s="87">
        <v>365</v>
      </c>
      <c r="E59" s="51">
        <v>20</v>
      </c>
      <c r="F59" s="51">
        <v>30</v>
      </c>
      <c r="G59" s="52">
        <v>40</v>
      </c>
      <c r="H59" s="35"/>
      <c r="I59" s="40">
        <f>$C$59*$D$59*E59</f>
        <v>7300</v>
      </c>
      <c r="J59" s="40">
        <f>$C$59*$D$59*F59</f>
        <v>10950</v>
      </c>
      <c r="K59" s="40">
        <f>$C$59*$D$59*G59</f>
        <v>14600</v>
      </c>
      <c r="L59" s="361"/>
    </row>
    <row r="60" spans="2:12" x14ac:dyDescent="0.25">
      <c r="B60" s="371" t="s">
        <v>216</v>
      </c>
      <c r="C60" s="96" t="s">
        <v>59</v>
      </c>
      <c r="D60" s="254">
        <f>('VACCINATION CALCULATOR'!N4+'VACCINATION CALCULATOR'!N5)/2000</f>
        <v>7.86</v>
      </c>
      <c r="E60" s="51">
        <v>60</v>
      </c>
      <c r="F60" s="51">
        <v>100</v>
      </c>
      <c r="G60" s="52">
        <v>140</v>
      </c>
      <c r="H60" s="35"/>
      <c r="I60" s="40">
        <f>E60*$D$60</f>
        <v>471.6</v>
      </c>
      <c r="J60" s="40">
        <f>F60*$D$60</f>
        <v>786</v>
      </c>
      <c r="K60" s="40">
        <f t="shared" ref="K60" si="6">G60*$D$60</f>
        <v>1100.4000000000001</v>
      </c>
      <c r="L60" s="361"/>
    </row>
    <row r="61" spans="2:12" x14ac:dyDescent="0.25">
      <c r="B61" s="371" t="s">
        <v>219</v>
      </c>
      <c r="C61" s="96" t="s">
        <v>59</v>
      </c>
      <c r="D61" s="254">
        <f>'VACCINATION CALCULATOR'!N6/500</f>
        <v>2.4</v>
      </c>
      <c r="E61" s="51">
        <v>60</v>
      </c>
      <c r="F61" s="51">
        <v>100</v>
      </c>
      <c r="G61" s="52">
        <v>140</v>
      </c>
      <c r="H61" s="35"/>
      <c r="I61" s="40">
        <f>E61*$D$61</f>
        <v>144</v>
      </c>
      <c r="J61" s="40">
        <f t="shared" ref="J61:K61" si="7">F61*$D$61</f>
        <v>240</v>
      </c>
      <c r="K61" s="40">
        <f t="shared" si="7"/>
        <v>336</v>
      </c>
      <c r="L61" s="361"/>
    </row>
    <row r="62" spans="2:12" x14ac:dyDescent="0.25">
      <c r="B62" s="371" t="s">
        <v>65</v>
      </c>
      <c r="C62" s="57">
        <v>1</v>
      </c>
      <c r="D62" s="93" t="s">
        <v>59</v>
      </c>
      <c r="E62" s="54">
        <v>2000</v>
      </c>
      <c r="F62" s="54">
        <v>2500</v>
      </c>
      <c r="G62" s="55">
        <v>3000</v>
      </c>
      <c r="H62" s="35"/>
      <c r="I62" s="44">
        <f>E62*$C62</f>
        <v>2000</v>
      </c>
      <c r="J62" s="44">
        <f t="shared" si="4"/>
        <v>2500</v>
      </c>
      <c r="K62" s="44">
        <f t="shared" si="4"/>
        <v>3000</v>
      </c>
      <c r="L62" s="361"/>
    </row>
    <row r="63" spans="2:12" ht="7.9" customHeight="1" x14ac:dyDescent="0.25">
      <c r="B63" s="371"/>
      <c r="C63" s="45"/>
      <c r="D63" s="45"/>
      <c r="E63" s="45"/>
      <c r="F63" s="45"/>
      <c r="G63" s="45"/>
      <c r="H63" s="35"/>
      <c r="I63" s="45"/>
      <c r="J63" s="45"/>
      <c r="K63" s="45"/>
      <c r="L63" s="361"/>
    </row>
    <row r="64" spans="2:12" x14ac:dyDescent="0.25">
      <c r="B64" s="363" t="s">
        <v>66</v>
      </c>
      <c r="C64" s="35"/>
      <c r="D64" s="35"/>
      <c r="E64" s="35"/>
      <c r="F64" s="35"/>
      <c r="G64" s="35"/>
      <c r="H64" s="35"/>
      <c r="I64" s="46">
        <f>I30+I41+I48+I53</f>
        <v>26946.376190476192</v>
      </c>
      <c r="J64" s="46">
        <f>J30+J41+J48+J53</f>
        <v>42372.942857142858</v>
      </c>
      <c r="K64" s="46">
        <f>K30+K41+K48+K53</f>
        <v>56737.357142857145</v>
      </c>
      <c r="L64" s="361"/>
    </row>
    <row r="65" spans="2:12" ht="10.15" customHeight="1" x14ac:dyDescent="0.25">
      <c r="B65" s="363"/>
      <c r="C65" s="35"/>
      <c r="D65" s="35"/>
      <c r="E65" s="35"/>
      <c r="F65" s="35"/>
      <c r="G65" s="35"/>
      <c r="H65" s="35"/>
      <c r="I65" s="35"/>
      <c r="J65" s="35"/>
      <c r="K65" s="35"/>
      <c r="L65" s="361"/>
    </row>
    <row r="66" spans="2:12" ht="9" customHeight="1" x14ac:dyDescent="0.25">
      <c r="B66" s="375"/>
      <c r="C66" s="58"/>
      <c r="D66" s="58"/>
      <c r="E66" s="58"/>
      <c r="F66" s="58"/>
      <c r="G66" s="58"/>
      <c r="H66" s="58"/>
      <c r="I66" s="58"/>
      <c r="J66" s="58"/>
      <c r="K66" s="58"/>
      <c r="L66" s="361"/>
    </row>
    <row r="67" spans="2:12" x14ac:dyDescent="0.25">
      <c r="B67" s="363" t="s">
        <v>67</v>
      </c>
      <c r="C67" s="35"/>
      <c r="D67" s="35"/>
      <c r="E67" s="35"/>
      <c r="F67" s="35"/>
      <c r="G67" s="35"/>
      <c r="H67" s="35"/>
      <c r="I67" s="59">
        <f>SUM(I69:I73)</f>
        <v>14790</v>
      </c>
      <c r="J67" s="59">
        <f>SUM(J69:J73)</f>
        <v>19674</v>
      </c>
      <c r="K67" s="59">
        <f>SUM(K69:K73)</f>
        <v>24722.399999999998</v>
      </c>
      <c r="L67" s="361"/>
    </row>
    <row r="68" spans="2:12" x14ac:dyDescent="0.25">
      <c r="B68" s="371" t="s">
        <v>68</v>
      </c>
      <c r="C68" s="97"/>
      <c r="D68" s="98"/>
      <c r="E68" s="98"/>
      <c r="F68" s="98"/>
      <c r="G68" s="99"/>
      <c r="H68" s="35"/>
      <c r="I68" s="101">
        <f>'VACCINATION CALCULATOR'!N19</f>
        <v>6.9073330934193211E-2</v>
      </c>
      <c r="J68" s="102">
        <f>'VACCINATION CALCULATOR'!M19</f>
        <v>0.14499999999999999</v>
      </c>
      <c r="K68" s="102">
        <f>'VACCINATION CALCULATOR'!O19</f>
        <v>0.22092666906580671</v>
      </c>
      <c r="L68" s="361"/>
    </row>
    <row r="69" spans="2:12" x14ac:dyDescent="0.25">
      <c r="B69" s="376" t="s">
        <v>112</v>
      </c>
      <c r="C69" s="91">
        <f>'VACCINATION CALCULATOR'!C14+'VACCINATION CALCULATOR'!C15+'VACCINATION CALCULATOR'!C16</f>
        <v>20400</v>
      </c>
      <c r="D69" s="94" t="s">
        <v>59</v>
      </c>
      <c r="E69" s="60">
        <v>0.3</v>
      </c>
      <c r="F69" s="52">
        <v>0.4</v>
      </c>
      <c r="G69" s="52">
        <v>0.5</v>
      </c>
      <c r="H69" s="35"/>
      <c r="I69" s="61">
        <f>(E69*$C$69)</f>
        <v>6120</v>
      </c>
      <c r="J69" s="61">
        <f>(F69*$C$69)</f>
        <v>8160</v>
      </c>
      <c r="K69" s="61">
        <f>(G69*$C$69)</f>
        <v>10200</v>
      </c>
      <c r="L69" s="361"/>
    </row>
    <row r="70" spans="2:12" x14ac:dyDescent="0.25">
      <c r="B70" s="376" t="s">
        <v>113</v>
      </c>
      <c r="C70" s="91">
        <f>ORV_Procured</f>
        <v>3600</v>
      </c>
      <c r="D70" s="94"/>
      <c r="E70" s="51">
        <v>1.5</v>
      </c>
      <c r="F70" s="52">
        <v>2</v>
      </c>
      <c r="G70" s="52">
        <v>2.5</v>
      </c>
      <c r="H70" s="35"/>
      <c r="I70" s="61">
        <f>(E70*$C$70)</f>
        <v>5400</v>
      </c>
      <c r="J70" s="61">
        <f>(F70*$C$70)</f>
        <v>7200</v>
      </c>
      <c r="K70" s="61">
        <f>(G70*$C$70)</f>
        <v>9000</v>
      </c>
      <c r="L70" s="361"/>
    </row>
    <row r="71" spans="2:12" x14ac:dyDescent="0.25">
      <c r="B71" s="371" t="s">
        <v>69</v>
      </c>
      <c r="C71" s="91">
        <f>C69</f>
        <v>20400</v>
      </c>
      <c r="D71" s="94" t="s">
        <v>59</v>
      </c>
      <c r="E71" s="51">
        <v>0.11</v>
      </c>
      <c r="F71" s="52">
        <v>0.13100000000000001</v>
      </c>
      <c r="G71" s="52">
        <v>0.15</v>
      </c>
      <c r="H71" s="35"/>
      <c r="I71" s="61">
        <f>E71*$C71</f>
        <v>2244</v>
      </c>
      <c r="J71" s="61">
        <f t="shared" ref="J71:K73" si="8">F71*$C71</f>
        <v>2672.4</v>
      </c>
      <c r="K71" s="61">
        <f t="shared" si="8"/>
        <v>3060</v>
      </c>
      <c r="L71" s="361"/>
    </row>
    <row r="72" spans="2:12" x14ac:dyDescent="0.25">
      <c r="B72" s="371" t="s">
        <v>70</v>
      </c>
      <c r="C72" s="91">
        <f>I20</f>
        <v>20520</v>
      </c>
      <c r="D72" s="94" t="s">
        <v>59</v>
      </c>
      <c r="E72" s="51">
        <v>0.03</v>
      </c>
      <c r="F72" s="52">
        <v>0.05</v>
      </c>
      <c r="G72" s="52">
        <v>0.08</v>
      </c>
      <c r="H72" s="35"/>
      <c r="I72" s="61">
        <f>E72*$C72</f>
        <v>615.6</v>
      </c>
      <c r="J72" s="61">
        <f t="shared" si="8"/>
        <v>1026</v>
      </c>
      <c r="K72" s="61">
        <f t="shared" si="8"/>
        <v>1641.6000000000001</v>
      </c>
      <c r="L72" s="361"/>
    </row>
    <row r="73" spans="2:12" ht="16.899999999999999" customHeight="1" x14ac:dyDescent="0.25">
      <c r="B73" s="371" t="s">
        <v>71</v>
      </c>
      <c r="C73" s="100">
        <f>I20</f>
        <v>20520</v>
      </c>
      <c r="D73" s="93" t="s">
        <v>59</v>
      </c>
      <c r="E73" s="54">
        <v>0.02</v>
      </c>
      <c r="F73" s="55">
        <v>0.03</v>
      </c>
      <c r="G73" s="55">
        <v>0.04</v>
      </c>
      <c r="H73" s="35"/>
      <c r="I73" s="62">
        <f>E73*$C73</f>
        <v>410.40000000000003</v>
      </c>
      <c r="J73" s="62">
        <f t="shared" si="8"/>
        <v>615.6</v>
      </c>
      <c r="K73" s="62">
        <f t="shared" si="8"/>
        <v>820.80000000000007</v>
      </c>
      <c r="L73" s="361"/>
    </row>
    <row r="74" spans="2:12" x14ac:dyDescent="0.25">
      <c r="B74" s="371"/>
      <c r="C74" s="45"/>
      <c r="D74" s="45"/>
      <c r="E74" s="45"/>
      <c r="F74" s="45"/>
      <c r="G74" s="45"/>
      <c r="H74" s="35"/>
      <c r="I74" s="45"/>
      <c r="J74" s="45"/>
      <c r="K74" s="45"/>
      <c r="L74" s="361"/>
    </row>
    <row r="75" spans="2:12" x14ac:dyDescent="0.25">
      <c r="B75" s="363" t="s">
        <v>72</v>
      </c>
      <c r="C75" s="45"/>
      <c r="D75" s="45"/>
      <c r="E75" s="45"/>
      <c r="F75" s="45"/>
      <c r="G75" s="45"/>
      <c r="H75" s="35"/>
      <c r="I75" s="59">
        <f>SUM(I69:I73)</f>
        <v>14790</v>
      </c>
      <c r="J75" s="59">
        <f>SUM(J69:J73)</f>
        <v>19674</v>
      </c>
      <c r="K75" s="59">
        <f>SUM(K69:K73)</f>
        <v>24722.399999999998</v>
      </c>
      <c r="L75" s="361"/>
    </row>
    <row r="76" spans="2:12" x14ac:dyDescent="0.25">
      <c r="B76" s="363"/>
      <c r="C76" s="45"/>
      <c r="D76" s="45"/>
      <c r="E76" s="45"/>
      <c r="F76" s="45"/>
      <c r="G76" s="45"/>
      <c r="H76" s="45"/>
      <c r="I76" s="45"/>
      <c r="J76" s="45"/>
      <c r="K76" s="45"/>
      <c r="L76" s="361"/>
    </row>
    <row r="77" spans="2:12" x14ac:dyDescent="0.25">
      <c r="B77" s="363" t="s">
        <v>73</v>
      </c>
      <c r="C77" s="45"/>
      <c r="D77" s="45"/>
      <c r="E77" s="45"/>
      <c r="F77" s="45"/>
      <c r="G77" s="45"/>
      <c r="H77" s="35"/>
      <c r="I77" s="63">
        <f>I75+I64</f>
        <v>41736.376190476192</v>
      </c>
      <c r="J77" s="63">
        <f>J75+J64</f>
        <v>62046.942857142858</v>
      </c>
      <c r="K77" s="63">
        <f>K75+K64</f>
        <v>81459.757142857139</v>
      </c>
      <c r="L77" s="361"/>
    </row>
    <row r="78" spans="2:12" x14ac:dyDescent="0.25">
      <c r="B78" s="363" t="s">
        <v>74</v>
      </c>
      <c r="C78" s="45"/>
      <c r="D78" s="45"/>
      <c r="E78" s="45"/>
      <c r="F78" s="45"/>
      <c r="G78" s="45"/>
      <c r="H78" s="35"/>
      <c r="I78" s="64">
        <f>I77/$I20</f>
        <v>2.0339364615241808</v>
      </c>
      <c r="J78" s="64">
        <f>J77/$I20</f>
        <v>3.0237301587301588</v>
      </c>
      <c r="K78" s="64">
        <f>K77/$I20</f>
        <v>3.9697737399053188</v>
      </c>
      <c r="L78" s="361"/>
    </row>
    <row r="79" spans="2:12" ht="15.75" thickBot="1" x14ac:dyDescent="0.3">
      <c r="B79" s="377"/>
      <c r="C79" s="378"/>
      <c r="D79" s="378"/>
      <c r="E79" s="378"/>
      <c r="F79" s="378"/>
      <c r="G79" s="378"/>
      <c r="H79" s="379"/>
      <c r="I79" s="378"/>
      <c r="J79" s="378"/>
      <c r="K79" s="378"/>
      <c r="L79" s="380"/>
    </row>
    <row r="80" spans="2:12" x14ac:dyDescent="0.25">
      <c r="B80" s="20" t="s">
        <v>75</v>
      </c>
      <c r="C80" s="65"/>
      <c r="D80" s="66"/>
      <c r="E80" s="66"/>
      <c r="F80" s="70"/>
      <c r="G80" s="70"/>
      <c r="H80" s="71"/>
      <c r="I80" s="70"/>
      <c r="J80" s="70"/>
      <c r="K80" s="70"/>
    </row>
    <row r="81" spans="1:12" x14ac:dyDescent="0.25">
      <c r="B81" s="225" t="s">
        <v>76</v>
      </c>
      <c r="C81" s="225"/>
      <c r="D81" s="225"/>
      <c r="E81" s="70"/>
      <c r="F81" s="70"/>
      <c r="G81" s="70"/>
      <c r="H81" s="71"/>
      <c r="I81" s="70"/>
      <c r="J81" s="70"/>
      <c r="K81" s="70"/>
    </row>
    <row r="82" spans="1:12" x14ac:dyDescent="0.25">
      <c r="B82" s="226" t="s">
        <v>77</v>
      </c>
      <c r="C82" s="226" t="s">
        <v>78</v>
      </c>
      <c r="D82" s="226" t="s">
        <v>79</v>
      </c>
      <c r="E82" s="70"/>
      <c r="F82" s="70"/>
      <c r="G82" s="70"/>
      <c r="H82" s="71"/>
      <c r="I82" s="70"/>
      <c r="J82" s="70"/>
      <c r="K82" s="70"/>
    </row>
    <row r="83" spans="1:12" x14ac:dyDescent="0.25">
      <c r="B83" s="22" t="s">
        <v>80</v>
      </c>
      <c r="C83" s="72" t="s">
        <v>81</v>
      </c>
      <c r="D83" s="73">
        <v>2.38</v>
      </c>
      <c r="E83" s="70"/>
      <c r="F83" s="70"/>
      <c r="G83" s="70"/>
      <c r="H83" s="71"/>
      <c r="I83" s="70"/>
      <c r="J83" s="70"/>
      <c r="K83" s="70"/>
    </row>
    <row r="84" spans="1:12" x14ac:dyDescent="0.25">
      <c r="B84" s="22" t="s">
        <v>82</v>
      </c>
      <c r="C84" s="72" t="s">
        <v>83</v>
      </c>
      <c r="D84" s="73">
        <v>2.39</v>
      </c>
      <c r="E84" s="70"/>
      <c r="F84" s="70"/>
      <c r="G84" s="70"/>
      <c r="H84" s="71"/>
      <c r="I84" s="70"/>
      <c r="J84" s="70"/>
      <c r="K84" s="70"/>
    </row>
    <row r="85" spans="1:12" x14ac:dyDescent="0.25">
      <c r="B85" s="22" t="s">
        <v>84</v>
      </c>
      <c r="C85" s="72" t="s">
        <v>85</v>
      </c>
      <c r="D85" s="73">
        <v>1.6</v>
      </c>
      <c r="E85" s="70"/>
      <c r="F85" s="70"/>
      <c r="G85" s="70"/>
      <c r="H85" s="71"/>
      <c r="I85" s="70"/>
      <c r="J85" s="70"/>
      <c r="K85" s="70"/>
    </row>
    <row r="86" spans="1:12" x14ac:dyDescent="0.25">
      <c r="B86" s="22" t="s">
        <v>86</v>
      </c>
      <c r="C86" s="72" t="s">
        <v>87</v>
      </c>
      <c r="D86" s="73">
        <v>8.67</v>
      </c>
      <c r="E86" s="70"/>
      <c r="F86" s="70"/>
      <c r="G86" s="70"/>
      <c r="H86" s="71"/>
      <c r="I86" s="70"/>
      <c r="J86" s="70"/>
      <c r="K86" s="70"/>
    </row>
    <row r="87" spans="1:12" x14ac:dyDescent="0.25">
      <c r="B87" s="22" t="s">
        <v>88</v>
      </c>
      <c r="C87" s="72" t="s">
        <v>89</v>
      </c>
      <c r="D87" s="73">
        <v>1.76</v>
      </c>
      <c r="E87" s="70"/>
      <c r="F87" s="70"/>
      <c r="G87" s="70"/>
      <c r="H87" s="71"/>
      <c r="I87" s="70"/>
      <c r="J87" s="70"/>
      <c r="K87" s="70"/>
    </row>
    <row r="88" spans="1:12" x14ac:dyDescent="0.25">
      <c r="B88" s="23" t="s">
        <v>90</v>
      </c>
      <c r="C88" s="74" t="s">
        <v>91</v>
      </c>
      <c r="D88" s="75">
        <v>1.93</v>
      </c>
      <c r="E88" s="70"/>
      <c r="F88" s="70"/>
      <c r="G88" s="70"/>
      <c r="H88" s="71"/>
      <c r="I88" s="70"/>
      <c r="J88" s="70"/>
      <c r="K88" s="70"/>
    </row>
    <row r="89" spans="1:12" x14ac:dyDescent="0.25">
      <c r="B89" s="24" t="s">
        <v>75</v>
      </c>
      <c r="C89" s="21"/>
      <c r="D89" s="21"/>
      <c r="E89" s="70"/>
      <c r="F89" s="70"/>
      <c r="G89" s="70"/>
      <c r="H89" s="71"/>
      <c r="I89" s="70"/>
      <c r="J89" s="70"/>
      <c r="K89" s="70"/>
    </row>
    <row r="90" spans="1:12" x14ac:dyDescent="0.25">
      <c r="B90" s="21" t="s">
        <v>92</v>
      </c>
      <c r="C90" s="21"/>
      <c r="D90" s="21"/>
      <c r="E90" s="70"/>
      <c r="F90" s="70"/>
      <c r="G90" s="70"/>
      <c r="H90" s="71"/>
      <c r="I90" s="70"/>
      <c r="J90" s="70"/>
      <c r="K90" s="70"/>
    </row>
    <row r="91" spans="1:12" x14ac:dyDescent="0.25">
      <c r="B91" s="21"/>
      <c r="C91" s="21"/>
      <c r="D91" s="21"/>
      <c r="E91" s="70"/>
      <c r="F91" s="70"/>
      <c r="G91" s="70"/>
      <c r="H91" s="71"/>
      <c r="I91" s="70"/>
      <c r="J91" s="70"/>
      <c r="K91" s="70"/>
    </row>
    <row r="92" spans="1:12" s="77" customFormat="1" x14ac:dyDescent="0.25">
      <c r="A92" s="80"/>
      <c r="B92" s="76" t="s">
        <v>111</v>
      </c>
      <c r="C92" s="70"/>
      <c r="D92" s="70"/>
      <c r="E92" s="70"/>
      <c r="F92" s="70"/>
      <c r="G92" s="70"/>
      <c r="H92" s="71"/>
      <c r="I92" s="70"/>
      <c r="J92" s="70"/>
      <c r="K92" s="70"/>
      <c r="L92" s="79"/>
    </row>
    <row r="93" spans="1:12" s="77" customFormat="1" ht="12.75" x14ac:dyDescent="0.25">
      <c r="A93" s="80"/>
      <c r="B93" s="21" t="s">
        <v>93</v>
      </c>
      <c r="C93" s="80"/>
      <c r="D93" s="80"/>
      <c r="E93" s="80"/>
      <c r="F93" s="80"/>
      <c r="G93" s="80"/>
      <c r="H93" s="80"/>
      <c r="I93" s="80"/>
      <c r="J93" s="80"/>
      <c r="K93" s="80"/>
      <c r="L93" s="80"/>
    </row>
    <row r="94" spans="1:12" s="77" customFormat="1" ht="12.75" x14ac:dyDescent="0.25">
      <c r="A94" s="80"/>
      <c r="B94" s="21" t="s">
        <v>94</v>
      </c>
      <c r="C94" s="80"/>
      <c r="D94" s="80"/>
      <c r="E94" s="80"/>
      <c r="F94" s="80"/>
      <c r="G94" s="80"/>
      <c r="H94" s="80"/>
      <c r="I94" s="80"/>
      <c r="J94" s="80"/>
      <c r="K94" s="80"/>
      <c r="L94" s="80"/>
    </row>
    <row r="95" spans="1:12" s="77" customFormat="1" ht="12.75" x14ac:dyDescent="0.25">
      <c r="A95" s="80"/>
      <c r="B95" s="21" t="s">
        <v>95</v>
      </c>
      <c r="C95" s="80"/>
      <c r="D95" s="80"/>
      <c r="E95" s="80"/>
      <c r="F95" s="80"/>
      <c r="G95" s="80"/>
      <c r="H95" s="80"/>
      <c r="I95" s="80"/>
      <c r="J95" s="80"/>
      <c r="K95" s="80"/>
      <c r="L95" s="80"/>
    </row>
    <row r="96" spans="1:12" s="77" customFormat="1" ht="12.75" x14ac:dyDescent="0.25">
      <c r="A96" s="80"/>
      <c r="B96" s="21" t="s">
        <v>96</v>
      </c>
      <c r="C96" s="80"/>
      <c r="D96" s="80"/>
      <c r="E96" s="80"/>
      <c r="F96" s="80"/>
      <c r="G96" s="80"/>
      <c r="H96" s="80"/>
      <c r="I96" s="80"/>
      <c r="J96" s="80"/>
      <c r="K96" s="80"/>
      <c r="L96" s="80"/>
    </row>
    <row r="97" spans="1:12" s="77" customFormat="1" ht="12.75" x14ac:dyDescent="0.25">
      <c r="A97" s="80"/>
      <c r="B97" s="21" t="s">
        <v>97</v>
      </c>
      <c r="C97" s="80"/>
      <c r="D97" s="80"/>
      <c r="E97" s="80"/>
      <c r="F97" s="80"/>
      <c r="G97" s="80"/>
      <c r="H97" s="80"/>
      <c r="I97" s="80"/>
      <c r="J97" s="80"/>
      <c r="K97" s="80"/>
      <c r="L97" s="80"/>
    </row>
    <row r="98" spans="1:12" s="77" customFormat="1" ht="12.75" x14ac:dyDescent="0.25">
      <c r="A98" s="80"/>
      <c r="B98" s="21" t="s">
        <v>98</v>
      </c>
      <c r="C98" s="80"/>
      <c r="D98" s="80"/>
      <c r="E98" s="80"/>
      <c r="F98" s="80"/>
      <c r="G98" s="80"/>
      <c r="H98" s="80"/>
      <c r="I98" s="80"/>
      <c r="J98" s="80"/>
      <c r="K98" s="80"/>
      <c r="L98" s="80"/>
    </row>
    <row r="99" spans="1:12" s="79" customFormat="1" x14ac:dyDescent="0.25">
      <c r="B99" s="21" t="s">
        <v>102</v>
      </c>
      <c r="C99" s="21"/>
      <c r="D99" s="21"/>
      <c r="E99" s="21"/>
      <c r="F99" s="21"/>
      <c r="G99" s="21"/>
      <c r="H99" s="21"/>
      <c r="I99" s="21"/>
      <c r="J99" s="21"/>
      <c r="K99" s="21"/>
      <c r="L99" s="80"/>
    </row>
    <row r="100" spans="1:12" x14ac:dyDescent="0.25">
      <c r="B100" s="79"/>
      <c r="C100" s="79"/>
      <c r="D100" s="79"/>
      <c r="E100" s="79"/>
      <c r="F100" s="79"/>
      <c r="G100" s="79"/>
      <c r="H100" s="79"/>
      <c r="I100" s="79"/>
      <c r="J100" s="79"/>
      <c r="K100" s="79"/>
    </row>
  </sheetData>
  <mergeCells count="1">
    <mergeCell ref="I20:K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30"/>
  <sheetViews>
    <sheetView showGridLines="0" topLeftCell="A13" zoomScale="70" zoomScaleNormal="70" workbookViewId="0">
      <selection activeCell="R47" sqref="R47"/>
    </sheetView>
  </sheetViews>
  <sheetFormatPr defaultRowHeight="15" x14ac:dyDescent="0.25"/>
  <cols>
    <col min="1" max="1" width="2.28515625" customWidth="1"/>
    <col min="2" max="2" width="10" customWidth="1"/>
    <col min="3" max="5" width="11.7109375" bestFit="1" customWidth="1"/>
    <col min="6" max="6" width="10.5703125" customWidth="1"/>
    <col min="7" max="9" width="11.7109375" bestFit="1" customWidth="1"/>
    <col min="10" max="11" width="10.5703125" bestFit="1" customWidth="1"/>
    <col min="12" max="13" width="11.7109375" bestFit="1" customWidth="1"/>
    <col min="14" max="14" width="15" customWidth="1"/>
    <col min="15" max="15" width="11.28515625" bestFit="1" customWidth="1"/>
    <col min="16" max="16" width="10" customWidth="1"/>
    <col min="17" max="17" width="19.28515625" customWidth="1"/>
    <col min="18" max="18" width="13.42578125" customWidth="1"/>
    <col min="19" max="19" width="14.28515625" customWidth="1"/>
    <col min="20" max="26" width="12.7109375" customWidth="1"/>
    <col min="27" max="27" width="20.42578125" customWidth="1"/>
    <col min="32" max="32" width="11.7109375" bestFit="1" customWidth="1"/>
  </cols>
  <sheetData>
    <row r="1" spans="2:21" ht="21" x14ac:dyDescent="0.35">
      <c r="B1" s="217" t="s">
        <v>151</v>
      </c>
    </row>
    <row r="2" spans="2:21" ht="10.15" customHeight="1" x14ac:dyDescent="0.3">
      <c r="B2" s="152"/>
    </row>
    <row r="3" spans="2:21" ht="18.75" x14ac:dyDescent="0.3">
      <c r="B3" s="210" t="s">
        <v>179</v>
      </c>
    </row>
    <row r="4" spans="2:21" x14ac:dyDescent="0.25">
      <c r="B4" s="118" t="s">
        <v>153</v>
      </c>
      <c r="O4" s="118" t="s">
        <v>170</v>
      </c>
      <c r="Q4">
        <f>'VACCINATION CALCULATOR'!C29</f>
        <v>5</v>
      </c>
      <c r="S4" s="118" t="s">
        <v>173</v>
      </c>
    </row>
    <row r="5" spans="2:21" x14ac:dyDescent="0.25">
      <c r="B5" s="31" t="s">
        <v>4</v>
      </c>
      <c r="C5" s="159"/>
      <c r="D5" s="159"/>
      <c r="E5" s="522" t="s">
        <v>147</v>
      </c>
      <c r="F5" s="522"/>
      <c r="G5" s="522"/>
      <c r="H5" s="522"/>
      <c r="J5" s="207" t="s">
        <v>148</v>
      </c>
      <c r="K5" s="208" t="s">
        <v>152</v>
      </c>
      <c r="L5" s="196" t="s">
        <v>169</v>
      </c>
      <c r="M5" s="196" t="s">
        <v>149</v>
      </c>
      <c r="O5" s="207" t="s">
        <v>168</v>
      </c>
      <c r="P5" s="207" t="s">
        <v>171</v>
      </c>
      <c r="Q5" s="207" t="s">
        <v>172</v>
      </c>
      <c r="S5" s="207" t="s">
        <v>177</v>
      </c>
      <c r="T5" s="207" t="s">
        <v>178</v>
      </c>
      <c r="U5" s="207" t="s">
        <v>39</v>
      </c>
    </row>
    <row r="6" spans="2:21" x14ac:dyDescent="0.25">
      <c r="B6" s="157"/>
      <c r="C6" s="157"/>
      <c r="D6" s="157"/>
      <c r="E6" s="154" t="s">
        <v>0</v>
      </c>
      <c r="F6" s="154" t="s">
        <v>1</v>
      </c>
      <c r="G6" s="154" t="s">
        <v>2</v>
      </c>
      <c r="H6" s="154" t="s">
        <v>3</v>
      </c>
      <c r="J6" s="160">
        <v>0</v>
      </c>
      <c r="K6" s="162">
        <v>0.05</v>
      </c>
      <c r="L6" s="161">
        <v>0</v>
      </c>
      <c r="M6" s="161">
        <v>0.1</v>
      </c>
      <c r="O6" s="153">
        <v>1</v>
      </c>
      <c r="P6" s="153">
        <v>1</v>
      </c>
      <c r="Q6" s="153">
        <v>0.15</v>
      </c>
      <c r="S6" s="211" t="s">
        <v>208</v>
      </c>
      <c r="T6" s="161">
        <v>0</v>
      </c>
      <c r="U6" s="161">
        <f>0.7/4</f>
        <v>0.17499999999999999</v>
      </c>
    </row>
    <row r="7" spans="2:21" x14ac:dyDescent="0.25">
      <c r="B7" s="156" t="s">
        <v>5</v>
      </c>
      <c r="C7" s="157"/>
      <c r="D7" s="157"/>
      <c r="E7" s="163">
        <f>IF('VACCINATION CALCULATOR'!C25&lt;0,"only + numbers",IF('VACCINATION CALCULATOR'!C25&lt;Calculations!$M$6,Calculations!$J$6,IF('VACCINATION CALCULATOR'!C25&lt;Calculations!$M$7,Calculations!$J$7,IF('VACCINATION CALCULATOR'!C25&lt;Calculations!$M$8,Calculations!$J$8,IF('VACCINATION CALCULATOR'!C25&lt;Calculations!$M$9,Calculations!$J$9,IF('VACCINATION CALCULATOR'!C25&lt;Calculations!$M$10,Calculations!$J$10,IF('VACCINATION CALCULATOR'!C25&lt;=Calculations!$M$11,Calculations!$J$11,"Error")))))))</f>
        <v>4</v>
      </c>
      <c r="F7" s="163">
        <f>IF('VACCINATION CALCULATOR'!D25&lt;0,"only + numbers",IF('VACCINATION CALCULATOR'!D25&lt;Calculations!$M$6,Calculations!$J$6,IF('VACCINATION CALCULATOR'!D25&lt;Calculations!$M$7,Calculations!$J$7,IF('VACCINATION CALCULATOR'!D25&lt;Calculations!$M$8,Calculations!$J$8,IF('VACCINATION CALCULATOR'!D25&lt;Calculations!$M$9,Calculations!$J$9,IF('VACCINATION CALCULATOR'!D25&lt;Calculations!$M$10,Calculations!$J$10,IF('VACCINATION CALCULATOR'!D25&lt;=Calculations!$M$11,Calculations!$J$11,"Error")))))))</f>
        <v>4</v>
      </c>
      <c r="G7" s="163">
        <f>IF('VACCINATION CALCULATOR'!E25&lt;0,"only + numbers",IF('VACCINATION CALCULATOR'!E25&lt;Calculations!$M$6,Calculations!$J$6,IF('VACCINATION CALCULATOR'!E25&lt;Calculations!$M$7,Calculations!$J$7,IF('VACCINATION CALCULATOR'!E25&lt;Calculations!$M$8,Calculations!$J$8,IF('VACCINATION CALCULATOR'!E25&lt;Calculations!$M$9,Calculations!$J$9,IF('VACCINATION CALCULATOR'!E25&lt;Calculations!$M$10,Calculations!$J$10,IF('VACCINATION CALCULATOR'!E25&lt;=Calculations!$M$11,Calculations!$J$11,"Error")))))))</f>
        <v>0</v>
      </c>
      <c r="H7" s="163">
        <f>IF('VACCINATION CALCULATOR'!F25&lt;0,"only + numbers",IF('VACCINATION CALCULATOR'!F25&lt;Calculations!$M$6,Calculations!$J$6,IF('VACCINATION CALCULATOR'!F25&lt;Calculations!$M$7,Calculations!$J$7,IF('VACCINATION CALCULATOR'!F25&lt;Calculations!$M$8,Calculations!$J$8,IF('VACCINATION CALCULATOR'!F25&lt;Calculations!$M$9,Calculations!$J$9,IF('VACCINATION CALCULATOR'!F25&lt;Calculations!$M$10,Calculations!$J$10,IF('VACCINATION CALCULATOR'!F25&lt;=Calculations!$M$11,Calculations!$J$11,"Error")))))))</f>
        <v>0</v>
      </c>
      <c r="J7" s="160">
        <v>1</v>
      </c>
      <c r="K7" s="162">
        <v>0.2</v>
      </c>
      <c r="L7" s="161">
        <v>0.1</v>
      </c>
      <c r="M7" s="161">
        <v>0.2999</v>
      </c>
      <c r="O7" s="153">
        <v>2</v>
      </c>
      <c r="P7" s="153">
        <v>1</v>
      </c>
      <c r="Q7" s="153">
        <v>0.15</v>
      </c>
      <c r="S7" s="211" t="s">
        <v>211</v>
      </c>
      <c r="T7" s="161">
        <f>0.7/4</f>
        <v>0.17499999999999999</v>
      </c>
      <c r="U7" s="161">
        <v>0.35</v>
      </c>
    </row>
    <row r="8" spans="2:21" x14ac:dyDescent="0.25">
      <c r="B8" s="156" t="s">
        <v>6</v>
      </c>
      <c r="C8" s="157"/>
      <c r="D8" s="157"/>
      <c r="E8" s="163">
        <f>IF('VACCINATION CALCULATOR'!C26&lt;0,"only + numbers",IF('VACCINATION CALCULATOR'!C26&lt;Calculations!$M$6,Calculations!$J$6,IF('VACCINATION CALCULATOR'!C26&lt;Calculations!$M$7,Calculations!$J$7,IF('VACCINATION CALCULATOR'!C26&lt;Calculations!$M$8,Calculations!$J$8,IF('VACCINATION CALCULATOR'!C26&lt;Calculations!$M$9,Calculations!$J$9,IF('VACCINATION CALCULATOR'!C26&lt;Calculations!$M$10,Calculations!$J$10,IF('VACCINATION CALCULATOR'!C26&lt;=Calculations!$M$11,Calculations!$J$11,"Error")))))))</f>
        <v>3</v>
      </c>
      <c r="F8" s="163">
        <f>IF('VACCINATION CALCULATOR'!D26&lt;0,"only + numbers",IF('VACCINATION CALCULATOR'!D26&lt;Calculations!$M$6,Calculations!$J$6,IF('VACCINATION CALCULATOR'!D26&lt;Calculations!$M$7,Calculations!$J$7,IF('VACCINATION CALCULATOR'!D26&lt;Calculations!$M$8,Calculations!$J$8,IF('VACCINATION CALCULATOR'!D26&lt;Calculations!$M$9,Calculations!$J$9,IF('VACCINATION CALCULATOR'!D26&lt;Calculations!$M$10,Calculations!$J$10,IF('VACCINATION CALCULATOR'!D26&lt;=Calculations!$M$11,Calculations!$J$11,"Error")))))))</f>
        <v>3</v>
      </c>
      <c r="G8" s="163">
        <f>IF('VACCINATION CALCULATOR'!E26&lt;0,"only + numbers",IF('VACCINATION CALCULATOR'!E26&lt;Calculations!$M$6,Calculations!$J$6,IF('VACCINATION CALCULATOR'!E26&lt;Calculations!$M$7,Calculations!$J$7,IF('VACCINATION CALCULATOR'!E26&lt;Calculations!$M$8,Calculations!$J$8,IF('VACCINATION CALCULATOR'!E26&lt;Calculations!$M$9,Calculations!$J$9,IF('VACCINATION CALCULATOR'!E26&lt;Calculations!$M$10,Calculations!$J$10,IF('VACCINATION CALCULATOR'!E26&lt;=Calculations!$M$11,Calculations!$J$11,"Error")))))))</f>
        <v>4</v>
      </c>
      <c r="H8" s="163">
        <f>IF('VACCINATION CALCULATOR'!F26&lt;0,"only + numbers",IF('VACCINATION CALCULATOR'!F26&lt;Calculations!$M$6,Calculations!$J$6,IF('VACCINATION CALCULATOR'!F26&lt;Calculations!$M$7,Calculations!$J$7,IF('VACCINATION CALCULATOR'!F26&lt;Calculations!$M$8,Calculations!$J$8,IF('VACCINATION CALCULATOR'!F26&lt;Calculations!$M$9,Calculations!$J$9,IF('VACCINATION CALCULATOR'!F26&lt;Calculations!$M$10,Calculations!$J$10,IF('VACCINATION CALCULATOR'!F26&lt;=Calculations!$M$11,Calculations!$J$11,"Error")))))))</f>
        <v>4</v>
      </c>
      <c r="J8" s="160">
        <v>2</v>
      </c>
      <c r="K8" s="162">
        <v>0.4</v>
      </c>
      <c r="L8" s="161">
        <v>0.3</v>
      </c>
      <c r="M8" s="161">
        <v>0.49990000000000001</v>
      </c>
      <c r="O8" s="153">
        <v>3</v>
      </c>
      <c r="P8" s="153">
        <v>2</v>
      </c>
      <c r="Q8" s="153">
        <v>0.12</v>
      </c>
      <c r="S8" s="211" t="s">
        <v>233</v>
      </c>
      <c r="T8" s="252">
        <v>0.35</v>
      </c>
      <c r="U8" s="252">
        <v>0.7</v>
      </c>
    </row>
    <row r="9" spans="2:21" x14ac:dyDescent="0.25">
      <c r="B9" s="156" t="s">
        <v>7</v>
      </c>
      <c r="C9" s="157"/>
      <c r="D9" s="157"/>
      <c r="E9" s="163">
        <f>IF('VACCINATION CALCULATOR'!C27&lt;0,"only + numbers",IF('VACCINATION CALCULATOR'!C27&lt;Calculations!$M$6,Calculations!$J$6,IF('VACCINATION CALCULATOR'!C27&lt;Calculations!$M$7,Calculations!$J$7,IF('VACCINATION CALCULATOR'!C27&lt;Calculations!$M$8,Calculations!$J$8,IF('VACCINATION CALCULATOR'!C27&lt;Calculations!$M$9,Calculations!$J$9,IF('VACCINATION CALCULATOR'!C27&lt;Calculations!$M$10,Calculations!$J$10,IF('VACCINATION CALCULATOR'!C27&lt;=Calculations!$M$11,Calculations!$J$11,"Error")))))))</f>
        <v>0</v>
      </c>
      <c r="F9" s="163">
        <f>IF('VACCINATION CALCULATOR'!D27&lt;0,"only + numbers",IF('VACCINATION CALCULATOR'!D27&lt;Calculations!$M$6,Calculations!$J$6,IF('VACCINATION CALCULATOR'!D27&lt;Calculations!$M$7,Calculations!$J$7,IF('VACCINATION CALCULATOR'!D27&lt;Calculations!$M$8,Calculations!$J$8,IF('VACCINATION CALCULATOR'!D27&lt;Calculations!$M$9,Calculations!$J$9,IF('VACCINATION CALCULATOR'!D27&lt;Calculations!$M$10,Calculations!$J$10,IF('VACCINATION CALCULATOR'!D27&lt;=Calculations!$M$11,Calculations!$J$11,"Error")))))))</f>
        <v>0</v>
      </c>
      <c r="G9" s="163">
        <f>IF('VACCINATION CALCULATOR'!E27&lt;0,"only + numbers",IF('VACCINATION CALCULATOR'!E27&lt;Calculations!$M$6,Calculations!$J$6,IF('VACCINATION CALCULATOR'!E27&lt;Calculations!$M$7,Calculations!$J$7,IF('VACCINATION CALCULATOR'!E27&lt;Calculations!$M$8,Calculations!$J$8,IF('VACCINATION CALCULATOR'!E27&lt;Calculations!$M$9,Calculations!$J$9,IF('VACCINATION CALCULATOR'!E27&lt;Calculations!$M$10,Calculations!$J$10,IF('VACCINATION CALCULATOR'!E27&lt;=Calculations!$M$11,Calculations!$J$11,"Error")))))))</f>
        <v>3</v>
      </c>
      <c r="H9" s="163">
        <f>IF('VACCINATION CALCULATOR'!F27&lt;0,"only + numbers",IF('VACCINATION CALCULATOR'!F27&lt;Calculations!$M$6,Calculations!$J$6,IF('VACCINATION CALCULATOR'!F27&lt;Calculations!$M$7,Calculations!$J$7,IF('VACCINATION CALCULATOR'!F27&lt;Calculations!$M$8,Calculations!$J$8,IF('VACCINATION CALCULATOR'!F27&lt;Calculations!$M$9,Calculations!$J$9,IF('VACCINATION CALCULATOR'!F27&lt;Calculations!$M$10,Calculations!$J$10,IF('VACCINATION CALCULATOR'!F27&lt;=Calculations!$M$11,Calculations!$J$11,"Error")))))))</f>
        <v>4</v>
      </c>
      <c r="J9" s="160">
        <v>3</v>
      </c>
      <c r="K9" s="162">
        <v>0.6</v>
      </c>
      <c r="L9" s="161">
        <v>0.5</v>
      </c>
      <c r="M9" s="161">
        <v>0.69989999999999997</v>
      </c>
      <c r="O9" s="153">
        <v>4</v>
      </c>
      <c r="P9" s="153">
        <v>2</v>
      </c>
      <c r="Q9" s="153">
        <v>0.12</v>
      </c>
      <c r="S9" s="211" t="s">
        <v>181</v>
      </c>
      <c r="T9" s="161">
        <v>0.7</v>
      </c>
      <c r="U9" s="161">
        <v>1</v>
      </c>
    </row>
    <row r="10" spans="2:21" x14ac:dyDescent="0.25">
      <c r="B10" s="181"/>
      <c r="C10" s="181"/>
      <c r="D10" s="181"/>
      <c r="E10" s="181"/>
      <c r="F10" s="181"/>
      <c r="G10" s="181"/>
      <c r="H10" s="181"/>
      <c r="J10" s="160">
        <v>4</v>
      </c>
      <c r="K10" s="162">
        <v>0.8</v>
      </c>
      <c r="L10" s="161">
        <v>0.7</v>
      </c>
      <c r="M10" s="161">
        <v>0.89990000000000003</v>
      </c>
      <c r="O10" s="153">
        <v>5</v>
      </c>
      <c r="P10" s="153">
        <v>2</v>
      </c>
      <c r="Q10" s="153">
        <v>0.12</v>
      </c>
      <c r="S10" s="213" t="s">
        <v>177</v>
      </c>
      <c r="T10" s="214"/>
      <c r="U10" s="214">
        <f>'VACCINATION CALCULATOR'!C32</f>
        <v>0.1</v>
      </c>
    </row>
    <row r="11" spans="2:21" x14ac:dyDescent="0.25">
      <c r="B11" s="523" t="s">
        <v>155</v>
      </c>
      <c r="C11" s="523"/>
      <c r="D11" s="523"/>
      <c r="E11" s="523"/>
      <c r="F11" s="523"/>
      <c r="G11" s="523"/>
      <c r="H11" s="523"/>
      <c r="J11" s="182">
        <v>5</v>
      </c>
      <c r="K11" s="183">
        <v>0.95</v>
      </c>
      <c r="L11" s="184">
        <v>0.9</v>
      </c>
      <c r="M11" s="184">
        <v>1</v>
      </c>
      <c r="O11" s="153">
        <v>6</v>
      </c>
      <c r="P11" s="153">
        <v>3</v>
      </c>
      <c r="Q11" s="153">
        <v>0.08</v>
      </c>
      <c r="S11" s="211" t="s">
        <v>182</v>
      </c>
      <c r="T11" s="211"/>
      <c r="U11" s="211" t="str">
        <f>IF(U10&lt;0, "Error",IF(U10&gt;1, "error", IF(U10&lt;U6,"Phase I", IF(U10&lt;U7, "Phase II a", IF(U10&lt;U8,"Phase II b", IF(U10&lt;=U9,"Phase III"))))))</f>
        <v>Phase I</v>
      </c>
    </row>
    <row r="12" spans="2:21" x14ac:dyDescent="0.25">
      <c r="B12" s="524"/>
      <c r="C12" s="524"/>
      <c r="D12" s="524"/>
      <c r="E12" s="524"/>
      <c r="F12" s="524"/>
      <c r="G12" s="524"/>
      <c r="H12" s="524"/>
      <c r="O12" s="153">
        <v>7</v>
      </c>
      <c r="P12" s="153">
        <v>3</v>
      </c>
      <c r="Q12" s="153">
        <v>0.08</v>
      </c>
      <c r="S12" s="212" t="s">
        <v>183</v>
      </c>
      <c r="T12" s="212"/>
      <c r="U12" s="212">
        <f>IF(U10&lt;0, "Error",IF(U10&gt;1, "error", IF(U10&lt;U6,1, IF(U10&lt;U7, 2, IF(U10&lt;U8,3, IF(U10&lt;=U9,4))))))</f>
        <v>1</v>
      </c>
    </row>
    <row r="13" spans="2:21" x14ac:dyDescent="0.25">
      <c r="B13" s="118" t="s">
        <v>142</v>
      </c>
      <c r="C13" s="12"/>
      <c r="D13" s="12"/>
      <c r="E13" s="12"/>
      <c r="F13" s="12"/>
      <c r="O13" s="153">
        <v>8</v>
      </c>
      <c r="P13" s="153">
        <v>3</v>
      </c>
      <c r="Q13" s="153">
        <v>0.08</v>
      </c>
    </row>
    <row r="14" spans="2:21" x14ac:dyDescent="0.25">
      <c r="B14" s="205"/>
      <c r="C14" s="205"/>
      <c r="D14" s="206" t="s">
        <v>1</v>
      </c>
      <c r="E14" s="206" t="s">
        <v>0</v>
      </c>
      <c r="F14" s="206" t="s">
        <v>2</v>
      </c>
      <c r="G14" s="206" t="s">
        <v>3</v>
      </c>
      <c r="O14" s="153">
        <v>9</v>
      </c>
      <c r="P14" s="153">
        <v>4</v>
      </c>
      <c r="Q14" s="153">
        <v>0.05</v>
      </c>
    </row>
    <row r="15" spans="2:21" x14ac:dyDescent="0.25">
      <c r="B15" s="156" t="s">
        <v>5</v>
      </c>
      <c r="C15" s="156"/>
      <c r="D15" s="155">
        <v>1</v>
      </c>
      <c r="E15" s="155">
        <v>1</v>
      </c>
      <c r="F15" s="155">
        <v>3</v>
      </c>
      <c r="G15" s="155">
        <v>3</v>
      </c>
      <c r="O15" s="209">
        <v>10</v>
      </c>
      <c r="P15" s="209">
        <v>4</v>
      </c>
      <c r="Q15" s="209">
        <v>0.05</v>
      </c>
    </row>
    <row r="16" spans="2:21" x14ac:dyDescent="0.25">
      <c r="B16" s="156" t="s">
        <v>6</v>
      </c>
      <c r="C16" s="156"/>
      <c r="D16" s="155">
        <v>2</v>
      </c>
      <c r="E16" s="155">
        <v>2</v>
      </c>
      <c r="F16" s="155">
        <v>1</v>
      </c>
      <c r="G16" s="155">
        <v>2</v>
      </c>
    </row>
    <row r="17" spans="2:27" x14ac:dyDescent="0.25">
      <c r="B17" s="186" t="s">
        <v>7</v>
      </c>
      <c r="C17" s="186"/>
      <c r="D17" s="185">
        <v>3</v>
      </c>
      <c r="E17" s="185">
        <v>3</v>
      </c>
      <c r="F17" s="185">
        <v>2</v>
      </c>
      <c r="G17" s="185">
        <v>1</v>
      </c>
    </row>
    <row r="18" spans="2:27" s="9" customFormat="1" x14ac:dyDescent="0.25">
      <c r="B18" s="141"/>
      <c r="C18" s="141"/>
      <c r="D18" s="141"/>
      <c r="E18" s="141"/>
      <c r="F18" s="141"/>
    </row>
    <row r="19" spans="2:27" ht="18.75" x14ac:dyDescent="0.3">
      <c r="B19" s="210" t="s">
        <v>180</v>
      </c>
      <c r="C19" s="11"/>
      <c r="D19" s="11"/>
      <c r="E19" s="11"/>
      <c r="F19" s="11"/>
    </row>
    <row r="20" spans="2:27" ht="6.6" customHeight="1" x14ac:dyDescent="0.3">
      <c r="B20" s="210"/>
      <c r="C20" s="11"/>
      <c r="D20" s="11"/>
      <c r="E20" s="11"/>
      <c r="F20" s="11"/>
    </row>
    <row r="21" spans="2:27" x14ac:dyDescent="0.25">
      <c r="B21" s="118" t="s">
        <v>9</v>
      </c>
      <c r="Q21" s="118" t="s">
        <v>162</v>
      </c>
    </row>
    <row r="22" spans="2:27" x14ac:dyDescent="0.25">
      <c r="B22" s="179"/>
      <c r="C22" s="521" t="s">
        <v>5</v>
      </c>
      <c r="D22" s="521"/>
      <c r="E22" s="521"/>
      <c r="F22" s="521"/>
      <c r="G22" s="521" t="s">
        <v>6</v>
      </c>
      <c r="H22" s="521"/>
      <c r="I22" s="521"/>
      <c r="J22" s="521"/>
      <c r="K22" s="521" t="s">
        <v>7</v>
      </c>
      <c r="L22" s="521"/>
      <c r="M22" s="521"/>
      <c r="N22" s="521"/>
      <c r="Q22" s="190"/>
      <c r="R22" s="521" t="s">
        <v>9</v>
      </c>
      <c r="S22" s="521"/>
      <c r="T22" s="521"/>
      <c r="U22" s="521"/>
      <c r="V22" s="521" t="s">
        <v>163</v>
      </c>
      <c r="W22" s="521"/>
      <c r="X22" s="521"/>
      <c r="Y22" s="521"/>
      <c r="Z22" s="179"/>
      <c r="AA22" s="197" t="s">
        <v>281</v>
      </c>
    </row>
    <row r="23" spans="2:27" x14ac:dyDescent="0.25">
      <c r="B23" s="180"/>
      <c r="C23" s="164" t="s">
        <v>0</v>
      </c>
      <c r="D23" s="164" t="s">
        <v>1</v>
      </c>
      <c r="E23" s="164" t="s">
        <v>2</v>
      </c>
      <c r="F23" s="164" t="s">
        <v>3</v>
      </c>
      <c r="G23" s="164" t="s">
        <v>0</v>
      </c>
      <c r="H23" s="164" t="s">
        <v>1</v>
      </c>
      <c r="I23" s="164" t="s">
        <v>2</v>
      </c>
      <c r="J23" s="164" t="s">
        <v>3</v>
      </c>
      <c r="K23" s="164" t="s">
        <v>0</v>
      </c>
      <c r="L23" s="164" t="s">
        <v>1</v>
      </c>
      <c r="M23" s="164" t="s">
        <v>2</v>
      </c>
      <c r="N23" s="164" t="s">
        <v>3</v>
      </c>
      <c r="Q23" s="187"/>
      <c r="R23" s="164" t="s">
        <v>0</v>
      </c>
      <c r="S23" s="164" t="s">
        <v>1</v>
      </c>
      <c r="T23" s="164" t="s">
        <v>2</v>
      </c>
      <c r="U23" s="164" t="s">
        <v>3</v>
      </c>
      <c r="V23" s="164" t="s">
        <v>0</v>
      </c>
      <c r="W23" s="164" t="s">
        <v>1</v>
      </c>
      <c r="X23" s="164" t="s">
        <v>2</v>
      </c>
      <c r="Y23" s="164" t="s">
        <v>3</v>
      </c>
      <c r="Z23" s="164" t="s">
        <v>158</v>
      </c>
      <c r="AA23" s="325" t="s">
        <v>283</v>
      </c>
    </row>
    <row r="24" spans="2:27" x14ac:dyDescent="0.25">
      <c r="C24" s="167">
        <f>IF(E7=0,('VACCINATION CALCULATOR'!$C$5*K6),IF(E7=1,('VACCINATION CALCULATOR'!$C$5*K7),IF(E7=2,('VACCINATION CALCULATOR'!$C$5*K8),IF(E7=3,('VACCINATION CALCULATOR'!$C$5*K9),IF(E7=4,('VACCINATION CALCULATOR'!$C$5*K10),IF(E7=5,('VACCINATION CALCULATOR'!$C$5*K11),"na"))))))</f>
        <v>6720</v>
      </c>
      <c r="D24" s="167">
        <f>IF(F7=0,('VACCINATION CALCULATOR'!$C$5*K6),IF(F7=1,('VACCINATION CALCULATOR'!$C$5*K7),IF(F7=2,('VACCINATION CALCULATOR'!$C$5*K8),IF(F7=3,('VACCINATION CALCULATOR'!$C$5*K9),IF(F7=4,('VACCINATION CALCULATOR'!$C$5*K10),IF(F7=5,('VACCINATION CALCULATOR'!$C$5*K11),"na"))))))</f>
        <v>6720</v>
      </c>
      <c r="E24" s="167">
        <f>IF(G7=0,('VACCINATION CALCULATOR'!$C$5*K6),IF(G7=1,('VACCINATION CALCULATOR'!$C$5*K7),IF(G7=2,('VACCINATION CALCULATOR'!$C$5*K8),IF(G7=3,('VACCINATION CALCULATOR'!$C$5*K9),IF(G7=4,('VACCINATION CALCULATOR'!$C$5*K10),IF(G7=5,('VACCINATION CALCULATOR'!$C$5*K11),"na"))))))</f>
        <v>420</v>
      </c>
      <c r="F24" s="168">
        <f>IF(H7=0,('VACCINATION CALCULATOR'!$C$5*K6),IF(H7=1,('VACCINATION CALCULATOR'!$C$5*K7),IF(H7=2,('VACCINATION CALCULATOR'!$C$5*K8),IF(H7=3,('VACCINATION CALCULATOR'!$C$5*K9),IF(H7=4,('VACCINATION CALCULATOR'!$C$5*K10),IF(H7=5,('VACCINATION CALCULATOR'!$C$5*K11),"na"))))))</f>
        <v>420</v>
      </c>
      <c r="G24" s="166">
        <f>IF(E8=0,('VACCINATION CALCULATOR'!$C$6*K6),IF(E8=1,('VACCINATION CALCULATOR'!$C$6*K7),IF(E8=2,('VACCINATION CALCULATOR'!$C$6*K8),IF(E8=3,('VACCINATION CALCULATOR'!$C$6*K9),IF(E8=4,('VACCINATION CALCULATOR'!$C$6*K10),IF(E8=5,('VACCINATION CALCULATOR'!$C$6*K11),"na"))))))</f>
        <v>8640</v>
      </c>
      <c r="H24" s="167">
        <f>IF(F8=0,('VACCINATION CALCULATOR'!$C$6*K6),IF(F8=1,('VACCINATION CALCULATOR'!$C$6*K7),IF(F8=2,('VACCINATION CALCULATOR'!$C$6*K8),IF(F8=3,('VACCINATION CALCULATOR'!$C$6*K9),IF(F8=4,('VACCINATION CALCULATOR'!$C$6*K10),IF(F8=5,('VACCINATION CALCULATOR'!$C$6*K11),"na"))))))</f>
        <v>8640</v>
      </c>
      <c r="I24" s="167">
        <f>IF(G8=0,('VACCINATION CALCULATOR'!$C$6*K6),IF(G8=1,('VACCINATION CALCULATOR'!$C$6*K7),IF(G8=2,('VACCINATION CALCULATOR'!$C$6*K8),IF(G8=3,('VACCINATION CALCULATOR'!$C$6*K9),IF(G8=4,('VACCINATION CALCULATOR'!$C$6*K10),IF(G8=5,('VACCINATION CALCULATOR'!$C$6*K11),"na"))))))</f>
        <v>11520</v>
      </c>
      <c r="J24" s="168">
        <f>IF(H8=0,('VACCINATION CALCULATOR'!$C$6*K6),IF(H8=1,('VACCINATION CALCULATOR'!$C$6*K7),IF(H8=2,('VACCINATION CALCULATOR'!$C$6*K8),IF(H8=3,('VACCINATION CALCULATOR'!$C$6*K9),IF(H8=4,('VACCINATION CALCULATOR'!$C$6*K10),IF(H8=5,('VACCINATION CALCULATOR'!$C$6*K11),"na"))))))</f>
        <v>11520</v>
      </c>
      <c r="K24" s="165">
        <f>IF(E9=0,('VACCINATION CALCULATOR'!$C$7*K6),IF(E9=1,('VACCINATION CALCULATOR'!$C$7*K7),IF(E9=2,('VACCINATION CALCULATOR'!$C$7*K8),IF(E9=3,('VACCINATION CALCULATOR'!$C$7*K9),IF(E9=4,('VACCINATION CALCULATOR'!$C$7*K10),IF(E9=5,('VACCINATION CALCULATOR'!$C$7*K11),"na"))))))</f>
        <v>360</v>
      </c>
      <c r="L24" s="165">
        <f>IF(F9=0,('VACCINATION CALCULATOR'!$C$7*K6),IF(F9=1,('VACCINATION CALCULATOR'!$C$7*K7),IF(F9=2,('VACCINATION CALCULATOR'!$C$7*K8),IF(F9=3,('VACCINATION CALCULATOR'!$C$7*K9),IF(VH10=4,('VACCINATION CALCULATOR'!$C$7*K10),IF(F9=5,('VACCINATION CALCULATOR'!$C$7*K11),"na"))))))</f>
        <v>360</v>
      </c>
      <c r="M24" s="165">
        <f>IF(G9=0,('VACCINATION CALCULATOR'!$C$7*K6),IF(G9=1,('VACCINATION CALCULATOR'!$C$7*K7),IF(G9=2,('VACCINATION CALCULATOR'!$C$7*K8),IF(G9=3,('VACCINATION CALCULATOR'!$C$7*K9),IF(G9=4,('VACCINATION CALCULATOR'!$C$7*K10),IF(G9=5,('VACCINATION CALCULATOR'!$C$7*K11),"na"))))))</f>
        <v>4320</v>
      </c>
      <c r="N24" s="165">
        <f>IF(H9=0,('VACCINATION CALCULATOR'!$C$7*K6),IF(H9=1,('VACCINATION CALCULATOR'!$C$7*K7),IF(H9=2,('VACCINATION CALCULATOR'!$C$7*K8),IF(H9=3,('VACCINATION CALCULATOR'!$C$7*K9),IF(H9=4,('VACCINATION CALCULATOR'!$C$7*K10),IF(H9=5,('VACCINATION CALCULATOR'!$C$7*K11),"na"))))))</f>
        <v>5760</v>
      </c>
      <c r="Q24" s="158" t="s">
        <v>5</v>
      </c>
      <c r="R24" s="188">
        <f>C24</f>
        <v>6720</v>
      </c>
      <c r="S24" s="188">
        <f>D24</f>
        <v>6720</v>
      </c>
      <c r="T24" s="188">
        <f>E24</f>
        <v>420</v>
      </c>
      <c r="U24" s="188">
        <f>F24</f>
        <v>420</v>
      </c>
      <c r="V24" s="188">
        <f>SMALL(S33:T33,1)</f>
        <v>6720</v>
      </c>
      <c r="W24" s="188">
        <f>SMALL(U33:V33,1)</f>
        <v>0</v>
      </c>
      <c r="X24" s="188">
        <f>SMALL(W35:X35,1)</f>
        <v>0</v>
      </c>
      <c r="Y24" s="188">
        <f>SMALL(Y35:Z35,1)</f>
        <v>0</v>
      </c>
      <c r="Z24" s="188">
        <f>SUM(V24:Y24)</f>
        <v>6720</v>
      </c>
      <c r="AA24">
        <f>V24*'VACCINATION CALCULATOR'!C20+Calculations!W24*'VACCINATION CALCULATOR'!C20+Calculations!X24*'VACCINATION CALCULATOR'!C20+Calculations!Y24*'VACCINATION CALCULATOR'!C21</f>
        <v>6720</v>
      </c>
    </row>
    <row r="25" spans="2:27" x14ac:dyDescent="0.25">
      <c r="C25" s="169">
        <f>((SQRT(100))*(VLOOKUP($Q$4,$O$6:$Q$15,3)*Pop_C)/3.92)</f>
        <v>2571.4285714285716</v>
      </c>
      <c r="D25" s="169">
        <f>((SQRT(100))*(VLOOKUP($Q$4,$O$6:$Q$15,3)*Pop_C)/3.92)</f>
        <v>2571.4285714285716</v>
      </c>
      <c r="E25" s="169">
        <f>((SQRT(100))*(VLOOKUP($Q$4,$O$6:$Q$15,3)*Pop_C)/3.92)</f>
        <v>2571.4285714285716</v>
      </c>
      <c r="F25" s="169">
        <f>((SQRT(100))*(VLOOKUP($Q$4,$O$6:$Q$15,3)*Pop_C)/3.92)</f>
        <v>2571.4285714285716</v>
      </c>
      <c r="G25" s="170">
        <f>((SQRT(100))*(VLOOKUP($Q$4,$O$6:$Q$15,3)*Pop_SC)/3.92)</f>
        <v>4408.1632653061224</v>
      </c>
      <c r="H25" s="169">
        <f>((SQRT(100))*(VLOOKUP($Q$4,$O$6:$Q$15,3)*Pop_SC)/3.92)</f>
        <v>4408.1632653061224</v>
      </c>
      <c r="I25" s="169">
        <f>((SQRT(100))*(VLOOKUP($Q$4,$O$6:$Q$15,3)*Pop_SC)/3.92)</f>
        <v>4408.1632653061224</v>
      </c>
      <c r="J25" s="169">
        <f>((SQRT(100))*(VLOOKUP($Q$4,$O$6:$Q$15,3)*Pop_SC)/3.92)</f>
        <v>4408.1632653061224</v>
      </c>
      <c r="K25" s="170">
        <f>((SQRT(100))*(VLOOKUP($Q$4,$O$6:$Q$15,3)*Pop_NC)/3.92)</f>
        <v>2204.0816326530612</v>
      </c>
      <c r="L25" s="169">
        <f>((SQRT(100))*(VLOOKUP($Q$4,$O$6:$Q$15,3)*Pop_NC)/3.92)</f>
        <v>2204.0816326530612</v>
      </c>
      <c r="M25" s="169">
        <f>((SQRT(100))*(VLOOKUP($Q$4,$O$6:$Q$15,3)*Pop_NC)/3.92)</f>
        <v>2204.0816326530612</v>
      </c>
      <c r="N25" s="169">
        <f>((SQRT(100))*(VLOOKUP($Q$4,$O$6:$Q$15,3)*Pop_NC)/3.92)</f>
        <v>2204.0816326530612</v>
      </c>
      <c r="Q25" s="158" t="s">
        <v>6</v>
      </c>
      <c r="R25" s="188">
        <f>G24</f>
        <v>8640</v>
      </c>
      <c r="S25" s="188">
        <f>H24</f>
        <v>8640</v>
      </c>
      <c r="T25" s="188">
        <f>I24</f>
        <v>11520</v>
      </c>
      <c r="U25" s="188">
        <f>J24</f>
        <v>11520</v>
      </c>
      <c r="V25" s="188">
        <f>SMALL(S34:T34,1)</f>
        <v>8640</v>
      </c>
      <c r="W25" s="188">
        <f>SMALL(U34:V34,1)</f>
        <v>0</v>
      </c>
      <c r="X25" s="188">
        <f>SMALL(W33:X33,1)</f>
        <v>1200</v>
      </c>
      <c r="Y25" s="188">
        <f>SMALL(Y34:Z34,1)</f>
        <v>0</v>
      </c>
      <c r="Z25" s="188">
        <f>SUM(V25:Y25)</f>
        <v>9840</v>
      </c>
      <c r="AA25">
        <f>V25*'VACCINATION CALCULATOR'!C20+Calculations!W25*'VACCINATION CALCULATOR'!C20+Calculations!X25*'VACCINATION CALCULATOR'!C20+Calculations!Y25*'VACCINATION CALCULATOR'!C21</f>
        <v>9840</v>
      </c>
    </row>
    <row r="26" spans="2:27" x14ac:dyDescent="0.25">
      <c r="B26" s="118" t="s">
        <v>38</v>
      </c>
      <c r="C26" s="171">
        <f ca="1">AVERAGE(C29:C130)</f>
        <v>6631.4988859352661</v>
      </c>
      <c r="D26" s="171">
        <f t="shared" ref="D26:N26" ca="1" si="0">AVERAGE(D29:D130)</f>
        <v>6557.2681114512652</v>
      </c>
      <c r="E26" s="171" t="e">
        <f t="shared" ca="1" si="0"/>
        <v>#DIV/0!</v>
      </c>
      <c r="F26" s="171" t="e">
        <f t="shared" ca="1" si="0"/>
        <v>#DIV/0!</v>
      </c>
      <c r="G26" s="172">
        <f t="shared" ca="1" si="0"/>
        <v>8021.4085627245349</v>
      </c>
      <c r="H26" s="171">
        <f t="shared" ca="1" si="0"/>
        <v>8777.5623652812974</v>
      </c>
      <c r="I26" s="171">
        <f t="shared" ca="1" si="0"/>
        <v>11175.233108231132</v>
      </c>
      <c r="J26" s="173">
        <f t="shared" ca="1" si="0"/>
        <v>11557.244205792573</v>
      </c>
      <c r="K26" s="171" t="e">
        <f t="shared" ca="1" si="0"/>
        <v>#DIV/0!</v>
      </c>
      <c r="L26" s="171" t="e">
        <f t="shared" ca="1" si="0"/>
        <v>#DIV/0!</v>
      </c>
      <c r="M26" s="171">
        <f t="shared" ca="1" si="0"/>
        <v>4248.8226354670787</v>
      </c>
      <c r="N26" s="171">
        <f t="shared" ca="1" si="0"/>
        <v>5705.4381604574646</v>
      </c>
      <c r="Q26" s="193" t="s">
        <v>7</v>
      </c>
      <c r="R26" s="189">
        <f>K24</f>
        <v>360</v>
      </c>
      <c r="S26" s="189">
        <f>L24</f>
        <v>360</v>
      </c>
      <c r="T26" s="189">
        <f>M24</f>
        <v>4320</v>
      </c>
      <c r="U26" s="189">
        <f>N24</f>
        <v>5760</v>
      </c>
      <c r="V26" s="189">
        <f>SMALL(S35:T35,1)</f>
        <v>360</v>
      </c>
      <c r="W26" s="189">
        <f>SMALL(U35:V35,1)</f>
        <v>0</v>
      </c>
      <c r="X26" s="189">
        <f>SMALL(W34:X34,1)</f>
        <v>0</v>
      </c>
      <c r="Y26" s="189">
        <f>SMALL(Y33:Z33,1)</f>
        <v>3600</v>
      </c>
      <c r="Z26" s="189">
        <f>SUM(V26:Y26)</f>
        <v>3960</v>
      </c>
      <c r="AA26">
        <f>V26*'VACCINATION CALCULATOR'!C20+Calculations!W26*'VACCINATION CALCULATOR'!C20+Calculations!X26*'VACCINATION CALCULATOR'!C20+Calculations!Y26*'VACCINATION CALCULATOR'!C21</f>
        <v>3960</v>
      </c>
    </row>
    <row r="27" spans="2:27" x14ac:dyDescent="0.25">
      <c r="B27" s="118" t="s">
        <v>154</v>
      </c>
      <c r="C27" s="169">
        <f ca="1">STDEV(C30:C130)</f>
        <v>1145.2707283044695</v>
      </c>
      <c r="D27" s="169">
        <f t="shared" ref="D27:N27" ca="1" si="1">STDEV(D30:D130)</f>
        <v>1202.5320360176497</v>
      </c>
      <c r="E27" s="169" t="e">
        <f t="shared" ca="1" si="1"/>
        <v>#DIV/0!</v>
      </c>
      <c r="F27" s="169" t="e">
        <f t="shared" ca="1" si="1"/>
        <v>#DIV/0!</v>
      </c>
      <c r="G27" s="170">
        <f t="shared" ca="1" si="1"/>
        <v>2756.8291542564966</v>
      </c>
      <c r="H27" s="169">
        <f t="shared" ca="1" si="1"/>
        <v>3177.8868699091267</v>
      </c>
      <c r="I27" s="169">
        <f t="shared" ca="1" si="1"/>
        <v>1973.1805966123327</v>
      </c>
      <c r="J27" s="174">
        <f t="shared" ca="1" si="1"/>
        <v>1988.0840669384404</v>
      </c>
      <c r="K27" s="169" t="e">
        <f t="shared" ca="1" si="1"/>
        <v>#DIV/0!</v>
      </c>
      <c r="L27" s="169" t="e">
        <f t="shared" ca="1" si="1"/>
        <v>#DIV/0!</v>
      </c>
      <c r="M27" s="169">
        <f t="shared" ca="1" si="1"/>
        <v>1245.0774879532112</v>
      </c>
      <c r="N27" s="169">
        <f t="shared" ca="1" si="1"/>
        <v>1017.2243474348421</v>
      </c>
      <c r="Q27" s="194" t="s">
        <v>156</v>
      </c>
      <c r="R27" s="191"/>
      <c r="S27" s="191"/>
      <c r="T27" s="191"/>
      <c r="U27" s="191"/>
      <c r="V27" s="192">
        <f t="shared" ref="V27:AA27" si="2">SUM(V24:V26)</f>
        <v>15720</v>
      </c>
      <c r="W27" s="192">
        <f t="shared" si="2"/>
        <v>0</v>
      </c>
      <c r="X27" s="192">
        <f t="shared" si="2"/>
        <v>1200</v>
      </c>
      <c r="Y27" s="192">
        <f t="shared" si="2"/>
        <v>3600</v>
      </c>
      <c r="Z27" s="192">
        <f t="shared" si="2"/>
        <v>20520</v>
      </c>
      <c r="AA27" s="192">
        <f t="shared" si="2"/>
        <v>20520</v>
      </c>
    </row>
    <row r="28" spans="2:27" x14ac:dyDescent="0.25">
      <c r="C28" s="169"/>
      <c r="D28" s="169"/>
      <c r="E28" s="169"/>
      <c r="F28" s="169"/>
      <c r="G28" s="170"/>
      <c r="H28" s="169"/>
      <c r="I28" s="169"/>
      <c r="J28" s="174"/>
      <c r="K28" s="169"/>
      <c r="L28" s="169"/>
      <c r="M28" s="169"/>
      <c r="N28" s="169"/>
      <c r="O28" s="11"/>
      <c r="Q28" s="193" t="s">
        <v>157</v>
      </c>
      <c r="R28" s="9"/>
      <c r="S28" s="9"/>
      <c r="T28" s="9"/>
      <c r="U28" s="9"/>
      <c r="V28" s="9">
        <f>Vax_CP/CP_Procured</f>
        <v>0.93571428571428572</v>
      </c>
      <c r="W28" s="9">
        <f>Vax_DD/DD_Procured</f>
        <v>0</v>
      </c>
      <c r="X28" s="9">
        <f>Vax_CVR/CVR_Procured</f>
        <v>1</v>
      </c>
      <c r="Y28" s="9">
        <f>Vax_ORV/ORV_Procured</f>
        <v>1</v>
      </c>
      <c r="Z28" s="9"/>
    </row>
    <row r="29" spans="2:27" x14ac:dyDescent="0.25">
      <c r="B29" s="178"/>
      <c r="C29" s="175" t="s">
        <v>1</v>
      </c>
      <c r="D29" s="175" t="s">
        <v>0</v>
      </c>
      <c r="E29" s="175" t="s">
        <v>2</v>
      </c>
      <c r="F29" s="175" t="s">
        <v>3</v>
      </c>
      <c r="G29" s="176" t="s">
        <v>1</v>
      </c>
      <c r="H29" s="175" t="s">
        <v>0</v>
      </c>
      <c r="I29" s="175" t="s">
        <v>2</v>
      </c>
      <c r="J29" s="177" t="s">
        <v>3</v>
      </c>
      <c r="K29" s="175" t="s">
        <v>1</v>
      </c>
      <c r="L29" s="175" t="s">
        <v>0</v>
      </c>
      <c r="M29" s="175" t="s">
        <v>2</v>
      </c>
      <c r="N29" s="175" t="s">
        <v>3</v>
      </c>
    </row>
    <row r="30" spans="2:27" x14ac:dyDescent="0.25">
      <c r="C3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8400</v>
      </c>
      <c r="D3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5359.8207577163503</v>
      </c>
      <c r="E3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2291.2501895388273</v>
      </c>
      <c r="H3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8664.57552132825</v>
      </c>
      <c r="I3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11362.96103132502</v>
      </c>
      <c r="J3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12440.696940486376</v>
      </c>
      <c r="K3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1667.6526543298683</v>
      </c>
      <c r="N3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6051.5939661233651</v>
      </c>
      <c r="Q30" s="118" t="s">
        <v>164</v>
      </c>
    </row>
    <row r="31" spans="2:27" x14ac:dyDescent="0.25">
      <c r="C3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4559.6308236756277</v>
      </c>
      <c r="D3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8113.7792706793798</v>
      </c>
      <c r="E3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7467.6531410537618</v>
      </c>
      <c r="H3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6986.4818812763588</v>
      </c>
      <c r="I3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10729.042707415323</v>
      </c>
      <c r="J3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11234.971187493422</v>
      </c>
      <c r="K3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3967.1983509207935</v>
      </c>
      <c r="N3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6786.3534131915976</v>
      </c>
      <c r="Q31" s="195"/>
      <c r="R31" s="195"/>
      <c r="S31" s="521" t="s">
        <v>0</v>
      </c>
      <c r="T31" s="521"/>
      <c r="U31" s="521" t="s">
        <v>1</v>
      </c>
      <c r="V31" s="521"/>
      <c r="W31" s="521" t="s">
        <v>2</v>
      </c>
      <c r="X31" s="521"/>
      <c r="Y31" s="521" t="s">
        <v>3</v>
      </c>
      <c r="Z31" s="521"/>
    </row>
    <row r="32" spans="2:27" x14ac:dyDescent="0.25">
      <c r="C3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7006.4384010321755</v>
      </c>
      <c r="D3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5384.5579983092312</v>
      </c>
      <c r="E3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9811.6236782068954</v>
      </c>
      <c r="H3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12567.864394206917</v>
      </c>
      <c r="I3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10704.580210758219</v>
      </c>
      <c r="J3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12628.028245384181</v>
      </c>
      <c r="K3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4692.6051728858965</v>
      </c>
      <c r="N3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3910.8814208438585</v>
      </c>
      <c r="Q32" s="187" t="s">
        <v>160</v>
      </c>
      <c r="R32" s="196" t="s">
        <v>159</v>
      </c>
      <c r="S32" s="164" t="s">
        <v>161</v>
      </c>
      <c r="T32" s="164" t="s">
        <v>9</v>
      </c>
      <c r="U32" s="164" t="s">
        <v>161</v>
      </c>
      <c r="V32" s="164" t="s">
        <v>9</v>
      </c>
      <c r="W32" s="164" t="s">
        <v>161</v>
      </c>
      <c r="X32" s="164" t="s">
        <v>9</v>
      </c>
      <c r="Y32" s="164" t="s">
        <v>161</v>
      </c>
      <c r="Z32" s="164" t="s">
        <v>9</v>
      </c>
    </row>
    <row r="33" spans="3:26" x14ac:dyDescent="0.25">
      <c r="C3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8400</v>
      </c>
      <c r="D3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6388.6384913710317</v>
      </c>
      <c r="E3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4771.9933579491935</v>
      </c>
      <c r="H3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9431.4987306244493</v>
      </c>
      <c r="I3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9143.573607063041</v>
      </c>
      <c r="J3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11996.775333758347</v>
      </c>
      <c r="K3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5917.1428331872612</v>
      </c>
      <c r="N3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5359.3047480018549</v>
      </c>
      <c r="Q33" s="158" t="s">
        <v>5</v>
      </c>
      <c r="R33" s="8">
        <v>1</v>
      </c>
      <c r="S33" s="188">
        <f>CP_Procured</f>
        <v>16800</v>
      </c>
      <c r="T33" s="188">
        <f>R24</f>
        <v>6720</v>
      </c>
      <c r="U33" s="188">
        <f>DD_Procured</f>
        <v>2400</v>
      </c>
      <c r="V33" s="188">
        <f>MAX(0,(S24-V24))</f>
        <v>0</v>
      </c>
      <c r="W33" s="188">
        <f>CVR_Procured</f>
        <v>1200</v>
      </c>
      <c r="X33" s="188">
        <f>MAX(0,(T25-SUM(V25:W25)))</f>
        <v>2880</v>
      </c>
      <c r="Y33" s="188">
        <f>ORV_Procured</f>
        <v>3600</v>
      </c>
      <c r="Z33" s="188">
        <f>MAX(0,(U26-SUM(V26:X26)))</f>
        <v>5400</v>
      </c>
    </row>
    <row r="34" spans="3:26" x14ac:dyDescent="0.25">
      <c r="C3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6917.2127313298643</v>
      </c>
      <c r="D3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8193.3944620783004</v>
      </c>
      <c r="E3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11515.323672815457</v>
      </c>
      <c r="H3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8722.778909109611</v>
      </c>
      <c r="I3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3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9892.2207739477781</v>
      </c>
      <c r="K3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5258.7619171302276</v>
      </c>
      <c r="N3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7200</v>
      </c>
      <c r="Q34" s="158" t="s">
        <v>6</v>
      </c>
      <c r="R34" s="8">
        <v>2</v>
      </c>
      <c r="S34" s="188">
        <f>S33-V24</f>
        <v>10080</v>
      </c>
      <c r="T34" s="188">
        <f>R25</f>
        <v>8640</v>
      </c>
      <c r="U34" s="188">
        <f>U33-W24</f>
        <v>2400</v>
      </c>
      <c r="V34" s="188">
        <f>MAX(0,(S25-V25))</f>
        <v>0</v>
      </c>
      <c r="W34" s="188">
        <f>W33-X25</f>
        <v>0</v>
      </c>
      <c r="X34" s="188">
        <f>MAX(0,(T26-SUM(V26:W26)))</f>
        <v>3960</v>
      </c>
      <c r="Y34" s="188">
        <f>Y33-Y26</f>
        <v>0</v>
      </c>
      <c r="Z34" s="188">
        <f>MAX(0,(U25-SUM(V25:X25)))</f>
        <v>1680</v>
      </c>
    </row>
    <row r="35" spans="3:26" x14ac:dyDescent="0.25">
      <c r="C3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6213.8440032918634</v>
      </c>
      <c r="D3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6926.412576721842</v>
      </c>
      <c r="E3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6436.8165644681867</v>
      </c>
      <c r="H3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2370.3311149411284</v>
      </c>
      <c r="I3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11361.372480497988</v>
      </c>
      <c r="J3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10485.528387033863</v>
      </c>
      <c r="K3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6840.6499618039716</v>
      </c>
      <c r="N3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6051.4046364162296</v>
      </c>
      <c r="Q35" s="193" t="s">
        <v>7</v>
      </c>
      <c r="R35" s="9">
        <v>3</v>
      </c>
      <c r="S35" s="189">
        <f>S34-V25</f>
        <v>1440</v>
      </c>
      <c r="T35" s="189">
        <f>R26</f>
        <v>360</v>
      </c>
      <c r="U35" s="189">
        <f>U34-W25</f>
        <v>2400</v>
      </c>
      <c r="V35" s="189">
        <f>MAX(0,(S26-V26))</f>
        <v>0</v>
      </c>
      <c r="W35" s="189">
        <f>W34-X26</f>
        <v>0</v>
      </c>
      <c r="X35" s="189">
        <f>MAX(0,(T24-SUM(V24:W24)))</f>
        <v>0</v>
      </c>
      <c r="Y35" s="189">
        <f>Y34-Y25</f>
        <v>0</v>
      </c>
      <c r="Z35" s="189">
        <f>MAX(0,(U24-SUM(V24:X24)))</f>
        <v>0</v>
      </c>
    </row>
    <row r="36" spans="3:26" x14ac:dyDescent="0.25">
      <c r="C3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7052.6798274803559</v>
      </c>
      <c r="D3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8400</v>
      </c>
      <c r="E3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9160.5114384629942</v>
      </c>
      <c r="H3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7153.949545614566</v>
      </c>
      <c r="I3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10688.956926263805</v>
      </c>
      <c r="J3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10427.020306482636</v>
      </c>
      <c r="K3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3679.2366634308823</v>
      </c>
      <c r="N3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6301.4928856575316</v>
      </c>
      <c r="Q36" s="8"/>
      <c r="R36" s="8"/>
      <c r="S36" s="8"/>
      <c r="T36" s="8"/>
      <c r="U36" s="8"/>
      <c r="V36" s="8"/>
      <c r="W36" s="8"/>
      <c r="X36" s="8"/>
      <c r="Y36" s="8"/>
      <c r="Z36" s="8"/>
    </row>
    <row r="37" spans="3:26" x14ac:dyDescent="0.25">
      <c r="C3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7750.3972703047211</v>
      </c>
      <c r="D3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4310.4385774624634</v>
      </c>
      <c r="E3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6471.7660404763283</v>
      </c>
      <c r="H3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6042.3863789804946</v>
      </c>
      <c r="I3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14269.779356314864</v>
      </c>
      <c r="J3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11040.03723946866</v>
      </c>
      <c r="K3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4050.4368292053914</v>
      </c>
      <c r="N3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4885.0667461872172</v>
      </c>
      <c r="Q37" s="118" t="s">
        <v>209</v>
      </c>
    </row>
    <row r="38" spans="3:26" x14ac:dyDescent="0.25">
      <c r="C3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7204.6440644693703</v>
      </c>
      <c r="D3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7049.844389212044</v>
      </c>
      <c r="E3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4802.052554052495</v>
      </c>
      <c r="H3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6452.4051172596201</v>
      </c>
      <c r="I3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8802.8607163446923</v>
      </c>
      <c r="J3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13669.349079173964</v>
      </c>
      <c r="K3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582.43382291711998</v>
      </c>
      <c r="N3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6239.8767816377813</v>
      </c>
      <c r="Q38" s="197" t="s">
        <v>12</v>
      </c>
      <c r="R38" s="197" t="s">
        <v>14</v>
      </c>
      <c r="S38" s="197" t="s">
        <v>17</v>
      </c>
      <c r="T38" s="197" t="s">
        <v>13</v>
      </c>
      <c r="U38" s="197" t="s">
        <v>17</v>
      </c>
      <c r="V38" s="197" t="s">
        <v>15</v>
      </c>
      <c r="W38" s="197" t="s">
        <v>17</v>
      </c>
      <c r="X38" s="197" t="s">
        <v>16</v>
      </c>
      <c r="Y38" s="197" t="s">
        <v>17</v>
      </c>
      <c r="Z38" s="197" t="s">
        <v>18</v>
      </c>
    </row>
    <row r="39" spans="3:26" x14ac:dyDescent="0.25">
      <c r="C39"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5543.0161201286628</v>
      </c>
      <c r="D39"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6368.4126770217772</v>
      </c>
      <c r="E39"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9"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12151.329743852973</v>
      </c>
      <c r="H3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11366.43141254287</v>
      </c>
      <c r="I3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12004.08138340557</v>
      </c>
      <c r="J3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9771.1589473492768</v>
      </c>
      <c r="K39"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9"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39"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2805.2951973587251</v>
      </c>
      <c r="N39"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6933.1265049773265</v>
      </c>
      <c r="Q39" s="158" t="s">
        <v>5</v>
      </c>
      <c r="R39" s="200">
        <f>IF(SUM(V24:Y24)=0,0,V24/SUM(V24:Y24))</f>
        <v>1</v>
      </c>
      <c r="S39" s="201">
        <f>R39*D25</f>
        <v>2571.4285714285716</v>
      </c>
      <c r="T39" s="200">
        <f>IF(SUM(V24:Y24)=0,0,W24/SUM(V24:Y24))</f>
        <v>0</v>
      </c>
      <c r="U39" s="201">
        <f>T39*C25</f>
        <v>0</v>
      </c>
      <c r="V39" s="200">
        <f>IF(SUM(V24:Y24)=0,0,X24/SUM(V24:Y24))</f>
        <v>0</v>
      </c>
      <c r="W39" s="201">
        <f>V39*E25</f>
        <v>0</v>
      </c>
      <c r="X39" s="200">
        <f>IF(SUM(V24:Y24)=0,0,Y24/SUM(V24:Y24))</f>
        <v>0</v>
      </c>
      <c r="Y39" s="201">
        <f>X39*F25</f>
        <v>0</v>
      </c>
      <c r="Z39" s="201">
        <f>SUM(S39,U39,W39,Y39)</f>
        <v>2571.4285714285716</v>
      </c>
    </row>
    <row r="40" spans="3:26" x14ac:dyDescent="0.25">
      <c r="C4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6789.3431241266544</v>
      </c>
      <c r="D4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5030.6764205390928</v>
      </c>
      <c r="E4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8003.7644823849296</v>
      </c>
      <c r="H4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5668.2648940934432</v>
      </c>
      <c r="I4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12571.893874653948</v>
      </c>
      <c r="J4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13366.1393429533</v>
      </c>
      <c r="K4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3565.7925953595486</v>
      </c>
      <c r="N4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5574.4287479389141</v>
      </c>
      <c r="Q40" s="158" t="s">
        <v>6</v>
      </c>
      <c r="R40" s="200">
        <f>IF(SUM(V25:Y25)=0,0,V25/SUM(V25:Y25))</f>
        <v>0.87804878048780488</v>
      </c>
      <c r="S40" s="201">
        <f>R40*H25</f>
        <v>3870.5823792931806</v>
      </c>
      <c r="T40" s="200">
        <f>IF(SUM(V25:Y25)=0,0,W25/SUM(V25:Y25))</f>
        <v>0</v>
      </c>
      <c r="U40" s="201">
        <f>T40*G25</f>
        <v>0</v>
      </c>
      <c r="V40" s="200">
        <f>IF(SUM(V25:Y25)=0,0,X25/SUM(V25:Y25))</f>
        <v>0.12195121951219512</v>
      </c>
      <c r="W40" s="201">
        <f>V40*I25</f>
        <v>537.58088601294173</v>
      </c>
      <c r="X40" s="200">
        <f>IF(SUM(V25:Y25)=0,0,Y25/SUM(V25:Y25))</f>
        <v>0</v>
      </c>
      <c r="Y40" s="201">
        <f>X40*J25</f>
        <v>0</v>
      </c>
      <c r="Z40" s="201">
        <f>SUM(S40,U40,W40,Y40)</f>
        <v>4408.1632653061224</v>
      </c>
    </row>
    <row r="41" spans="3:26" x14ac:dyDescent="0.25">
      <c r="C4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5663.5800812128309</v>
      </c>
      <c r="D4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7034.1010338710648</v>
      </c>
      <c r="E4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6889.6434457271398</v>
      </c>
      <c r="H4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8207.2588177092257</v>
      </c>
      <c r="I4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12931.004850058673</v>
      </c>
      <c r="J4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12756.504207010692</v>
      </c>
      <c r="K4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3583.8073211098335</v>
      </c>
      <c r="N4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6056.7656952955322</v>
      </c>
      <c r="Q41" s="158" t="s">
        <v>7</v>
      </c>
      <c r="R41" s="200">
        <f>IF(SUM(V26:Y26)=0,0,V26/SUM(V26:Y26))</f>
        <v>9.0909090909090912E-2</v>
      </c>
      <c r="S41" s="201">
        <f>R41*L25</f>
        <v>200.37105751391465</v>
      </c>
      <c r="T41" s="200">
        <f>IF(SUM(V26:Y26)=0,0,W26/SUM(V26:Y26))</f>
        <v>0</v>
      </c>
      <c r="U41" s="201">
        <f>T41*K25</f>
        <v>0</v>
      </c>
      <c r="V41" s="200">
        <f>IF(SUM(V26:Y26)=0,0,X26/SUM(V26:Y26))</f>
        <v>0</v>
      </c>
      <c r="W41" s="201">
        <f>V41*M25</f>
        <v>0</v>
      </c>
      <c r="X41" s="200">
        <f>IF(SUM(V26:Y26)=0,0,Y26/SUM(V26:Y26))</f>
        <v>0.90909090909090906</v>
      </c>
      <c r="Y41" s="201">
        <f>X41*N25</f>
        <v>2003.7105751391464</v>
      </c>
      <c r="Z41" s="201">
        <f>SUM(S41,U41,W41,Y41)</f>
        <v>2204.0816326530612</v>
      </c>
    </row>
    <row r="42" spans="3:26" x14ac:dyDescent="0.25">
      <c r="C4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3980.5683769525122</v>
      </c>
      <c r="D4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8016.8288483421766</v>
      </c>
      <c r="E4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8144.70140401559</v>
      </c>
      <c r="H4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5715.8650203500129</v>
      </c>
      <c r="I4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9868.1797986784713</v>
      </c>
      <c r="J4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11783.650365712689</v>
      </c>
      <c r="K4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5889.2202430019552</v>
      </c>
      <c r="N4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5099.4341357033791</v>
      </c>
      <c r="Q42" s="8" t="s">
        <v>27</v>
      </c>
      <c r="R42" s="200"/>
      <c r="S42" s="201">
        <f>SUM(S39:S41)</f>
        <v>6642.3820082356669</v>
      </c>
      <c r="T42" s="200"/>
      <c r="U42" s="201">
        <f>SUM(U39:U41)</f>
        <v>0</v>
      </c>
      <c r="V42" s="200"/>
      <c r="W42" s="201">
        <f>SUM(W39:W41)</f>
        <v>537.58088601294173</v>
      </c>
      <c r="X42" s="200"/>
      <c r="Y42" s="201">
        <f>SUM(Y39:Y41)</f>
        <v>2003.7105751391464</v>
      </c>
      <c r="Z42" s="201">
        <f>SUM(S42,U42,W42,Y42)</f>
        <v>9183.6734693877552</v>
      </c>
    </row>
    <row r="43" spans="3:26" x14ac:dyDescent="0.25">
      <c r="C4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5354.8618269919079</v>
      </c>
      <c r="D4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4119.5535664971803</v>
      </c>
      <c r="E4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7642.5353133258814</v>
      </c>
      <c r="H4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9173.0899678428559</v>
      </c>
      <c r="I4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4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9309.2814042582304</v>
      </c>
      <c r="K4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3663.3832096568021</v>
      </c>
      <c r="N4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5253.9541349056135</v>
      </c>
      <c r="Q43" s="9" t="s">
        <v>189</v>
      </c>
      <c r="R43" s="238"/>
      <c r="S43" s="202">
        <f>SUM(S40:S41)</f>
        <v>4070.9534368070954</v>
      </c>
      <c r="T43" s="238"/>
      <c r="U43" s="202">
        <f>SUM(U40:U41)</f>
        <v>0</v>
      </c>
      <c r="V43" s="238"/>
      <c r="W43" s="202">
        <f>SUM(W40:W41)</f>
        <v>537.58088601294173</v>
      </c>
      <c r="X43" s="238"/>
      <c r="Y43" s="202">
        <f>SUM(Y40:Y41)</f>
        <v>2003.7105751391464</v>
      </c>
      <c r="Z43" s="202">
        <f>SUM(S43,U43,W43,Y43)</f>
        <v>6612.2448979591836</v>
      </c>
    </row>
    <row r="44" spans="3:26" x14ac:dyDescent="0.25">
      <c r="C4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6590.8802984144422</v>
      </c>
      <c r="D4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4639.2265378178263</v>
      </c>
      <c r="E4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4811.6014003698538</v>
      </c>
      <c r="H4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7421.3470041517976</v>
      </c>
      <c r="I4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11405.292816354151</v>
      </c>
      <c r="J4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11090.819596964211</v>
      </c>
      <c r="K4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3664.32340560992</v>
      </c>
      <c r="N4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7160.2077972884408</v>
      </c>
    </row>
    <row r="45" spans="3:26" x14ac:dyDescent="0.25">
      <c r="C4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5450.6482558107737</v>
      </c>
      <c r="D4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3693.1462591366908</v>
      </c>
      <c r="E4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12471.072841335301</v>
      </c>
      <c r="H4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11393.496374775796</v>
      </c>
      <c r="I4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9385.274342548415</v>
      </c>
      <c r="J4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13568.875470152261</v>
      </c>
      <c r="K4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3073.7018983512726</v>
      </c>
      <c r="N4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3410.1361771473894</v>
      </c>
      <c r="Q45" s="118" t="s">
        <v>210</v>
      </c>
    </row>
    <row r="46" spans="3:26" x14ac:dyDescent="0.25">
      <c r="C4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5224.4432048781491</v>
      </c>
      <c r="D4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6606.3096203548494</v>
      </c>
      <c r="E4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11814.785038728793</v>
      </c>
      <c r="H4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14400</v>
      </c>
      <c r="I4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8022.3870001670175</v>
      </c>
      <c r="J4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9551.2220270712151</v>
      </c>
      <c r="K4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4828.5785926044691</v>
      </c>
      <c r="N4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6461.7856173389318</v>
      </c>
      <c r="Q46" s="197"/>
      <c r="R46" s="197" t="s">
        <v>165</v>
      </c>
      <c r="S46" s="197" t="s">
        <v>10</v>
      </c>
      <c r="T46" s="197" t="s">
        <v>11</v>
      </c>
      <c r="U46" s="197" t="s">
        <v>166</v>
      </c>
    </row>
    <row r="47" spans="3:26" x14ac:dyDescent="0.25">
      <c r="C4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6093.3305867025392</v>
      </c>
      <c r="D4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8308.0690215486429</v>
      </c>
      <c r="E4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8903.6142642922714</v>
      </c>
      <c r="H4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11131.9505872954</v>
      </c>
      <c r="I4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8644.9891966713985</v>
      </c>
      <c r="J4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4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5086.2391483913889</v>
      </c>
      <c r="N4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5041.5850198097605</v>
      </c>
      <c r="Q47" s="158" t="s">
        <v>5</v>
      </c>
      <c r="R47" s="201">
        <f>IF(Z39=0,0,_xlfn.CONFIDENCE.T(0.05,Z39,100))</f>
        <v>510.22721612222142</v>
      </c>
      <c r="S47" s="198">
        <f>MAX(0,((SUM(V24:Y24)-(R47))/Pop_C))</f>
        <v>0.73925866474735458</v>
      </c>
      <c r="T47" s="198">
        <f>MIN(1,(SUM(V24:Y24)+(R47))/Pop_C)</f>
        <v>0.8607413352526454</v>
      </c>
      <c r="U47" s="198">
        <f>'VACCINATION CALCULATOR'!M10-S47</f>
        <v>6.0741335252645468E-2</v>
      </c>
    </row>
    <row r="48" spans="3:26" x14ac:dyDescent="0.25">
      <c r="C4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5055.0661182847243</v>
      </c>
      <c r="D4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6771.0406027472209</v>
      </c>
      <c r="E4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6088.2543381560545</v>
      </c>
      <c r="H4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6232.8776796938737</v>
      </c>
      <c r="I4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9377.7268820662885</v>
      </c>
      <c r="J4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12986.096032861711</v>
      </c>
      <c r="K4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5957.5256609178477</v>
      </c>
      <c r="N4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5550.7329660996484</v>
      </c>
      <c r="Q48" s="158" t="s">
        <v>6</v>
      </c>
      <c r="R48" s="201">
        <f>IF(Z40=0,0,_xlfn.CONFIDENCE.T(0.05,Z40,100))</f>
        <v>874.67522763809382</v>
      </c>
      <c r="S48" s="198">
        <f>MAX(0,((SUM(V25:Y25)-(R48))/Pop_SC))</f>
        <v>0.62259199808068788</v>
      </c>
      <c r="T48" s="198">
        <f>MIN(1,(SUM(V25:Y25)+(R48))/Pop_SC)</f>
        <v>0.7440746685859787</v>
      </c>
      <c r="U48" s="198">
        <f>'VACCINATION CALCULATOR'!M11-S48</f>
        <v>6.0741335252645468E-2</v>
      </c>
    </row>
    <row r="49" spans="3:25" x14ac:dyDescent="0.25">
      <c r="C49"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4711.6882235029161</v>
      </c>
      <c r="D49"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6363.4682885203247</v>
      </c>
      <c r="E49"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9"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10529.425432569322</v>
      </c>
      <c r="H4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9618.8820896550278</v>
      </c>
      <c r="I4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10344.289539773268</v>
      </c>
      <c r="J4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9118.3025612109923</v>
      </c>
      <c r="K49"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9"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49"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3787.9938941150635</v>
      </c>
      <c r="N49"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5416.9117260663688</v>
      </c>
      <c r="Q49" s="158" t="s">
        <v>7</v>
      </c>
      <c r="R49" s="201">
        <f>IF(Z41=0,0,_xlfn.CONFIDENCE.T(0.05,Z41,100))</f>
        <v>437.33761381904691</v>
      </c>
      <c r="S49" s="198">
        <f>MAX(0,((SUM(V26:Y26)-(R49))/Pop_NC))</f>
        <v>0.48925866474735458</v>
      </c>
      <c r="T49" s="198">
        <f>MIN(1,(SUM(V26:Y26)+(R49))/Pop_NC)</f>
        <v>0.6107413352526454</v>
      </c>
      <c r="U49" s="198">
        <f>'VACCINATION CALCULATOR'!M12-S49</f>
        <v>6.0741335252645468E-2</v>
      </c>
    </row>
    <row r="50" spans="3:25" x14ac:dyDescent="0.25">
      <c r="C5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6979.7595455741321</v>
      </c>
      <c r="D5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6535.7688188710372</v>
      </c>
      <c r="E5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8415.868511681223</v>
      </c>
      <c r="H5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6007.9932950375478</v>
      </c>
      <c r="I5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11573.050853635756</v>
      </c>
      <c r="J5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13225.953620126309</v>
      </c>
      <c r="K5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3525.6011191263028</v>
      </c>
      <c r="N5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5015.7338684042697</v>
      </c>
      <c r="Q50" s="8" t="s">
        <v>27</v>
      </c>
      <c r="R50" s="201">
        <f>IF(Z42=0,0,_xlfn.CONFIDENCE.T(0.05,Z42,100))</f>
        <v>1822.2400575793622</v>
      </c>
      <c r="S50" s="198">
        <f>MAX(0,((SUM(V24:Y26)-R50)/Pop_all))</f>
        <v>0.62325866474735458</v>
      </c>
      <c r="T50" s="198">
        <f>MIN(1,(SUM(V24:Y26)+R50)/Pop_all)</f>
        <v>0.74474133525264541</v>
      </c>
      <c r="U50" s="198">
        <f>'VACCINATION CALCULATOR'!M15-S50</f>
        <v>6.0741335252645468E-2</v>
      </c>
    </row>
    <row r="51" spans="3:25" x14ac:dyDescent="0.25">
      <c r="C5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4851.5724748324674</v>
      </c>
      <c r="D5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7754.7950325015763</v>
      </c>
      <c r="E5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10576.52628898243</v>
      </c>
      <c r="H5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12163.359543060787</v>
      </c>
      <c r="I5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8866.8093444527076</v>
      </c>
      <c r="J5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9220.8478714466255</v>
      </c>
      <c r="K5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4847.5208263010254</v>
      </c>
      <c r="N5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4838.0170055191011</v>
      </c>
      <c r="Q51" s="9" t="s">
        <v>189</v>
      </c>
      <c r="R51" s="201">
        <f>IF(Z43=0,0,_xlfn.CONFIDENCE.T(0.05,Z43,100))</f>
        <v>1312.0128414571407</v>
      </c>
      <c r="S51" s="199">
        <f>MAX(0,((SUM(V25:Y26)-R51)/(Pop_SC+Pop_NC)))</f>
        <v>0.57814755363624348</v>
      </c>
      <c r="T51" s="199">
        <f>MIN(1,(SUM(V25:Y26)+R51)/(Pop_SC+Pop_NC))</f>
        <v>0.69963022414153431</v>
      </c>
      <c r="U51" s="199">
        <f>'VACCINATION CALCULATOR'!M16-S51</f>
        <v>6.0741335252645356E-2</v>
      </c>
    </row>
    <row r="52" spans="3:25" x14ac:dyDescent="0.25">
      <c r="C5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6872.1849481114286</v>
      </c>
      <c r="D5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7673.822855413543</v>
      </c>
      <c r="E5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3952.727044958463</v>
      </c>
      <c r="H5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2593.4884793847855</v>
      </c>
      <c r="I5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5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10715.754454095293</v>
      </c>
      <c r="K5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4692.9273244990463</v>
      </c>
      <c r="N5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5136.8302040855442</v>
      </c>
    </row>
    <row r="53" spans="3:25" x14ac:dyDescent="0.25">
      <c r="C5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6886.8264271045564</v>
      </c>
      <c r="D5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6568.1488892902607</v>
      </c>
      <c r="E5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6162.5255864089004</v>
      </c>
      <c r="H5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552.80211554674781</v>
      </c>
      <c r="I5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9844.006867383916</v>
      </c>
      <c r="J5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11713.475545711381</v>
      </c>
      <c r="K5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2453.6905837583727</v>
      </c>
      <c r="N5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5571.3741596737163</v>
      </c>
      <c r="Q53" s="118" t="s">
        <v>19</v>
      </c>
    </row>
    <row r="54" spans="3:25" x14ac:dyDescent="0.25">
      <c r="C5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5636.1184547034463</v>
      </c>
      <c r="D5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6807.6704110398132</v>
      </c>
      <c r="E5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8780.2622603674354</v>
      </c>
      <c r="H5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5814.9415395608157</v>
      </c>
      <c r="I5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8814.8322388146917</v>
      </c>
      <c r="J5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13325.601881662131</v>
      </c>
      <c r="K5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4797.3305135142173</v>
      </c>
      <c r="N5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5386.0951412143831</v>
      </c>
      <c r="Q54" s="197"/>
      <c r="R54" s="197" t="s">
        <v>20</v>
      </c>
      <c r="S54" s="197" t="s">
        <v>167</v>
      </c>
      <c r="T54" s="197" t="s">
        <v>23</v>
      </c>
      <c r="U54" s="197" t="s">
        <v>24</v>
      </c>
      <c r="V54" s="197" t="s">
        <v>25</v>
      </c>
      <c r="W54" s="197" t="s">
        <v>26</v>
      </c>
      <c r="X54" s="197" t="s">
        <v>21</v>
      </c>
      <c r="Y54" s="197" t="s">
        <v>22</v>
      </c>
    </row>
    <row r="55" spans="3:25" x14ac:dyDescent="0.25">
      <c r="C5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8039.8711755291706</v>
      </c>
      <c r="D5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7751.1375440914853</v>
      </c>
      <c r="E5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8293.9895208435555</v>
      </c>
      <c r="H5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9902.5867345187526</v>
      </c>
      <c r="I5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12233.85771650041</v>
      </c>
      <c r="J5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10915.132899146463</v>
      </c>
      <c r="K5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5577.4344165055245</v>
      </c>
      <c r="N5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5425.6143908886743</v>
      </c>
      <c r="Q55" s="158" t="s">
        <v>5</v>
      </c>
      <c r="R55" s="8">
        <f>Pop_C</f>
        <v>8400</v>
      </c>
      <c r="S55" s="8">
        <f>Pop_C*$U$12</f>
        <v>8400</v>
      </c>
      <c r="T55" s="203">
        <f>V24/S55</f>
        <v>0.8</v>
      </c>
      <c r="U55" s="203">
        <f>(SUM(V24:W24)/S55)</f>
        <v>0.8</v>
      </c>
      <c r="V55" s="203">
        <f>((SUM(V24:X24)/S55))</f>
        <v>0.8</v>
      </c>
      <c r="W55" s="203">
        <f>((SUM(V24:Y24)/S55))</f>
        <v>0.8</v>
      </c>
      <c r="X55" s="10">
        <f>SUM(V24:Y24)-S55</f>
        <v>-1680</v>
      </c>
      <c r="Y55" s="200">
        <f>X55/Vax_C</f>
        <v>-0.25</v>
      </c>
    </row>
    <row r="56" spans="3:25" x14ac:dyDescent="0.25">
      <c r="C5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6394.9465560849403</v>
      </c>
      <c r="D5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8113.2199375866012</v>
      </c>
      <c r="E5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6735.3498027576125</v>
      </c>
      <c r="H5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9752.1103441326177</v>
      </c>
      <c r="I5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10610.079254950619</v>
      </c>
      <c r="J5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10286.394499485166</v>
      </c>
      <c r="K5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3394.4381665598848</v>
      </c>
      <c r="N5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6233.3549731159865</v>
      </c>
      <c r="Q56" s="158" t="s">
        <v>6</v>
      </c>
      <c r="R56" s="8">
        <f>Pop_SC</f>
        <v>14400</v>
      </c>
      <c r="S56" s="8">
        <f>Pop_SC*$U$12</f>
        <v>14400</v>
      </c>
      <c r="T56" s="203">
        <f>(V25/S56)</f>
        <v>0.6</v>
      </c>
      <c r="U56" s="203">
        <f>(SUM(V25:W25)/S56)</f>
        <v>0.6</v>
      </c>
      <c r="V56" s="203">
        <f>((SUM(V25:X25)/S56))</f>
        <v>0.68333333333333335</v>
      </c>
      <c r="W56" s="203">
        <f>((SUM(V25:Y25)/S56))</f>
        <v>0.68333333333333335</v>
      </c>
      <c r="X56" s="10">
        <f>SUM(V25:Y25)-S56</f>
        <v>-4560</v>
      </c>
      <c r="Y56" s="200">
        <f>X56/Vax_C</f>
        <v>-0.6785714285714286</v>
      </c>
    </row>
    <row r="57" spans="3:25" x14ac:dyDescent="0.25">
      <c r="C5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6099.282697333756</v>
      </c>
      <c r="D5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6643.8084253776333</v>
      </c>
      <c r="E5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6617.1156460398033</v>
      </c>
      <c r="H5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10476.172002154757</v>
      </c>
      <c r="I5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9421.4050709612129</v>
      </c>
      <c r="J5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5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5562.3804655449421</v>
      </c>
      <c r="N5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6542.2079622601332</v>
      </c>
      <c r="Q57" s="158" t="s">
        <v>7</v>
      </c>
      <c r="R57" s="8">
        <f>Pop_NC</f>
        <v>7200</v>
      </c>
      <c r="S57" s="8">
        <f>Pop_NC*$U$12</f>
        <v>7200</v>
      </c>
      <c r="T57" s="203">
        <f>(V26/S57)</f>
        <v>0.05</v>
      </c>
      <c r="U57" s="203">
        <f>((SUM(V26:W26)/S57))</f>
        <v>0.05</v>
      </c>
      <c r="V57" s="203">
        <f>((SUM(V26:X26)/S57))</f>
        <v>0.05</v>
      </c>
      <c r="W57" s="203">
        <f>((SUM(V26:Y26)/S57))</f>
        <v>0.55000000000000004</v>
      </c>
      <c r="X57" s="10">
        <f>SUM(V26:Y26)-S57</f>
        <v>-3240</v>
      </c>
      <c r="Y57" s="200">
        <f>X57/Vax_C</f>
        <v>-0.48214285714285715</v>
      </c>
    </row>
    <row r="58" spans="3:25" x14ac:dyDescent="0.25">
      <c r="C5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6393.3390639588106</v>
      </c>
      <c r="D5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5185.290506402911</v>
      </c>
      <c r="E5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4405.7308436671319</v>
      </c>
      <c r="H5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10222.065895558324</v>
      </c>
      <c r="I5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10480.298927221049</v>
      </c>
      <c r="J5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11280.220946879825</v>
      </c>
      <c r="K5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2968.7241047829993</v>
      </c>
      <c r="N5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4740.0692663177615</v>
      </c>
      <c r="Q58" s="9" t="s">
        <v>27</v>
      </c>
      <c r="R58" s="9">
        <f>Pop_all</f>
        <v>30000</v>
      </c>
      <c r="S58" s="9">
        <f>Pop_all*$U$12</f>
        <v>30000</v>
      </c>
      <c r="T58" s="204">
        <f>(SUM(V24:V26)/S58)</f>
        <v>0.52400000000000002</v>
      </c>
      <c r="U58" s="204">
        <f>(SUM(V24:W26)/S58)</f>
        <v>0.52400000000000002</v>
      </c>
      <c r="V58" s="204">
        <f>(SUM(V24:X26)/S58)</f>
        <v>0.56399999999999995</v>
      </c>
      <c r="W58" s="204">
        <f>(SUM(V24:Y26)/S58)</f>
        <v>0.68400000000000005</v>
      </c>
      <c r="X58" s="9"/>
      <c r="Y58" s="9"/>
    </row>
    <row r="59" spans="3:25" x14ac:dyDescent="0.25">
      <c r="C59"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8400</v>
      </c>
      <c r="D59"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8400</v>
      </c>
      <c r="E59"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9"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7506.8412839291796</v>
      </c>
      <c r="H5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13158.130942709717</v>
      </c>
      <c r="I5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8556.1511599586338</v>
      </c>
      <c r="J5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9059.8729172191324</v>
      </c>
      <c r="K59"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9"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59"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4043.153714333323</v>
      </c>
      <c r="N59"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5957.8243413633263</v>
      </c>
    </row>
    <row r="60" spans="3:25" x14ac:dyDescent="0.25">
      <c r="C6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6723.8918057811643</v>
      </c>
      <c r="D6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5053.3694002746479</v>
      </c>
      <c r="E6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6536.1201394448181</v>
      </c>
      <c r="H6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8688.4684586021467</v>
      </c>
      <c r="I6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6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10117.052029334996</v>
      </c>
      <c r="K6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2450.5346654828963</v>
      </c>
      <c r="N6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4029.4421850775952</v>
      </c>
      <c r="Q60" s="158" t="s">
        <v>282</v>
      </c>
    </row>
    <row r="61" spans="3:25" x14ac:dyDescent="0.25">
      <c r="C6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6699.2395047254004</v>
      </c>
      <c r="D6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7795.1865426305676</v>
      </c>
      <c r="E6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14400</v>
      </c>
      <c r="H6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10634.121601543144</v>
      </c>
      <c r="I6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12598.278527374739</v>
      </c>
      <c r="J6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11652.020752649343</v>
      </c>
      <c r="K6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3535.5271969145256</v>
      </c>
      <c r="N6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5941.2064213258864</v>
      </c>
    </row>
    <row r="62" spans="3:25" x14ac:dyDescent="0.25">
      <c r="C6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7257.6707923876438</v>
      </c>
      <c r="D6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6670.565181474276</v>
      </c>
      <c r="E6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7808.8301433815614</v>
      </c>
      <c r="H6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11843.283055425003</v>
      </c>
      <c r="I6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9557.8095523961856</v>
      </c>
      <c r="J6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13045.230280317861</v>
      </c>
      <c r="K6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5190.521927859264</v>
      </c>
      <c r="N6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4164.5751877231232</v>
      </c>
    </row>
    <row r="63" spans="3:25" x14ac:dyDescent="0.25">
      <c r="C6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4294.7070149419651</v>
      </c>
      <c r="D6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8241.4151160908277</v>
      </c>
      <c r="E6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7813.6307823188881</v>
      </c>
      <c r="H6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10320.108709054275</v>
      </c>
      <c r="I6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10018.146065560341</v>
      </c>
      <c r="J6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12475.514628647226</v>
      </c>
      <c r="K6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6413.0741652695324</v>
      </c>
      <c r="N6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6223.5659497131319</v>
      </c>
    </row>
    <row r="64" spans="3:25" x14ac:dyDescent="0.25">
      <c r="C6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6647.5625456379548</v>
      </c>
      <c r="D6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6202.4815552356868</v>
      </c>
      <c r="E6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5762.4818793920022</v>
      </c>
      <c r="H6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6863.9070470863981</v>
      </c>
      <c r="I6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10419.980215516971</v>
      </c>
      <c r="J6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8535.2776406882913</v>
      </c>
      <c r="K6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5071.9295481724394</v>
      </c>
      <c r="N6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7168.013457178371</v>
      </c>
    </row>
    <row r="65" spans="3:17" x14ac:dyDescent="0.25">
      <c r="C6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6918.2302246865547</v>
      </c>
      <c r="D6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4564.6037133399404</v>
      </c>
      <c r="E6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11188.017532010703</v>
      </c>
      <c r="H6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5843.1559089516732</v>
      </c>
      <c r="I6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10819.989738084923</v>
      </c>
      <c r="J6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13847.38641381767</v>
      </c>
      <c r="K6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4119.249177647469</v>
      </c>
      <c r="N6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5519.43896641012</v>
      </c>
    </row>
    <row r="66" spans="3:17" x14ac:dyDescent="0.25">
      <c r="C6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6293.435362197868</v>
      </c>
      <c r="D6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5234.1614894108943</v>
      </c>
      <c r="E6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6584.6773879314169</v>
      </c>
      <c r="H6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7311.5358393173037</v>
      </c>
      <c r="I6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8963.7189545015663</v>
      </c>
      <c r="J6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6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4853.9262469017322</v>
      </c>
      <c r="N6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6139.0775674973811</v>
      </c>
    </row>
    <row r="67" spans="3:17" x14ac:dyDescent="0.25">
      <c r="C6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7108.964361684818</v>
      </c>
      <c r="D6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6539.8836339927093</v>
      </c>
      <c r="E6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10241.813625786101</v>
      </c>
      <c r="H6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3243.1642869465022</v>
      </c>
      <c r="I6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9640.3290837538771</v>
      </c>
      <c r="J6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6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3450.2494595458988</v>
      </c>
      <c r="N6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5079.9163120559624</v>
      </c>
    </row>
    <row r="68" spans="3:17" x14ac:dyDescent="0.25">
      <c r="C6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6861.8281724123008</v>
      </c>
      <c r="D6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6904.359789990247</v>
      </c>
      <c r="E6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8495.6353319869249</v>
      </c>
      <c r="H6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9321.3840973452334</v>
      </c>
      <c r="I6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9128.957038394532</v>
      </c>
      <c r="J6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13905.707342605216</v>
      </c>
      <c r="K6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6726.6111499558419</v>
      </c>
      <c r="N6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4525.988815516238</v>
      </c>
    </row>
    <row r="69" spans="3:17" x14ac:dyDescent="0.25">
      <c r="C69"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7411.6159513843058</v>
      </c>
      <c r="D69"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6361.6108384969357</v>
      </c>
      <c r="E69"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9"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8898.5571187747082</v>
      </c>
      <c r="H6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11778.917511507885</v>
      </c>
      <c r="I6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13017.461335049758</v>
      </c>
      <c r="J6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11266.548392102528</v>
      </c>
      <c r="K69"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9"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69"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3812.9359225602175</v>
      </c>
      <c r="N69"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5484.3582782547173</v>
      </c>
    </row>
    <row r="70" spans="3:17" x14ac:dyDescent="0.25">
      <c r="C7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6790.6640736433537</v>
      </c>
      <c r="D7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7711.2503166991055</v>
      </c>
      <c r="E7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10526.226736729186</v>
      </c>
      <c r="H7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14175.963365876483</v>
      </c>
      <c r="I7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10554.169579938429</v>
      </c>
      <c r="J7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12972.756126335511</v>
      </c>
      <c r="K7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4167.2277693609221</v>
      </c>
      <c r="N7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4369.6320835640454</v>
      </c>
    </row>
    <row r="71" spans="3:17" x14ac:dyDescent="0.25">
      <c r="C7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6497.8619039416153</v>
      </c>
      <c r="D7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5441.4677329934548</v>
      </c>
      <c r="E7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7759.6690918815539</v>
      </c>
      <c r="H7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12106.294414004025</v>
      </c>
      <c r="I7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13418.363746858835</v>
      </c>
      <c r="J7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7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3963.0188473913572</v>
      </c>
      <c r="N7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5637.1592537723964</v>
      </c>
    </row>
    <row r="72" spans="3:17" x14ac:dyDescent="0.25">
      <c r="C7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7761.2513272987508</v>
      </c>
      <c r="D7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6705.2962211495897</v>
      </c>
      <c r="E7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6661.0751907281629</v>
      </c>
      <c r="H7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8605.7232176103389</v>
      </c>
      <c r="I7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7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7891.2233478630769</v>
      </c>
      <c r="K7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4684.5629506353152</v>
      </c>
      <c r="N7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5042.1719475758773</v>
      </c>
      <c r="Q72" s="253"/>
    </row>
    <row r="73" spans="3:17" x14ac:dyDescent="0.25">
      <c r="C7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7705.0215722192488</v>
      </c>
      <c r="D7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7386.6547741510103</v>
      </c>
      <c r="E7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8730.2585672299429</v>
      </c>
      <c r="H7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8201.7743486859108</v>
      </c>
      <c r="I7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11563.325209838129</v>
      </c>
      <c r="J7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7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7200</v>
      </c>
      <c r="N7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6958.0009582650155</v>
      </c>
    </row>
    <row r="74" spans="3:17" x14ac:dyDescent="0.25">
      <c r="C7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6551.6462564626945</v>
      </c>
      <c r="D7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5909.3490987371397</v>
      </c>
      <c r="E7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2612.0297016409745</v>
      </c>
      <c r="H7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12132.222511933678</v>
      </c>
      <c r="I7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11161.454888849368</v>
      </c>
      <c r="J7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12391.128991125068</v>
      </c>
      <c r="K7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4891.6344570665142</v>
      </c>
      <c r="N7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6455.4178945092144</v>
      </c>
    </row>
    <row r="75" spans="3:17" x14ac:dyDescent="0.25">
      <c r="C7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8400</v>
      </c>
      <c r="D7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4036.7038834114815</v>
      </c>
      <c r="E7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7044.5105645509075</v>
      </c>
      <c r="H7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9534.7490206047496</v>
      </c>
      <c r="I7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13700.89187721638</v>
      </c>
      <c r="J7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7161.032693661984</v>
      </c>
      <c r="K7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4828.0705032071382</v>
      </c>
      <c r="N7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5117.6852468662628</v>
      </c>
    </row>
    <row r="76" spans="3:17" x14ac:dyDescent="0.25">
      <c r="C7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8271.7259246585891</v>
      </c>
      <c r="D7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8251.0040224547702</v>
      </c>
      <c r="E7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5565.0189658670479</v>
      </c>
      <c r="H7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5459.1342028803638</v>
      </c>
      <c r="I7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13050.568549982316</v>
      </c>
      <c r="J7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9109.1304910486779</v>
      </c>
      <c r="K7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5632.6860703347147</v>
      </c>
      <c r="N7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6651.6034618223812</v>
      </c>
    </row>
    <row r="77" spans="3:17" x14ac:dyDescent="0.25">
      <c r="C7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8327.9997572345019</v>
      </c>
      <c r="D7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6343.1671835844509</v>
      </c>
      <c r="E7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3756.1633506479388</v>
      </c>
      <c r="H7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4873.6820391630208</v>
      </c>
      <c r="I7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10236.717400861176</v>
      </c>
      <c r="J7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7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4388.6912103989371</v>
      </c>
      <c r="N7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5913.5664795614757</v>
      </c>
    </row>
    <row r="78" spans="3:17" x14ac:dyDescent="0.25">
      <c r="C7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7475.7718658482327</v>
      </c>
      <c r="D7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5450.1790184060837</v>
      </c>
      <c r="E7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8112.5715494474916</v>
      </c>
      <c r="H7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13547.001957643837</v>
      </c>
      <c r="I7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8357.1419635156999</v>
      </c>
      <c r="J7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12223.242978344964</v>
      </c>
      <c r="K7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4190.8387595679997</v>
      </c>
      <c r="N7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4474.7452946523645</v>
      </c>
    </row>
    <row r="79" spans="3:17" x14ac:dyDescent="0.25">
      <c r="C79"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7932.4072573517251</v>
      </c>
      <c r="D79"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7635.6845494310983</v>
      </c>
      <c r="E79"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9"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13842.536287441299</v>
      </c>
      <c r="H7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10193.478165290817</v>
      </c>
      <c r="I7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13065.459869935121</v>
      </c>
      <c r="J7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12938.563768776354</v>
      </c>
      <c r="K79"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9"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79"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2164.3608838519908</v>
      </c>
      <c r="N79"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5994.0741324493383</v>
      </c>
    </row>
    <row r="80" spans="3:17" x14ac:dyDescent="0.25">
      <c r="C8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8400</v>
      </c>
      <c r="D8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7532.4210622259861</v>
      </c>
      <c r="E8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6951.4003455254497</v>
      </c>
      <c r="H8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9054.6902822162283</v>
      </c>
      <c r="I8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9708.1531219509379</v>
      </c>
      <c r="J8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12813.349187201</v>
      </c>
      <c r="K8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4449.8560923499799</v>
      </c>
      <c r="N8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5186.5560392549432</v>
      </c>
    </row>
    <row r="81" spans="3:14" x14ac:dyDescent="0.25">
      <c r="C8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8364.0788384622647</v>
      </c>
      <c r="D8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5409.8551039970171</v>
      </c>
      <c r="E8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7910.9064564929149</v>
      </c>
      <c r="H8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7718.2317685519574</v>
      </c>
      <c r="I8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9756.987710665886</v>
      </c>
      <c r="J8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10850.008745275141</v>
      </c>
      <c r="K8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4954.7038069324171</v>
      </c>
      <c r="N8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6149.1991887630911</v>
      </c>
    </row>
    <row r="82" spans="3:14" x14ac:dyDescent="0.25">
      <c r="C8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6193.2087149627914</v>
      </c>
      <c r="D8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7877.9738326986053</v>
      </c>
      <c r="E8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7496.9963033843542</v>
      </c>
      <c r="H8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6850.2466938683046</v>
      </c>
      <c r="I8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8021.6352105795631</v>
      </c>
      <c r="J8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12456.45452819092</v>
      </c>
      <c r="K8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3502.2275922398248</v>
      </c>
      <c r="N8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5953.8561955638888</v>
      </c>
    </row>
    <row r="83" spans="3:14" x14ac:dyDescent="0.25">
      <c r="C8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6548.0458714245369</v>
      </c>
      <c r="D8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4926.6558107739074</v>
      </c>
      <c r="E8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7899.4731342030345</v>
      </c>
      <c r="H8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11122.703786784257</v>
      </c>
      <c r="I8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8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12540.615906327761</v>
      </c>
      <c r="K8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3647.7199580826991</v>
      </c>
      <c r="N8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7121.2761827379727</v>
      </c>
    </row>
    <row r="84" spans="3:14" x14ac:dyDescent="0.25">
      <c r="C8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6426.2280006720275</v>
      </c>
      <c r="D8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8011.145639597732</v>
      </c>
      <c r="E8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4749.5132790259358</v>
      </c>
      <c r="H8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8368.586956910658</v>
      </c>
      <c r="I8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10875.884904385941</v>
      </c>
      <c r="J8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12587.703134229681</v>
      </c>
      <c r="K8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4117.5032552342591</v>
      </c>
      <c r="N8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6712.9616765034534</v>
      </c>
    </row>
    <row r="85" spans="3:14" x14ac:dyDescent="0.25">
      <c r="C8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7421.4011405101764</v>
      </c>
      <c r="D8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7990.2963154134777</v>
      </c>
      <c r="E8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7475.2110379008054</v>
      </c>
      <c r="H8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6261.9164845825308</v>
      </c>
      <c r="I8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10156.155275744706</v>
      </c>
      <c r="J8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9841.3085547930878</v>
      </c>
      <c r="K8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5394.1186964768622</v>
      </c>
      <c r="N8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7200</v>
      </c>
    </row>
    <row r="86" spans="3:14" x14ac:dyDescent="0.25">
      <c r="C8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5987.1024770692229</v>
      </c>
      <c r="D8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6456.7636588288187</v>
      </c>
      <c r="E8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14400</v>
      </c>
      <c r="H8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14277.515351301843</v>
      </c>
      <c r="I8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12072.845327880425</v>
      </c>
      <c r="J8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11741.056404988831</v>
      </c>
      <c r="K8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4200.2015737226102</v>
      </c>
      <c r="N8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6869.2127367809026</v>
      </c>
    </row>
    <row r="87" spans="3:14" x14ac:dyDescent="0.25">
      <c r="C8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5822.0246483409464</v>
      </c>
      <c r="D8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7394.7553330609662</v>
      </c>
      <c r="E8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7919.2702871029896</v>
      </c>
      <c r="H8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4605.2315074453209</v>
      </c>
      <c r="I8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11293.620022547888</v>
      </c>
      <c r="J8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12121.550539026966</v>
      </c>
      <c r="K8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2677.688188384659</v>
      </c>
      <c r="N8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5924.6846632475917</v>
      </c>
    </row>
    <row r="88" spans="3:14" x14ac:dyDescent="0.25">
      <c r="C8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5093.8909359234503</v>
      </c>
      <c r="D8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7254.4337507594637</v>
      </c>
      <c r="E8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4678.7226000635756</v>
      </c>
      <c r="H8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3850.8493378007165</v>
      </c>
      <c r="I8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11859.449821977594</v>
      </c>
      <c r="J8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9561.1126703032078</v>
      </c>
      <c r="K8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4847.4338743826866</v>
      </c>
      <c r="N8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4929.0379508463375</v>
      </c>
    </row>
    <row r="89" spans="3:14" x14ac:dyDescent="0.25">
      <c r="C89"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8267.4869797313004</v>
      </c>
      <c r="D89"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6799.2060661785517</v>
      </c>
      <c r="E89"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9"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14400</v>
      </c>
      <c r="H8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13243.51408764912</v>
      </c>
      <c r="I8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8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7868.325048222433</v>
      </c>
      <c r="K89"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9"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89"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3092.3822531097935</v>
      </c>
      <c r="N89"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6207.7187597179936</v>
      </c>
    </row>
    <row r="90" spans="3:14" x14ac:dyDescent="0.25">
      <c r="C9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6230.8339239359984</v>
      </c>
      <c r="D9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6746.912556795437</v>
      </c>
      <c r="E9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7936.0440210603101</v>
      </c>
      <c r="H9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7614.8652664450165</v>
      </c>
      <c r="I9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9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10262.53999429356</v>
      </c>
      <c r="K9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5030.2129466991719</v>
      </c>
      <c r="N9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4758.8121554925092</v>
      </c>
    </row>
    <row r="91" spans="3:14" x14ac:dyDescent="0.25">
      <c r="C9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6175.5814198464932</v>
      </c>
      <c r="D9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5813.7434361079631</v>
      </c>
      <c r="E9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9314.7788100638209</v>
      </c>
      <c r="H9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9881.8760015700555</v>
      </c>
      <c r="I9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12245.256728283814</v>
      </c>
      <c r="J9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10479.508426544397</v>
      </c>
      <c r="K9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3030.2973617732919</v>
      </c>
      <c r="N9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4200.3468773726745</v>
      </c>
    </row>
    <row r="92" spans="3:14" x14ac:dyDescent="0.25">
      <c r="C9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8159.4480105254797</v>
      </c>
      <c r="D9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8400</v>
      </c>
      <c r="E9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11173.195329333912</v>
      </c>
      <c r="H9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7700.3755081511399</v>
      </c>
      <c r="I9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13628.49056844691</v>
      </c>
      <c r="J9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9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4903.5722331126681</v>
      </c>
      <c r="N9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6703.4384753646691</v>
      </c>
    </row>
    <row r="93" spans="3:14" x14ac:dyDescent="0.25">
      <c r="C9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4594.8354197610988</v>
      </c>
      <c r="D9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8400</v>
      </c>
      <c r="E9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8506.4081869920192</v>
      </c>
      <c r="H9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3598.4848152457012</v>
      </c>
      <c r="I9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9380.1922341316367</v>
      </c>
      <c r="J9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12405.844455005496</v>
      </c>
      <c r="K9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4870.5499151759677</v>
      </c>
      <c r="N9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7050.3742148797637</v>
      </c>
    </row>
    <row r="94" spans="3:14" x14ac:dyDescent="0.25">
      <c r="C9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8400</v>
      </c>
      <c r="D9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6168.1459171872339</v>
      </c>
      <c r="E9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5383.7930284235154</v>
      </c>
      <c r="H9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14183.657558893634</v>
      </c>
      <c r="I9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6189.8124526686197</v>
      </c>
      <c r="J9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11333.747220482846</v>
      </c>
      <c r="K9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2831.3451289876675</v>
      </c>
      <c r="N9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6515.6251983328257</v>
      </c>
    </row>
    <row r="95" spans="3:14" x14ac:dyDescent="0.25">
      <c r="C9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8400</v>
      </c>
      <c r="D9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6851.8309453544725</v>
      </c>
      <c r="E9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9164.4548060484285</v>
      </c>
      <c r="H9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7646.360908299549</v>
      </c>
      <c r="I9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9388.572379036621</v>
      </c>
      <c r="J9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6626.9964248874467</v>
      </c>
      <c r="K9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4771.3099275204013</v>
      </c>
      <c r="N9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5930.8170688054652</v>
      </c>
    </row>
    <row r="96" spans="3:14" x14ac:dyDescent="0.25">
      <c r="C9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6034.0847776031605</v>
      </c>
      <c r="D9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4865.0364046875338</v>
      </c>
      <c r="E9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8545.3942799259712</v>
      </c>
      <c r="H9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8848.6539321334458</v>
      </c>
      <c r="I9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12185.945067570523</v>
      </c>
      <c r="J9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10277.135106057236</v>
      </c>
      <c r="K9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4554.207419596516</v>
      </c>
      <c r="N9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4811.5239020731597</v>
      </c>
    </row>
    <row r="97" spans="3:14" x14ac:dyDescent="0.25">
      <c r="C9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5694.2744537584031</v>
      </c>
      <c r="D9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7742.9229850828597</v>
      </c>
      <c r="E9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14400</v>
      </c>
      <c r="H9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11472.391352322336</v>
      </c>
      <c r="I9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11240.893810622083</v>
      </c>
      <c r="J9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13072.964377444285</v>
      </c>
      <c r="K9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3711.8874638369603</v>
      </c>
      <c r="N9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5409.8717220593735</v>
      </c>
    </row>
    <row r="98" spans="3:14" x14ac:dyDescent="0.25">
      <c r="C9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6015.0633582877226</v>
      </c>
      <c r="D9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6000.7731739987175</v>
      </c>
      <c r="E9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5762.1248277308259</v>
      </c>
      <c r="H9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10406.490994600423</v>
      </c>
      <c r="I9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9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10232.466957466801</v>
      </c>
      <c r="K9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3185.508291241842</v>
      </c>
      <c r="N9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5000.4868635177718</v>
      </c>
    </row>
    <row r="99" spans="3:14" x14ac:dyDescent="0.25">
      <c r="C99"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4957.1795110425537</v>
      </c>
      <c r="D99"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7682.7825882987499</v>
      </c>
      <c r="E99"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9"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12349.608857016467</v>
      </c>
      <c r="H9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10298.164300230044</v>
      </c>
      <c r="I9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9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10750.961979795751</v>
      </c>
      <c r="K99"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9"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99"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7200</v>
      </c>
      <c r="N99"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7200</v>
      </c>
    </row>
    <row r="100" spans="3:14" x14ac:dyDescent="0.25">
      <c r="C10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7723.0683503671944</v>
      </c>
      <c r="D10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6455.5921738223997</v>
      </c>
      <c r="E10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8886.3213851576493</v>
      </c>
      <c r="H10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7658.8342559814564</v>
      </c>
      <c r="I10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14313.284371182603</v>
      </c>
      <c r="J10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10855.785744659299</v>
      </c>
      <c r="K10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3480.6785355305096</v>
      </c>
      <c r="N10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4693.8427285210237</v>
      </c>
    </row>
    <row r="101" spans="3:14" x14ac:dyDescent="0.25">
      <c r="C10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7519.0307333427336</v>
      </c>
      <c r="D10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5743.8003940055178</v>
      </c>
      <c r="E10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7384.2004375048627</v>
      </c>
      <c r="H10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7307.3114153853021</v>
      </c>
      <c r="I10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11461.94779910666</v>
      </c>
      <c r="J10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8763.5161119142485</v>
      </c>
      <c r="K10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3861.6265112685851</v>
      </c>
      <c r="N10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6183.6887859235312</v>
      </c>
    </row>
    <row r="102" spans="3:14" x14ac:dyDescent="0.25">
      <c r="C10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8400</v>
      </c>
      <c r="D10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4758.7655001623043</v>
      </c>
      <c r="E10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9119.2547135004661</v>
      </c>
      <c r="H10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9785.185374693101</v>
      </c>
      <c r="I10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13390.079387439351</v>
      </c>
      <c r="J10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10666.621237817772</v>
      </c>
      <c r="K10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6146.3652774460279</v>
      </c>
      <c r="N10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6506.4192483396901</v>
      </c>
    </row>
    <row r="103" spans="3:14" x14ac:dyDescent="0.25">
      <c r="C10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5342.0956985497414</v>
      </c>
      <c r="D10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6702.3129043830495</v>
      </c>
      <c r="E10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2078.9236853097918</v>
      </c>
      <c r="H10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14400</v>
      </c>
      <c r="I10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8447.5482605343859</v>
      </c>
      <c r="J10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13692.75967180195</v>
      </c>
      <c r="K10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3322.5050587286601</v>
      </c>
      <c r="N10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3944.194485979921</v>
      </c>
    </row>
    <row r="104" spans="3:14" x14ac:dyDescent="0.25">
      <c r="C10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7167.065764109595</v>
      </c>
      <c r="D10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6998.7911947254643</v>
      </c>
      <c r="E10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10191.316019870766</v>
      </c>
      <c r="H10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10986.29552000189</v>
      </c>
      <c r="I10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11884.057065292411</v>
      </c>
      <c r="J10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11382.527535253686</v>
      </c>
      <c r="K10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4978.0168584824823</v>
      </c>
      <c r="N10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6125.4700247969031</v>
      </c>
    </row>
    <row r="105" spans="3:14" x14ac:dyDescent="0.25">
      <c r="C10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5862.7755864797937</v>
      </c>
      <c r="D10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5809.790723907643</v>
      </c>
      <c r="E10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5791.5872089717914</v>
      </c>
      <c r="H10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7120.2021521589413</v>
      </c>
      <c r="I10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12247.979062723463</v>
      </c>
      <c r="J10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8276.8728458672267</v>
      </c>
      <c r="K10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2697.2501406498991</v>
      </c>
      <c r="N10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3962.776549294148</v>
      </c>
    </row>
    <row r="106" spans="3:14" x14ac:dyDescent="0.25">
      <c r="C10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7548.9271411602394</v>
      </c>
      <c r="D10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6819.2114073532257</v>
      </c>
      <c r="E10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5592.6473893388693</v>
      </c>
      <c r="H10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1578.4122422630719</v>
      </c>
      <c r="I10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11233.525631828279</v>
      </c>
      <c r="J10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11792.185075676236</v>
      </c>
      <c r="K10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4218.7068085577057</v>
      </c>
      <c r="N10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7200</v>
      </c>
    </row>
    <row r="107" spans="3:14" x14ac:dyDescent="0.25">
      <c r="C10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7780.6354135597849</v>
      </c>
      <c r="D10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7447.5833064406297</v>
      </c>
      <c r="E10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9497.2773023324808</v>
      </c>
      <c r="H10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7829.7109876882187</v>
      </c>
      <c r="I10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10063.970499514373</v>
      </c>
      <c r="J10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9735.3477679922289</v>
      </c>
      <c r="K10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4761.2217180768348</v>
      </c>
      <c r="N10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6037.3660102131244</v>
      </c>
    </row>
    <row r="108" spans="3:14" x14ac:dyDescent="0.25">
      <c r="C10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4907.611402539379</v>
      </c>
      <c r="D10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4747.9542217764047</v>
      </c>
      <c r="E10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7639.6349964195497</v>
      </c>
      <c r="H10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8453.7426010561685</v>
      </c>
      <c r="I10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10321.686123958099</v>
      </c>
      <c r="J10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14327.937767492105</v>
      </c>
      <c r="K10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1525.8258452642833</v>
      </c>
      <c r="N10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6963.5749464757537</v>
      </c>
    </row>
    <row r="109" spans="3:14" x14ac:dyDescent="0.25">
      <c r="C109"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6404.9283985773327</v>
      </c>
      <c r="D109"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8260.1669928926603</v>
      </c>
      <c r="E109"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9"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8199.7686049277763</v>
      </c>
      <c r="H10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7367.088311250789</v>
      </c>
      <c r="I10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12125.09217982412</v>
      </c>
      <c r="J10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10117.873140879032</v>
      </c>
      <c r="K109"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9"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09"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2186.4676361378501</v>
      </c>
      <c r="N109"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6540.3624279925061</v>
      </c>
    </row>
    <row r="110" spans="3:14" x14ac:dyDescent="0.25">
      <c r="C11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6738.787748892275</v>
      </c>
      <c r="D11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6308.2958229293572</v>
      </c>
      <c r="E11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5976.4543631410143</v>
      </c>
      <c r="H11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8198.0204771826429</v>
      </c>
      <c r="I11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10090.164396454576</v>
      </c>
      <c r="J11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11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3916.4637101667645</v>
      </c>
      <c r="N11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5756.0193993599451</v>
      </c>
    </row>
    <row r="111" spans="3:14" x14ac:dyDescent="0.25">
      <c r="C11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6559.042739550121</v>
      </c>
      <c r="D11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6945.8618150089551</v>
      </c>
      <c r="E11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7812.8450395024529</v>
      </c>
      <c r="H11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14037.708199408291</v>
      </c>
      <c r="I11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10745.648555187523</v>
      </c>
      <c r="J11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11907.014345096761</v>
      </c>
      <c r="K11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5196.5695468718195</v>
      </c>
      <c r="N11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3443.0383019670803</v>
      </c>
    </row>
    <row r="112" spans="3:14" x14ac:dyDescent="0.25">
      <c r="C11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5203.744892828714</v>
      </c>
      <c r="D11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5709.2037131696452</v>
      </c>
      <c r="E11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5248.4973953822055</v>
      </c>
      <c r="H11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13067.246304994096</v>
      </c>
      <c r="I11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9129.8351361814293</v>
      </c>
      <c r="J11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13062.419939957834</v>
      </c>
      <c r="K11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3450.0361663656445</v>
      </c>
      <c r="N11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7200</v>
      </c>
    </row>
    <row r="113" spans="3:14" x14ac:dyDescent="0.25">
      <c r="C11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6654.2426934380319</v>
      </c>
      <c r="D11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6054.0550591062811</v>
      </c>
      <c r="E11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5764.5444095629555</v>
      </c>
      <c r="H11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12572.342080216598</v>
      </c>
      <c r="I11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8943.9603833496731</v>
      </c>
      <c r="J11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8328.0075235044987</v>
      </c>
      <c r="K11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4758.9509586831628</v>
      </c>
      <c r="N11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5438.3725941236044</v>
      </c>
    </row>
    <row r="114" spans="3:14" x14ac:dyDescent="0.25">
      <c r="C11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6949.3607727957169</v>
      </c>
      <c r="D11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6187.5484055531406</v>
      </c>
      <c r="E11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12205.208825928625</v>
      </c>
      <c r="H11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10367.995977027032</v>
      </c>
      <c r="I11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13420.229679706952</v>
      </c>
      <c r="J11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10594.79000846133</v>
      </c>
      <c r="K11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4464.7325937389669</v>
      </c>
      <c r="N11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7200</v>
      </c>
    </row>
    <row r="115" spans="3:14" x14ac:dyDescent="0.25">
      <c r="C11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7547.1444432132093</v>
      </c>
      <c r="D11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6868.2733676579719</v>
      </c>
      <c r="E11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13978.882653381737</v>
      </c>
      <c r="H11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12343.286565504946</v>
      </c>
      <c r="I11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11996.740861876091</v>
      </c>
      <c r="J11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10435.437509532721</v>
      </c>
      <c r="K11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3699.3734064853902</v>
      </c>
      <c r="N11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5299.7629402186785</v>
      </c>
    </row>
    <row r="116" spans="3:14" x14ac:dyDescent="0.25">
      <c r="C11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5318.2842901567819</v>
      </c>
      <c r="D11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4802.4703063808693</v>
      </c>
      <c r="E11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5104.2366705503382</v>
      </c>
      <c r="H11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10192.221885677314</v>
      </c>
      <c r="I11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10077.658193061156</v>
      </c>
      <c r="J11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13601.135839661934</v>
      </c>
      <c r="K11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5163.004346310664</v>
      </c>
      <c r="N11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5365.7735214342738</v>
      </c>
    </row>
    <row r="117" spans="3:14" x14ac:dyDescent="0.25">
      <c r="C11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8383.5779109282248</v>
      </c>
      <c r="D11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5729.0264737703719</v>
      </c>
      <c r="E11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9809.466832165901</v>
      </c>
      <c r="H11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8313.972000276588</v>
      </c>
      <c r="I11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11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13323.573692821819</v>
      </c>
      <c r="K11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2606.5611610706333</v>
      </c>
      <c r="N11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5707.1410042113575</v>
      </c>
    </row>
    <row r="118" spans="3:14" x14ac:dyDescent="0.25">
      <c r="C11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6099.5362060703064</v>
      </c>
      <c r="D11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5170.5685722163716</v>
      </c>
      <c r="E11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11102.716084308666</v>
      </c>
      <c r="H11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8406.8124943033872</v>
      </c>
      <c r="I11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10373.201710356401</v>
      </c>
      <c r="J11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11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4302.6691411722313</v>
      </c>
      <c r="N11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6347.548926161292</v>
      </c>
    </row>
    <row r="119" spans="3:14" x14ac:dyDescent="0.25">
      <c r="C119"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5071.4670774221659</v>
      </c>
      <c r="D119"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8400</v>
      </c>
      <c r="E119"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9"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5583.2759700691149</v>
      </c>
      <c r="H11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11094.174213974289</v>
      </c>
      <c r="I11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10154.515970214517</v>
      </c>
      <c r="J11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14089.238937948112</v>
      </c>
      <c r="K119"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9"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19"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4404.2050927297623</v>
      </c>
      <c r="N119"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7050.5268588211202</v>
      </c>
    </row>
    <row r="120" spans="3:14" x14ac:dyDescent="0.25">
      <c r="C120"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5293.3614656466762</v>
      </c>
      <c r="D120"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7377.5225934011869</v>
      </c>
      <c r="E120"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0"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0"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8339.5597913132424</v>
      </c>
      <c r="H120"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8323.5718181533412</v>
      </c>
      <c r="I120"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9833.2810117403787</v>
      </c>
      <c r="J120"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12611.455852292233</v>
      </c>
      <c r="K120"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0"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0"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6047.6091481879957</v>
      </c>
      <c r="N120"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6096.0103523812759</v>
      </c>
    </row>
    <row r="121" spans="3:14" x14ac:dyDescent="0.25">
      <c r="C121"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6169.97495246572</v>
      </c>
      <c r="D121"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6584.6443162354826</v>
      </c>
      <c r="E121"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1"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1"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10420.613879779203</v>
      </c>
      <c r="H121"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14089.572313690383</v>
      </c>
      <c r="I121"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12258.422415944764</v>
      </c>
      <c r="J121"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5342.8387241587025</v>
      </c>
      <c r="K121"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1"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1"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3483.7561357858781</v>
      </c>
      <c r="N121"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7200</v>
      </c>
    </row>
    <row r="122" spans="3:14" x14ac:dyDescent="0.25">
      <c r="C122"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7555.2710621993674</v>
      </c>
      <c r="D122"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7139.5344925321315</v>
      </c>
      <c r="E122"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2"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2"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7090.8628553875169</v>
      </c>
      <c r="H122"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7737.5905134474788</v>
      </c>
      <c r="I122"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7240.5928310407571</v>
      </c>
      <c r="J122"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9664.4309128059904</v>
      </c>
      <c r="K122"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2"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2"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4145.5066273429329</v>
      </c>
      <c r="N122"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6720.3063935942691</v>
      </c>
    </row>
    <row r="123" spans="3:14" x14ac:dyDescent="0.25">
      <c r="C123"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5097.5040216979478</v>
      </c>
      <c r="D123"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4542.4248670571269</v>
      </c>
      <c r="E123"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3"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3"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9006.0084630004931</v>
      </c>
      <c r="H123"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13072.583376211649</v>
      </c>
      <c r="I123"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13758.304604189179</v>
      </c>
      <c r="J123"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12331.454184741091</v>
      </c>
      <c r="K123"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3"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3"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4424.592030806979</v>
      </c>
      <c r="N123"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2419.4995556983054</v>
      </c>
    </row>
    <row r="124" spans="3:14" x14ac:dyDescent="0.25">
      <c r="C124"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8400</v>
      </c>
      <c r="D124"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6514.2621441691635</v>
      </c>
      <c r="E124"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4"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4"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11041.069795989768</v>
      </c>
      <c r="H124"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4888.1577787514461</v>
      </c>
      <c r="I124"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14400</v>
      </c>
      <c r="J124"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12264.414229660963</v>
      </c>
      <c r="K124"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4"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4"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3648.1872982662671</v>
      </c>
      <c r="N124"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5085.0785663071592</v>
      </c>
    </row>
    <row r="125" spans="3:14" x14ac:dyDescent="0.25">
      <c r="C125"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6420.2748327934132</v>
      </c>
      <c r="D125"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8400</v>
      </c>
      <c r="E125"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5"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5"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8129.9028427012418</v>
      </c>
      <c r="H125"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3215.9042297964629</v>
      </c>
      <c r="I125"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9973.0305276099753</v>
      </c>
      <c r="J125"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10542.34042387579</v>
      </c>
      <c r="K125"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5"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5"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1402.8970403483918</v>
      </c>
      <c r="N125"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6787.8921453365901</v>
      </c>
    </row>
    <row r="126" spans="3:14" x14ac:dyDescent="0.25">
      <c r="C126"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7727.0297893488769</v>
      </c>
      <c r="D126"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4453.281217588501</v>
      </c>
      <c r="E126"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6"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6"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3818.9923417784598</v>
      </c>
      <c r="H126"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12115.996446570263</v>
      </c>
      <c r="I126"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10985.610071105582</v>
      </c>
      <c r="J126"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12032.256989304122</v>
      </c>
      <c r="K126"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6"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6"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4049.3762519020893</v>
      </c>
      <c r="N126"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4970.3783226280566</v>
      </c>
    </row>
    <row r="127" spans="3:14" x14ac:dyDescent="0.25">
      <c r="C127"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7326.9906027396792</v>
      </c>
      <c r="D127"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6514.9864404129812</v>
      </c>
      <c r="E127"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7"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7"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7983.8674288145976</v>
      </c>
      <c r="H127"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6616.3845727343578</v>
      </c>
      <c r="I127"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9447.6938315154184</v>
      </c>
      <c r="J127"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10110.553565386439</v>
      </c>
      <c r="K127"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7"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7"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5091.1956323549712</v>
      </c>
      <c r="N127"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5064.615103585028</v>
      </c>
    </row>
    <row r="128" spans="3:14" x14ac:dyDescent="0.25">
      <c r="C128" s="165">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5784.7245979602731</v>
      </c>
      <c r="D128" s="165">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5945.0622560619122</v>
      </c>
      <c r="E128" s="165"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8" s="165"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8"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5207.8306836363081</v>
      </c>
      <c r="H128"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4946.034450820177</v>
      </c>
      <c r="I128"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13134.339351164963</v>
      </c>
      <c r="J128"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14400</v>
      </c>
      <c r="K128" s="165"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8" s="165"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8" s="165">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5233.5187256327163</v>
      </c>
      <c r="N128" s="165">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5537.2343648501164</v>
      </c>
    </row>
    <row r="129" spans="2:14" x14ac:dyDescent="0.25">
      <c r="B129" s="8"/>
      <c r="C129" s="167">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5104.3405149223654</v>
      </c>
      <c r="D129" s="167">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7545.0760082294737</v>
      </c>
      <c r="E129" s="167"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9" s="167"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9" s="166">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7995.6029031678827</v>
      </c>
      <c r="H129" s="167">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4078.0368929604524</v>
      </c>
      <c r="I129" s="167">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9434.1697396304771</v>
      </c>
      <c r="J129" s="168">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12472.697827131196</v>
      </c>
      <c r="K129" s="167"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9" s="167"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29" s="167">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4750.9867095386635</v>
      </c>
      <c r="N129" s="167">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3831.7001661927884</v>
      </c>
    </row>
    <row r="130" spans="2:14" x14ac:dyDescent="0.25">
      <c r="B130" s="9"/>
      <c r="C130" s="169">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6088.1495375269915</v>
      </c>
      <c r="D130" s="169">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6072.5821021029069</v>
      </c>
      <c r="E130" s="169"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30" s="169"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30" s="170">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3777.1191933777732</v>
      </c>
      <c r="H130" s="169">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5321.1404536386926</v>
      </c>
      <c r="I130" s="169">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10116.577891250196</v>
      </c>
      <c r="J130" s="174">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12340.779756952907</v>
      </c>
      <c r="K130" s="169"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30" s="169" t="str">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na</v>
      </c>
      <c r="M130" s="169">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6578.6725700711231</v>
      </c>
      <c r="N130" s="169">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5253.05628321733</v>
      </c>
    </row>
  </sheetData>
  <mergeCells count="11">
    <mergeCell ref="S31:T31"/>
    <mergeCell ref="U31:V31"/>
    <mergeCell ref="W31:X31"/>
    <mergeCell ref="Y31:Z31"/>
    <mergeCell ref="E5:H5"/>
    <mergeCell ref="R22:U22"/>
    <mergeCell ref="V22:Y22"/>
    <mergeCell ref="C22:F22"/>
    <mergeCell ref="G22:J22"/>
    <mergeCell ref="K22:N22"/>
    <mergeCell ref="B11:H12"/>
  </mergeCells>
  <conditionalFormatting sqref="T55:W58">
    <cfRule type="cellIs" dxfId="3" priority="1" operator="between">
      <formula>1</formula>
      <formula>1.11</formula>
    </cfRule>
    <cfRule type="cellIs" dxfId="2" priority="2" operator="greaterThan">
      <formula>1.11</formula>
    </cfRule>
    <cfRule type="cellIs" dxfId="1" priority="3" operator="between">
      <formula>0.91</formula>
      <formula>1.11</formula>
    </cfRule>
    <cfRule type="cellIs" dxfId="0" priority="4" operator="lessThan">
      <formula>0.9</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Title</vt:lpstr>
      <vt:lpstr>Definitions</vt:lpstr>
      <vt:lpstr>VACCINATION CALCULATOR</vt:lpstr>
      <vt:lpstr>VACCINATION COSTS</vt:lpstr>
      <vt:lpstr>Calculations</vt:lpstr>
      <vt:lpstr>CP_Procured</vt:lpstr>
      <vt:lpstr>CVR_Procured</vt:lpstr>
      <vt:lpstr>DD_Procured</vt:lpstr>
      <vt:lpstr>ORV_Procured</vt:lpstr>
      <vt:lpstr>Pop_all</vt:lpstr>
      <vt:lpstr>Pop_C</vt:lpstr>
      <vt:lpstr>Pop_NC</vt:lpstr>
      <vt:lpstr>Pop_SC</vt:lpstr>
      <vt:lpstr>Vax_C</vt:lpstr>
      <vt:lpstr>Vax_CP</vt:lpstr>
      <vt:lpstr>Vax_CVR</vt:lpstr>
      <vt:lpstr>Vax_DD</vt:lpstr>
      <vt:lpstr>Vax_NC</vt:lpstr>
      <vt:lpstr>Vax_ORV</vt:lpstr>
      <vt:lpstr>Vax_SC</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Wallace, Ryan (CDC/OID/NCEZID)</cp:lastModifiedBy>
  <dcterms:created xsi:type="dcterms:W3CDTF">2016-04-01T16:45:27Z</dcterms:created>
  <dcterms:modified xsi:type="dcterms:W3CDTF">2018-10-17T22:24:49Z</dcterms:modified>
</cp:coreProperties>
</file>