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homeoffice\kim\rethink\rabies\"/>
    </mc:Choice>
  </mc:AlternateContent>
  <bookViews>
    <workbookView xWindow="0" yWindow="0" windowWidth="24660" windowHeight="9690" tabRatio="892" activeTab="3"/>
  </bookViews>
  <sheets>
    <sheet name="Title" sheetId="11" r:id="rId1"/>
    <sheet name="Instructions &amp; Definitions" sheetId="6" r:id="rId2"/>
    <sheet name="VACCINATION CALCULATOR" sheetId="3" r:id="rId3"/>
    <sheet name="VACCINATION COSTS" sheetId="9" r:id="rId4"/>
    <sheet name="Calculations" sheetId="8" r:id="rId5"/>
    <sheet name="Scenario 1 Confinement" sheetId="12" r:id="rId6"/>
    <sheet name="Scenario 2 Vax Procurement" sheetId="14" r:id="rId7"/>
    <sheet name="Scenario 3a Vax Strategy" sheetId="15" r:id="rId8"/>
    <sheet name="Scenario 3b Vax Strategy" sheetId="16" r:id="rId9"/>
    <sheet name="Scenario 5 Strategy Effectivene" sheetId="17" r:id="rId10"/>
    <sheet name="Scenario 8 Capacity" sheetId="18" r:id="rId11"/>
  </sheets>
  <definedNames>
    <definedName name="CP_Procured">'VACCINATION CALCULATOR'!$C$14</definedName>
    <definedName name="CVR_Procured">'VACCINATION CALCULATOR'!$C$16</definedName>
    <definedName name="DD_Procured">'VACCINATION CALCULATOR'!$C$15</definedName>
    <definedName name="ORV_Procured">'VACCINATION CALCULATOR'!$C$17</definedName>
    <definedName name="Pop_all">'VACCINATION CALCULATOR'!$C$4</definedName>
    <definedName name="Pop_C">'VACCINATION CALCULATOR'!$C$5</definedName>
    <definedName name="Pop_NC">'VACCINATION CALCULATOR'!$C$7</definedName>
    <definedName name="Pop_SC">'VACCINATION CALCULATOR'!$C$6</definedName>
    <definedName name="Vax_C">Calculations!$Z$24</definedName>
    <definedName name="Vax_CP">Calculations!$V$27</definedName>
    <definedName name="Vax_CVR">Calculations!$X$27</definedName>
    <definedName name="Vax_DD">Calculations!$W$27</definedName>
    <definedName name="Vax_NC">Calculations!$Z$26</definedName>
    <definedName name="Vax_ORV">Calculations!$Y$27</definedName>
    <definedName name="Vax_SC">Calculations!$Z$25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9" l="1"/>
  <c r="R42" i="18" l="1"/>
  <c r="R41" i="18"/>
  <c r="R40" i="18"/>
  <c r="R39" i="18"/>
  <c r="R38" i="18"/>
  <c r="R42" i="17"/>
  <c r="R41" i="17"/>
  <c r="R40" i="17"/>
  <c r="R39" i="17"/>
  <c r="R38" i="17"/>
  <c r="R42" i="16"/>
  <c r="R41" i="16"/>
  <c r="R40" i="16"/>
  <c r="R39" i="16"/>
  <c r="R38" i="16"/>
  <c r="R42" i="15"/>
  <c r="R41" i="15"/>
  <c r="R40" i="15"/>
  <c r="R39" i="15"/>
  <c r="R38" i="15"/>
  <c r="R42" i="14"/>
  <c r="R41" i="14"/>
  <c r="R40" i="14"/>
  <c r="R39" i="14"/>
  <c r="R38" i="14"/>
  <c r="R42" i="12"/>
  <c r="R41" i="12"/>
  <c r="R39" i="12"/>
  <c r="R40" i="12"/>
  <c r="R38" i="12"/>
  <c r="N16" i="18" l="1"/>
  <c r="N15" i="18"/>
  <c r="N14" i="18"/>
  <c r="B16" i="18"/>
  <c r="B15" i="18"/>
  <c r="B14" i="18"/>
  <c r="N17" i="17"/>
  <c r="N16" i="17"/>
  <c r="N15" i="17"/>
  <c r="N14" i="17"/>
  <c r="B17" i="17"/>
  <c r="B16" i="17"/>
  <c r="B15" i="17"/>
  <c r="B14" i="17"/>
  <c r="N14" i="16"/>
  <c r="N16" i="16"/>
  <c r="N15" i="16"/>
  <c r="B17" i="16"/>
  <c r="B16" i="16"/>
  <c r="B15" i="16"/>
  <c r="B14" i="16"/>
  <c r="N17" i="15"/>
  <c r="B17" i="15"/>
  <c r="N16" i="15"/>
  <c r="B16" i="15"/>
  <c r="N15" i="15"/>
  <c r="B15" i="15"/>
  <c r="N14" i="15"/>
  <c r="B14" i="15"/>
  <c r="N17" i="14"/>
  <c r="B17" i="14"/>
  <c r="N16" i="14"/>
  <c r="B16" i="14"/>
  <c r="N15" i="14"/>
  <c r="B15" i="14"/>
  <c r="N14" i="14"/>
  <c r="B14" i="14"/>
  <c r="N17" i="12"/>
  <c r="N16" i="12"/>
  <c r="N15" i="12"/>
  <c r="N14" i="12"/>
  <c r="B17" i="12"/>
  <c r="B16" i="12"/>
  <c r="B15" i="12"/>
  <c r="B14" i="12"/>
  <c r="K19" i="3" l="1"/>
  <c r="C50" i="9" l="1"/>
  <c r="C44" i="9"/>
  <c r="C45" i="9"/>
  <c r="C43" i="9"/>
  <c r="C38" i="9" s="1"/>
  <c r="C33" i="9"/>
  <c r="D37" i="9"/>
  <c r="R58" i="8" l="1"/>
  <c r="U10" i="8"/>
  <c r="H9" i="8"/>
  <c r="G9" i="8"/>
  <c r="F9" i="8"/>
  <c r="E9" i="8"/>
  <c r="H8" i="8"/>
  <c r="G8" i="8"/>
  <c r="F8" i="8"/>
  <c r="E8" i="8"/>
  <c r="T7" i="8"/>
  <c r="H7" i="8"/>
  <c r="G7" i="8"/>
  <c r="F7" i="8"/>
  <c r="E7" i="8"/>
  <c r="U6" i="8"/>
  <c r="Q4" i="8"/>
  <c r="K62" i="9"/>
  <c r="J62" i="9"/>
  <c r="I62" i="9"/>
  <c r="K59" i="9"/>
  <c r="J59" i="9"/>
  <c r="I59" i="9"/>
  <c r="K51" i="9"/>
  <c r="J51" i="9"/>
  <c r="I51" i="9"/>
  <c r="K50" i="9"/>
  <c r="J50" i="9"/>
  <c r="J48" i="9" s="1"/>
  <c r="I50" i="9"/>
  <c r="K49" i="9"/>
  <c r="J49" i="9"/>
  <c r="I49" i="9"/>
  <c r="D46" i="9"/>
  <c r="J46" i="9" s="1"/>
  <c r="D45" i="9"/>
  <c r="J45" i="9" s="1"/>
  <c r="D44" i="9"/>
  <c r="J44" i="9" s="1"/>
  <c r="D43" i="9"/>
  <c r="J43" i="9" s="1"/>
  <c r="D42" i="9"/>
  <c r="J42" i="9" s="1"/>
  <c r="D39" i="9"/>
  <c r="I39" i="9" s="1"/>
  <c r="D38" i="9"/>
  <c r="I38" i="9" s="1"/>
  <c r="D36" i="9"/>
  <c r="D35" i="9"/>
  <c r="D34" i="9"/>
  <c r="D33" i="9"/>
  <c r="I33" i="9" s="1"/>
  <c r="D32" i="9"/>
  <c r="J32" i="9" s="1"/>
  <c r="D31" i="9"/>
  <c r="I31" i="9" s="1"/>
  <c r="C17" i="3"/>
  <c r="Q17" i="17" s="1"/>
  <c r="K15" i="3"/>
  <c r="C16" i="3"/>
  <c r="W33" i="8" s="1"/>
  <c r="C15" i="3"/>
  <c r="U33" i="8" s="1"/>
  <c r="C14" i="3"/>
  <c r="C7" i="3"/>
  <c r="C5" i="3"/>
  <c r="B9" i="11"/>
  <c r="E17" i="17" l="1"/>
  <c r="Q17" i="16"/>
  <c r="Y33" i="8"/>
  <c r="E17" i="15"/>
  <c r="Q17" i="14"/>
  <c r="E17" i="16"/>
  <c r="Q17" i="15"/>
  <c r="E17" i="14"/>
  <c r="Q17" i="12"/>
  <c r="F17" i="3"/>
  <c r="E17" i="12"/>
  <c r="M24" i="8"/>
  <c r="T26" i="8" s="1"/>
  <c r="S33" i="8"/>
  <c r="M4" i="3"/>
  <c r="C30" i="8"/>
  <c r="C24" i="8"/>
  <c r="R24" i="8" s="1"/>
  <c r="T33" i="8" s="1"/>
  <c r="N24" i="8"/>
  <c r="U26" i="8" s="1"/>
  <c r="D24" i="8"/>
  <c r="S24" i="8" s="1"/>
  <c r="K24" i="8"/>
  <c r="R26" i="8" s="1"/>
  <c r="T35" i="8" s="1"/>
  <c r="F24" i="8"/>
  <c r="U24" i="8" s="1"/>
  <c r="C25" i="8"/>
  <c r="E30" i="8"/>
  <c r="E24" i="8"/>
  <c r="T24" i="8" s="1"/>
  <c r="L24" i="8"/>
  <c r="S26" i="8" s="1"/>
  <c r="U11" i="8"/>
  <c r="C33" i="3" s="1"/>
  <c r="K39" i="9"/>
  <c r="I48" i="9"/>
  <c r="K31" i="9"/>
  <c r="K33" i="9"/>
  <c r="J33" i="9"/>
  <c r="L66" i="8"/>
  <c r="K43" i="8"/>
  <c r="E82" i="8"/>
  <c r="E42" i="8"/>
  <c r="E78" i="8"/>
  <c r="E90" i="8"/>
  <c r="E63" i="8"/>
  <c r="E94" i="8"/>
  <c r="E74" i="8"/>
  <c r="E125" i="8"/>
  <c r="L33" i="8"/>
  <c r="L37" i="8"/>
  <c r="L65" i="8"/>
  <c r="L43" i="8"/>
  <c r="L124" i="8"/>
  <c r="K31" i="8"/>
  <c r="K53" i="8"/>
  <c r="J31" i="9"/>
  <c r="L30" i="8"/>
  <c r="K36" i="8"/>
  <c r="E41" i="8"/>
  <c r="K46" i="8"/>
  <c r="E62" i="8"/>
  <c r="E70" i="8"/>
  <c r="E86" i="8"/>
  <c r="K109" i="8"/>
  <c r="K48" i="9"/>
  <c r="K38" i="8"/>
  <c r="K58" i="8"/>
  <c r="K38" i="9"/>
  <c r="K30" i="8"/>
  <c r="K35" i="8"/>
  <c r="L39" i="8"/>
  <c r="K44" i="8"/>
  <c r="K101" i="8"/>
  <c r="U12" i="8"/>
  <c r="K32" i="9"/>
  <c r="I32" i="9"/>
  <c r="M6" i="3"/>
  <c r="F10" i="3"/>
  <c r="M5" i="3"/>
  <c r="D32" i="8"/>
  <c r="D130" i="8"/>
  <c r="E25" i="8"/>
  <c r="D68" i="8"/>
  <c r="D35" i="8"/>
  <c r="F25" i="8"/>
  <c r="C107" i="8"/>
  <c r="N105" i="8"/>
  <c r="D64" i="8"/>
  <c r="D31" i="8"/>
  <c r="D39" i="8"/>
  <c r="D43" i="8"/>
  <c r="D114" i="8"/>
  <c r="D34" i="8"/>
  <c r="D37" i="8"/>
  <c r="D56" i="8"/>
  <c r="D63" i="8"/>
  <c r="C32" i="8"/>
  <c r="C34" i="8"/>
  <c r="C46" i="8"/>
  <c r="C55" i="8"/>
  <c r="C99" i="8"/>
  <c r="C44" i="8"/>
  <c r="C53" i="8"/>
  <c r="J41" i="9"/>
  <c r="K25" i="8"/>
  <c r="M92" i="8"/>
  <c r="N34" i="8"/>
  <c r="M25" i="8"/>
  <c r="N63" i="8"/>
  <c r="R57" i="8"/>
  <c r="N25" i="8"/>
  <c r="N55" i="8"/>
  <c r="N32" i="8"/>
  <c r="F130" i="8"/>
  <c r="F129" i="8"/>
  <c r="F128" i="8"/>
  <c r="F127" i="8"/>
  <c r="F126" i="8"/>
  <c r="F125" i="8"/>
  <c r="F124" i="8"/>
  <c r="F123" i="8"/>
  <c r="F122" i="8"/>
  <c r="F121" i="8"/>
  <c r="F120" i="8"/>
  <c r="F119" i="8"/>
  <c r="F118" i="8"/>
  <c r="F117" i="8"/>
  <c r="F116" i="8"/>
  <c r="F115" i="8"/>
  <c r="F114" i="8"/>
  <c r="F113" i="8"/>
  <c r="F112" i="8"/>
  <c r="F111" i="8"/>
  <c r="F110" i="8"/>
  <c r="F108" i="8"/>
  <c r="F106" i="8"/>
  <c r="F104" i="8"/>
  <c r="F102" i="8"/>
  <c r="F100" i="8"/>
  <c r="F98" i="8"/>
  <c r="F96" i="8"/>
  <c r="F67" i="8"/>
  <c r="F63" i="8"/>
  <c r="F59" i="8"/>
  <c r="F56" i="8"/>
  <c r="F42" i="8"/>
  <c r="F109" i="8"/>
  <c r="F105" i="8"/>
  <c r="F101" i="8"/>
  <c r="F97" i="8"/>
  <c r="F93" i="8"/>
  <c r="F91" i="8"/>
  <c r="F89" i="8"/>
  <c r="F87" i="8"/>
  <c r="F85" i="8"/>
  <c r="F83" i="8"/>
  <c r="F81" i="8"/>
  <c r="F79" i="8"/>
  <c r="F77" i="8"/>
  <c r="F75" i="8"/>
  <c r="F73" i="8"/>
  <c r="F71" i="8"/>
  <c r="F68" i="8"/>
  <c r="F64" i="8"/>
  <c r="F60" i="8"/>
  <c r="F55" i="8"/>
  <c r="F43" i="8"/>
  <c r="F39" i="8"/>
  <c r="F38" i="8"/>
  <c r="F37" i="8"/>
  <c r="F36" i="8"/>
  <c r="F57" i="8"/>
  <c r="F61" i="8"/>
  <c r="F69" i="8"/>
  <c r="I43" i="9"/>
  <c r="I46" i="9"/>
  <c r="C130" i="8"/>
  <c r="C129" i="8"/>
  <c r="C128" i="8"/>
  <c r="C127" i="8"/>
  <c r="C126" i="8"/>
  <c r="C125" i="8"/>
  <c r="C124" i="8"/>
  <c r="C123" i="8"/>
  <c r="C122" i="8"/>
  <c r="C121" i="8"/>
  <c r="C120" i="8"/>
  <c r="C119" i="8"/>
  <c r="C118" i="8"/>
  <c r="C117" i="8"/>
  <c r="C116" i="8"/>
  <c r="C115" i="8"/>
  <c r="C114" i="8"/>
  <c r="C113" i="8"/>
  <c r="C112" i="8"/>
  <c r="C111" i="8"/>
  <c r="C110" i="8"/>
  <c r="C108" i="8"/>
  <c r="C106" i="8"/>
  <c r="C104" i="8"/>
  <c r="C102" i="8"/>
  <c r="C100" i="8"/>
  <c r="C98" i="8"/>
  <c r="C96"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109" i="8"/>
  <c r="C105" i="8"/>
  <c r="C101" i="8"/>
  <c r="C97" i="8"/>
  <c r="C58" i="8"/>
  <c r="C41" i="8"/>
  <c r="C57" i="8"/>
  <c r="C42" i="8"/>
  <c r="F31" i="8"/>
  <c r="C33" i="8"/>
  <c r="N33" i="8"/>
  <c r="F35" i="8"/>
  <c r="C36" i="8"/>
  <c r="N64" i="8"/>
  <c r="M65" i="8"/>
  <c r="F74" i="8"/>
  <c r="F78" i="8"/>
  <c r="N80" i="8"/>
  <c r="R55" i="8"/>
  <c r="C6" i="3"/>
  <c r="H88" i="8" s="1"/>
  <c r="J38" i="9"/>
  <c r="J39" i="9"/>
  <c r="K42" i="9"/>
  <c r="K43" i="9"/>
  <c r="K44" i="9"/>
  <c r="K45" i="9"/>
  <c r="K46" i="9"/>
  <c r="E130" i="8"/>
  <c r="E128" i="8"/>
  <c r="E126" i="8"/>
  <c r="E124" i="8"/>
  <c r="E122" i="8"/>
  <c r="E120" i="8"/>
  <c r="E118" i="8"/>
  <c r="E116" i="8"/>
  <c r="E114" i="8"/>
  <c r="E112" i="8"/>
  <c r="E110" i="8"/>
  <c r="E109" i="8"/>
  <c r="E108" i="8"/>
  <c r="E107" i="8"/>
  <c r="E106" i="8"/>
  <c r="E105" i="8"/>
  <c r="E104" i="8"/>
  <c r="E103" i="8"/>
  <c r="E102" i="8"/>
  <c r="E101" i="8"/>
  <c r="E100" i="8"/>
  <c r="E99" i="8"/>
  <c r="E98" i="8"/>
  <c r="E97" i="8"/>
  <c r="E96" i="8"/>
  <c r="E95" i="8"/>
  <c r="E58" i="8"/>
  <c r="E57" i="8"/>
  <c r="E56" i="8"/>
  <c r="E55" i="8"/>
  <c r="E127" i="8"/>
  <c r="E123" i="8"/>
  <c r="E119" i="8"/>
  <c r="E115" i="8"/>
  <c r="E111" i="8"/>
  <c r="E93" i="8"/>
  <c r="E91" i="8"/>
  <c r="E89" i="8"/>
  <c r="E87" i="8"/>
  <c r="E85" i="8"/>
  <c r="E83" i="8"/>
  <c r="E81" i="8"/>
  <c r="E79" i="8"/>
  <c r="E77" i="8"/>
  <c r="E75" i="8"/>
  <c r="E73" i="8"/>
  <c r="E71" i="8"/>
  <c r="E68" i="8"/>
  <c r="E64" i="8"/>
  <c r="E60" i="8"/>
  <c r="E43" i="8"/>
  <c r="E39" i="8"/>
  <c r="E38" i="8"/>
  <c r="E37" i="8"/>
  <c r="E36" i="8"/>
  <c r="E35" i="8"/>
  <c r="E34" i="8"/>
  <c r="E33" i="8"/>
  <c r="E32" i="8"/>
  <c r="E31" i="8"/>
  <c r="E129" i="8"/>
  <c r="E121" i="8"/>
  <c r="E113" i="8"/>
  <c r="E69" i="8"/>
  <c r="E65" i="8"/>
  <c r="E61" i="8"/>
  <c r="E54" i="8"/>
  <c r="E53" i="8"/>
  <c r="E52" i="8"/>
  <c r="E51" i="8"/>
  <c r="E50" i="8"/>
  <c r="E49" i="8"/>
  <c r="E48" i="8"/>
  <c r="E47" i="8"/>
  <c r="E46" i="8"/>
  <c r="E45" i="8"/>
  <c r="E44" i="8"/>
  <c r="E40" i="8"/>
  <c r="L109" i="8"/>
  <c r="L108" i="8"/>
  <c r="L107" i="8"/>
  <c r="L106" i="8"/>
  <c r="L105" i="8"/>
  <c r="L104" i="8"/>
  <c r="L103" i="8"/>
  <c r="L102" i="8"/>
  <c r="L101" i="8"/>
  <c r="L100" i="8"/>
  <c r="L99" i="8"/>
  <c r="L98" i="8"/>
  <c r="L97" i="8"/>
  <c r="L96" i="8"/>
  <c r="L95" i="8"/>
  <c r="L94" i="8"/>
  <c r="L129" i="8"/>
  <c r="L127" i="8"/>
  <c r="L125" i="8"/>
  <c r="L123" i="8"/>
  <c r="L121" i="8"/>
  <c r="L119" i="8"/>
  <c r="L117" i="8"/>
  <c r="L115" i="8"/>
  <c r="L113" i="8"/>
  <c r="L111" i="8"/>
  <c r="L130" i="8"/>
  <c r="L126" i="8"/>
  <c r="L122" i="8"/>
  <c r="L118" i="8"/>
  <c r="L114" i="8"/>
  <c r="L110" i="8"/>
  <c r="L93" i="8"/>
  <c r="L92" i="8"/>
  <c r="L91" i="8"/>
  <c r="L90" i="8"/>
  <c r="L89" i="8"/>
  <c r="L88" i="8"/>
  <c r="L87" i="8"/>
  <c r="L86" i="8"/>
  <c r="L85" i="8"/>
  <c r="L84" i="8"/>
  <c r="L83" i="8"/>
  <c r="L82" i="8"/>
  <c r="L81" i="8"/>
  <c r="L80" i="8"/>
  <c r="L79" i="8"/>
  <c r="L78" i="8"/>
  <c r="L77" i="8"/>
  <c r="L76" i="8"/>
  <c r="L75" i="8"/>
  <c r="L74" i="8"/>
  <c r="L73" i="8"/>
  <c r="L72" i="8"/>
  <c r="L71" i="8"/>
  <c r="L70" i="8"/>
  <c r="L128" i="8"/>
  <c r="L120" i="8"/>
  <c r="L112" i="8"/>
  <c r="L67" i="8"/>
  <c r="L63" i="8"/>
  <c r="L59" i="8"/>
  <c r="L57" i="8"/>
  <c r="L54" i="8"/>
  <c r="L53" i="8"/>
  <c r="L52" i="8"/>
  <c r="L51" i="8"/>
  <c r="L50" i="8"/>
  <c r="L49" i="8"/>
  <c r="L48" i="8"/>
  <c r="L47" i="8"/>
  <c r="L46" i="8"/>
  <c r="L45" i="8"/>
  <c r="L44" i="8"/>
  <c r="L40" i="8"/>
  <c r="L68" i="8"/>
  <c r="L64" i="8"/>
  <c r="L60" i="8"/>
  <c r="L56" i="8"/>
  <c r="L41" i="8"/>
  <c r="D25" i="8"/>
  <c r="L25" i="8"/>
  <c r="D30" i="8"/>
  <c r="C31" i="8"/>
  <c r="N31" i="8"/>
  <c r="L32" i="8"/>
  <c r="F33" i="8"/>
  <c r="K33" i="8"/>
  <c r="L34" i="8"/>
  <c r="C35" i="8"/>
  <c r="N35" i="8"/>
  <c r="C37" i="8"/>
  <c r="K37" i="8"/>
  <c r="C39" i="8"/>
  <c r="K39" i="8"/>
  <c r="F40" i="8"/>
  <c r="N40" i="8"/>
  <c r="D42" i="8"/>
  <c r="L42" i="8"/>
  <c r="C43" i="8"/>
  <c r="F45" i="8"/>
  <c r="N45" i="8"/>
  <c r="F47" i="8"/>
  <c r="N47" i="8"/>
  <c r="F48" i="8"/>
  <c r="N48" i="8"/>
  <c r="F49" i="8"/>
  <c r="N49" i="8"/>
  <c r="F50" i="8"/>
  <c r="N50" i="8"/>
  <c r="F51" i="8"/>
  <c r="N51" i="8"/>
  <c r="F52" i="8"/>
  <c r="N52" i="8"/>
  <c r="F54" i="8"/>
  <c r="N54" i="8"/>
  <c r="L55" i="8"/>
  <c r="C56" i="8"/>
  <c r="N56" i="8"/>
  <c r="D57" i="8"/>
  <c r="F58" i="8"/>
  <c r="E59" i="8"/>
  <c r="D60" i="8"/>
  <c r="N60" i="8"/>
  <c r="M61" i="8"/>
  <c r="L62" i="8"/>
  <c r="F66" i="8"/>
  <c r="E67" i="8"/>
  <c r="N68" i="8"/>
  <c r="M69" i="8"/>
  <c r="N70" i="8"/>
  <c r="F72" i="8"/>
  <c r="N74" i="8"/>
  <c r="F76" i="8"/>
  <c r="N78" i="8"/>
  <c r="F80" i="8"/>
  <c r="N82" i="8"/>
  <c r="F84" i="8"/>
  <c r="N86" i="8"/>
  <c r="F88" i="8"/>
  <c r="N90" i="8"/>
  <c r="F92" i="8"/>
  <c r="F95" i="8"/>
  <c r="N97" i="8"/>
  <c r="F103" i="8"/>
  <c r="M111" i="8"/>
  <c r="E117" i="8"/>
  <c r="M127" i="8"/>
  <c r="M42" i="8"/>
  <c r="M76" i="8"/>
  <c r="M80" i="8"/>
  <c r="M84" i="8"/>
  <c r="M130" i="8"/>
  <c r="M128" i="8"/>
  <c r="M126" i="8"/>
  <c r="M124" i="8"/>
  <c r="M122" i="8"/>
  <c r="M120" i="8"/>
  <c r="M118" i="8"/>
  <c r="M116" i="8"/>
  <c r="M114" i="8"/>
  <c r="M112" i="8"/>
  <c r="M110" i="8"/>
  <c r="M109" i="8"/>
  <c r="M108" i="8"/>
  <c r="M107" i="8"/>
  <c r="M106" i="8"/>
  <c r="M105" i="8"/>
  <c r="M104" i="8"/>
  <c r="M103" i="8"/>
  <c r="M102" i="8"/>
  <c r="M101" i="8"/>
  <c r="M100" i="8"/>
  <c r="M99" i="8"/>
  <c r="M98" i="8"/>
  <c r="M97" i="8"/>
  <c r="M96" i="8"/>
  <c r="M95" i="8"/>
  <c r="M94" i="8"/>
  <c r="M58" i="8"/>
  <c r="M57" i="8"/>
  <c r="M56" i="8"/>
  <c r="M55" i="8"/>
  <c r="M129" i="8"/>
  <c r="M125" i="8"/>
  <c r="M121" i="8"/>
  <c r="M117" i="8"/>
  <c r="M113" i="8"/>
  <c r="M93" i="8"/>
  <c r="M91" i="8"/>
  <c r="M89" i="8"/>
  <c r="M87" i="8"/>
  <c r="M85" i="8"/>
  <c r="M83" i="8"/>
  <c r="M81" i="8"/>
  <c r="M79" i="8"/>
  <c r="M77" i="8"/>
  <c r="M75" i="8"/>
  <c r="M73" i="8"/>
  <c r="M71" i="8"/>
  <c r="M66" i="8"/>
  <c r="M62" i="8"/>
  <c r="M43" i="8"/>
  <c r="M39" i="8"/>
  <c r="M38" i="8"/>
  <c r="M37" i="8"/>
  <c r="M36" i="8"/>
  <c r="M35" i="8"/>
  <c r="M34" i="8"/>
  <c r="M33" i="8"/>
  <c r="M32" i="8"/>
  <c r="M31" i="8"/>
  <c r="M30" i="8"/>
  <c r="M123" i="8"/>
  <c r="M115" i="8"/>
  <c r="M67" i="8"/>
  <c r="M63" i="8"/>
  <c r="M59" i="8"/>
  <c r="M54" i="8"/>
  <c r="M53" i="8"/>
  <c r="M52" i="8"/>
  <c r="M51" i="8"/>
  <c r="M50" i="8"/>
  <c r="M49" i="8"/>
  <c r="M48" i="8"/>
  <c r="M47" i="8"/>
  <c r="M46" i="8"/>
  <c r="M45" i="8"/>
  <c r="M44" i="8"/>
  <c r="M40" i="8"/>
  <c r="F30" i="8"/>
  <c r="M64" i="8"/>
  <c r="M72" i="8"/>
  <c r="M88" i="8"/>
  <c r="I42" i="9"/>
  <c r="I44" i="9"/>
  <c r="I45" i="9"/>
  <c r="N130" i="8"/>
  <c r="N129" i="8"/>
  <c r="N128" i="8"/>
  <c r="N127" i="8"/>
  <c r="N126" i="8"/>
  <c r="N125" i="8"/>
  <c r="N124" i="8"/>
  <c r="N123" i="8"/>
  <c r="N122" i="8"/>
  <c r="N121" i="8"/>
  <c r="N120" i="8"/>
  <c r="N119" i="8"/>
  <c r="N118" i="8"/>
  <c r="N117" i="8"/>
  <c r="N116" i="8"/>
  <c r="N115" i="8"/>
  <c r="N114" i="8"/>
  <c r="N113" i="8"/>
  <c r="N112" i="8"/>
  <c r="N111" i="8"/>
  <c r="N110" i="8"/>
  <c r="N108" i="8"/>
  <c r="N106" i="8"/>
  <c r="N104" i="8"/>
  <c r="N102" i="8"/>
  <c r="N100" i="8"/>
  <c r="N98" i="8"/>
  <c r="N96" i="8"/>
  <c r="N94" i="8"/>
  <c r="N69" i="8"/>
  <c r="N65" i="8"/>
  <c r="N61" i="8"/>
  <c r="N58" i="8"/>
  <c r="N42" i="8"/>
  <c r="N107" i="8"/>
  <c r="N103" i="8"/>
  <c r="N99" i="8"/>
  <c r="N95" i="8"/>
  <c r="N93" i="8"/>
  <c r="N91" i="8"/>
  <c r="N89" i="8"/>
  <c r="N87" i="8"/>
  <c r="N85" i="8"/>
  <c r="N83" i="8"/>
  <c r="N81" i="8"/>
  <c r="N79" i="8"/>
  <c r="N77" i="8"/>
  <c r="N75" i="8"/>
  <c r="N73" i="8"/>
  <c r="N71" i="8"/>
  <c r="N66" i="8"/>
  <c r="N62" i="8"/>
  <c r="N57" i="8"/>
  <c r="N43" i="8"/>
  <c r="N39" i="8"/>
  <c r="N38" i="8"/>
  <c r="N37" i="8"/>
  <c r="N36" i="8"/>
  <c r="C38" i="8"/>
  <c r="M41" i="8"/>
  <c r="F44" i="8"/>
  <c r="N44" i="8"/>
  <c r="F46" i="8"/>
  <c r="N46" i="8"/>
  <c r="F53" i="8"/>
  <c r="N53" i="8"/>
  <c r="F62" i="8"/>
  <c r="F70" i="8"/>
  <c r="N72" i="8"/>
  <c r="N76" i="8"/>
  <c r="F82" i="8"/>
  <c r="N84" i="8"/>
  <c r="F86" i="8"/>
  <c r="N88" i="8"/>
  <c r="F90" i="8"/>
  <c r="N92" i="8"/>
  <c r="F94" i="8"/>
  <c r="F99" i="8"/>
  <c r="N101" i="8"/>
  <c r="F107" i="8"/>
  <c r="N109" i="8"/>
  <c r="M119" i="8"/>
  <c r="M7" i="3"/>
  <c r="C69" i="9"/>
  <c r="C70" i="9"/>
  <c r="D110" i="8"/>
  <c r="D109" i="8"/>
  <c r="D108" i="8"/>
  <c r="D107" i="8"/>
  <c r="D106" i="8"/>
  <c r="D105" i="8"/>
  <c r="D104" i="8"/>
  <c r="D103" i="8"/>
  <c r="D102" i="8"/>
  <c r="D101" i="8"/>
  <c r="D100" i="8"/>
  <c r="D99" i="8"/>
  <c r="D98" i="8"/>
  <c r="D97" i="8"/>
  <c r="D96" i="8"/>
  <c r="D95" i="8"/>
  <c r="D129" i="8"/>
  <c r="D127" i="8"/>
  <c r="D125" i="8"/>
  <c r="D123" i="8"/>
  <c r="D121" i="8"/>
  <c r="D119" i="8"/>
  <c r="D117" i="8"/>
  <c r="D115" i="8"/>
  <c r="D113" i="8"/>
  <c r="D111" i="8"/>
  <c r="D128" i="8"/>
  <c r="D124" i="8"/>
  <c r="D120" i="8"/>
  <c r="D116" i="8"/>
  <c r="D112" i="8"/>
  <c r="D94" i="8"/>
  <c r="D93" i="8"/>
  <c r="D92" i="8"/>
  <c r="D91" i="8"/>
  <c r="D90" i="8"/>
  <c r="D89" i="8"/>
  <c r="D88" i="8"/>
  <c r="D87" i="8"/>
  <c r="D86" i="8"/>
  <c r="D85" i="8"/>
  <c r="D84" i="8"/>
  <c r="D83" i="8"/>
  <c r="D82" i="8"/>
  <c r="D81" i="8"/>
  <c r="D80" i="8"/>
  <c r="D79" i="8"/>
  <c r="D78" i="8"/>
  <c r="D77" i="8"/>
  <c r="D76" i="8"/>
  <c r="D75" i="8"/>
  <c r="D74" i="8"/>
  <c r="D73" i="8"/>
  <c r="D72" i="8"/>
  <c r="D71" i="8"/>
  <c r="D126" i="8"/>
  <c r="D118" i="8"/>
  <c r="D69" i="8"/>
  <c r="D65" i="8"/>
  <c r="D61" i="8"/>
  <c r="D55" i="8"/>
  <c r="D54" i="8"/>
  <c r="D53" i="8"/>
  <c r="D52" i="8"/>
  <c r="D51" i="8"/>
  <c r="D50" i="8"/>
  <c r="D49" i="8"/>
  <c r="D48" i="8"/>
  <c r="D47" i="8"/>
  <c r="D46" i="8"/>
  <c r="D45" i="8"/>
  <c r="D44" i="8"/>
  <c r="D40" i="8"/>
  <c r="D70" i="8"/>
  <c r="D66" i="8"/>
  <c r="D62" i="8"/>
  <c r="D58" i="8"/>
  <c r="D41" i="8"/>
  <c r="K130" i="8"/>
  <c r="K129" i="8"/>
  <c r="K128" i="8"/>
  <c r="K127" i="8"/>
  <c r="K126" i="8"/>
  <c r="K125" i="8"/>
  <c r="K124" i="8"/>
  <c r="K123" i="8"/>
  <c r="K122" i="8"/>
  <c r="K121" i="8"/>
  <c r="K120" i="8"/>
  <c r="K119" i="8"/>
  <c r="K118" i="8"/>
  <c r="K117" i="8"/>
  <c r="K116" i="8"/>
  <c r="K115" i="8"/>
  <c r="K114" i="8"/>
  <c r="K113" i="8"/>
  <c r="K112" i="8"/>
  <c r="K111" i="8"/>
  <c r="K110" i="8"/>
  <c r="K108" i="8"/>
  <c r="K106" i="8"/>
  <c r="K104" i="8"/>
  <c r="K102" i="8"/>
  <c r="K100" i="8"/>
  <c r="K98" i="8"/>
  <c r="K96"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107" i="8"/>
  <c r="K103" i="8"/>
  <c r="K99" i="8"/>
  <c r="K95" i="8"/>
  <c r="K56" i="8"/>
  <c r="K41" i="8"/>
  <c r="K94" i="8"/>
  <c r="K55" i="8"/>
  <c r="K42" i="8"/>
  <c r="N30" i="8"/>
  <c r="L31" i="8"/>
  <c r="F32" i="8"/>
  <c r="K32" i="8"/>
  <c r="D33" i="8"/>
  <c r="F34" i="8"/>
  <c r="K34" i="8"/>
  <c r="L35" i="8"/>
  <c r="D36" i="8"/>
  <c r="L36" i="8"/>
  <c r="D38" i="8"/>
  <c r="L38" i="8"/>
  <c r="C40" i="8"/>
  <c r="K40" i="8"/>
  <c r="F41" i="8"/>
  <c r="N41" i="8"/>
  <c r="C45" i="8"/>
  <c r="K45" i="8"/>
  <c r="C47" i="8"/>
  <c r="K47" i="8"/>
  <c r="C48" i="8"/>
  <c r="K48" i="8"/>
  <c r="C49" i="8"/>
  <c r="K49" i="8"/>
  <c r="C50" i="8"/>
  <c r="K50" i="8"/>
  <c r="C51" i="8"/>
  <c r="K51" i="8"/>
  <c r="C52" i="8"/>
  <c r="K52" i="8"/>
  <c r="C54" i="8"/>
  <c r="K54" i="8"/>
  <c r="K57" i="8"/>
  <c r="L58" i="8"/>
  <c r="D59" i="8"/>
  <c r="N59" i="8"/>
  <c r="M60" i="8"/>
  <c r="L61" i="8"/>
  <c r="F65" i="8"/>
  <c r="E66" i="8"/>
  <c r="D67" i="8"/>
  <c r="N67" i="8"/>
  <c r="M68" i="8"/>
  <c r="L69" i="8"/>
  <c r="M70" i="8"/>
  <c r="E72" i="8"/>
  <c r="M74" i="8"/>
  <c r="E76" i="8"/>
  <c r="M78" i="8"/>
  <c r="E80" i="8"/>
  <c r="M82" i="8"/>
  <c r="E84" i="8"/>
  <c r="M86" i="8"/>
  <c r="E88" i="8"/>
  <c r="M90" i="8"/>
  <c r="E92" i="8"/>
  <c r="C95" i="8"/>
  <c r="K97" i="8"/>
  <c r="C103" i="8"/>
  <c r="K105" i="8"/>
  <c r="L116" i="8"/>
  <c r="D122" i="8"/>
  <c r="V24" i="8" l="1"/>
  <c r="S34" i="8" s="1"/>
  <c r="J24" i="8"/>
  <c r="G24" i="8"/>
  <c r="R25" i="8" s="1"/>
  <c r="T34" i="8" s="1"/>
  <c r="H24" i="8"/>
  <c r="I24" i="8"/>
  <c r="T25" i="8" s="1"/>
  <c r="F36" i="3"/>
  <c r="C35" i="3"/>
  <c r="E36" i="3"/>
  <c r="C36" i="3"/>
  <c r="E37" i="3"/>
  <c r="D35" i="3"/>
  <c r="D36" i="3"/>
  <c r="C37" i="3"/>
  <c r="D37" i="3"/>
  <c r="E35" i="3"/>
  <c r="F35" i="3"/>
  <c r="S57" i="8"/>
  <c r="S58" i="8"/>
  <c r="F37" i="3"/>
  <c r="S55" i="8"/>
  <c r="G72" i="8"/>
  <c r="G93" i="8"/>
  <c r="I130" i="8"/>
  <c r="I68" i="8"/>
  <c r="I80" i="8"/>
  <c r="I42" i="8"/>
  <c r="G123" i="8"/>
  <c r="J39" i="8"/>
  <c r="I89" i="8"/>
  <c r="G42" i="8"/>
  <c r="J100" i="8"/>
  <c r="H122" i="8"/>
  <c r="G102" i="8"/>
  <c r="G77" i="8"/>
  <c r="G128" i="8"/>
  <c r="J90" i="8"/>
  <c r="I58" i="8"/>
  <c r="H46" i="8"/>
  <c r="H105" i="8"/>
  <c r="G31" i="8"/>
  <c r="G61" i="8"/>
  <c r="G83" i="8"/>
  <c r="G112" i="8"/>
  <c r="J57" i="8"/>
  <c r="J47" i="8"/>
  <c r="J103" i="8"/>
  <c r="I46" i="8"/>
  <c r="I110" i="8"/>
  <c r="H72" i="8"/>
  <c r="I73" i="8"/>
  <c r="G103" i="8"/>
  <c r="J52" i="8"/>
  <c r="H37" i="8"/>
  <c r="G35" i="8"/>
  <c r="G67" i="8"/>
  <c r="G88" i="8"/>
  <c r="G117" i="8"/>
  <c r="J123" i="8"/>
  <c r="I33" i="8"/>
  <c r="J53" i="8"/>
  <c r="J30" i="8"/>
  <c r="I67" i="8"/>
  <c r="H108" i="8"/>
  <c r="H104" i="8"/>
  <c r="H100" i="8"/>
  <c r="H96" i="8"/>
  <c r="H128" i="8"/>
  <c r="H120" i="8"/>
  <c r="H112" i="8"/>
  <c r="H117" i="8"/>
  <c r="H91" i="8"/>
  <c r="H87" i="8"/>
  <c r="H83" i="8"/>
  <c r="H79" i="8"/>
  <c r="H75" i="8"/>
  <c r="H71" i="8"/>
  <c r="H66" i="8"/>
  <c r="H53" i="8"/>
  <c r="H49" i="8"/>
  <c r="H45" i="8"/>
  <c r="H63" i="8"/>
  <c r="H25" i="8"/>
  <c r="G36" i="8"/>
  <c r="J63" i="8"/>
  <c r="J77" i="8"/>
  <c r="J93" i="8"/>
  <c r="I123" i="8"/>
  <c r="I115" i="8"/>
  <c r="I109" i="8"/>
  <c r="I105" i="8"/>
  <c r="I101" i="8"/>
  <c r="I97" i="8"/>
  <c r="I57" i="8"/>
  <c r="I124" i="8"/>
  <c r="I94" i="8"/>
  <c r="I86" i="8"/>
  <c r="I78" i="8"/>
  <c r="I70" i="8"/>
  <c r="I43" i="8"/>
  <c r="I36" i="8"/>
  <c r="I32" i="8"/>
  <c r="I118" i="8"/>
  <c r="I53" i="8"/>
  <c r="I49" i="8"/>
  <c r="I45" i="8"/>
  <c r="I79" i="8"/>
  <c r="I87" i="8"/>
  <c r="J130" i="8"/>
  <c r="J126" i="8"/>
  <c r="J122" i="8"/>
  <c r="J118" i="8"/>
  <c r="J114" i="8"/>
  <c r="J109" i="8"/>
  <c r="J101" i="8"/>
  <c r="J94" i="8"/>
  <c r="J55" i="8"/>
  <c r="J102" i="8"/>
  <c r="J88" i="8"/>
  <c r="J80" i="8"/>
  <c r="J72" i="8"/>
  <c r="J61" i="8"/>
  <c r="J38" i="8"/>
  <c r="H107" i="8"/>
  <c r="H103" i="8"/>
  <c r="H99" i="8"/>
  <c r="H95" i="8"/>
  <c r="H126" i="8"/>
  <c r="H118" i="8"/>
  <c r="H129" i="8"/>
  <c r="H113" i="8"/>
  <c r="H90" i="8"/>
  <c r="H86" i="8"/>
  <c r="H82" i="8"/>
  <c r="H78" i="8"/>
  <c r="H74" i="8"/>
  <c r="H70" i="8"/>
  <c r="H62" i="8"/>
  <c r="H52" i="8"/>
  <c r="H48" i="8"/>
  <c r="H44" i="8"/>
  <c r="H59" i="8"/>
  <c r="H31" i="8"/>
  <c r="I64" i="8"/>
  <c r="J73" i="8"/>
  <c r="J89" i="8"/>
  <c r="I129" i="8"/>
  <c r="I121" i="8"/>
  <c r="I113" i="8"/>
  <c r="I108" i="8"/>
  <c r="I104" i="8"/>
  <c r="I100" i="8"/>
  <c r="I96" i="8"/>
  <c r="I56" i="8"/>
  <c r="I120" i="8"/>
  <c r="I92" i="8"/>
  <c r="I84" i="8"/>
  <c r="I76" i="8"/>
  <c r="I69" i="8"/>
  <c r="I39" i="8"/>
  <c r="I35" i="8"/>
  <c r="I31" i="8"/>
  <c r="I66" i="8"/>
  <c r="I52" i="8"/>
  <c r="I48" i="8"/>
  <c r="I44" i="8"/>
  <c r="I71" i="8"/>
  <c r="I91" i="8"/>
  <c r="I59" i="8"/>
  <c r="J129" i="8"/>
  <c r="J125" i="8"/>
  <c r="J121" i="8"/>
  <c r="J117" i="8"/>
  <c r="J113" i="8"/>
  <c r="J107" i="8"/>
  <c r="J99" i="8"/>
  <c r="J68" i="8"/>
  <c r="J42" i="8"/>
  <c r="J98" i="8"/>
  <c r="J86" i="8"/>
  <c r="J78" i="8"/>
  <c r="J70" i="8"/>
  <c r="J58" i="8"/>
  <c r="J37" i="8"/>
  <c r="J50" i="8"/>
  <c r="I60" i="8"/>
  <c r="J79" i="8"/>
  <c r="J104" i="8"/>
  <c r="G130" i="8"/>
  <c r="G126" i="8"/>
  <c r="G122" i="8"/>
  <c r="G118" i="8"/>
  <c r="G114" i="8"/>
  <c r="G109" i="8"/>
  <c r="G101" i="8"/>
  <c r="G94" i="8"/>
  <c r="G90" i="8"/>
  <c r="G86" i="8"/>
  <c r="G82" i="8"/>
  <c r="G78" i="8"/>
  <c r="G74" i="8"/>
  <c r="G70" i="8"/>
  <c r="G66" i="8"/>
  <c r="G62" i="8"/>
  <c r="G110" i="8"/>
  <c r="G57" i="8"/>
  <c r="G25" i="8"/>
  <c r="H110" i="8"/>
  <c r="H106" i="8"/>
  <c r="H102" i="8"/>
  <c r="H98" i="8"/>
  <c r="H94" i="8"/>
  <c r="H124" i="8"/>
  <c r="H116" i="8"/>
  <c r="H125" i="8"/>
  <c r="H93" i="8"/>
  <c r="H89" i="8"/>
  <c r="H85" i="8"/>
  <c r="H81" i="8"/>
  <c r="H77" i="8"/>
  <c r="H73" i="8"/>
  <c r="H123" i="8"/>
  <c r="H58" i="8"/>
  <c r="H51" i="8"/>
  <c r="H47" i="8"/>
  <c r="H40" i="8"/>
  <c r="H57" i="8"/>
  <c r="H35" i="8"/>
  <c r="J46" i="8"/>
  <c r="H65" i="8"/>
  <c r="J85" i="8"/>
  <c r="I127" i="8"/>
  <c r="I119" i="8"/>
  <c r="I111" i="8"/>
  <c r="I107" i="8"/>
  <c r="I103" i="8"/>
  <c r="I99" i="8"/>
  <c r="I95" i="8"/>
  <c r="I55" i="8"/>
  <c r="I116" i="8"/>
  <c r="I90" i="8"/>
  <c r="I82" i="8"/>
  <c r="I74" i="8"/>
  <c r="I65" i="8"/>
  <c r="I38" i="8"/>
  <c r="I34" i="8"/>
  <c r="I30" i="8"/>
  <c r="I62" i="8"/>
  <c r="I51" i="8"/>
  <c r="I47" i="8"/>
  <c r="I40" i="8"/>
  <c r="I75" i="8"/>
  <c r="I83" i="8"/>
  <c r="J128" i="8"/>
  <c r="J124" i="8"/>
  <c r="J120" i="8"/>
  <c r="J116" i="8"/>
  <c r="J112" i="8"/>
  <c r="J105" i="8"/>
  <c r="J97" i="8"/>
  <c r="J64" i="8"/>
  <c r="J110" i="8"/>
  <c r="J92" i="8"/>
  <c r="J84" i="8"/>
  <c r="J76" i="8"/>
  <c r="J69" i="8"/>
  <c r="J43" i="8"/>
  <c r="J36" i="8"/>
  <c r="H64" i="8"/>
  <c r="H39" i="8"/>
  <c r="G56" i="8"/>
  <c r="G106" i="8"/>
  <c r="G63" i="8"/>
  <c r="G68" i="8"/>
  <c r="G73" i="8"/>
  <c r="G79" i="8"/>
  <c r="G84" i="8"/>
  <c r="G89" i="8"/>
  <c r="G95" i="8"/>
  <c r="G105" i="8"/>
  <c r="G113" i="8"/>
  <c r="G119" i="8"/>
  <c r="G124" i="8"/>
  <c r="G129" i="8"/>
  <c r="J75" i="8"/>
  <c r="J67" i="8"/>
  <c r="J54" i="8"/>
  <c r="J51" i="8"/>
  <c r="J65" i="8"/>
  <c r="J106" i="8"/>
  <c r="J111" i="8"/>
  <c r="J127" i="8"/>
  <c r="I50" i="8"/>
  <c r="I37" i="8"/>
  <c r="I88" i="8"/>
  <c r="I98" i="8"/>
  <c r="I117" i="8"/>
  <c r="J81" i="8"/>
  <c r="G34" i="8"/>
  <c r="G32" i="8"/>
  <c r="H50" i="8"/>
  <c r="H76" i="8"/>
  <c r="H92" i="8"/>
  <c r="H130" i="8"/>
  <c r="H109" i="8"/>
  <c r="J108" i="8"/>
  <c r="I93" i="8"/>
  <c r="I77" i="8"/>
  <c r="H111" i="8"/>
  <c r="G100" i="8"/>
  <c r="I81" i="8"/>
  <c r="I63" i="8"/>
  <c r="J56" i="8"/>
  <c r="G53" i="8"/>
  <c r="G44" i="8"/>
  <c r="H30" i="8"/>
  <c r="S25" i="8"/>
  <c r="G41" i="8"/>
  <c r="G59" i="8"/>
  <c r="G64" i="8"/>
  <c r="G69" i="8"/>
  <c r="G75" i="8"/>
  <c r="G80" i="8"/>
  <c r="G85" i="8"/>
  <c r="G91" i="8"/>
  <c r="G97" i="8"/>
  <c r="G107" i="8"/>
  <c r="G115" i="8"/>
  <c r="G120" i="8"/>
  <c r="G125" i="8"/>
  <c r="I114" i="8"/>
  <c r="J91" i="8"/>
  <c r="J49" i="8"/>
  <c r="J74" i="8"/>
  <c r="J60" i="8"/>
  <c r="J115" i="8"/>
  <c r="I54" i="8"/>
  <c r="I61" i="8"/>
  <c r="I112" i="8"/>
  <c r="I102" i="8"/>
  <c r="I125" i="8"/>
  <c r="H41" i="8"/>
  <c r="H54" i="8"/>
  <c r="H80" i="8"/>
  <c r="H121" i="8"/>
  <c r="H97" i="8"/>
  <c r="H127" i="8"/>
  <c r="G108" i="8"/>
  <c r="I85" i="8"/>
  <c r="J62" i="8"/>
  <c r="H55" i="8"/>
  <c r="G46" i="8"/>
  <c r="H43" i="8"/>
  <c r="J33" i="8"/>
  <c r="G98" i="8"/>
  <c r="G60" i="8"/>
  <c r="G65" i="8"/>
  <c r="G71" i="8"/>
  <c r="G76" i="8"/>
  <c r="G81" i="8"/>
  <c r="G87" i="8"/>
  <c r="G92" i="8"/>
  <c r="G99" i="8"/>
  <c r="G111" i="8"/>
  <c r="G116" i="8"/>
  <c r="G121" i="8"/>
  <c r="G127" i="8"/>
  <c r="J96" i="8"/>
  <c r="J59" i="8"/>
  <c r="J48" i="8"/>
  <c r="J45" i="8"/>
  <c r="J40" i="8"/>
  <c r="J82" i="8"/>
  <c r="J95" i="8"/>
  <c r="J119" i="8"/>
  <c r="I126" i="8"/>
  <c r="I72" i="8"/>
  <c r="I128" i="8"/>
  <c r="I106" i="8"/>
  <c r="J44" i="8"/>
  <c r="I41" i="8"/>
  <c r="H67" i="8"/>
  <c r="H115" i="8"/>
  <c r="H84" i="8"/>
  <c r="H114" i="8"/>
  <c r="H101" i="8"/>
  <c r="K26" i="8"/>
  <c r="F26" i="8"/>
  <c r="F27" i="8"/>
  <c r="N27" i="8"/>
  <c r="N26" i="8"/>
  <c r="C71" i="9"/>
  <c r="J69" i="9"/>
  <c r="I69" i="9"/>
  <c r="K69" i="9"/>
  <c r="E27" i="8"/>
  <c r="E26" i="8"/>
  <c r="J87" i="8"/>
  <c r="K27" i="8"/>
  <c r="K70" i="9"/>
  <c r="J70" i="9"/>
  <c r="I70" i="9"/>
  <c r="L27" i="8"/>
  <c r="L26" i="8"/>
  <c r="C27" i="8"/>
  <c r="C26" i="8"/>
  <c r="M27" i="8"/>
  <c r="M26" i="8"/>
  <c r="D26" i="8"/>
  <c r="D27" i="8"/>
  <c r="K41" i="9"/>
  <c r="S56" i="8"/>
  <c r="H61" i="8"/>
  <c r="H56" i="8"/>
  <c r="G55" i="8"/>
  <c r="G43" i="8"/>
  <c r="H42" i="8"/>
  <c r="G39" i="8"/>
  <c r="G37" i="8"/>
  <c r="R56" i="8"/>
  <c r="G52" i="8"/>
  <c r="G51" i="8"/>
  <c r="G50" i="8"/>
  <c r="G47" i="8"/>
  <c r="G45" i="8"/>
  <c r="G40" i="8"/>
  <c r="H36" i="8"/>
  <c r="J35" i="8"/>
  <c r="H119" i="8"/>
  <c r="G104" i="8"/>
  <c r="G96" i="8"/>
  <c r="H68" i="8"/>
  <c r="J66" i="8"/>
  <c r="G58" i="8"/>
  <c r="G48" i="8"/>
  <c r="J41" i="8"/>
  <c r="H38" i="8"/>
  <c r="J31" i="8"/>
  <c r="I25" i="8"/>
  <c r="U25" i="8"/>
  <c r="K16" i="3"/>
  <c r="F4" i="3"/>
  <c r="H69" i="8"/>
  <c r="H33" i="8"/>
  <c r="G30" i="8"/>
  <c r="J25" i="8"/>
  <c r="H60" i="8"/>
  <c r="G54" i="8"/>
  <c r="G49" i="8"/>
  <c r="H34" i="8"/>
  <c r="G33" i="8"/>
  <c r="H32" i="8"/>
  <c r="J83" i="8"/>
  <c r="J71" i="8"/>
  <c r="J32" i="8"/>
  <c r="G38" i="8"/>
  <c r="I122" i="8"/>
  <c r="I41" i="9"/>
  <c r="J34" i="8"/>
  <c r="V33" i="8" l="1"/>
  <c r="W24" i="8" s="1"/>
  <c r="X35" i="8" s="1"/>
  <c r="T55" i="8"/>
  <c r="I27" i="8"/>
  <c r="H26" i="8"/>
  <c r="H27" i="8"/>
  <c r="J26" i="8"/>
  <c r="I26" i="8"/>
  <c r="J27" i="8"/>
  <c r="K71" i="9"/>
  <c r="J71" i="9"/>
  <c r="I71" i="9"/>
  <c r="V25" i="8"/>
  <c r="G27" i="8"/>
  <c r="G26" i="8"/>
  <c r="U34" i="8" l="1"/>
  <c r="U55" i="8"/>
  <c r="S35" i="8"/>
  <c r="V26" i="8" s="1"/>
  <c r="T56" i="8"/>
  <c r="V34" i="8"/>
  <c r="W25" i="8" s="1"/>
  <c r="V27" i="8" l="1"/>
  <c r="N4" i="3" s="1"/>
  <c r="U56" i="8"/>
  <c r="T57" i="8"/>
  <c r="V35" i="8"/>
  <c r="X33" i="8"/>
  <c r="X25" i="8" s="1"/>
  <c r="W34" i="8" s="1"/>
  <c r="U35" i="8"/>
  <c r="T58" i="8"/>
  <c r="W26" i="8" l="1"/>
  <c r="V28" i="8"/>
  <c r="Z34" i="8"/>
  <c r="V56" i="8"/>
  <c r="W27" i="8" l="1"/>
  <c r="W28" i="8" s="1"/>
  <c r="U58" i="8"/>
  <c r="U57" i="8"/>
  <c r="X34" i="8"/>
  <c r="X26" i="8" s="1"/>
  <c r="Z33" i="8" s="1"/>
  <c r="Y26" i="8" s="1"/>
  <c r="Y34" i="8" s="1"/>
  <c r="C11" i="9"/>
  <c r="O4" i="3"/>
  <c r="N5" i="3" l="1"/>
  <c r="C12" i="9" s="1"/>
  <c r="R41" i="8"/>
  <c r="S41" i="8" s="1"/>
  <c r="AA26" i="8"/>
  <c r="P12" i="3" s="1"/>
  <c r="W35" i="8"/>
  <c r="X24" i="8" s="1"/>
  <c r="V57" i="8"/>
  <c r="V41" i="8"/>
  <c r="W41" i="8" s="1"/>
  <c r="X41" i="8"/>
  <c r="Y41" i="8" s="1"/>
  <c r="C34" i="9"/>
  <c r="C54" i="9"/>
  <c r="X57" i="8"/>
  <c r="T41" i="8"/>
  <c r="U41" i="8" s="1"/>
  <c r="W57" i="8"/>
  <c r="Y25" i="8"/>
  <c r="AA25" i="8" s="1"/>
  <c r="Z26" i="8"/>
  <c r="K12" i="3" s="1"/>
  <c r="C35" i="9" l="1"/>
  <c r="O5" i="3"/>
  <c r="D60" i="9"/>
  <c r="J60" i="9" s="1"/>
  <c r="P11" i="3"/>
  <c r="P16" i="3"/>
  <c r="V58" i="8"/>
  <c r="K35" i="9"/>
  <c r="J35" i="9"/>
  <c r="I35" i="9"/>
  <c r="Z35" i="8"/>
  <c r="V55" i="8"/>
  <c r="X27" i="8"/>
  <c r="N6" i="3" s="1"/>
  <c r="Z41" i="8"/>
  <c r="R49" i="8" s="1"/>
  <c r="T49" i="8" s="1"/>
  <c r="O12" i="3" s="1"/>
  <c r="V40" i="8"/>
  <c r="W40" i="8" s="1"/>
  <c r="W43" i="8" s="1"/>
  <c r="X56" i="8"/>
  <c r="R40" i="8"/>
  <c r="S40" i="8" s="1"/>
  <c r="Z25" i="8"/>
  <c r="K11" i="3" s="1"/>
  <c r="X40" i="8"/>
  <c r="Y40" i="8" s="1"/>
  <c r="Y43" i="8" s="1"/>
  <c r="T40" i="8"/>
  <c r="U40" i="8" s="1"/>
  <c r="U43" i="8" s="1"/>
  <c r="W56" i="8"/>
  <c r="Y35" i="8"/>
  <c r="K34" i="9"/>
  <c r="I34" i="9"/>
  <c r="J34" i="9"/>
  <c r="M12" i="3"/>
  <c r="L12" i="3"/>
  <c r="K54" i="9"/>
  <c r="J54" i="9"/>
  <c r="I54" i="9"/>
  <c r="I60" i="9" l="1"/>
  <c r="K60" i="9"/>
  <c r="D61" i="9"/>
  <c r="J61" i="9" s="1"/>
  <c r="C13" i="9"/>
  <c r="X28" i="8"/>
  <c r="Y24" i="8"/>
  <c r="R39" i="8" s="1"/>
  <c r="S39" i="8" s="1"/>
  <c r="S49" i="8"/>
  <c r="N12" i="3" s="1"/>
  <c r="L16" i="3"/>
  <c r="M16" i="3" s="1"/>
  <c r="M11" i="3"/>
  <c r="L11" i="3"/>
  <c r="O6" i="3"/>
  <c r="S43" i="8"/>
  <c r="Z43" i="8" s="1"/>
  <c r="R51" i="8" s="1"/>
  <c r="Z40" i="8"/>
  <c r="R48" i="8" s="1"/>
  <c r="T39" i="8" l="1"/>
  <c r="U39" i="8" s="1"/>
  <c r="U42" i="8" s="1"/>
  <c r="Z24" i="8"/>
  <c r="K10" i="3" s="1"/>
  <c r="AA24" i="8"/>
  <c r="I61" i="9"/>
  <c r="K61" i="9"/>
  <c r="C57" i="9"/>
  <c r="X39" i="8"/>
  <c r="Y39" i="8" s="1"/>
  <c r="Y42" i="8" s="1"/>
  <c r="X55" i="8"/>
  <c r="V39" i="8"/>
  <c r="W39" i="8" s="1"/>
  <c r="W42" i="8" s="1"/>
  <c r="W58" i="8"/>
  <c r="Y27" i="8"/>
  <c r="N7" i="3" s="1"/>
  <c r="C14" i="9" s="1"/>
  <c r="S42" i="8"/>
  <c r="W55" i="8"/>
  <c r="U49" i="8"/>
  <c r="S48" i="8"/>
  <c r="N11" i="3" s="1"/>
  <c r="T48" i="8"/>
  <c r="O11" i="3" s="1"/>
  <c r="S51" i="8"/>
  <c r="N16" i="3" s="1"/>
  <c r="T51" i="8"/>
  <c r="O16" i="3" s="1"/>
  <c r="C36" i="9"/>
  <c r="C56" i="9"/>
  <c r="L10" i="3" l="1"/>
  <c r="M10" i="3"/>
  <c r="P10" i="3"/>
  <c r="P15" i="3"/>
  <c r="AA27" i="8"/>
  <c r="C58" i="9"/>
  <c r="L19" i="3"/>
  <c r="Y56" i="8"/>
  <c r="J57" i="9"/>
  <c r="K57" i="9"/>
  <c r="I57" i="9"/>
  <c r="Y55" i="8"/>
  <c r="Z42" i="8"/>
  <c r="R50" i="8" s="1"/>
  <c r="T50" i="8" s="1"/>
  <c r="O15" i="3" s="1"/>
  <c r="N19" i="3" s="1"/>
  <c r="I68" i="9" s="1"/>
  <c r="Y57" i="8"/>
  <c r="Z39" i="8"/>
  <c r="R47" i="8" s="1"/>
  <c r="Z27" i="8"/>
  <c r="Y28" i="8"/>
  <c r="U51" i="8"/>
  <c r="U48" i="8"/>
  <c r="K56" i="9"/>
  <c r="J56" i="9"/>
  <c r="I56" i="9"/>
  <c r="O7" i="3"/>
  <c r="I20" i="9"/>
  <c r="J22" i="9" s="1"/>
  <c r="I36" i="9"/>
  <c r="K36" i="9"/>
  <c r="J36" i="9"/>
  <c r="C37" i="9" l="1"/>
  <c r="I37" i="9" s="1"/>
  <c r="I30" i="9" s="1"/>
  <c r="I21" i="9" s="1"/>
  <c r="S47" i="8"/>
  <c r="N10" i="3" s="1"/>
  <c r="M19" i="3"/>
  <c r="J68" i="9" s="1"/>
  <c r="I22" i="9"/>
  <c r="K22" i="9"/>
  <c r="S50" i="8"/>
  <c r="N15" i="3" s="1"/>
  <c r="O19" i="3" s="1"/>
  <c r="K68" i="9" s="1"/>
  <c r="L15" i="3"/>
  <c r="M15" i="3" s="1"/>
  <c r="C73" i="9"/>
  <c r="C72" i="9"/>
  <c r="K24" i="9"/>
  <c r="I24" i="9"/>
  <c r="J24" i="9"/>
  <c r="J23" i="9"/>
  <c r="K23" i="9"/>
  <c r="I23" i="9"/>
  <c r="C55" i="9"/>
  <c r="J37" i="9" l="1"/>
  <c r="K37" i="9"/>
  <c r="K30" i="9" s="1"/>
  <c r="K21" i="9" s="1"/>
  <c r="U47" i="8"/>
  <c r="T47" i="8"/>
  <c r="O10" i="3" s="1"/>
  <c r="U50" i="8"/>
  <c r="K58" i="9"/>
  <c r="J58" i="9"/>
  <c r="I58" i="9"/>
  <c r="K72" i="9"/>
  <c r="J72" i="9"/>
  <c r="I72" i="9"/>
  <c r="K55" i="9"/>
  <c r="J55" i="9"/>
  <c r="I55" i="9"/>
  <c r="K73" i="9"/>
  <c r="I73" i="9"/>
  <c r="J73" i="9"/>
  <c r="J30" i="9" l="1"/>
  <c r="J21" i="9" s="1"/>
  <c r="K25" i="9"/>
  <c r="I25" i="9"/>
  <c r="J25" i="9"/>
  <c r="J53" i="9"/>
  <c r="K53" i="9"/>
  <c r="K67" i="9"/>
  <c r="K75" i="9"/>
  <c r="I67" i="9"/>
  <c r="I75" i="9"/>
  <c r="I53" i="9"/>
  <c r="J75" i="9"/>
  <c r="J67" i="9"/>
  <c r="J64" i="9" l="1"/>
  <c r="J77" i="9" s="1"/>
  <c r="K64" i="9"/>
  <c r="K77" i="9" s="1"/>
  <c r="I26" i="9"/>
  <c r="K26" i="9"/>
  <c r="J26" i="9"/>
  <c r="I64" i="9"/>
  <c r="I77" i="9" s="1"/>
  <c r="I78" i="9" l="1"/>
  <c r="K11" i="9"/>
  <c r="K24" i="3" s="1"/>
  <c r="K78" i="9"/>
  <c r="K12" i="9"/>
  <c r="K25" i="3" s="1"/>
  <c r="K23" i="3"/>
  <c r="J78" i="9"/>
  <c r="K10" i="9"/>
  <c r="K5" i="9" l="1"/>
  <c r="K22" i="3"/>
  <c r="J18" i="9"/>
  <c r="K18" i="9"/>
  <c r="K7" i="9"/>
  <c r="I18" i="9"/>
  <c r="K6" i="9"/>
</calcChain>
</file>

<file path=xl/sharedStrings.xml><?xml version="1.0" encoding="utf-8"?>
<sst xmlns="http://schemas.openxmlformats.org/spreadsheetml/2006/main" count="945" uniqueCount="348">
  <si>
    <t>CP</t>
  </si>
  <si>
    <t>DD</t>
  </si>
  <si>
    <t>CVR</t>
  </si>
  <si>
    <t>ORV</t>
  </si>
  <si>
    <t>Probability of Vaccination</t>
  </si>
  <si>
    <t>Confined</t>
  </si>
  <si>
    <t>Sometimes Confined</t>
  </si>
  <si>
    <t>Never Confined</t>
  </si>
  <si>
    <t xml:space="preserve">Vaccination Doses by Strategy </t>
  </si>
  <si>
    <t>Demand</t>
  </si>
  <si>
    <t>Lower</t>
  </si>
  <si>
    <t>Upper</t>
  </si>
  <si>
    <t>Weighted stdev</t>
  </si>
  <si>
    <t>% DD</t>
  </si>
  <si>
    <t>%CP</t>
  </si>
  <si>
    <t>%CVR</t>
  </si>
  <si>
    <t>%ORV</t>
  </si>
  <si>
    <t>w_SD</t>
  </si>
  <si>
    <t>Total SD</t>
  </si>
  <si>
    <t>Vaccination Efficiency</t>
  </si>
  <si>
    <t>Pop</t>
  </si>
  <si>
    <t>Vax Dif</t>
  </si>
  <si>
    <t>Ratio</t>
  </si>
  <si>
    <t>CP Ratio</t>
  </si>
  <si>
    <t>DD Ratio</t>
  </si>
  <si>
    <t>CVR Ratio</t>
  </si>
  <si>
    <t>ORV Ratio</t>
  </si>
  <si>
    <t>Total</t>
  </si>
  <si>
    <t>Central Point</t>
  </si>
  <si>
    <t>Door to Door</t>
  </si>
  <si>
    <t>Oral Vaccination</t>
  </si>
  <si>
    <t>Other costs</t>
  </si>
  <si>
    <t>Summary of dog vaccination costs (per dog vaccinated)</t>
  </si>
  <si>
    <t xml:space="preserve">Lower bound </t>
  </si>
  <si>
    <t>Average</t>
  </si>
  <si>
    <t>Upper bound</t>
  </si>
  <si>
    <t>Average cost per dog vaccinated (calculated using worksheet)</t>
  </si>
  <si>
    <t>Human resources</t>
  </si>
  <si>
    <t>Transport costs</t>
  </si>
  <si>
    <t>Awareness campaign</t>
  </si>
  <si>
    <t> Item</t>
  </si>
  <si>
    <t>Units</t>
  </si>
  <si>
    <t>Work days</t>
  </si>
  <si>
    <t>Price/Unit</t>
  </si>
  <si>
    <t>Total cost</t>
  </si>
  <si>
    <t>Workers participating in campaign (per diem)</t>
  </si>
  <si>
    <t>Informational supervisor</t>
  </si>
  <si>
    <t>Driver</t>
  </si>
  <si>
    <t>Other Personnel</t>
  </si>
  <si>
    <t>Transportation</t>
  </si>
  <si>
    <t>Gasoline</t>
  </si>
  <si>
    <t>Maintenance vehicle</t>
  </si>
  <si>
    <t>Public transport</t>
  </si>
  <si>
    <t xml:space="preserve">Awareness campaign </t>
  </si>
  <si>
    <t>Media (e.g. posters)</t>
  </si>
  <si>
    <t>N/A</t>
  </si>
  <si>
    <t>Air time (radio, car with speakers, etc.)</t>
  </si>
  <si>
    <t>Tables</t>
  </si>
  <si>
    <t>Coolers</t>
  </si>
  <si>
    <t>Dog handling (e.g., muzzles)</t>
  </si>
  <si>
    <t>First-aid</t>
  </si>
  <si>
    <t>Other equipment / supplies</t>
  </si>
  <si>
    <t>Total fixed costs </t>
  </si>
  <si>
    <t>Dog vaccinations</t>
  </si>
  <si>
    <t>Percent vaccine wastage</t>
  </si>
  <si>
    <t>Syringes and needles</t>
  </si>
  <si>
    <t>Vaccination certificates</t>
  </si>
  <si>
    <t>Dog marking</t>
  </si>
  <si>
    <t>Total variable costs</t>
  </si>
  <si>
    <t>Total costs</t>
  </si>
  <si>
    <t>Average cost per dog vaccinated</t>
  </si>
  <si>
    <t>Notes</t>
  </si>
  <si>
    <t>Estimates of cost per dog vaccinated from previous studies</t>
  </si>
  <si>
    <t>Location</t>
  </si>
  <si>
    <t>Author</t>
  </si>
  <si>
    <t>Estimate (US$)</t>
  </si>
  <si>
    <t>N'Djamena, Chad</t>
  </si>
  <si>
    <t>Kayali et al 2006</t>
  </si>
  <si>
    <t>Rural Tanzania (pastoralist and agro-pastolarist villages)</t>
  </si>
  <si>
    <t>Kaare et al 2009</t>
  </si>
  <si>
    <t>Petchabun, Thailand</t>
  </si>
  <si>
    <t>Knobel et al 2005</t>
  </si>
  <si>
    <t>Dar es Salaam, Tanzania</t>
  </si>
  <si>
    <t>Hatch et al 2016</t>
  </si>
  <si>
    <t>Bohol, Visayas Islands, Philippines</t>
  </si>
  <si>
    <t>Lapiz et al 2012</t>
  </si>
  <si>
    <t>Bhutan</t>
  </si>
  <si>
    <t>Tenzin et al 2012</t>
  </si>
  <si>
    <t xml:space="preserve">* All costs shown are in 2015 US dollars using US gross domestic product implicit price deflators. </t>
  </si>
  <si>
    <t>Kayali U, Mindekem R, Hutton G, Ndoutamia A, Zinsstag J. Cost‐description of a pilot parenteral vaccination campaign against rabies in dogs in N'Djaména, Chad. Trop Med Int Health (2006) 11(7):1058-65.</t>
  </si>
  <si>
    <t>Kaare M, Lembo T, Hampson K, Ernest E, Estes A, Mentzel C, et al. Rabies control in rural Africa: evaluating strategies for effective domestic dog vaccination. Vaccine (2009) 27(1):152-60.</t>
  </si>
  <si>
    <t>Lapiz SMD, Miranda MEG, Garcia RG, Daguro LI, Paman MD, Madrinan FP, et al. Implementation of an intersectoral program to eliminate human and canine rabies: the Bohol Rabies Prevention and Elimination Project. PLoS Negl Trop Dis (2012) 6(12):e1891.</t>
  </si>
  <si>
    <t>Hatch B, Anderson A, Sambo M, Maziku M, Mchau G, Mbunda E, et al. Towards Canine Rabies Elimination in South‐Eastern Tanzania: Assessment of Health Economic Data. Transbound Emerg Dis (2016).</t>
  </si>
  <si>
    <t>Knobel DL, Cleaveland S, Coleman PG, Fèvre EM, Meltzer MI, Miranda MEG, et al. Re-evaluating the burden of rabies in Africa and Asia. Bull WHO (2005) 83(5):360-8.</t>
  </si>
  <si>
    <t>Tenzin, Wangdi K, Ward MP. Human and animal rabies prevention and control cost in Bhutan, 2001–2008: The cost–benefit of dog rabies elimination. Vaccine (2012) 31(1):260-70.</t>
  </si>
  <si>
    <t>Program manager</t>
  </si>
  <si>
    <t>Central Point technician</t>
  </si>
  <si>
    <t>Door to Door technician</t>
  </si>
  <si>
    <t xml:space="preserve">US Department of Commerce BoEA. National income and product account tables. Table 1.1.9 Implicit price deflators for Gross Domestic Product (2015) [cited 2015 22 December]. 
Available from: http://www.bea.gov/iTable/iTable.cfm?reqid=9&amp;step=3&amp;isuri=1&amp;903=13#reqid=9&amp;step=3&amp;isuri=1&amp;904=2000&amp;903=13&amp;906=a&amp;905=2015&amp;910=x&amp;911=0 </t>
  </si>
  <si>
    <t>Total Campaign Cost</t>
  </si>
  <si>
    <t>Cost per Dog Vaccinated</t>
  </si>
  <si>
    <t xml:space="preserve">Equipment </t>
  </si>
  <si>
    <t>Central Vaccine Storage</t>
  </si>
  <si>
    <t>Dog vaccines (consumables)</t>
  </si>
  <si>
    <t>Personnel required for each vaccination strategy</t>
  </si>
  <si>
    <t>Total dogs vaccinated in pilot campaign</t>
  </si>
  <si>
    <t>References used in the worksheet to estimate the default values utilized</t>
  </si>
  <si>
    <t>Vaccines (Parenteral)</t>
  </si>
  <si>
    <t>Vaccines (Oral)</t>
  </si>
  <si>
    <t>Government perspective</t>
  </si>
  <si>
    <t>*This spreasheet is a beta test version. It has not been officially cleared by the funding agency. The use of this version is for testing purposes only. The methodology used, findings, and conclusions produced from this software are those of the authors and do not necessarily represent the views of the Centers for Disease Control and Prevention.</t>
  </si>
  <si>
    <r>
      <rPr>
        <b/>
        <sz val="11"/>
        <color rgb="FF002060"/>
        <rFont val="Calibri"/>
        <family val="2"/>
        <scheme val="minor"/>
      </rPr>
      <t xml:space="preserve">Affiliation: </t>
    </r>
    <r>
      <rPr>
        <sz val="11"/>
        <color rgb="FF002060"/>
        <rFont val="Calibri"/>
        <family val="2"/>
        <scheme val="minor"/>
      </rPr>
      <t>Poxvirus and Rabies Branch (PRB), Division of High Consequence Pathogens and Pathology (DHCPP), National Center for Emerging and Zoonotic Infectious Diseases (NCEZID)</t>
    </r>
  </si>
  <si>
    <r>
      <rPr>
        <b/>
        <sz val="11"/>
        <color indexed="56"/>
        <rFont val="Calibri"/>
        <family val="2"/>
      </rPr>
      <t>Authors</t>
    </r>
    <r>
      <rPr>
        <sz val="11"/>
        <color indexed="56"/>
        <rFont val="Calibri"/>
        <family val="2"/>
      </rPr>
      <t>:     Ryan M. Wallace and Jesse D. Blanton</t>
    </r>
  </si>
  <si>
    <t>Important definitions and clarifications</t>
  </si>
  <si>
    <t>DD clinics are more labor intensive, but do not require the owner to bring the dog to a centralized point. This method allows reaching owners of aggressive or overly shy dogs, and dog owners that were not aware of an ongoing dog vaccination campaign. However, as with CP, DD vaccination is unlikely to reach community owned and stray dogs. Similarly, owned dogs that are allowed to roam freely may not be at home when the vaccinators arrive.</t>
  </si>
  <si>
    <t>CVR programs can be successful at reaching free roaming dogs, including owned and stray dogs. Free roaming dogs are the largest contributor to enzootic rabies transmission; thus CVR programs target the highest rabies-risk dog population, but  require a skilled workforce to capture and vaccinate dogs, can be more labor intensive, and may be more costly than DD and CP vaccination strategies. CVR should only be conducted under conditions which utilize humane methods and equipment that ensure the safety of both the animal and the vaccinator.</t>
  </si>
  <si>
    <t>ORV is still a developing technology; it has not been widely adopted nor has it been shown to be successful as a singular vaccination method. However, recent advances in ORV technology have shown great promise, and field studies have shown that ORV in combination with DD and CP strategies can improve the vaccination coverage of the dog population.</t>
  </si>
  <si>
    <t>1. Methods of dog vaccination</t>
  </si>
  <si>
    <t>Capture, vaccinate, and release (CVR)</t>
  </si>
  <si>
    <t>Updated:</t>
  </si>
  <si>
    <t>Study perspective:</t>
  </si>
  <si>
    <t xml:space="preserve">Government </t>
  </si>
  <si>
    <t>Instructions:</t>
  </si>
  <si>
    <t>Blue tabs indicate sheets were program data are required</t>
  </si>
  <si>
    <t>White cell: user can modify content</t>
  </si>
  <si>
    <t>Grey cell: do not modify content</t>
  </si>
  <si>
    <t>Uses community engagement to encourage people to bring their dogs to a centralized location where vaccinators have established a temporary dog vaccination clinic. Owned dogs and dogs which are always or partially confined to an owner’s control are typically favored by this vaccination method. Free roaming dogs may not be readily handled by dog owners and are thus less likely to be reached by this method. Likewise, community owned and stray dogs typically have no person or family which feels responsibility to bring these dogs to a central point vaccination clinic.</t>
  </si>
  <si>
    <t>Instructions and definitions</t>
  </si>
  <si>
    <t>2. Confinement status</t>
  </si>
  <si>
    <t>Semi-confined dogs</t>
  </si>
  <si>
    <t>Never-confined dogs</t>
  </si>
  <si>
    <t>Free roaming dogs</t>
  </si>
  <si>
    <t xml:space="preserve">Include all semi-confined and never confined dogs in a community. </t>
  </si>
  <si>
    <t xml:space="preserve"> Total number of dogs multiplied by the probability that the dog category would become vaccinated.</t>
  </si>
  <si>
    <t>The probability that a dog will be vaccinated is dependent on the method of the campaign that is undertaken. CP and DD campaigns will have a higher probability of reaching confined and semi-confined dogs and will have a lower probability of reaching dogs which are never confined. CV R and ORV will have a higher probability of reaching dogs that are on the streets. Few studies have looked at vaccination coverage by method and the confinement status of the dog. The probability table should be completed to the best ability of the user, understanding that exact probability values are likely not available.</t>
  </si>
  <si>
    <t xml:space="preserve">Vaccination methods were ranked based on their ability to reach dogs, startified by confinement status. The rank order determines which dogs have first access to the vaccines. When either the number of vaccines in demand are reached or all dogs of the higher ranked status are predicted to be vaccinated, the remaining vaccines become available to the next highest ranked dog category. </t>
  </si>
  <si>
    <t>Rank order</t>
  </si>
  <si>
    <t>3. Methodological clarifications and assumptions</t>
  </si>
  <si>
    <t>Number vaccines that would be predicted to be left over after the vaccination campaign. Wastage is stratified by vaccination method.</t>
  </si>
  <si>
    <t>Vaccine wastage</t>
  </si>
  <si>
    <t>References used in the spreadsheet</t>
  </si>
  <si>
    <t>Vaccination Method*</t>
  </si>
  <si>
    <t>Score</t>
  </si>
  <si>
    <t>Upper &lt;</t>
  </si>
  <si>
    <t>Calculations worksheet</t>
  </si>
  <si>
    <t>Vax %</t>
  </si>
  <si>
    <t>Transformation of input data from user</t>
  </si>
  <si>
    <t>Stand dev</t>
  </si>
  <si>
    <t>*Vaccination strategies = CP: central point / fixed point vaccination. CVR: Capture, vaccinate, and release. DD: door to door. ORV: Oral rabies vaccination</t>
  </si>
  <si>
    <t xml:space="preserve">Total </t>
  </si>
  <si>
    <t>Check</t>
  </si>
  <si>
    <t>Total vax</t>
  </si>
  <si>
    <t>Rank</t>
  </si>
  <si>
    <t>Dog Type</t>
  </si>
  <si>
    <t>Availability</t>
  </si>
  <si>
    <t>Estimated demand for vaccines and total vaccinated dogs</t>
  </si>
  <si>
    <t>Total vaccinated</t>
  </si>
  <si>
    <t>Estimated demand and availability of vaccines by rank</t>
  </si>
  <si>
    <t>Conf</t>
  </si>
  <si>
    <t>Delt (%)</t>
  </si>
  <si>
    <t>Vax threshold</t>
  </si>
  <si>
    <t>Response</t>
  </si>
  <si>
    <r>
      <t xml:space="preserve">Lower </t>
    </r>
    <r>
      <rPr>
        <b/>
        <sz val="11"/>
        <color theme="0"/>
        <rFont val="Calibri"/>
        <family val="2"/>
      </rPr>
      <t>≥</t>
    </r>
  </si>
  <si>
    <t>User's confidence</t>
  </si>
  <si>
    <t>Eq. score</t>
  </si>
  <si>
    <t>Weights</t>
  </si>
  <si>
    <t>GDREP phases</t>
  </si>
  <si>
    <t>Wallace RM, Undurraga EA, Blanton JD, Cleaton J, Franka R, 2017. Elimination of dog-mediated rabies deaths by 2030: needs assessment and alternatives for progress based on dog vaccination. Front. Vet. Sci. 4:9. doi: 10.3389/fvets.2017.00009</t>
  </si>
  <si>
    <r>
      <t>GDREP</t>
    </r>
    <r>
      <rPr>
        <b/>
        <sz val="11"/>
        <color theme="1"/>
        <rFont val="Calibri"/>
        <family val="2"/>
      </rPr>
      <t>§</t>
    </r>
    <r>
      <rPr>
        <b/>
        <sz val="11"/>
        <color theme="1"/>
        <rFont val="Calibri"/>
        <family val="2"/>
        <scheme val="minor"/>
      </rPr>
      <t xml:space="preserve"> phase:</t>
    </r>
  </si>
  <si>
    <t>§ GDREP stands for Global Dog Rabies Elimination Pathway. See Wallace et al. 2017 for details.</t>
  </si>
  <si>
    <t>Vax coverage</t>
  </si>
  <si>
    <t>Lower bound</t>
  </si>
  <si>
    <t>Part 1: Reference numbers and assumptions</t>
  </si>
  <si>
    <t>Part 2: Calculations</t>
  </si>
  <si>
    <t>Phase III</t>
  </si>
  <si>
    <t>GDREP Phase</t>
  </si>
  <si>
    <t>Eq. number</t>
  </si>
  <si>
    <t>Suggested values:</t>
  </si>
  <si>
    <t>Procured</t>
  </si>
  <si>
    <t>Results: calculated values</t>
  </si>
  <si>
    <t>Used</t>
  </si>
  <si>
    <t>Unused</t>
  </si>
  <si>
    <t>Free roaming</t>
  </si>
  <si>
    <t>Vaccinated</t>
  </si>
  <si>
    <t>Unvaccinated</t>
  </si>
  <si>
    <t xml:space="preserve">Upper </t>
  </si>
  <si>
    <t>Confidence</t>
  </si>
  <si>
    <t>Dogs</t>
  </si>
  <si>
    <t>Percent</t>
  </si>
  <si>
    <t>Vaccine utilization</t>
  </si>
  <si>
    <t>Cost per dog vaccinated</t>
  </si>
  <si>
    <t>Estimated cost</t>
  </si>
  <si>
    <t>Economic costs</t>
  </si>
  <si>
    <t>Total ($)</t>
  </si>
  <si>
    <t>4. Ways to improve vaccination coverage</t>
  </si>
  <si>
    <t>Estimated economic costs of a dog vaccination campaign</t>
  </si>
  <si>
    <t>Vaccination campaign costs</t>
  </si>
  <si>
    <r>
      <t>Vaccination campaign costs per vaccinated dog</t>
    </r>
    <r>
      <rPr>
        <b/>
        <sz val="11"/>
        <color theme="1"/>
        <rFont val="Calibri"/>
        <family val="2"/>
      </rPr>
      <t>†</t>
    </r>
  </si>
  <si>
    <r>
      <rPr>
        <sz val="11"/>
        <color theme="1"/>
        <rFont val="Calibri"/>
        <family val="2"/>
      </rPr>
      <t>†</t>
    </r>
    <r>
      <rPr>
        <sz val="11"/>
        <color theme="1"/>
        <rFont val="Calibri"/>
        <family val="2"/>
        <scheme val="minor"/>
      </rPr>
      <t xml:space="preserve"> Use "Dog Vax Cost" help worksheet to estimate vaccination campaign costs (best cost estimate, and lower and upper bounds)</t>
    </r>
  </si>
  <si>
    <t xml:space="preserve">Capture, Vaccinate, Release </t>
  </si>
  <si>
    <t>Oral Vaccine Handouts</t>
  </si>
  <si>
    <t>Phase I</t>
  </si>
  <si>
    <t>Estimation of Standard Deviation  from user confidence, weighted by method coverage</t>
  </si>
  <si>
    <t>Vaccination Coverage 95% CI</t>
  </si>
  <si>
    <t>Phase II a</t>
  </si>
  <si>
    <t>CVR Kit</t>
  </si>
  <si>
    <t>Capture/Vax/Release technician</t>
  </si>
  <si>
    <t>ORV technician</t>
  </si>
  <si>
    <t>Vaccination supervisor (1 per 25,000 dogs)</t>
  </si>
  <si>
    <t>CP/DD Bite PEP (1 in 2,000)</t>
  </si>
  <si>
    <t>Other vehicle (ie rental, purchase, other)</t>
  </si>
  <si>
    <t>Government vehicle (including gasoline)</t>
  </si>
  <si>
    <t>CVR Bite Booster PEP (1 in 500)</t>
  </si>
  <si>
    <t>Human vaccines / PEP</t>
  </si>
  <si>
    <t>Central Point Vaccination</t>
  </si>
  <si>
    <t>Door to Door Vaccination</t>
  </si>
  <si>
    <t>CPV</t>
  </si>
  <si>
    <t>DDV</t>
  </si>
  <si>
    <t>Always confined</t>
  </si>
  <si>
    <t>Total Population</t>
  </si>
  <si>
    <t>Free-roaming Population</t>
  </si>
  <si>
    <t>Vaccination coverage by dog type</t>
  </si>
  <si>
    <t>Vaccination doses by dog type</t>
  </si>
  <si>
    <t>Number of Dogs</t>
  </si>
  <si>
    <t>%</t>
  </si>
  <si>
    <t>Doses Procured</t>
  </si>
  <si>
    <t>Phase II b</t>
  </si>
  <si>
    <r>
      <t>Planning aid for the implementation of dog vaccine campaigns to prevent and control rabies</t>
    </r>
    <r>
      <rPr>
        <b/>
        <sz val="16"/>
        <color rgb="FF002060"/>
        <rFont val="Calibri"/>
        <family val="2"/>
      </rPr>
      <t>†</t>
    </r>
  </si>
  <si>
    <t>Central point / fixed point vaccination (CPV)</t>
  </si>
  <si>
    <t>Always confined dogs</t>
  </si>
  <si>
    <t>Dogs that remain under the owner's control at all times (i.e. walked on a leash and only unsupervised when inside a home or a securely walled compound)</t>
  </si>
  <si>
    <t>Dogs that are allowed to roam freely within a community. The amount of time freely roaming may vary and this variation should be considered when estimated the probability of vaccination by each vaccination method.</t>
  </si>
  <si>
    <t>Dogs that are never under the control of an owner. These are typically referred to as community owned dogs or feral dogs, but a small percentage may have a single owner</t>
  </si>
  <si>
    <t>Users can experiment with the tool to identify the cost and vaccination coverage benefits of utilizing alternative vaccination strategies or through improve vaccination effectiveness. Methods to improve effectiveness may include: Shifting the dog population structure into the always confined category, improving vaccinator training and capacity, improve community awareness and engagement, or procure more vaccines.</t>
  </si>
  <si>
    <t>Door to door vaccination (DDV)</t>
  </si>
  <si>
    <t>Allocation</t>
  </si>
  <si>
    <t>Accessibility</t>
  </si>
  <si>
    <t>Percent Efficacious (%)</t>
  </si>
  <si>
    <t>6. How confident are you in your responses to the input variables?</t>
  </si>
  <si>
    <t xml:space="preserve">   Confinement status:</t>
  </si>
  <si>
    <t xml:space="preserve">          Always confined</t>
  </si>
  <si>
    <t xml:space="preserve">          Semi-confined</t>
  </si>
  <si>
    <t xml:space="preserve">          Never confined</t>
  </si>
  <si>
    <t>Abbreviation</t>
  </si>
  <si>
    <t>7. Vaccination Campaign Duration (Days)</t>
  </si>
  <si>
    <t>8. Vaccinator Capacity (dogs/person/day)</t>
  </si>
  <si>
    <t>9. Costs per dog vaccination campaign</t>
  </si>
  <si>
    <t xml:space="preserve">Planning aid for the implementation of dog vaccination campaigns </t>
  </si>
  <si>
    <t>Immunized</t>
  </si>
  <si>
    <t>Estimated Wastage</t>
  </si>
  <si>
    <t>Total Immunized</t>
  </si>
  <si>
    <t xml:space="preserve">  How many dogs are in the program area?</t>
  </si>
  <si>
    <t>Input: Enter Values in White Cells</t>
  </si>
  <si>
    <t>How many days will vaccination occur?</t>
  </si>
  <si>
    <r>
      <t xml:space="preserve">How many dogs can be vaccinated per person per day at </t>
    </r>
    <r>
      <rPr>
        <b/>
        <sz val="12"/>
        <color theme="1"/>
        <rFont val="Calibri"/>
        <family val="2"/>
        <scheme val="minor"/>
      </rPr>
      <t xml:space="preserve">Central Point </t>
    </r>
    <r>
      <rPr>
        <sz val="11"/>
        <color theme="1"/>
        <rFont val="Calibri"/>
        <family val="2"/>
        <scheme val="minor"/>
      </rPr>
      <t>vaccination clinics?</t>
    </r>
  </si>
  <si>
    <r>
      <t xml:space="preserve">How many dogs can be vaccinated per person per day during </t>
    </r>
    <r>
      <rPr>
        <b/>
        <sz val="12"/>
        <color theme="1"/>
        <rFont val="Calibri"/>
        <family val="2"/>
        <scheme val="minor"/>
      </rPr>
      <t xml:space="preserve">Door to Door </t>
    </r>
    <r>
      <rPr>
        <sz val="11"/>
        <color theme="1"/>
        <rFont val="Calibri"/>
        <family val="2"/>
        <scheme val="minor"/>
      </rPr>
      <t>vaccination clinics?</t>
    </r>
  </si>
  <si>
    <r>
      <t xml:space="preserve">How many dogs can be vaccinated per person per day during </t>
    </r>
    <r>
      <rPr>
        <b/>
        <sz val="12"/>
        <color theme="1"/>
        <rFont val="Calibri"/>
        <family val="2"/>
        <scheme val="minor"/>
      </rPr>
      <t xml:space="preserve">Capture-Vaccinate-Release </t>
    </r>
    <r>
      <rPr>
        <sz val="11"/>
        <color theme="1"/>
        <rFont val="Calibri"/>
        <family val="2"/>
        <scheme val="minor"/>
      </rPr>
      <t>vaccination activities?</t>
    </r>
  </si>
  <si>
    <r>
      <t xml:space="preserve">How many dogs can be vaccinated per person per day during </t>
    </r>
    <r>
      <rPr>
        <b/>
        <sz val="12"/>
        <color theme="1"/>
        <rFont val="Calibri"/>
        <family val="2"/>
        <scheme val="minor"/>
      </rPr>
      <t>Oral Vaccination</t>
    </r>
    <r>
      <rPr>
        <sz val="11"/>
        <color theme="1"/>
        <rFont val="Calibri"/>
        <family val="2"/>
        <scheme val="minor"/>
      </rPr>
      <t xml:space="preserve"> activities?</t>
    </r>
  </si>
  <si>
    <t>2. Provide the number of vaccines you plan to procure (number)</t>
  </si>
  <si>
    <t>4. Describe the vaccine efficacy (percent)</t>
  </si>
  <si>
    <r>
      <t xml:space="preserve">       What proportion of vaccines will be allocated to</t>
    </r>
    <r>
      <rPr>
        <b/>
        <sz val="12"/>
        <color theme="1"/>
        <rFont val="Calibri"/>
        <family val="2"/>
        <scheme val="minor"/>
      </rPr>
      <t xml:space="preserve"> Central Point </t>
    </r>
    <r>
      <rPr>
        <sz val="11"/>
        <color theme="1"/>
        <rFont val="Calibri"/>
        <family val="2"/>
        <scheme val="minor"/>
      </rPr>
      <t xml:space="preserve">vaccination? </t>
    </r>
  </si>
  <si>
    <r>
      <t xml:space="preserve">       What proportion of vaccines will be allocated to </t>
    </r>
    <r>
      <rPr>
        <b/>
        <sz val="12"/>
        <color theme="1"/>
        <rFont val="Calibri"/>
        <family val="2"/>
        <scheme val="minor"/>
      </rPr>
      <t>Door to Door</t>
    </r>
    <r>
      <rPr>
        <sz val="11"/>
        <color theme="1"/>
        <rFont val="Calibri"/>
        <family val="2"/>
        <scheme val="minor"/>
      </rPr>
      <t xml:space="preserve"> vaccination?</t>
    </r>
  </si>
  <si>
    <r>
      <t xml:space="preserve">       What proportion of vaccines will be allocated to </t>
    </r>
    <r>
      <rPr>
        <b/>
        <sz val="12"/>
        <color theme="1"/>
        <rFont val="Calibri"/>
        <family val="2"/>
        <scheme val="minor"/>
      </rPr>
      <t>Capture, Vaccinate, Release</t>
    </r>
    <r>
      <rPr>
        <sz val="11"/>
        <color theme="1"/>
        <rFont val="Calibri"/>
        <family val="2"/>
        <scheme val="minor"/>
      </rPr>
      <t xml:space="preserve">? </t>
    </r>
  </si>
  <si>
    <r>
      <t xml:space="preserve">       Proportion of vaccines allocated to O</t>
    </r>
    <r>
      <rPr>
        <b/>
        <sz val="12"/>
        <color theme="1"/>
        <rFont val="Calibri"/>
        <family val="2"/>
        <scheme val="minor"/>
      </rPr>
      <t>ral</t>
    </r>
    <r>
      <rPr>
        <sz val="11"/>
        <color theme="1"/>
        <rFont val="Calibri"/>
        <family val="2"/>
        <scheme val="minor"/>
      </rPr>
      <t xml:space="preserve"> vaccination</t>
    </r>
  </si>
  <si>
    <r>
      <t xml:space="preserve">      How many </t>
    </r>
    <r>
      <rPr>
        <b/>
        <sz val="12"/>
        <color theme="1"/>
        <rFont val="Calibri"/>
        <family val="2"/>
        <scheme val="minor"/>
      </rPr>
      <t>parenteral</t>
    </r>
    <r>
      <rPr>
        <sz val="11"/>
        <color theme="1"/>
        <rFont val="Calibri"/>
        <family val="2"/>
        <scheme val="minor"/>
      </rPr>
      <t xml:space="preserve"> vaccines will be procured?</t>
    </r>
  </si>
  <si>
    <r>
      <t xml:space="preserve">        How many </t>
    </r>
    <r>
      <rPr>
        <b/>
        <sz val="12"/>
        <color theme="1"/>
        <rFont val="Calibri"/>
        <family val="2"/>
        <scheme val="minor"/>
      </rPr>
      <t>oral</t>
    </r>
    <r>
      <rPr>
        <sz val="11"/>
        <color theme="1"/>
        <rFont val="Calibri"/>
        <family val="2"/>
        <scheme val="minor"/>
      </rPr>
      <t xml:space="preserve"> vaccines will be procured?</t>
    </r>
  </si>
  <si>
    <r>
      <t xml:space="preserve">       What is the efficacy of the </t>
    </r>
    <r>
      <rPr>
        <b/>
        <sz val="12"/>
        <color theme="1"/>
        <rFont val="Calibri"/>
        <family val="2"/>
        <scheme val="minor"/>
      </rPr>
      <t>parenteral</t>
    </r>
    <r>
      <rPr>
        <sz val="11"/>
        <color theme="1"/>
        <rFont val="Calibri"/>
        <family val="2"/>
        <scheme val="minor"/>
      </rPr>
      <t xml:space="preserve"> vaccine?</t>
    </r>
  </si>
  <si>
    <r>
      <t xml:space="preserve">       What is the efficacy of the </t>
    </r>
    <r>
      <rPr>
        <b/>
        <sz val="12"/>
        <color theme="1"/>
        <rFont val="Calibri"/>
        <family val="2"/>
        <scheme val="minor"/>
      </rPr>
      <t>oral</t>
    </r>
    <r>
      <rPr>
        <sz val="11"/>
        <color theme="1"/>
        <rFont val="Calibri"/>
        <family val="2"/>
        <scheme val="minor"/>
      </rPr>
      <t xml:space="preserve"> vaccine?</t>
    </r>
  </si>
  <si>
    <t>3. Allocate the vaccines to a vaccination strategy (percent)</t>
  </si>
  <si>
    <r>
      <t xml:space="preserve">       What is the expected coverage among dogs that are </t>
    </r>
    <r>
      <rPr>
        <b/>
        <sz val="12"/>
        <color theme="1"/>
        <rFont val="Calibri"/>
        <family val="2"/>
        <scheme val="minor"/>
      </rPr>
      <t>always</t>
    </r>
    <r>
      <rPr>
        <sz val="11"/>
        <color theme="1"/>
        <rFont val="Calibri"/>
        <family val="2"/>
        <scheme val="minor"/>
      </rPr>
      <t xml:space="preserve"> confined?</t>
    </r>
  </si>
  <si>
    <r>
      <t xml:space="preserve">       What is the expected coverage among dogs that are only </t>
    </r>
    <r>
      <rPr>
        <b/>
        <sz val="12"/>
        <color theme="1"/>
        <rFont val="Calibri"/>
        <family val="2"/>
        <scheme val="minor"/>
      </rPr>
      <t>sometimes</t>
    </r>
    <r>
      <rPr>
        <sz val="11"/>
        <color theme="1"/>
        <rFont val="Calibri"/>
        <family val="2"/>
        <scheme val="minor"/>
      </rPr>
      <t xml:space="preserve"> confined?</t>
    </r>
  </si>
  <si>
    <r>
      <t xml:space="preserve">       What is the expected coverage among dogs that are </t>
    </r>
    <r>
      <rPr>
        <b/>
        <sz val="12"/>
        <color theme="1"/>
        <rFont val="Calibri"/>
        <family val="2"/>
        <scheme val="minor"/>
      </rPr>
      <t>never</t>
    </r>
    <r>
      <rPr>
        <sz val="11"/>
        <color theme="1"/>
        <rFont val="Calibri"/>
        <family val="2"/>
        <scheme val="minor"/>
      </rPr>
      <t xml:space="preserve"> confined?</t>
    </r>
  </si>
  <si>
    <t xml:space="preserve">         Click button to estimate the average cost per dog vaccinated</t>
  </si>
  <si>
    <t>Baseline Scenario</t>
  </si>
  <si>
    <t>1. Describe the confinement of the dog population in the program area</t>
  </si>
  <si>
    <t>Always Confined</t>
  </si>
  <si>
    <t>Total Dogs</t>
  </si>
  <si>
    <t>OPTIONAL: Suggested values for vaccination strategy table</t>
  </si>
  <si>
    <r>
      <t xml:space="preserve">        What proportion are </t>
    </r>
    <r>
      <rPr>
        <b/>
        <sz val="12"/>
        <color theme="1"/>
        <rFont val="Calibri"/>
        <family val="2"/>
        <scheme val="minor"/>
      </rPr>
      <t>always</t>
    </r>
    <r>
      <rPr>
        <sz val="11"/>
        <color theme="1"/>
        <rFont val="Calibri"/>
        <family val="2"/>
        <scheme val="minor"/>
      </rPr>
      <t xml:space="preserve"> under owner confinement?</t>
    </r>
  </si>
  <si>
    <r>
      <t xml:space="preserve">        What proportion are </t>
    </r>
    <r>
      <rPr>
        <b/>
        <sz val="12"/>
        <color theme="1"/>
        <rFont val="Calibri"/>
        <family val="2"/>
        <scheme val="minor"/>
      </rPr>
      <t>always</t>
    </r>
    <r>
      <rPr>
        <sz val="11"/>
        <color theme="1"/>
        <rFont val="Calibri"/>
        <family val="2"/>
        <scheme val="minor"/>
      </rPr>
      <t xml:space="preserve"> free-roaming?</t>
    </r>
  </si>
  <si>
    <t>Parenteral</t>
  </si>
  <si>
    <t>Oral</t>
  </si>
  <si>
    <r>
      <t xml:space="preserve">5. Expected Vaccination Effectiveness by Method </t>
    </r>
    <r>
      <rPr>
        <b/>
        <sz val="11"/>
        <color theme="0"/>
        <rFont val="Calibri"/>
        <family val="2"/>
      </rPr>
      <t>§</t>
    </r>
  </si>
  <si>
    <t>Days</t>
  </si>
  <si>
    <t>Vaccine Wastage</t>
  </si>
  <si>
    <t>Total Vaccination Coverage</t>
  </si>
  <si>
    <t>Free Roaming Vaccination Coverage</t>
  </si>
  <si>
    <r>
      <rPr>
        <b/>
        <u/>
        <sz val="14"/>
        <color theme="1"/>
        <rFont val="Calibri"/>
        <family val="2"/>
        <scheme val="minor"/>
      </rPr>
      <t>SCENARIO 1: DOG POPULATION</t>
    </r>
    <r>
      <rPr>
        <sz val="11"/>
        <color theme="1"/>
        <rFont val="Calibri"/>
        <family val="2"/>
        <scheme val="minor"/>
      </rPr>
      <t xml:space="preserve">
</t>
    </r>
    <r>
      <rPr>
        <sz val="14"/>
        <color theme="1"/>
        <rFont val="Calibri"/>
        <family val="2"/>
        <scheme val="minor"/>
      </rPr>
      <t>Your vaccination program has been stalled at 52% coverage for several years and you are considering making changes to the program. 
You decide to invest $30,000 into owner education to try to improve adherence to leash laws, and reduce the number of free-roaming dogs in your program area
You estimate that by investing this money you can increase the confined population by 30%</t>
    </r>
  </si>
  <si>
    <t>Scenario 1: DOG POPULATION</t>
  </si>
  <si>
    <r>
      <rPr>
        <b/>
        <u/>
        <sz val="14"/>
        <color theme="1"/>
        <rFont val="Calibri"/>
        <family val="2"/>
        <scheme val="minor"/>
      </rPr>
      <t>RESULTS</t>
    </r>
    <r>
      <rPr>
        <sz val="11"/>
        <color theme="1"/>
        <rFont val="Calibri"/>
        <family val="2"/>
        <scheme val="minor"/>
      </rPr>
      <t xml:space="preserve">
</t>
    </r>
    <r>
      <rPr>
        <sz val="14"/>
        <color theme="1"/>
        <rFont val="Calibri"/>
        <family val="2"/>
        <scheme val="minor"/>
      </rPr>
      <t>As a result of your educational efforts, the free-roaming dog population was reduced and the program was more efficient, with only 30% of the vaccines going unused.
However, the total and free-roaming dog vaccination coverages are still well below the goal of 70% and the cost per dog vaccinated increased to $5.73</t>
    </r>
  </si>
  <si>
    <r>
      <rPr>
        <b/>
        <u/>
        <sz val="14"/>
        <color theme="1"/>
        <rFont val="Calibri"/>
        <family val="2"/>
        <scheme val="minor"/>
      </rPr>
      <t>RESULTS</t>
    </r>
    <r>
      <rPr>
        <sz val="11"/>
        <color theme="1"/>
        <rFont val="Calibri"/>
        <family val="2"/>
        <scheme val="minor"/>
      </rPr>
      <t xml:space="preserve">
</t>
    </r>
    <r>
      <rPr>
        <sz val="14"/>
        <color theme="1"/>
        <rFont val="Calibri"/>
        <family val="2"/>
        <scheme val="minor"/>
      </rPr>
      <t xml:space="preserve">The additional vaccines were all wasted. In baseline scenario already 30% of the vaccines were unused. Because no  changes were made to the campaign to improve vaccination uptake by the community, the additional vaccine doses procured went unused and the cost per dog vaccinated increased to $4.34
</t>
    </r>
  </si>
  <si>
    <r>
      <rPr>
        <b/>
        <u/>
        <sz val="14"/>
        <color theme="1"/>
        <rFont val="Calibri"/>
        <family val="2"/>
        <scheme val="minor"/>
      </rPr>
      <t>SCENARIO 2: Vaccine Procurement</t>
    </r>
    <r>
      <rPr>
        <sz val="11"/>
        <color theme="1"/>
        <rFont val="Calibri"/>
        <family val="2"/>
        <scheme val="minor"/>
      </rPr>
      <t xml:space="preserve">
</t>
    </r>
    <r>
      <rPr>
        <sz val="14"/>
        <color theme="1"/>
        <rFont val="Calibri"/>
        <family val="2"/>
        <scheme val="minor"/>
      </rPr>
      <t xml:space="preserve">Your vaccination program has been stalled at 52% coverage for several years and you are considering making changes to the program. 
You decide to procure an additional 5,000 doses this year in an effort to increase the vaccination coverage.
</t>
    </r>
  </si>
  <si>
    <r>
      <rPr>
        <b/>
        <u/>
        <sz val="14"/>
        <color theme="1"/>
        <rFont val="Calibri"/>
        <family val="2"/>
        <scheme val="minor"/>
      </rPr>
      <t>SCENARIO 3a: Vaccine Strategy</t>
    </r>
    <r>
      <rPr>
        <sz val="11"/>
        <color theme="1"/>
        <rFont val="Calibri"/>
        <family val="2"/>
        <scheme val="minor"/>
      </rPr>
      <t xml:space="preserve">
</t>
    </r>
    <r>
      <rPr>
        <sz val="14"/>
        <color theme="1"/>
        <rFont val="Calibri"/>
        <family val="2"/>
        <scheme val="minor"/>
      </rPr>
      <t xml:space="preserve">Your vaccination program has been stalled at 52% coverage for several years and you are considering making changes to the program. 
Recognizing that many of the dogs are loosely owned or free roaming you decide to allocate more vaccines to strategies that target these dog populations. You decide upon the following vaccine allocation
CP - 50%
DD - 25%
CVR - 25%
</t>
    </r>
  </si>
  <si>
    <r>
      <rPr>
        <b/>
        <u/>
        <sz val="14"/>
        <color theme="1"/>
        <rFont val="Calibri"/>
        <family val="2"/>
        <scheme val="minor"/>
      </rPr>
      <t>RESULTS</t>
    </r>
    <r>
      <rPr>
        <sz val="11"/>
        <color theme="1"/>
        <rFont val="Calibri"/>
        <family val="2"/>
        <scheme val="minor"/>
      </rPr>
      <t xml:space="preserve">
</t>
    </r>
    <r>
      <rPr>
        <sz val="14"/>
        <color theme="1"/>
        <rFont val="Calibri"/>
        <family val="2"/>
        <scheme val="minor"/>
      </rPr>
      <t xml:space="preserve">The new vaccination strategy was successful! The total dog vaccination coverage exceeded the goal of 70% and the cost per dog vaccinated decreased by 21%. 
However, the free-roaming dog population is just below the70% goal and there are still 10% of the vaccines that will be wasted. This campaign could be made even more efficient.
</t>
    </r>
  </si>
  <si>
    <r>
      <rPr>
        <b/>
        <u/>
        <sz val="14"/>
        <color theme="1"/>
        <rFont val="Calibri"/>
        <family val="2"/>
        <scheme val="minor"/>
      </rPr>
      <t>SCENARIO 3b: Vaccine Strategy</t>
    </r>
    <r>
      <rPr>
        <sz val="11"/>
        <color theme="1"/>
        <rFont val="Calibri"/>
        <family val="2"/>
        <scheme val="minor"/>
      </rPr>
      <t xml:space="preserve">
</t>
    </r>
    <r>
      <rPr>
        <sz val="14"/>
        <color theme="1"/>
        <rFont val="Calibri"/>
        <family val="2"/>
        <scheme val="minor"/>
      </rPr>
      <t xml:space="preserve">Your vaccination program has been stalled at 52% coverage for several years and you are considering making changes to the program. 
Recognizing that many of the dogs are loosely owned or free roaming you decide to allocate more vaccines to strategies that target these dog populations. You decide upon the following vaccine allocation
CP - 50%
DD - 10%
CVR - 25%
ORV - 15%
</t>
    </r>
  </si>
  <si>
    <r>
      <rPr>
        <b/>
        <u/>
        <sz val="14"/>
        <color theme="1"/>
        <rFont val="Calibri"/>
        <family val="2"/>
        <scheme val="minor"/>
      </rPr>
      <t>RESULTS</t>
    </r>
    <r>
      <rPr>
        <sz val="11"/>
        <color theme="1"/>
        <rFont val="Calibri"/>
        <family val="2"/>
        <scheme val="minor"/>
      </rPr>
      <t xml:space="preserve">
</t>
    </r>
    <r>
      <rPr>
        <sz val="14"/>
        <color theme="1"/>
        <rFont val="Calibri"/>
        <family val="2"/>
        <scheme val="minor"/>
      </rPr>
      <t xml:space="preserve">The new vaccination strategy was successful! The total dog vaccination coverage exceeded the goal of 70% and the cost per dog vaccinated decreased by 23%. 
Furthermore, the campaign is expected to reach maximum efficiency, with 0% of the vaccines going to waste and maximum coverage of 80% among both the total and free-roaming dog populations.
</t>
    </r>
  </si>
  <si>
    <r>
      <rPr>
        <b/>
        <u/>
        <sz val="14"/>
        <color theme="1"/>
        <rFont val="Calibri"/>
        <family val="2"/>
        <scheme val="minor"/>
      </rPr>
      <t>SCENARIO 5: Strategy Effectiveness</t>
    </r>
    <r>
      <rPr>
        <sz val="11"/>
        <color theme="1"/>
        <rFont val="Calibri"/>
        <family val="2"/>
        <scheme val="minor"/>
      </rPr>
      <t xml:space="preserve">
</t>
    </r>
    <r>
      <rPr>
        <sz val="14"/>
        <color theme="1"/>
        <rFont val="Calibri"/>
        <family val="2"/>
        <scheme val="minor"/>
      </rPr>
      <t xml:space="preserve">Your vaccination program has been stalled at 52% coverage for several years and you are considering making changes to the program. 
You decide to spend $50,000 to enact enforceable dog rabies vaccinen legislation, requiring that all dogs are vaccinated annually. In addition, you double your education budget from $16,420 to $32,840 to improve awareness and dog owner compliance with the new legislation.
As a result of all of this effort, you are expecting that Central Point and Door to Door vaccination will be much more succesful this year, with participation rates reaching 95% for confined and 80% for semi-confined dogs
</t>
    </r>
  </si>
  <si>
    <r>
      <rPr>
        <b/>
        <u/>
        <sz val="14"/>
        <color theme="1"/>
        <rFont val="Calibri"/>
        <family val="2"/>
        <scheme val="minor"/>
      </rPr>
      <t>RESULTS</t>
    </r>
    <r>
      <rPr>
        <sz val="11"/>
        <color theme="1"/>
        <rFont val="Calibri"/>
        <family val="2"/>
        <scheme val="minor"/>
      </rPr>
      <t xml:space="preserve">
</t>
    </r>
    <r>
      <rPr>
        <sz val="14"/>
        <color theme="1"/>
        <rFont val="Calibri"/>
        <family val="2"/>
        <scheme val="minor"/>
      </rPr>
      <t xml:space="preserve">The new vaccination strategy improved coverages, but below your expectation of 70%. 
Neither total or free-roaming dog populations reached the critical threshold and rabies is continuing to circulate in the program area.
Furthermore, the cost per dog vaccinated increased 62% due to the costs associated with leash law enforcement and rabies vaccination education.
</t>
    </r>
  </si>
  <si>
    <r>
      <rPr>
        <b/>
        <u/>
        <sz val="14"/>
        <color theme="1"/>
        <rFont val="Calibri"/>
        <family val="2"/>
        <scheme val="minor"/>
      </rPr>
      <t>SCENARIO 8: Vaccinator Capacity</t>
    </r>
    <r>
      <rPr>
        <sz val="11"/>
        <color theme="1"/>
        <rFont val="Calibri"/>
        <family val="2"/>
        <scheme val="minor"/>
      </rPr>
      <t xml:space="preserve">
</t>
    </r>
    <r>
      <rPr>
        <sz val="14"/>
        <color theme="1"/>
        <rFont val="Calibri"/>
        <family val="2"/>
        <scheme val="minor"/>
      </rPr>
      <t xml:space="preserve">Your supervisors were thrilled with your changes to the vaccination program under Scenario 3b, but they decided that the program is too costly. 
To remedy this they have decided to try to improve the rate at which vaccinators can vaccinate dogs. You have been asked to raise daily pay for vaccinators by 10%.
You believe that the raise will result in more motivated, faster dog vaccinators. As a result, the capacity will increase from 30 dogs per person per day to 60 dogs per person per day.
</t>
    </r>
  </si>
  <si>
    <r>
      <rPr>
        <b/>
        <u/>
        <sz val="14"/>
        <color theme="1"/>
        <rFont val="Calibri"/>
        <family val="2"/>
        <scheme val="minor"/>
      </rPr>
      <t>RESULTS</t>
    </r>
    <r>
      <rPr>
        <sz val="11"/>
        <color theme="1"/>
        <rFont val="Calibri"/>
        <family val="2"/>
        <scheme val="minor"/>
      </rPr>
      <t xml:space="preserve">
</t>
    </r>
    <r>
      <rPr>
        <sz val="14"/>
        <color theme="1"/>
        <rFont val="Calibri"/>
        <family val="2"/>
        <scheme val="minor"/>
      </rPr>
      <t xml:space="preserve">The new vaccination strategy was successful! The vaccinators are very happy because of their raise and the overall program costs were reduced by $3,650 (5%)
</t>
    </r>
  </si>
  <si>
    <t>CHANGE</t>
  </si>
  <si>
    <t>RESULTS - BEFORE</t>
  </si>
  <si>
    <t>RESULTS - AFTER</t>
  </si>
  <si>
    <t>Scenario 8: DOG POPULATION</t>
  </si>
  <si>
    <t>Scenario 5: DOG POPULATION</t>
  </si>
  <si>
    <t>Scenario 3b: DOG POPULATION</t>
  </si>
  <si>
    <t>Scenario 3a: DOG POPULATION</t>
  </si>
  <si>
    <t>Scenario 2: DOG POPULATION</t>
  </si>
  <si>
    <t>Scenario 3b</t>
  </si>
  <si>
    <r>
      <t xml:space="preserve">5. Expected Vaccination Effectiveness by Method </t>
    </r>
    <r>
      <rPr>
        <b/>
        <sz val="14"/>
        <color theme="1"/>
        <rFont val="Calibri"/>
        <family val="2"/>
      </rPr>
      <t>§</t>
    </r>
  </si>
  <si>
    <t>Vaccination strategy**</t>
  </si>
  <si>
    <t>* Dogs that are allowed to roam unsupervised in the community, but come back to a home to receive some level of care are considered "sometimes confined". These may include owned, community owned, or loosely owned dogs.
** Vaccination strategies = CPV: central point vaccination. CVR: Capture, vaccinate, and release. DDV: door to door. ORV: Oral rabies vaccination</t>
  </si>
  <si>
    <r>
      <t xml:space="preserve">        What proportion are only </t>
    </r>
    <r>
      <rPr>
        <b/>
        <sz val="12"/>
        <color theme="1"/>
        <rFont val="Calibri"/>
        <family val="2"/>
        <scheme val="minor"/>
      </rPr>
      <t>sometimes</t>
    </r>
    <r>
      <rPr>
        <sz val="11"/>
        <color theme="1"/>
        <rFont val="Calibri"/>
        <family val="2"/>
        <scheme val="minor"/>
      </rPr>
      <t xml:space="preserve"> under owner confinment?*</t>
    </r>
  </si>
  <si>
    <t>1. Describe the confinement of the dog population in the program area.</t>
  </si>
  <si>
    <t>1 - Dog Confinment</t>
  </si>
  <si>
    <t>2 - Vaccine Procurement</t>
  </si>
  <si>
    <t>3 - Vaccination Strategy</t>
  </si>
  <si>
    <t>4 - Vaccine Efficacy</t>
  </si>
  <si>
    <t>5 - Strategy Effectiveness</t>
  </si>
  <si>
    <t>6 - Confidence Level</t>
  </si>
  <si>
    <t>7 - Duration of Vaccination Campaign</t>
  </si>
  <si>
    <t>8 - Capacity to Vaccinate Dogs</t>
  </si>
  <si>
    <t>9 - Campaign Costs</t>
  </si>
  <si>
    <t>Conducting activities that encourage good ownership can make dogs more accessible to less costly vaccination strategies, such as Central Point Vaccination</t>
  </si>
  <si>
    <t>Scenario 1: Confinement</t>
  </si>
  <si>
    <t>In some situations the reason for low coverage is limited supply of vaccine, and simply incureasing the amount of vaccine procured can improve vaccination coverage</t>
  </si>
  <si>
    <t>Scenario 2: Vaccine Procurement</t>
  </si>
  <si>
    <t>Scenario 5: Strategy Effectiveness</t>
  </si>
  <si>
    <t>Oral vaccination (ORV)</t>
  </si>
  <si>
    <t>IMPACT</t>
  </si>
  <si>
    <t>EXAMPLE</t>
  </si>
  <si>
    <t>CALCULATOR STEP</t>
  </si>
  <si>
    <t>Different strategies for vaccination target different dogs. By tailoring your strategies to your dog populations you can make campaigns for effective and more efficient.</t>
  </si>
  <si>
    <t>Scenarios 3a and 3b: Vaccination Strategy</t>
  </si>
  <si>
    <t>Vaccines may have different levels of efficacy, which can impact the level of truly immunized dogs in a population. Choosing high quality vaccines may increase the success of a program.</t>
  </si>
  <si>
    <t>The effectiveness of a vaccine strategy, that is the expected vaccination coverage in the dog population, is influenced by multiple factors ranging from dog owner acceptance of vaccination, education and awareness of the campaign, experience of the vaccinators, and more. This is one of the most difficult values to estimate for a vaccination program, but by experimenting with different scenarios, new and more effective strategies may be realized.</t>
  </si>
  <si>
    <t>Users of this tool should input the level of confidence they have in their responses. Users who have been involved in the vaccination program for many years may have a high level of confidence (confidence = 10) whereas users who are developing a new campaign in a new program area may have to make educated guesses for many of the parameters in this tool (confidence = 1). The confidence level will not change the point estimates, but they will widen or narrow the confidence intervals.</t>
  </si>
  <si>
    <t>No scenario provided</t>
  </si>
  <si>
    <t>Campaigns are recommended to be completed in as short a time as possible to maximize the population immunity levels and decrease costs and fatigue associated with drawn-out campaigns. Changing the duration will impact the expected number of staff needed to conduct the vaccination campaign, but should have only minimal impact on estimated coverage and costs.</t>
  </si>
  <si>
    <t xml:space="preserve">The number of dogs a vaccinator can vaccinate in a day (capacity) is one of the greatest components of vaccination campaign costs. Therefore, increasing a vaccinator's capacity to vaccinate can greatly reduce campaign costs. This may be achieved in a number of ways, such as improved education to dog owners, improved logistical capacity to get to vaccination zones faster, or improved motivation for vaccinators through incentives or team building exercizes. </t>
  </si>
  <si>
    <t>Scenario 8: Capacity</t>
  </si>
  <si>
    <t>Campaigns are unique activities that are conducted by numerous governmental and non-governmental agencies. The tab "VACCINATION COSTS" provides a comprehensive list of potential costs that are incurred during a vaccinatino campaign. Some may not be relevent, and this may not include all costs a user will encounter. The cost tool is flexible and allows the user to tailor the costs to their program.</t>
  </si>
  <si>
    <t>What is your current estimated program area vaccination coverage?</t>
  </si>
  <si>
    <t>4. Describe the efficacy of the vaccines you have procured.</t>
  </si>
  <si>
    <t>3. Allocate the vaccines to a vaccination strategy.</t>
  </si>
  <si>
    <t>2. Provide the number of vaccines you plan to procure.</t>
  </si>
  <si>
    <t>Sometimes confined</t>
  </si>
  <si>
    <t>Always free-roaming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</si>
</sst>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quot;$&quot;#,##0.00_);\(&quot;$&quot;#,##0.00\)"/>
    <numFmt numFmtId="165" formatCode="&quot;$&quot;#,##0.00_);[Red]\(&quot;$&quot;#,##0.00\)"/>
    <numFmt numFmtId="166" formatCode="_(&quot;$&quot;* #,##0.00_);_(&quot;$&quot;* \(#,##0.00\);_(&quot;$&quot;* &quot;-&quot;??_);_(@_)"/>
    <numFmt numFmtId="167" formatCode="_(* #,##0.00_);_(* \(#,##0.00\);_(* &quot;-&quot;??_);_(@_)"/>
    <numFmt numFmtId="168" formatCode="0.0%"/>
    <numFmt numFmtId="169" formatCode="0.000"/>
    <numFmt numFmtId="170" formatCode="#,##0.0"/>
    <numFmt numFmtId="171" formatCode="&quot;$&quot;#,##0;[Red]&quot;$&quot;#,##0"/>
    <numFmt numFmtId="172" formatCode="_(* #,##0_);_(* \(#,##0\);_(* &quot;-&quot;??_);_(@_)"/>
    <numFmt numFmtId="173" formatCode="_(&quot;$&quot;* #,##0_);_(&quot;$&quot;* \(#,##0\);_(&quot;$&quot;* &quot;-&quot;??_);_(@_)"/>
    <numFmt numFmtId="174" formatCode="&quot;$&quot;#,##0.00"/>
    <numFmt numFmtId="175" formatCode="[$-409]mmmm\ d\,\ yyyy;@"/>
  </numFmts>
  <fonts count="56"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sz val="9"/>
      <color theme="1"/>
      <name val="Calibri"/>
      <family val="2"/>
      <scheme val="minor"/>
    </font>
    <font>
      <sz val="9"/>
      <color theme="1"/>
      <name val="Calibri"/>
      <family val="2"/>
      <scheme val="minor"/>
    </font>
    <font>
      <sz val="8"/>
      <color theme="1"/>
      <name val="Calibri"/>
      <family val="2"/>
      <scheme val="minor"/>
    </font>
    <font>
      <sz val="12"/>
      <color theme="1"/>
      <name val="Calibri"/>
      <family val="2"/>
      <scheme val="minor"/>
    </font>
    <font>
      <sz val="24"/>
      <color theme="1"/>
      <name val="Calibri"/>
      <family val="2"/>
      <scheme val="minor"/>
    </font>
    <font>
      <sz val="26"/>
      <color theme="1"/>
      <name val="Calibri"/>
      <family val="2"/>
      <scheme val="minor"/>
    </font>
    <font>
      <b/>
      <sz val="16"/>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
      <b/>
      <sz val="11"/>
      <name val="Calibri"/>
      <family val="2"/>
      <scheme val="minor"/>
    </font>
    <font>
      <sz val="10"/>
      <name val="Calibri"/>
      <family val="2"/>
      <scheme val="minor"/>
    </font>
    <font>
      <b/>
      <sz val="10"/>
      <name val="Calibri"/>
      <family val="2"/>
      <scheme val="minor"/>
    </font>
    <font>
      <sz val="11"/>
      <name val="Calibri"/>
      <family val="2"/>
      <scheme val="minor"/>
    </font>
    <font>
      <b/>
      <sz val="10"/>
      <color theme="0"/>
      <name val="Calibri"/>
      <family val="2"/>
      <scheme val="minor"/>
    </font>
    <font>
      <sz val="28"/>
      <color theme="1"/>
      <name val="Calibri"/>
      <family val="2"/>
      <scheme val="minor"/>
    </font>
    <font>
      <i/>
      <sz val="10"/>
      <color theme="1"/>
      <name val="Calibri"/>
      <family val="2"/>
      <scheme val="minor"/>
    </font>
    <font>
      <b/>
      <sz val="12"/>
      <color theme="1"/>
      <name val="Calibri"/>
      <family val="2"/>
      <scheme val="minor"/>
    </font>
    <font>
      <sz val="10"/>
      <name val="Arial"/>
      <family val="2"/>
    </font>
    <font>
      <b/>
      <sz val="16"/>
      <color rgb="FF002060"/>
      <name val="Calibri"/>
      <family val="2"/>
      <scheme val="minor"/>
    </font>
    <font>
      <sz val="10"/>
      <color rgb="FF002060"/>
      <name val="Calibri"/>
      <family val="2"/>
      <scheme val="minor"/>
    </font>
    <font>
      <sz val="10"/>
      <color indexed="18"/>
      <name val="Calibri"/>
      <family val="2"/>
      <scheme val="minor"/>
    </font>
    <font>
      <b/>
      <sz val="11"/>
      <color rgb="FF002060"/>
      <name val="Calibri"/>
      <family val="2"/>
      <scheme val="minor"/>
    </font>
    <font>
      <sz val="11"/>
      <color indexed="56"/>
      <name val="Calibri"/>
      <family val="2"/>
    </font>
    <font>
      <b/>
      <sz val="11"/>
      <color indexed="56"/>
      <name val="Calibri"/>
      <family val="2"/>
    </font>
    <font>
      <sz val="11"/>
      <color rgb="FF002060"/>
      <name val="Calibri"/>
      <family val="2"/>
      <scheme val="minor"/>
    </font>
    <font>
      <b/>
      <i/>
      <sz val="12"/>
      <color rgb="FF002060"/>
      <name val="Calibri"/>
      <family val="2"/>
      <scheme val="minor"/>
    </font>
    <font>
      <u/>
      <sz val="11"/>
      <color theme="10"/>
      <name val="Calibri"/>
      <family val="2"/>
      <scheme val="minor"/>
    </font>
    <font>
      <b/>
      <sz val="16"/>
      <color rgb="FF002060"/>
      <name val="Calibri"/>
      <family val="2"/>
    </font>
    <font>
      <b/>
      <sz val="12"/>
      <color theme="0"/>
      <name val="Calibri"/>
      <family val="2"/>
      <scheme val="minor"/>
    </font>
    <font>
      <sz val="12"/>
      <color theme="0"/>
      <name val="Calibri"/>
      <family val="2"/>
      <scheme val="minor"/>
    </font>
    <font>
      <b/>
      <sz val="11"/>
      <color theme="1"/>
      <name val="Calibri"/>
      <family val="2"/>
    </font>
    <font>
      <b/>
      <sz val="9"/>
      <color theme="0"/>
      <name val="Calibri"/>
      <family val="2"/>
      <scheme val="minor"/>
    </font>
    <font>
      <b/>
      <sz val="11"/>
      <color theme="0"/>
      <name val="Calibri"/>
      <family val="2"/>
    </font>
    <font>
      <sz val="11"/>
      <color theme="1"/>
      <name val="Calibri"/>
      <family val="2"/>
    </font>
    <font>
      <b/>
      <sz val="12"/>
      <name val="Calibri"/>
      <family val="2"/>
      <scheme val="minor"/>
    </font>
    <font>
      <sz val="11"/>
      <color rgb="FFFF0000"/>
      <name val="Calibri"/>
      <family val="2"/>
      <scheme val="minor"/>
    </font>
    <font>
      <b/>
      <sz val="14"/>
      <color theme="0"/>
      <name val="Calibri"/>
      <family val="2"/>
      <scheme val="minor"/>
    </font>
    <font>
      <b/>
      <sz val="16"/>
      <color theme="0"/>
      <name val="Calibri"/>
      <family val="2"/>
      <scheme val="minor"/>
    </font>
    <font>
      <b/>
      <sz val="20"/>
      <color theme="1"/>
      <name val="Calibri"/>
      <family val="2"/>
      <scheme val="minor"/>
    </font>
    <font>
      <sz val="14"/>
      <color theme="1"/>
      <name val="Calibri"/>
      <family val="2"/>
      <scheme val="minor"/>
    </font>
    <font>
      <b/>
      <u/>
      <sz val="14"/>
      <color theme="1"/>
      <name val="Calibri"/>
      <family val="2"/>
      <scheme val="minor"/>
    </font>
    <font>
      <sz val="11"/>
      <color rgb="FFC00000"/>
      <name val="Calibri"/>
      <family val="2"/>
      <scheme val="minor"/>
    </font>
    <font>
      <b/>
      <sz val="11"/>
      <color rgb="FFC00000"/>
      <name val="Calibri"/>
      <family val="2"/>
      <scheme val="minor"/>
    </font>
    <font>
      <b/>
      <sz val="12"/>
      <color rgb="FFC00000"/>
      <name val="Calibri"/>
      <family val="2"/>
      <scheme val="minor"/>
    </font>
    <font>
      <b/>
      <sz val="14"/>
      <name val="Calibri"/>
      <family val="2"/>
      <scheme val="minor"/>
    </font>
    <font>
      <b/>
      <sz val="14"/>
      <color theme="1"/>
      <name val="Calibri"/>
      <family val="2"/>
    </font>
    <font>
      <sz val="12"/>
      <name val="Calibri"/>
      <family val="2"/>
      <scheme val="minor"/>
    </font>
    <font>
      <sz val="10"/>
      <color rgb="FFC00000"/>
      <name val="Calibri"/>
      <family val="2"/>
      <scheme val="minor"/>
    </font>
    <font>
      <b/>
      <sz val="18"/>
      <color theme="0"/>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rgb="FF002060"/>
        <bgColor indexed="64"/>
      </patternFill>
    </fill>
    <fill>
      <patternFill patternType="solid">
        <fgColor theme="8" tint="0.79998168889431442"/>
        <bgColor indexed="64"/>
      </patternFill>
    </fill>
    <fill>
      <patternFill patternType="solid">
        <fgColor theme="2"/>
        <bgColor indexed="64"/>
      </patternFill>
    </fill>
    <fill>
      <patternFill patternType="solid">
        <fgColor theme="8" tint="-0.49998474074526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rgb="FFEDF1F9"/>
        <bgColor indexed="64"/>
      </patternFill>
    </fill>
    <fill>
      <patternFill patternType="solid">
        <fgColor theme="4" tint="0.79998168889431442"/>
        <bgColor indexed="64"/>
      </patternFill>
    </fill>
    <fill>
      <patternFill patternType="solid">
        <fgColor theme="9" tint="-0.499984740745262"/>
        <bgColor indexed="64"/>
      </patternFill>
    </fill>
    <fill>
      <patternFill patternType="solid">
        <fgColor rgb="FFFFFF00"/>
        <bgColor indexed="64"/>
      </patternFill>
    </fill>
    <fill>
      <patternFill patternType="solid">
        <fgColor theme="5" tint="-0.249977111117893"/>
        <bgColor indexed="64"/>
      </patternFill>
    </fill>
    <fill>
      <patternFill patternType="solid">
        <fgColor theme="1"/>
        <bgColor indexed="64"/>
      </patternFill>
    </fill>
  </fills>
  <borders count="76">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top style="hair">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style="hair">
        <color indexed="64"/>
      </top>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s>
  <cellStyleXfs count="6">
    <xf numFmtId="0" fontId="0" fillId="0" borderId="0"/>
    <xf numFmtId="167"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0" fontId="24" fillId="0" borderId="0"/>
    <xf numFmtId="0" fontId="33" fillId="0" borderId="0" applyNumberFormat="0" applyFill="0" applyBorder="0" applyAlignment="0" applyProtection="0"/>
  </cellStyleXfs>
  <cellXfs count="732">
    <xf numFmtId="0" fontId="0" fillId="0" borderId="0" xfId="0"/>
    <xf numFmtId="0" fontId="0" fillId="0" borderId="0" xfId="0" applyAlignment="1">
      <alignment wrapText="1"/>
    </xf>
    <xf numFmtId="0" fontId="0" fillId="0" borderId="0" xfId="0" applyAlignment="1">
      <alignment horizontal="center"/>
    </xf>
    <xf numFmtId="0" fontId="5" fillId="0" borderId="0" xfId="0" applyFont="1"/>
    <xf numFmtId="3" fontId="5" fillId="0" borderId="0" xfId="0" applyNumberFormat="1" applyFont="1"/>
    <xf numFmtId="0" fontId="5" fillId="0" borderId="0" xfId="0" applyFont="1" applyFill="1" applyBorder="1" applyAlignment="1">
      <alignment horizontal="center"/>
    </xf>
    <xf numFmtId="4" fontId="5" fillId="0" borderId="0" xfId="0" applyNumberFormat="1" applyFont="1"/>
    <xf numFmtId="169" fontId="0" fillId="0" borderId="0" xfId="0" applyNumberFormat="1"/>
    <xf numFmtId="0" fontId="0" fillId="0" borderId="0" xfId="0" applyBorder="1"/>
    <xf numFmtId="0" fontId="0" fillId="0" borderId="14" xfId="0" applyBorder="1"/>
    <xf numFmtId="170" fontId="0" fillId="0" borderId="0" xfId="0" applyNumberFormat="1" applyBorder="1"/>
    <xf numFmtId="0" fontId="0" fillId="0" borderId="0" xfId="0" applyFill="1" applyBorder="1"/>
    <xf numFmtId="0" fontId="5" fillId="0" borderId="0" xfId="0" applyFont="1" applyFill="1" applyBorder="1"/>
    <xf numFmtId="0" fontId="0" fillId="0" borderId="0" xfId="0" applyFill="1" applyBorder="1" applyAlignment="1">
      <alignment horizontal="center"/>
    </xf>
    <xf numFmtId="0" fontId="4" fillId="0" borderId="0" xfId="0" applyFont="1" applyFill="1" applyBorder="1"/>
    <xf numFmtId="3" fontId="5" fillId="0" borderId="0" xfId="0" applyNumberFormat="1" applyFont="1" applyFill="1" applyBorder="1" applyAlignment="1">
      <alignment horizontal="center"/>
    </xf>
    <xf numFmtId="4" fontId="5" fillId="0" borderId="0" xfId="0" applyNumberFormat="1" applyFont="1" applyFill="1" applyBorder="1"/>
    <xf numFmtId="3" fontId="5" fillId="0" borderId="0" xfId="0" applyNumberFormat="1" applyFont="1" applyFill="1" applyBorder="1"/>
    <xf numFmtId="0" fontId="1" fillId="5" borderId="0" xfId="0" applyFont="1" applyFill="1" applyBorder="1" applyAlignment="1">
      <alignment vertical="center"/>
    </xf>
    <xf numFmtId="0" fontId="15" fillId="5" borderId="0" xfId="0" applyFont="1" applyFill="1" applyBorder="1" applyAlignment="1">
      <alignment horizontal="right" vertical="center"/>
    </xf>
    <xf numFmtId="0" fontId="18" fillId="0" borderId="0" xfId="0" applyFont="1" applyFill="1" applyBorder="1" applyAlignment="1">
      <alignment vertical="center" wrapText="1"/>
    </xf>
    <xf numFmtId="0" fontId="15" fillId="0" borderId="0" xfId="0" applyFont="1" applyFill="1" applyAlignment="1">
      <alignment vertical="center"/>
    </xf>
    <xf numFmtId="0" fontId="15" fillId="0" borderId="0" xfId="0" applyFont="1" applyFill="1" applyBorder="1" applyAlignment="1">
      <alignment vertical="center"/>
    </xf>
    <xf numFmtId="0" fontId="15" fillId="0" borderId="14" xfId="0" applyFont="1" applyFill="1" applyBorder="1" applyAlignment="1">
      <alignment vertical="center"/>
    </xf>
    <xf numFmtId="0" fontId="14" fillId="0" borderId="0" xfId="0" applyFont="1" applyFill="1" applyAlignment="1">
      <alignment vertical="center"/>
    </xf>
    <xf numFmtId="171" fontId="8" fillId="0" borderId="0" xfId="0" applyNumberFormat="1" applyFont="1" applyFill="1" applyBorder="1" applyAlignment="1">
      <alignment vertical="center"/>
    </xf>
    <xf numFmtId="164" fontId="9" fillId="0" borderId="0" xfId="0" applyNumberFormat="1" applyFont="1" applyFill="1" applyBorder="1" applyAlignment="1">
      <alignment vertical="center"/>
    </xf>
    <xf numFmtId="0" fontId="0" fillId="5" borderId="0" xfId="0" applyFont="1" applyFill="1" applyBorder="1" applyAlignment="1">
      <alignment vertical="center"/>
    </xf>
    <xf numFmtId="166" fontId="15" fillId="6" borderId="23" xfId="2" applyFont="1" applyFill="1" applyBorder="1" applyAlignment="1">
      <alignment vertical="center"/>
    </xf>
    <xf numFmtId="166" fontId="15" fillId="6" borderId="24" xfId="2" applyFont="1" applyFill="1" applyBorder="1" applyAlignment="1">
      <alignment vertical="center"/>
    </xf>
    <xf numFmtId="166" fontId="15" fillId="6" borderId="25" xfId="2" applyFont="1" applyFill="1" applyBorder="1" applyAlignment="1">
      <alignment vertical="center"/>
    </xf>
    <xf numFmtId="0" fontId="12" fillId="3" borderId="0" xfId="0" applyFont="1" applyFill="1" applyBorder="1" applyAlignment="1">
      <alignment vertical="center"/>
    </xf>
    <xf numFmtId="0" fontId="14" fillId="5" borderId="0" xfId="0" applyFont="1" applyFill="1" applyBorder="1" applyAlignment="1">
      <alignment vertical="center"/>
    </xf>
    <xf numFmtId="173" fontId="17" fillId="6" borderId="23" xfId="2" applyNumberFormat="1" applyFont="1" applyFill="1" applyBorder="1" applyAlignment="1">
      <alignment vertical="center"/>
    </xf>
    <xf numFmtId="173" fontId="17" fillId="6" borderId="24" xfId="2" applyNumberFormat="1" applyFont="1" applyFill="1" applyBorder="1" applyAlignment="1">
      <alignment vertical="center"/>
    </xf>
    <xf numFmtId="173" fontId="17" fillId="6" borderId="25" xfId="2" applyNumberFormat="1" applyFont="1" applyFill="1" applyBorder="1" applyAlignment="1">
      <alignment vertical="center"/>
    </xf>
    <xf numFmtId="0" fontId="15" fillId="5" borderId="0" xfId="0" applyFont="1" applyFill="1" applyBorder="1" applyAlignment="1">
      <alignment vertical="center"/>
    </xf>
    <xf numFmtId="173" fontId="18" fillId="6" borderId="9" xfId="2" applyNumberFormat="1" applyFont="1" applyFill="1" applyBorder="1" applyAlignment="1">
      <alignment vertical="center"/>
    </xf>
    <xf numFmtId="172" fontId="17" fillId="6" borderId="23" xfId="1" applyNumberFormat="1" applyFont="1" applyFill="1" applyBorder="1" applyAlignment="1">
      <alignment vertical="center"/>
    </xf>
    <xf numFmtId="172" fontId="17" fillId="6" borderId="24" xfId="1" applyNumberFormat="1" applyFont="1" applyFill="1" applyBorder="1" applyAlignment="1">
      <alignment vertical="center"/>
    </xf>
    <xf numFmtId="172" fontId="17" fillId="6" borderId="25" xfId="1" applyNumberFormat="1" applyFont="1" applyFill="1" applyBorder="1" applyAlignment="1">
      <alignment vertical="center"/>
    </xf>
    <xf numFmtId="0" fontId="14" fillId="5" borderId="31" xfId="0" applyFont="1" applyFill="1" applyBorder="1" applyAlignment="1">
      <alignment vertical="center"/>
    </xf>
    <xf numFmtId="173" fontId="14" fillId="6" borderId="9" xfId="2" applyNumberFormat="1" applyFont="1" applyFill="1" applyBorder="1" applyAlignment="1">
      <alignment vertical="center"/>
    </xf>
    <xf numFmtId="173" fontId="15" fillId="6" borderId="24" xfId="2" applyNumberFormat="1" applyFont="1" applyFill="1" applyBorder="1" applyAlignment="1">
      <alignment vertical="center"/>
    </xf>
    <xf numFmtId="173" fontId="15" fillId="6" borderId="25" xfId="2" applyNumberFormat="1" applyFont="1" applyFill="1" applyBorder="1" applyAlignment="1">
      <alignment vertical="center"/>
    </xf>
    <xf numFmtId="173" fontId="14" fillId="6" borderId="23" xfId="2" applyNumberFormat="1" applyFont="1" applyFill="1" applyBorder="1" applyAlignment="1">
      <alignment vertical="center"/>
    </xf>
    <xf numFmtId="166" fontId="14" fillId="6" borderId="25" xfId="2" applyFont="1" applyFill="1" applyBorder="1" applyAlignment="1">
      <alignment vertical="center"/>
    </xf>
    <xf numFmtId="0" fontId="16" fillId="0" borderId="0" xfId="0" applyFont="1" applyFill="1" applyBorder="1" applyAlignment="1">
      <alignment vertical="center" wrapText="1"/>
    </xf>
    <xf numFmtId="0" fontId="19" fillId="0" borderId="0" xfId="0" applyFont="1" applyFill="1" applyBorder="1" applyAlignment="1">
      <alignment vertical="center" wrapText="1"/>
    </xf>
    <xf numFmtId="0" fontId="0" fillId="0" borderId="0" xfId="0" applyAlignment="1">
      <alignment vertical="center"/>
    </xf>
    <xf numFmtId="168" fontId="2" fillId="0" borderId="0" xfId="0" applyNumberFormat="1" applyFont="1" applyFill="1" applyBorder="1" applyAlignment="1">
      <alignment vertical="center" wrapText="1"/>
    </xf>
    <xf numFmtId="168" fontId="10" fillId="0" borderId="0" xfId="0" applyNumberFormat="1" applyFont="1" applyFill="1" applyBorder="1" applyAlignment="1">
      <alignment vertical="center" wrapText="1"/>
    </xf>
    <xf numFmtId="0" fontId="0" fillId="0" borderId="0" xfId="0" applyFont="1" applyFill="1" applyAlignment="1">
      <alignment vertical="center"/>
    </xf>
    <xf numFmtId="0" fontId="0" fillId="0" borderId="0" xfId="0" applyFont="1" applyFill="1" applyBorder="1" applyAlignment="1">
      <alignment vertical="center"/>
    </xf>
    <xf numFmtId="0" fontId="6" fillId="0" borderId="0" xfId="0" applyFont="1" applyFill="1" applyBorder="1" applyAlignment="1">
      <alignment vertical="center"/>
    </xf>
    <xf numFmtId="174" fontId="15" fillId="0" borderId="0" xfId="0" applyNumberFormat="1" applyFont="1" applyFill="1" applyBorder="1" applyAlignment="1">
      <alignment vertical="center"/>
    </xf>
    <xf numFmtId="0" fontId="6" fillId="0" borderId="14" xfId="0" applyFont="1" applyFill="1" applyBorder="1" applyAlignment="1">
      <alignment vertical="center"/>
    </xf>
    <xf numFmtId="174" fontId="15" fillId="0" borderId="14" xfId="0" applyNumberFormat="1" applyFont="1" applyFill="1" applyBorder="1" applyAlignment="1">
      <alignment vertical="center"/>
    </xf>
    <xf numFmtId="0" fontId="1" fillId="0" borderId="0" xfId="0" applyFont="1" applyFill="1" applyAlignment="1">
      <alignment vertical="center"/>
    </xf>
    <xf numFmtId="0" fontId="6" fillId="0" borderId="0" xfId="0" applyFont="1" applyAlignment="1">
      <alignment vertical="center"/>
    </xf>
    <xf numFmtId="0" fontId="0" fillId="0" borderId="0" xfId="0" applyFill="1" applyBorder="1" applyAlignment="1">
      <alignment vertical="center"/>
    </xf>
    <xf numFmtId="0" fontId="0" fillId="0" borderId="0" xfId="0" applyFill="1" applyAlignment="1">
      <alignment vertical="center"/>
    </xf>
    <xf numFmtId="0" fontId="6" fillId="0" borderId="0" xfId="0" applyFont="1" applyFill="1" applyAlignment="1">
      <alignment vertical="center"/>
    </xf>
    <xf numFmtId="3" fontId="1" fillId="0" borderId="0" xfId="0" applyNumberFormat="1" applyFont="1" applyFill="1" applyBorder="1" applyAlignment="1">
      <alignment vertical="center"/>
    </xf>
    <xf numFmtId="3" fontId="0" fillId="0" borderId="0" xfId="0" applyNumberFormat="1" applyFill="1" applyBorder="1" applyAlignment="1">
      <alignment vertical="center"/>
    </xf>
    <xf numFmtId="0" fontId="1" fillId="0" borderId="0" xfId="0" applyFont="1" applyFill="1" applyBorder="1" applyAlignment="1">
      <alignment vertical="center"/>
    </xf>
    <xf numFmtId="0" fontId="21" fillId="0" borderId="0" xfId="0" applyFont="1" applyFill="1" applyBorder="1" applyAlignment="1">
      <alignment vertical="center"/>
    </xf>
    <xf numFmtId="0" fontId="15" fillId="6" borderId="21" xfId="0" applyFont="1" applyFill="1" applyBorder="1" applyAlignment="1">
      <alignment vertical="center"/>
    </xf>
    <xf numFmtId="0" fontId="15" fillId="6" borderId="0" xfId="0" applyFont="1" applyFill="1" applyBorder="1" applyAlignment="1">
      <alignment vertical="center"/>
    </xf>
    <xf numFmtId="0" fontId="15" fillId="6" borderId="14" xfId="0" applyFont="1" applyFill="1" applyBorder="1" applyAlignment="1">
      <alignment vertical="center"/>
    </xf>
    <xf numFmtId="3" fontId="15" fillId="6" borderId="12" xfId="0" applyNumberFormat="1" applyFont="1" applyFill="1" applyBorder="1" applyAlignment="1">
      <alignment vertical="center"/>
    </xf>
    <xf numFmtId="0" fontId="15" fillId="6" borderId="21" xfId="0" applyFont="1" applyFill="1" applyBorder="1" applyAlignment="1">
      <alignment horizontal="right" vertical="center"/>
    </xf>
    <xf numFmtId="0" fontId="15" fillId="6" borderId="14" xfId="0" applyFont="1" applyFill="1" applyBorder="1" applyAlignment="1">
      <alignment horizontal="right" vertical="center"/>
    </xf>
    <xf numFmtId="0" fontId="15" fillId="6" borderId="0" xfId="0" applyFont="1" applyFill="1" applyBorder="1" applyAlignment="1">
      <alignment horizontal="right" vertical="center"/>
    </xf>
    <xf numFmtId="1" fontId="15" fillId="6" borderId="20" xfId="0" applyNumberFormat="1" applyFont="1" applyFill="1" applyBorder="1" applyAlignment="1">
      <alignment vertical="center"/>
    </xf>
    <xf numFmtId="1" fontId="15" fillId="6" borderId="12" xfId="0" applyNumberFormat="1" applyFont="1" applyFill="1" applyBorder="1" applyAlignment="1">
      <alignment vertical="center"/>
    </xf>
    <xf numFmtId="0" fontId="15" fillId="6" borderId="26" xfId="0" applyFont="1" applyFill="1" applyBorder="1" applyAlignment="1">
      <alignment vertical="center"/>
    </xf>
    <xf numFmtId="0" fontId="15" fillId="6" borderId="27" xfId="0" applyFont="1" applyFill="1" applyBorder="1" applyAlignment="1">
      <alignment vertical="center"/>
    </xf>
    <xf numFmtId="0" fontId="15" fillId="6" borderId="29" xfId="0" applyFont="1" applyFill="1" applyBorder="1" applyAlignment="1">
      <alignment vertical="center"/>
    </xf>
    <xf numFmtId="3" fontId="15" fillId="6" borderId="15" xfId="0" applyNumberFormat="1" applyFont="1" applyFill="1" applyBorder="1" applyAlignment="1">
      <alignment vertical="center"/>
    </xf>
    <xf numFmtId="9" fontId="15" fillId="6" borderId="28" xfId="0" applyNumberFormat="1" applyFont="1" applyFill="1" applyBorder="1" applyAlignment="1">
      <alignment vertical="center"/>
    </xf>
    <xf numFmtId="9" fontId="15" fillId="6" borderId="29" xfId="0" applyNumberFormat="1" applyFont="1" applyFill="1" applyBorder="1" applyAlignment="1">
      <alignment vertical="center"/>
    </xf>
    <xf numFmtId="0" fontId="0" fillId="0" borderId="0" xfId="0" applyFill="1"/>
    <xf numFmtId="0" fontId="5" fillId="0" borderId="0" xfId="0" applyFont="1" applyFill="1"/>
    <xf numFmtId="10" fontId="5" fillId="0" borderId="0" xfId="3" applyNumberFormat="1" applyFont="1" applyFill="1" applyBorder="1" applyAlignment="1">
      <alignment horizontal="center"/>
    </xf>
    <xf numFmtId="10" fontId="5" fillId="0" borderId="0" xfId="0" applyNumberFormat="1" applyFont="1" applyFill="1" applyBorder="1"/>
    <xf numFmtId="0" fontId="25" fillId="5" borderId="0" xfId="4" applyFont="1" applyFill="1" applyAlignment="1">
      <alignment horizontal="center"/>
    </xf>
    <xf numFmtId="0" fontId="26" fillId="5" borderId="0" xfId="4" applyFont="1" applyFill="1"/>
    <xf numFmtId="0" fontId="27" fillId="5" borderId="0" xfId="4" applyFont="1" applyFill="1"/>
    <xf numFmtId="0" fontId="26" fillId="5" borderId="0" xfId="4" applyFont="1" applyFill="1" applyAlignment="1">
      <alignment horizontal="center"/>
    </xf>
    <xf numFmtId="0" fontId="32" fillId="5" borderId="0" xfId="4" applyFont="1" applyFill="1" applyAlignment="1">
      <alignment horizontal="center"/>
    </xf>
    <xf numFmtId="0" fontId="26" fillId="5" borderId="0" xfId="4" applyNumberFormat="1" applyFont="1" applyFill="1" applyAlignment="1">
      <alignment horizontal="left" wrapText="1"/>
    </xf>
    <xf numFmtId="0" fontId="33" fillId="5" borderId="0" xfId="5" applyNumberFormat="1" applyFill="1" applyAlignment="1">
      <alignment horizontal="left" wrapText="1"/>
    </xf>
    <xf numFmtId="15" fontId="31" fillId="5" borderId="0" xfId="4" applyNumberFormat="1" applyFont="1" applyFill="1" applyAlignment="1">
      <alignment horizontal="center"/>
    </xf>
    <xf numFmtId="0" fontId="27" fillId="5" borderId="0" xfId="4" applyFont="1" applyFill="1" applyAlignment="1">
      <alignment horizontal="center" wrapText="1"/>
    </xf>
    <xf numFmtId="0" fontId="27" fillId="5" borderId="0" xfId="4" applyFont="1" applyFill="1" applyAlignment="1">
      <alignment horizontal="center"/>
    </xf>
    <xf numFmtId="0" fontId="31" fillId="5" borderId="0" xfId="4" applyFont="1" applyFill="1" applyAlignment="1">
      <alignment horizontal="left" wrapText="1"/>
    </xf>
    <xf numFmtId="0" fontId="1" fillId="0" borderId="0" xfId="0" applyFont="1"/>
    <xf numFmtId="0" fontId="1" fillId="0" borderId="0" xfId="0" applyFont="1" applyAlignment="1">
      <alignment horizontal="left" vertical="center" wrapText="1"/>
    </xf>
    <xf numFmtId="0" fontId="0" fillId="0" borderId="0" xfId="0" applyFont="1" applyAlignment="1">
      <alignment horizontal="left" vertical="center" wrapText="1" indent="1"/>
    </xf>
    <xf numFmtId="0" fontId="0" fillId="0" borderId="9" xfId="0" applyBorder="1"/>
    <xf numFmtId="0" fontId="0" fillId="0" borderId="0" xfId="0" applyAlignment="1">
      <alignment horizontal="left" wrapText="1"/>
    </xf>
    <xf numFmtId="0" fontId="0" fillId="0" borderId="0" xfId="0" applyFill="1" applyAlignment="1">
      <alignment wrapText="1"/>
    </xf>
    <xf numFmtId="0" fontId="1" fillId="0" borderId="0" xfId="0" applyFont="1" applyFill="1"/>
    <xf numFmtId="175" fontId="0" fillId="0" borderId="0" xfId="0" applyNumberFormat="1" applyFill="1" applyAlignment="1"/>
    <xf numFmtId="0" fontId="0" fillId="0" borderId="0" xfId="0" applyFill="1" applyAlignment="1">
      <alignment horizontal="right"/>
    </xf>
    <xf numFmtId="0" fontId="15" fillId="0" borderId="0" xfId="0" applyFont="1" applyFill="1"/>
    <xf numFmtId="0" fontId="1" fillId="0" borderId="0" xfId="0" applyFont="1" applyFill="1" applyAlignment="1">
      <alignment horizontal="left" vertical="center" indent="1"/>
    </xf>
    <xf numFmtId="0" fontId="1" fillId="0" borderId="0" xfId="0" applyFont="1" applyFill="1" applyAlignment="1">
      <alignment horizontal="left" vertical="center" wrapText="1" indent="1"/>
    </xf>
    <xf numFmtId="0" fontId="0" fillId="0" borderId="0" xfId="0" applyFont="1" applyAlignment="1">
      <alignment vertical="center" wrapText="1"/>
    </xf>
    <xf numFmtId="175" fontId="26" fillId="5" borderId="0" xfId="4" applyNumberFormat="1" applyFont="1" applyFill="1" applyAlignment="1">
      <alignment horizontal="center"/>
    </xf>
    <xf numFmtId="0" fontId="1" fillId="0" borderId="0" xfId="0" applyFont="1" applyFill="1" applyAlignment="1">
      <alignment horizontal="left" indent="1"/>
    </xf>
    <xf numFmtId="0" fontId="15" fillId="0" borderId="0" xfId="0" applyFont="1" applyFill="1" applyAlignment="1">
      <alignment horizontal="left" indent="2"/>
    </xf>
    <xf numFmtId="0" fontId="0" fillId="7" borderId="0" xfId="0" applyFill="1"/>
    <xf numFmtId="0" fontId="36" fillId="7" borderId="0" xfId="0" applyFont="1" applyFill="1" applyAlignment="1">
      <alignment horizontal="center" wrapText="1"/>
    </xf>
    <xf numFmtId="0" fontId="36" fillId="7" borderId="0" xfId="0" applyFont="1" applyFill="1" applyAlignment="1">
      <alignment horizontal="center"/>
    </xf>
    <xf numFmtId="0" fontId="0" fillId="0" borderId="0" xfId="0" applyFont="1" applyFill="1"/>
    <xf numFmtId="0" fontId="0" fillId="0" borderId="0" xfId="0" applyFont="1" applyAlignment="1">
      <alignment wrapText="1"/>
    </xf>
    <xf numFmtId="0" fontId="1" fillId="0" borderId="0" xfId="0" applyFont="1" applyFill="1" applyAlignment="1">
      <alignment wrapText="1"/>
    </xf>
    <xf numFmtId="0" fontId="0" fillId="0" borderId="14" xfId="0" applyFill="1" applyBorder="1"/>
    <xf numFmtId="0" fontId="0" fillId="0" borderId="0" xfId="0" applyFont="1" applyFill="1" applyBorder="1" applyAlignment="1"/>
    <xf numFmtId="0" fontId="19" fillId="5" borderId="0" xfId="0" applyFont="1" applyFill="1" applyAlignment="1">
      <alignment wrapText="1"/>
    </xf>
    <xf numFmtId="0" fontId="19" fillId="5" borderId="0" xfId="0" applyFont="1" applyFill="1"/>
    <xf numFmtId="0" fontId="0" fillId="5" borderId="0" xfId="0" applyFont="1" applyFill="1" applyAlignment="1">
      <alignment wrapText="1"/>
    </xf>
    <xf numFmtId="0" fontId="0" fillId="5" borderId="0" xfId="0" applyFont="1" applyFill="1"/>
    <xf numFmtId="0" fontId="0" fillId="5" borderId="0" xfId="0" applyFill="1"/>
    <xf numFmtId="0" fontId="0" fillId="5" borderId="0" xfId="0" applyFill="1" applyAlignment="1">
      <alignment wrapText="1"/>
    </xf>
    <xf numFmtId="0" fontId="2" fillId="0" borderId="0" xfId="0" applyFont="1"/>
    <xf numFmtId="0" fontId="0" fillId="5" borderId="0" xfId="0" applyFill="1" applyBorder="1" applyAlignment="1">
      <alignment horizontal="center"/>
    </xf>
    <xf numFmtId="0" fontId="1" fillId="5" borderId="0" xfId="0" applyFont="1" applyFill="1" applyBorder="1" applyAlignment="1">
      <alignment horizontal="center"/>
    </xf>
    <xf numFmtId="0" fontId="0" fillId="5" borderId="0" xfId="0" applyFont="1" applyFill="1" applyBorder="1" applyAlignment="1">
      <alignment horizontal="center"/>
    </xf>
    <xf numFmtId="0" fontId="0" fillId="5" borderId="0" xfId="0" applyFont="1" applyFill="1" applyBorder="1" applyAlignment="1">
      <alignment horizontal="left"/>
    </xf>
    <xf numFmtId="0" fontId="0" fillId="5" borderId="0" xfId="0" applyFill="1" applyBorder="1"/>
    <xf numFmtId="0" fontId="0" fillId="0" borderId="0" xfId="0" applyFont="1" applyFill="1" applyBorder="1" applyAlignment="1">
      <alignment horizontal="left"/>
    </xf>
    <xf numFmtId="0" fontId="13" fillId="3" borderId="0" xfId="0" applyFont="1" applyFill="1" applyBorder="1"/>
    <xf numFmtId="0" fontId="0" fillId="5" borderId="0" xfId="0" applyFill="1" applyBorder="1" applyAlignment="1">
      <alignment horizontal="center" vertical="center"/>
    </xf>
    <xf numFmtId="9" fontId="0" fillId="5" borderId="0" xfId="3" applyFont="1" applyFill="1" applyBorder="1" applyAlignment="1">
      <alignment horizontal="right"/>
    </xf>
    <xf numFmtId="9" fontId="0" fillId="5" borderId="0" xfId="3" applyFont="1" applyFill="1" applyBorder="1" applyAlignment="1">
      <alignment horizontal="right" vertical="center"/>
    </xf>
    <xf numFmtId="0" fontId="0" fillId="5" borderId="0" xfId="0" applyNumberFormat="1" applyFont="1" applyFill="1" applyBorder="1" applyAlignment="1">
      <alignment horizontal="center"/>
    </xf>
    <xf numFmtId="0" fontId="12" fillId="3" borderId="0" xfId="0" applyFont="1" applyFill="1" applyBorder="1" applyAlignment="1">
      <alignment horizontal="center"/>
    </xf>
    <xf numFmtId="172" fontId="0" fillId="0" borderId="0" xfId="1" applyNumberFormat="1" applyFont="1"/>
    <xf numFmtId="172" fontId="0" fillId="0" borderId="12" xfId="1" applyNumberFormat="1" applyFont="1" applyBorder="1"/>
    <xf numFmtId="172" fontId="0" fillId="0" borderId="0" xfId="1" applyNumberFormat="1" applyFont="1" applyBorder="1"/>
    <xf numFmtId="172" fontId="0" fillId="0" borderId="13" xfId="1" applyNumberFormat="1" applyFont="1" applyBorder="1"/>
    <xf numFmtId="172" fontId="0" fillId="0" borderId="14" xfId="1" applyNumberFormat="1" applyFont="1" applyBorder="1"/>
    <xf numFmtId="172" fontId="0" fillId="0" borderId="15" xfId="1" applyNumberFormat="1" applyFont="1" applyBorder="1"/>
    <xf numFmtId="172" fontId="0" fillId="0" borderId="21" xfId="1" applyNumberFormat="1" applyFont="1" applyBorder="1"/>
    <xf numFmtId="172" fontId="0" fillId="0" borderId="20" xfId="1" applyNumberFormat="1" applyFont="1" applyBorder="1"/>
    <xf numFmtId="172" fontId="0" fillId="0" borderId="22" xfId="1" applyNumberFormat="1" applyFont="1" applyBorder="1"/>
    <xf numFmtId="172" fontId="0" fillId="0" borderId="16" xfId="1" applyNumberFormat="1" applyFont="1" applyBorder="1"/>
    <xf numFmtId="0" fontId="12" fillId="3" borderId="17" xfId="0" applyFont="1" applyFill="1" applyBorder="1" applyAlignment="1">
      <alignment horizontal="center"/>
    </xf>
    <xf numFmtId="0" fontId="12" fillId="3" borderId="18" xfId="0" applyFont="1" applyFill="1" applyBorder="1" applyAlignment="1">
      <alignment horizontal="center"/>
    </xf>
    <xf numFmtId="0" fontId="12" fillId="3" borderId="19" xfId="0" applyFont="1" applyFill="1" applyBorder="1" applyAlignment="1">
      <alignment horizontal="center"/>
    </xf>
    <xf numFmtId="0" fontId="0" fillId="3" borderId="0" xfId="0" applyFill="1"/>
    <xf numFmtId="0" fontId="0" fillId="7" borderId="0" xfId="0" applyFill="1" applyBorder="1"/>
    <xf numFmtId="0" fontId="0" fillId="3" borderId="0" xfId="0" applyFill="1" applyBorder="1"/>
    <xf numFmtId="0" fontId="0" fillId="5" borderId="14" xfId="0" applyFill="1" applyBorder="1"/>
    <xf numFmtId="0" fontId="0" fillId="5" borderId="14" xfId="0" applyFill="1" applyBorder="1" applyAlignment="1">
      <alignment horizontal="center" vertical="center"/>
    </xf>
    <xf numFmtId="9" fontId="0" fillId="5" borderId="14" xfId="3" applyFont="1" applyFill="1" applyBorder="1" applyAlignment="1">
      <alignment horizontal="right" vertical="center"/>
    </xf>
    <xf numFmtId="9" fontId="0" fillId="5" borderId="14" xfId="3" applyFont="1" applyFill="1" applyBorder="1" applyAlignment="1">
      <alignment horizontal="right"/>
    </xf>
    <xf numFmtId="0" fontId="0" fillId="5" borderId="14" xfId="0" applyFont="1" applyFill="1" applyBorder="1" applyAlignment="1">
      <alignment horizontal="center"/>
    </xf>
    <xf numFmtId="0" fontId="0" fillId="5" borderId="14" xfId="0" applyFont="1" applyFill="1" applyBorder="1" applyAlignment="1">
      <alignment horizontal="left"/>
    </xf>
    <xf numFmtId="0" fontId="12" fillId="3" borderId="0" xfId="0" applyFont="1" applyFill="1" applyBorder="1"/>
    <xf numFmtId="3" fontId="0" fillId="0" borderId="0" xfId="0" applyNumberFormat="1" applyBorder="1"/>
    <xf numFmtId="3" fontId="0" fillId="0" borderId="14" xfId="0" applyNumberFormat="1" applyBorder="1"/>
    <xf numFmtId="0" fontId="12" fillId="7" borderId="0" xfId="0" applyFont="1" applyFill="1" applyBorder="1"/>
    <xf numFmtId="0" fontId="0" fillId="0" borderId="21" xfId="0" applyBorder="1"/>
    <xf numFmtId="3" fontId="0" fillId="0" borderId="21" xfId="0" applyNumberFormat="1" applyBorder="1"/>
    <xf numFmtId="0" fontId="0" fillId="0" borderId="14" xfId="0" applyFont="1" applyFill="1" applyBorder="1" applyAlignment="1">
      <alignment horizontal="left"/>
    </xf>
    <xf numFmtId="0" fontId="0" fillId="0" borderId="21" xfId="0" applyFont="1" applyFill="1" applyBorder="1" applyAlignment="1">
      <alignment horizontal="left"/>
    </xf>
    <xf numFmtId="0" fontId="12" fillId="7" borderId="0" xfId="0" applyFont="1" applyFill="1" applyBorder="1" applyAlignment="1">
      <alignment horizontal="center"/>
    </xf>
    <xf numFmtId="0" fontId="12" fillId="3" borderId="0" xfId="0" applyFont="1" applyFill="1" applyBorder="1" applyAlignment="1">
      <alignment horizontal="right"/>
    </xf>
    <xf numFmtId="0" fontId="12" fillId="7" borderId="0" xfId="0" applyFont="1" applyFill="1" applyAlignment="1">
      <alignment horizontal="center"/>
    </xf>
    <xf numFmtId="169" fontId="0" fillId="0" borderId="0" xfId="0" applyNumberFormat="1" applyBorder="1"/>
    <xf numFmtId="169" fontId="0" fillId="0" borderId="14" xfId="0" applyNumberFormat="1" applyBorder="1"/>
    <xf numFmtId="2" fontId="0" fillId="0" borderId="0" xfId="0" applyNumberFormat="1" applyBorder="1"/>
    <xf numFmtId="1" fontId="0" fillId="0" borderId="0" xfId="0" applyNumberFormat="1" applyBorder="1"/>
    <xf numFmtId="1" fontId="0" fillId="0" borderId="14" xfId="0" applyNumberFormat="1" applyBorder="1"/>
    <xf numFmtId="4" fontId="0" fillId="0" borderId="0" xfId="0" applyNumberFormat="1" applyBorder="1"/>
    <xf numFmtId="4" fontId="0" fillId="0" borderId="14" xfId="0" applyNumberFormat="1" applyBorder="1"/>
    <xf numFmtId="0" fontId="38" fillId="3" borderId="0" xfId="0" applyFont="1" applyFill="1" applyBorder="1"/>
    <xf numFmtId="0" fontId="38" fillId="3" borderId="0" xfId="0" applyFont="1" applyFill="1" applyBorder="1" applyAlignment="1">
      <alignment horizontal="center"/>
    </xf>
    <xf numFmtId="0" fontId="12" fillId="3" borderId="0" xfId="0" applyFont="1" applyFill="1" applyBorder="1" applyAlignment="1">
      <alignment horizontal="center" vertical="center"/>
    </xf>
    <xf numFmtId="0" fontId="12" fillId="3" borderId="0" xfId="0" applyFont="1" applyFill="1" applyBorder="1" applyAlignment="1">
      <alignment horizontal="right" vertical="center"/>
    </xf>
    <xf numFmtId="0" fontId="0" fillId="5" borderId="14" xfId="0" applyFill="1" applyBorder="1" applyAlignment="1">
      <alignment horizontal="center"/>
    </xf>
    <xf numFmtId="0" fontId="2" fillId="0" borderId="0" xfId="0" applyFont="1" applyFill="1" applyBorder="1" applyAlignment="1">
      <alignment horizontal="left"/>
    </xf>
    <xf numFmtId="0" fontId="0" fillId="5" borderId="0" xfId="0" applyFill="1" applyBorder="1" applyAlignment="1">
      <alignment horizontal="right"/>
    </xf>
    <xf numFmtId="0" fontId="0" fillId="5" borderId="14" xfId="0" applyFill="1" applyBorder="1" applyAlignment="1">
      <alignment horizontal="right"/>
    </xf>
    <xf numFmtId="0" fontId="0" fillId="5" borderId="21" xfId="0" applyFill="1" applyBorder="1" applyAlignment="1">
      <alignment horizontal="right"/>
    </xf>
    <xf numFmtId="9" fontId="0" fillId="5" borderId="21" xfId="0" applyNumberFormat="1" applyFill="1" applyBorder="1"/>
    <xf numFmtId="0" fontId="0" fillId="0" borderId="0" xfId="0" applyFill="1" applyBorder="1" applyAlignment="1">
      <alignment wrapText="1"/>
    </xf>
    <xf numFmtId="166" fontId="0" fillId="8" borderId="0" xfId="0" applyNumberFormat="1" applyFont="1" applyFill="1" applyBorder="1" applyAlignment="1"/>
    <xf numFmtId="0" fontId="10" fillId="0" borderId="0" xfId="0" applyFont="1"/>
    <xf numFmtId="0" fontId="1" fillId="5" borderId="0" xfId="0" applyFont="1" applyFill="1" applyBorder="1" applyAlignment="1"/>
    <xf numFmtId="0" fontId="0" fillId="0" borderId="0" xfId="0" applyFont="1" applyFill="1" applyBorder="1"/>
    <xf numFmtId="0" fontId="0" fillId="8" borderId="0" xfId="0" applyFont="1" applyFill="1" applyBorder="1" applyAlignment="1"/>
    <xf numFmtId="0" fontId="0" fillId="0" borderId="0" xfId="0" applyFont="1"/>
    <xf numFmtId="0" fontId="13" fillId="3" borderId="0" xfId="0" applyFont="1" applyFill="1" applyBorder="1" applyAlignment="1">
      <alignment vertical="center"/>
    </xf>
    <xf numFmtId="0" fontId="12" fillId="7" borderId="0" xfId="0" applyFont="1" applyFill="1" applyBorder="1" applyAlignment="1">
      <alignment vertical="center"/>
    </xf>
    <xf numFmtId="0" fontId="20" fillId="7" borderId="21" xfId="0" applyFont="1" applyFill="1" applyBorder="1" applyAlignment="1">
      <alignment vertical="center"/>
    </xf>
    <xf numFmtId="0" fontId="20" fillId="3" borderId="14" xfId="0" applyFont="1" applyFill="1" applyBorder="1" applyAlignment="1">
      <alignment vertical="center"/>
    </xf>
    <xf numFmtId="166" fontId="14" fillId="6" borderId="15" xfId="2" applyFont="1" applyFill="1" applyBorder="1" applyAlignment="1">
      <alignment vertical="center"/>
    </xf>
    <xf numFmtId="166" fontId="14" fillId="6" borderId="16" xfId="2" applyFont="1" applyFill="1" applyBorder="1" applyAlignment="1">
      <alignment vertical="center"/>
    </xf>
    <xf numFmtId="173" fontId="16" fillId="6" borderId="25" xfId="2" applyNumberFormat="1" applyFont="1" applyFill="1" applyBorder="1" applyAlignment="1">
      <alignment vertical="center"/>
    </xf>
    <xf numFmtId="0" fontId="12" fillId="3" borderId="34" xfId="0" applyFont="1" applyFill="1" applyBorder="1" applyAlignment="1">
      <alignment horizontal="center"/>
    </xf>
    <xf numFmtId="0" fontId="12" fillId="3" borderId="35" xfId="0" applyFont="1" applyFill="1" applyBorder="1" applyAlignment="1">
      <alignment horizontal="center"/>
    </xf>
    <xf numFmtId="2" fontId="0" fillId="0" borderId="14" xfId="0" applyNumberFormat="1" applyBorder="1"/>
    <xf numFmtId="9" fontId="0" fillId="5" borderId="0" xfId="3" applyFont="1" applyFill="1" applyBorder="1" applyAlignment="1"/>
    <xf numFmtId="0" fontId="42" fillId="0" borderId="0" xfId="0" applyFont="1"/>
    <xf numFmtId="1" fontId="15" fillId="6" borderId="0" xfId="0" applyNumberFormat="1" applyFont="1" applyFill="1" applyBorder="1" applyAlignment="1">
      <alignment horizontal="right" vertical="center"/>
    </xf>
    <xf numFmtId="0" fontId="15" fillId="6" borderId="12" xfId="0" applyFont="1" applyFill="1" applyBorder="1" applyAlignment="1">
      <alignment vertical="center"/>
    </xf>
    <xf numFmtId="0" fontId="0" fillId="9" borderId="0" xfId="0" applyFont="1" applyFill="1" applyBorder="1"/>
    <xf numFmtId="3" fontId="0" fillId="9" borderId="0" xfId="0" applyNumberFormat="1" applyFont="1" applyFill="1" applyBorder="1" applyAlignment="1">
      <alignment horizontal="center"/>
    </xf>
    <xf numFmtId="0" fontId="0" fillId="9" borderId="0" xfId="0" applyFont="1" applyFill="1" applyBorder="1" applyAlignment="1">
      <alignment horizontal="center"/>
    </xf>
    <xf numFmtId="0" fontId="0" fillId="9" borderId="0" xfId="0" applyFill="1" applyBorder="1"/>
    <xf numFmtId="0" fontId="0" fillId="9" borderId="0" xfId="0" applyFont="1" applyFill="1" applyBorder="1" applyAlignment="1"/>
    <xf numFmtId="166" fontId="0" fillId="9" borderId="0" xfId="0" applyNumberFormat="1" applyFont="1" applyFill="1" applyBorder="1" applyAlignment="1"/>
    <xf numFmtId="173" fontId="0" fillId="9" borderId="0" xfId="0" applyNumberFormat="1" applyFont="1" applyFill="1" applyBorder="1" applyAlignment="1"/>
    <xf numFmtId="173" fontId="0" fillId="9" borderId="0" xfId="0" applyNumberFormat="1" applyFont="1" applyFill="1" applyBorder="1" applyAlignment="1">
      <alignment horizontal="center"/>
    </xf>
    <xf numFmtId="0" fontId="0" fillId="9" borderId="60" xfId="0" applyFill="1" applyBorder="1"/>
    <xf numFmtId="0" fontId="0" fillId="9" borderId="61" xfId="0" applyFill="1" applyBorder="1" applyAlignment="1">
      <alignment horizontal="center"/>
    </xf>
    <xf numFmtId="173" fontId="0" fillId="9" borderId="61" xfId="0" applyNumberFormat="1" applyFont="1" applyFill="1" applyBorder="1" applyAlignment="1"/>
    <xf numFmtId="0" fontId="0" fillId="9" borderId="60" xfId="0" applyFont="1" applyFill="1" applyBorder="1"/>
    <xf numFmtId="173" fontId="0" fillId="9" borderId="61" xfId="0" applyNumberFormat="1" applyFont="1" applyFill="1" applyBorder="1" applyAlignment="1">
      <alignment horizontal="center"/>
    </xf>
    <xf numFmtId="0" fontId="0" fillId="9" borderId="60" xfId="0" applyFont="1" applyFill="1" applyBorder="1" applyAlignment="1"/>
    <xf numFmtId="0" fontId="0" fillId="9" borderId="60" xfId="0" applyFont="1" applyFill="1" applyBorder="1" applyAlignment="1">
      <alignment horizontal="left" indent="1"/>
    </xf>
    <xf numFmtId="0" fontId="0" fillId="9" borderId="3" xfId="0" applyFont="1" applyFill="1" applyBorder="1" applyAlignment="1">
      <alignment horizontal="left" indent="1"/>
    </xf>
    <xf numFmtId="166" fontId="0" fillId="9" borderId="60" xfId="0" applyNumberFormat="1" applyFont="1" applyFill="1" applyBorder="1" applyAlignment="1">
      <alignment horizontal="right" indent="9"/>
    </xf>
    <xf numFmtId="166" fontId="0" fillId="9" borderId="3" xfId="0" applyNumberFormat="1" applyFont="1" applyFill="1" applyBorder="1" applyAlignment="1">
      <alignment horizontal="right" indent="9"/>
    </xf>
    <xf numFmtId="0" fontId="0" fillId="9" borderId="63" xfId="0" applyFont="1" applyFill="1" applyBorder="1" applyAlignment="1">
      <alignment horizontal="left" indent="1"/>
    </xf>
    <xf numFmtId="0" fontId="0" fillId="9" borderId="11" xfId="0" applyFont="1" applyFill="1" applyBorder="1" applyAlignment="1">
      <alignment horizontal="left" indent="1"/>
    </xf>
    <xf numFmtId="0" fontId="0" fillId="5" borderId="61" xfId="0" applyFill="1" applyBorder="1"/>
    <xf numFmtId="0" fontId="0" fillId="5" borderId="60" xfId="0" applyFill="1" applyBorder="1"/>
    <xf numFmtId="0" fontId="0" fillId="5" borderId="61" xfId="0" applyFill="1" applyBorder="1" applyAlignment="1">
      <alignment horizontal="center"/>
    </xf>
    <xf numFmtId="0" fontId="0" fillId="5" borderId="61" xfId="0" applyFill="1" applyBorder="1" applyAlignment="1"/>
    <xf numFmtId="0" fontId="1" fillId="5" borderId="61" xfId="0" applyFont="1" applyFill="1" applyBorder="1" applyAlignment="1">
      <alignment horizontal="center"/>
    </xf>
    <xf numFmtId="0" fontId="0" fillId="5" borderId="61" xfId="0" applyFont="1" applyFill="1" applyBorder="1" applyAlignment="1">
      <alignment horizontal="center"/>
    </xf>
    <xf numFmtId="0" fontId="0" fillId="5" borderId="61" xfId="0" applyFont="1" applyFill="1" applyBorder="1" applyAlignment="1">
      <alignment horizontal="left"/>
    </xf>
    <xf numFmtId="0" fontId="8" fillId="5" borderId="61" xfId="0" applyFont="1" applyFill="1" applyBorder="1" applyAlignment="1">
      <alignment horizontal="center" vertical="center"/>
    </xf>
    <xf numFmtId="0" fontId="3" fillId="5" borderId="61" xfId="0" applyFont="1" applyFill="1" applyBorder="1" applyAlignment="1">
      <alignment horizontal="center"/>
    </xf>
    <xf numFmtId="0" fontId="12" fillId="3" borderId="58" xfId="0" applyFont="1" applyFill="1" applyBorder="1" applyAlignment="1">
      <alignment horizontal="center"/>
    </xf>
    <xf numFmtId="0" fontId="0" fillId="6" borderId="9" xfId="0" applyFill="1" applyBorder="1"/>
    <xf numFmtId="3" fontId="1" fillId="9" borderId="0" xfId="0" applyNumberFormat="1" applyFont="1" applyFill="1" applyBorder="1" applyAlignment="1">
      <alignment horizontal="center"/>
    </xf>
    <xf numFmtId="0" fontId="12" fillId="3" borderId="0" xfId="0" applyFont="1" applyFill="1" applyBorder="1" applyAlignment="1">
      <alignment horizontal="center"/>
    </xf>
    <xf numFmtId="0" fontId="0" fillId="5" borderId="5" xfId="0" applyFill="1" applyBorder="1"/>
    <xf numFmtId="0" fontId="13" fillId="3" borderId="6" xfId="0" applyFont="1" applyFill="1" applyBorder="1" applyAlignment="1">
      <alignment horizontal="center" wrapText="1"/>
    </xf>
    <xf numFmtId="0" fontId="0" fillId="0" borderId="5" xfId="0" applyFill="1" applyBorder="1"/>
    <xf numFmtId="0" fontId="22" fillId="5" borderId="6" xfId="0" applyFont="1" applyFill="1" applyBorder="1" applyAlignment="1">
      <alignment horizontal="center"/>
    </xf>
    <xf numFmtId="0" fontId="0" fillId="0" borderId="0" xfId="0" applyFill="1" applyAlignment="1">
      <alignment horizontal="center"/>
    </xf>
    <xf numFmtId="0" fontId="0" fillId="0" borderId="6" xfId="0" applyFill="1" applyBorder="1"/>
    <xf numFmtId="0" fontId="40" fillId="0" borderId="60" xfId="0" applyFont="1" applyBorder="1"/>
    <xf numFmtId="0" fontId="0" fillId="0" borderId="61" xfId="0" applyFill="1" applyBorder="1"/>
    <xf numFmtId="0" fontId="0" fillId="0" borderId="3" xfId="0" applyFill="1" applyBorder="1"/>
    <xf numFmtId="0" fontId="0" fillId="0" borderId="4" xfId="0" applyFill="1" applyBorder="1"/>
    <xf numFmtId="0" fontId="0" fillId="0" borderId="4" xfId="0" applyFill="1" applyBorder="1" applyAlignment="1">
      <alignment horizontal="center"/>
    </xf>
    <xf numFmtId="0" fontId="0" fillId="11" borderId="60" xfId="0" applyFont="1" applyFill="1" applyBorder="1" applyAlignment="1">
      <alignment horizontal="left" indent="1"/>
    </xf>
    <xf numFmtId="0" fontId="0" fillId="11" borderId="60" xfId="0" applyFont="1" applyFill="1" applyBorder="1"/>
    <xf numFmtId="0" fontId="0" fillId="11" borderId="3" xfId="0" applyFont="1" applyFill="1" applyBorder="1"/>
    <xf numFmtId="0" fontId="0" fillId="11" borderId="3" xfId="0" applyFill="1" applyBorder="1"/>
    <xf numFmtId="0" fontId="0" fillId="11" borderId="63" xfId="0" applyFill="1" applyBorder="1"/>
    <xf numFmtId="0" fontId="0" fillId="11" borderId="11" xfId="0" applyFill="1" applyBorder="1"/>
    <xf numFmtId="0" fontId="1" fillId="11" borderId="63" xfId="0" applyFont="1" applyFill="1" applyBorder="1" applyAlignment="1">
      <alignment vertical="center"/>
    </xf>
    <xf numFmtId="0" fontId="0" fillId="11" borderId="60" xfId="0" applyFont="1" applyFill="1" applyBorder="1" applyAlignment="1">
      <alignment horizontal="left"/>
    </xf>
    <xf numFmtId="0" fontId="0" fillId="11" borderId="3" xfId="0" applyFont="1" applyFill="1" applyBorder="1" applyAlignment="1">
      <alignment horizontal="left"/>
    </xf>
    <xf numFmtId="0" fontId="1" fillId="11" borderId="3" xfId="0" applyFont="1" applyFill="1" applyBorder="1"/>
    <xf numFmtId="0" fontId="1" fillId="11" borderId="32" xfId="0" applyFont="1" applyFill="1" applyBorder="1" applyAlignment="1">
      <alignment vertical="center"/>
    </xf>
    <xf numFmtId="0" fontId="1" fillId="11" borderId="10" xfId="0" applyFont="1" applyFill="1" applyBorder="1" applyAlignment="1"/>
    <xf numFmtId="0" fontId="0" fillId="11" borderId="11" xfId="0" applyFont="1" applyFill="1" applyBorder="1" applyAlignment="1">
      <alignment wrapText="1"/>
    </xf>
    <xf numFmtId="0" fontId="0" fillId="5" borderId="61" xfId="0" applyFill="1" applyBorder="1" applyAlignment="1">
      <alignment vertical="center"/>
    </xf>
    <xf numFmtId="0" fontId="41" fillId="5" borderId="61" xfId="0" applyFont="1" applyFill="1" applyBorder="1" applyAlignment="1">
      <alignment vertical="center"/>
    </xf>
    <xf numFmtId="0" fontId="1" fillId="5" borderId="60" xfId="0" applyFont="1" applyFill="1" applyBorder="1" applyAlignment="1">
      <alignment vertical="center"/>
    </xf>
    <xf numFmtId="0" fontId="0" fillId="0" borderId="0" xfId="0" applyBorder="1" applyAlignment="1">
      <alignment vertical="center"/>
    </xf>
    <xf numFmtId="164" fontId="9" fillId="0" borderId="61" xfId="0" applyNumberFormat="1" applyFont="1" applyFill="1" applyBorder="1" applyAlignment="1">
      <alignment vertical="center"/>
    </xf>
    <xf numFmtId="0" fontId="0" fillId="0" borderId="60" xfId="0" applyFill="1" applyBorder="1" applyAlignment="1">
      <alignment vertical="center"/>
    </xf>
    <xf numFmtId="0" fontId="12" fillId="7" borderId="61" xfId="0" applyFont="1" applyFill="1" applyBorder="1" applyAlignment="1">
      <alignment vertical="center"/>
    </xf>
    <xf numFmtId="0" fontId="12" fillId="3" borderId="60" xfId="0" applyFont="1" applyFill="1" applyBorder="1" applyAlignment="1">
      <alignment vertical="center"/>
    </xf>
    <xf numFmtId="0" fontId="12" fillId="3" borderId="61" xfId="0" applyFont="1" applyFill="1" applyBorder="1" applyAlignment="1">
      <alignment vertical="center"/>
    </xf>
    <xf numFmtId="0" fontId="0" fillId="5" borderId="60" xfId="0" applyFont="1" applyFill="1" applyBorder="1" applyAlignment="1">
      <alignment vertical="center"/>
    </xf>
    <xf numFmtId="0" fontId="0" fillId="5" borderId="61" xfId="0" applyFont="1" applyFill="1" applyBorder="1" applyAlignment="1">
      <alignment vertical="center"/>
    </xf>
    <xf numFmtId="0" fontId="0" fillId="7" borderId="61" xfId="0" applyFill="1" applyBorder="1" applyAlignment="1">
      <alignment vertical="center"/>
    </xf>
    <xf numFmtId="0" fontId="0" fillId="3" borderId="61" xfId="0" applyFill="1" applyBorder="1" applyAlignment="1">
      <alignment vertical="center"/>
    </xf>
    <xf numFmtId="0" fontId="1" fillId="5" borderId="64" xfId="0" applyFont="1" applyFill="1" applyBorder="1" applyAlignment="1">
      <alignment vertical="center"/>
    </xf>
    <xf numFmtId="0" fontId="19" fillId="5" borderId="60" xfId="0" applyFont="1" applyFill="1" applyBorder="1" applyAlignment="1">
      <alignment vertical="center"/>
    </xf>
    <xf numFmtId="0" fontId="1" fillId="5" borderId="3" xfId="0" applyFont="1" applyFill="1" applyBorder="1" applyAlignment="1">
      <alignment vertical="center"/>
    </xf>
    <xf numFmtId="0" fontId="0" fillId="5" borderId="4" xfId="0" applyFont="1" applyFill="1" applyBorder="1" applyAlignment="1">
      <alignment vertical="center"/>
    </xf>
    <xf numFmtId="0" fontId="1" fillId="5" borderId="4" xfId="0" applyFont="1" applyFill="1" applyBorder="1" applyAlignment="1">
      <alignment vertical="center"/>
    </xf>
    <xf numFmtId="0" fontId="0" fillId="5" borderId="5" xfId="0" applyFill="1" applyBorder="1" applyAlignment="1">
      <alignment vertical="center"/>
    </xf>
    <xf numFmtId="0" fontId="0" fillId="0" borderId="1" xfId="0" applyBorder="1" applyAlignment="1">
      <alignment vertical="center"/>
    </xf>
    <xf numFmtId="0" fontId="0" fillId="0" borderId="2" xfId="0" applyFill="1" applyBorder="1" applyAlignment="1">
      <alignment vertical="center"/>
    </xf>
    <xf numFmtId="0" fontId="10" fillId="0" borderId="8" xfId="0" applyFont="1" applyBorder="1" applyAlignment="1">
      <alignment vertical="center"/>
    </xf>
    <xf numFmtId="0" fontId="35" fillId="4" borderId="32" xfId="0" applyFont="1" applyFill="1" applyBorder="1" applyAlignment="1">
      <alignment vertical="center"/>
    </xf>
    <xf numFmtId="0" fontId="35" fillId="4" borderId="6" xfId="0" applyFont="1" applyFill="1" applyBorder="1" applyAlignment="1">
      <alignment vertical="center"/>
    </xf>
    <xf numFmtId="173" fontId="15" fillId="5" borderId="60" xfId="0" applyNumberFormat="1" applyFont="1" applyFill="1" applyBorder="1" applyAlignment="1">
      <alignment vertical="center"/>
    </xf>
    <xf numFmtId="166" fontId="0" fillId="5" borderId="3" xfId="0" applyNumberFormat="1" applyFont="1" applyFill="1" applyBorder="1" applyAlignment="1">
      <alignment vertical="center"/>
    </xf>
    <xf numFmtId="0" fontId="41" fillId="5" borderId="5" xfId="0" applyFont="1" applyFill="1" applyBorder="1" applyAlignment="1">
      <alignment vertical="center"/>
    </xf>
    <xf numFmtId="0" fontId="13" fillId="4" borderId="6" xfId="0" applyFont="1" applyFill="1" applyBorder="1" applyAlignment="1">
      <alignment vertical="center"/>
    </xf>
    <xf numFmtId="0" fontId="0" fillId="10" borderId="8" xfId="0" applyFill="1" applyBorder="1" applyAlignment="1">
      <alignment wrapText="1"/>
    </xf>
    <xf numFmtId="0" fontId="12" fillId="10" borderId="2" xfId="0" applyFont="1" applyFill="1" applyBorder="1" applyAlignment="1">
      <alignment horizontal="center" wrapText="1"/>
    </xf>
    <xf numFmtId="0" fontId="12" fillId="9" borderId="32" xfId="0" applyFont="1" applyFill="1" applyBorder="1" applyAlignment="1">
      <alignment horizontal="center" vertical="center"/>
    </xf>
    <xf numFmtId="0" fontId="0" fillId="9" borderId="6" xfId="0" applyFill="1" applyBorder="1" applyAlignment="1">
      <alignment horizontal="center"/>
    </xf>
    <xf numFmtId="172" fontId="0" fillId="9" borderId="60" xfId="1" applyNumberFormat="1" applyFont="1" applyFill="1" applyBorder="1" applyAlignment="1">
      <alignment horizontal="right"/>
    </xf>
    <xf numFmtId="172" fontId="0" fillId="9" borderId="3" xfId="1" applyNumberFormat="1" applyFont="1" applyFill="1" applyBorder="1" applyAlignment="1">
      <alignment horizontal="right"/>
    </xf>
    <xf numFmtId="0" fontId="0" fillId="9" borderId="5" xfId="0" applyFill="1" applyBorder="1" applyAlignment="1">
      <alignment horizontal="center"/>
    </xf>
    <xf numFmtId="3" fontId="12" fillId="9" borderId="0" xfId="0" applyNumberFormat="1" applyFont="1" applyFill="1" applyBorder="1" applyAlignment="1">
      <alignment horizontal="center"/>
    </xf>
    <xf numFmtId="3" fontId="12" fillId="9" borderId="0" xfId="0" applyNumberFormat="1" applyFont="1" applyFill="1" applyBorder="1" applyAlignment="1">
      <alignment horizontal="center" vertical="center"/>
    </xf>
    <xf numFmtId="168" fontId="0" fillId="9" borderId="0" xfId="0" applyNumberFormat="1" applyFont="1" applyFill="1" applyBorder="1" applyAlignment="1">
      <alignment horizontal="center"/>
    </xf>
    <xf numFmtId="0" fontId="0" fillId="0" borderId="0" xfId="0" applyAlignment="1">
      <alignment horizontal="center" wrapText="1"/>
    </xf>
    <xf numFmtId="0" fontId="15" fillId="2" borderId="20" xfId="0" applyFont="1" applyFill="1" applyBorder="1" applyAlignment="1" applyProtection="1">
      <alignment vertical="center"/>
      <protection locked="0"/>
    </xf>
    <xf numFmtId="0" fontId="15" fillId="2" borderId="12" xfId="0" applyFont="1" applyFill="1" applyBorder="1" applyAlignment="1" applyProtection="1">
      <alignment vertical="center"/>
      <protection locked="0"/>
    </xf>
    <xf numFmtId="0" fontId="15" fillId="2" borderId="15" xfId="0" applyFont="1" applyFill="1" applyBorder="1" applyAlignment="1" applyProtection="1">
      <alignment vertical="center"/>
      <protection locked="0"/>
    </xf>
    <xf numFmtId="174" fontId="15" fillId="2" borderId="23" xfId="2" applyNumberFormat="1" applyFont="1" applyFill="1" applyBorder="1" applyAlignment="1" applyProtection="1">
      <alignment vertical="center"/>
      <protection locked="0"/>
    </xf>
    <xf numFmtId="174" fontId="15" fillId="2" borderId="22" xfId="2" applyNumberFormat="1" applyFont="1" applyFill="1" applyBorder="1" applyAlignment="1" applyProtection="1">
      <alignment vertical="center"/>
      <protection locked="0"/>
    </xf>
    <xf numFmtId="174" fontId="15" fillId="2" borderId="24" xfId="2" applyNumberFormat="1" applyFont="1" applyFill="1" applyBorder="1" applyAlignment="1" applyProtection="1">
      <alignment vertical="center"/>
      <protection locked="0"/>
    </xf>
    <xf numFmtId="174" fontId="15" fillId="2" borderId="13" xfId="2" applyNumberFormat="1" applyFont="1" applyFill="1" applyBorder="1" applyAlignment="1" applyProtection="1">
      <alignment vertical="center"/>
      <protection locked="0"/>
    </xf>
    <xf numFmtId="174" fontId="15" fillId="2" borderId="25" xfId="2" applyNumberFormat="1" applyFont="1" applyFill="1" applyBorder="1" applyAlignment="1" applyProtection="1">
      <alignment vertical="center"/>
      <protection locked="0"/>
    </xf>
    <xf numFmtId="174" fontId="15" fillId="2" borderId="16" xfId="2" applyNumberFormat="1" applyFont="1" applyFill="1" applyBorder="1" applyAlignment="1" applyProtection="1">
      <alignment vertical="center"/>
      <protection locked="0"/>
    </xf>
    <xf numFmtId="3" fontId="15" fillId="2" borderId="15" xfId="0" applyNumberFormat="1" applyFont="1" applyFill="1" applyBorder="1" applyAlignment="1" applyProtection="1">
      <alignment vertical="center"/>
      <protection locked="0"/>
    </xf>
    <xf numFmtId="172" fontId="15" fillId="2" borderId="20" xfId="1" applyNumberFormat="1" applyFont="1" applyFill="1" applyBorder="1" applyAlignment="1" applyProtection="1">
      <alignment vertical="center"/>
      <protection locked="0"/>
    </xf>
    <xf numFmtId="0" fontId="15" fillId="0" borderId="0" xfId="0" applyFont="1" applyFill="1" applyBorder="1" applyAlignment="1" applyProtection="1">
      <alignment horizontal="right" vertical="center"/>
      <protection locked="0"/>
    </xf>
    <xf numFmtId="174" fontId="15" fillId="2" borderId="23" xfId="0" applyNumberFormat="1" applyFont="1" applyFill="1" applyBorder="1" applyAlignment="1" applyProtection="1">
      <alignment vertical="center"/>
      <protection locked="0"/>
    </xf>
    <xf numFmtId="174" fontId="15" fillId="2" borderId="22" xfId="0" applyNumberFormat="1" applyFont="1" applyFill="1" applyBorder="1" applyAlignment="1" applyProtection="1">
      <alignment vertical="center"/>
      <protection locked="0"/>
    </xf>
    <xf numFmtId="174" fontId="15" fillId="2" borderId="24" xfId="0" applyNumberFormat="1" applyFont="1" applyFill="1" applyBorder="1" applyAlignment="1" applyProtection="1">
      <alignment vertical="center"/>
      <protection locked="0"/>
    </xf>
    <xf numFmtId="174" fontId="15" fillId="2" borderId="13" xfId="0" applyNumberFormat="1" applyFont="1" applyFill="1" applyBorder="1" applyAlignment="1" applyProtection="1">
      <alignment vertical="center"/>
      <protection locked="0"/>
    </xf>
    <xf numFmtId="174" fontId="15" fillId="2" borderId="25" xfId="0" applyNumberFormat="1" applyFont="1" applyFill="1" applyBorder="1" applyAlignment="1" applyProtection="1">
      <alignment vertical="center"/>
      <protection locked="0"/>
    </xf>
    <xf numFmtId="174" fontId="15" fillId="2" borderId="16" xfId="0" applyNumberFormat="1" applyFont="1" applyFill="1" applyBorder="1" applyAlignment="1" applyProtection="1">
      <alignment vertical="center"/>
      <protection locked="0"/>
    </xf>
    <xf numFmtId="1" fontId="15" fillId="2" borderId="12" xfId="0" applyNumberFormat="1" applyFont="1" applyFill="1" applyBorder="1" applyAlignment="1" applyProtection="1">
      <alignment vertical="center"/>
      <protection locked="0"/>
    </xf>
    <xf numFmtId="0" fontId="15" fillId="2" borderId="0" xfId="0" applyFont="1" applyFill="1" applyBorder="1" applyAlignment="1" applyProtection="1">
      <alignment horizontal="right" vertical="center"/>
      <protection locked="0"/>
    </xf>
    <xf numFmtId="1" fontId="15" fillId="2" borderId="15" xfId="0" applyNumberFormat="1" applyFont="1" applyFill="1" applyBorder="1" applyAlignment="1" applyProtection="1">
      <alignment vertical="center"/>
      <protection locked="0"/>
    </xf>
    <xf numFmtId="174" fontId="15" fillId="2" borderId="30" xfId="0" applyNumberFormat="1" applyFont="1" applyFill="1" applyBorder="1" applyAlignment="1" applyProtection="1">
      <alignment vertical="center"/>
      <protection locked="0"/>
    </xf>
    <xf numFmtId="0" fontId="0" fillId="0" borderId="0" xfId="0" applyFill="1" applyAlignment="1">
      <alignment horizontal="center" wrapText="1"/>
    </xf>
    <xf numFmtId="0" fontId="35" fillId="4" borderId="61" xfId="0" applyFont="1" applyFill="1" applyBorder="1" applyAlignment="1">
      <alignment vertical="center"/>
    </xf>
    <xf numFmtId="0" fontId="23" fillId="4" borderId="61" xfId="0" applyFont="1" applyFill="1" applyBorder="1" applyAlignment="1">
      <alignment vertical="center"/>
    </xf>
    <xf numFmtId="0" fontId="23" fillId="5" borderId="61" xfId="0" applyFont="1" applyFill="1" applyBorder="1" applyAlignment="1">
      <alignment vertical="center"/>
    </xf>
    <xf numFmtId="0" fontId="0" fillId="5" borderId="9" xfId="0" applyFill="1" applyBorder="1" applyAlignment="1">
      <alignment vertical="center" wrapText="1"/>
    </xf>
    <xf numFmtId="0" fontId="23" fillId="2" borderId="9" xfId="0" applyFont="1" applyFill="1" applyBorder="1" applyAlignment="1" applyProtection="1">
      <alignment vertical="center"/>
      <protection locked="0"/>
    </xf>
    <xf numFmtId="0" fontId="0" fillId="5" borderId="9" xfId="0" applyFill="1" applyBorder="1" applyAlignment="1">
      <alignment vertical="center"/>
    </xf>
    <xf numFmtId="3" fontId="41" fillId="6" borderId="9" xfId="0" applyNumberFormat="1" applyFont="1" applyFill="1" applyBorder="1" applyAlignment="1">
      <alignment vertical="center"/>
    </xf>
    <xf numFmtId="0" fontId="0" fillId="5" borderId="32" xfId="0" applyFill="1" applyBorder="1" applyAlignment="1">
      <alignment vertical="center"/>
    </xf>
    <xf numFmtId="0" fontId="0" fillId="5" borderId="6" xfId="0" applyFill="1" applyBorder="1" applyAlignment="1">
      <alignment vertical="center"/>
    </xf>
    <xf numFmtId="173" fontId="0" fillId="5" borderId="38" xfId="0" applyNumberFormat="1" applyFont="1" applyFill="1" applyBorder="1" applyAlignment="1">
      <alignment vertical="center"/>
    </xf>
    <xf numFmtId="166" fontId="45" fillId="6" borderId="39" xfId="0" applyNumberFormat="1" applyFont="1" applyFill="1" applyBorder="1" applyAlignment="1">
      <alignment vertical="center"/>
    </xf>
    <xf numFmtId="173" fontId="0" fillId="5" borderId="38" xfId="0" applyNumberFormat="1" applyFont="1" applyFill="1" applyBorder="1" applyAlignment="1">
      <alignment horizontal="right" vertical="center"/>
    </xf>
    <xf numFmtId="173" fontId="15" fillId="5" borderId="61" xfId="0" applyNumberFormat="1" applyFont="1" applyFill="1" applyBorder="1" applyAlignment="1">
      <alignment vertical="center"/>
    </xf>
    <xf numFmtId="173" fontId="0" fillId="6" borderId="39" xfId="0" applyNumberFormat="1" applyFont="1" applyFill="1" applyBorder="1" applyAlignment="1">
      <alignment vertical="center"/>
    </xf>
    <xf numFmtId="166" fontId="0" fillId="5" borderId="5" xfId="0" applyNumberFormat="1" applyFont="1" applyFill="1" applyBorder="1" applyAlignment="1">
      <alignment vertical="center"/>
    </xf>
    <xf numFmtId="0" fontId="35" fillId="4" borderId="60" xfId="0" applyFont="1" applyFill="1" applyBorder="1" applyAlignment="1">
      <alignment vertical="center"/>
    </xf>
    <xf numFmtId="166" fontId="46" fillId="6" borderId="39" xfId="0" applyNumberFormat="1" applyFont="1" applyFill="1" applyBorder="1" applyAlignment="1">
      <alignment vertical="center"/>
    </xf>
    <xf numFmtId="0" fontId="35" fillId="7" borderId="60" xfId="0" applyFont="1" applyFill="1" applyBorder="1" applyAlignment="1">
      <alignment vertical="center"/>
    </xf>
    <xf numFmtId="0" fontId="35" fillId="7" borderId="0" xfId="0" applyFont="1" applyFill="1" applyBorder="1" applyAlignment="1">
      <alignment vertical="center"/>
    </xf>
    <xf numFmtId="9" fontId="1" fillId="2" borderId="25" xfId="3" applyFont="1" applyFill="1" applyBorder="1" applyAlignment="1" applyProtection="1">
      <alignment horizontal="center"/>
      <protection locked="0"/>
    </xf>
    <xf numFmtId="9" fontId="1" fillId="2" borderId="37" xfId="3" applyFont="1" applyFill="1" applyBorder="1" applyAlignment="1" applyProtection="1">
      <alignment horizontal="center"/>
      <protection locked="0"/>
    </xf>
    <xf numFmtId="9" fontId="1" fillId="2" borderId="9" xfId="3" applyFont="1" applyFill="1" applyBorder="1" applyAlignment="1" applyProtection="1">
      <alignment horizontal="center"/>
      <protection locked="0"/>
    </xf>
    <xf numFmtId="9" fontId="1" fillId="2" borderId="39" xfId="3" applyFont="1" applyFill="1" applyBorder="1" applyAlignment="1" applyProtection="1">
      <alignment horizontal="center"/>
      <protection locked="0"/>
    </xf>
    <xf numFmtId="9" fontId="1" fillId="2" borderId="41" xfId="3" applyFont="1" applyFill="1" applyBorder="1" applyAlignment="1" applyProtection="1">
      <alignment horizontal="center"/>
      <protection locked="0"/>
    </xf>
    <xf numFmtId="9" fontId="1" fillId="2" borderId="42" xfId="3" applyFont="1" applyFill="1" applyBorder="1" applyAlignment="1" applyProtection="1">
      <alignment horizontal="center"/>
      <protection locked="0"/>
    </xf>
    <xf numFmtId="9" fontId="23" fillId="6" borderId="66" xfId="0" applyNumberFormat="1" applyFont="1" applyFill="1" applyBorder="1" applyAlignment="1">
      <alignment horizontal="center"/>
    </xf>
    <xf numFmtId="9" fontId="23" fillId="6" borderId="19" xfId="0" applyNumberFormat="1" applyFont="1" applyFill="1" applyBorder="1" applyAlignment="1">
      <alignment horizontal="center"/>
    </xf>
    <xf numFmtId="9" fontId="23" fillId="6" borderId="67" xfId="0" applyNumberFormat="1" applyFont="1" applyFill="1" applyBorder="1" applyAlignment="1">
      <alignment horizontal="center"/>
    </xf>
    <xf numFmtId="9" fontId="23" fillId="6" borderId="45" xfId="0" applyNumberFormat="1" applyFont="1" applyFill="1" applyBorder="1" applyAlignment="1">
      <alignment horizontal="center"/>
    </xf>
    <xf numFmtId="9" fontId="23" fillId="6" borderId="46" xfId="0" applyNumberFormat="1" applyFont="1" applyFill="1" applyBorder="1" applyAlignment="1">
      <alignment horizontal="center"/>
    </xf>
    <xf numFmtId="9" fontId="23" fillId="6" borderId="47" xfId="0" applyNumberFormat="1" applyFont="1" applyFill="1" applyBorder="1" applyAlignment="1">
      <alignment horizontal="center"/>
    </xf>
    <xf numFmtId="9" fontId="23" fillId="6" borderId="34" xfId="0" applyNumberFormat="1" applyFont="1" applyFill="1" applyBorder="1" applyAlignment="1">
      <alignment horizontal="center"/>
    </xf>
    <xf numFmtId="0" fontId="5" fillId="0" borderId="0" xfId="0" applyFont="1" applyAlignment="1">
      <alignment horizontal="center"/>
    </xf>
    <xf numFmtId="0" fontId="0" fillId="0" borderId="0" xfId="0" applyFont="1" applyAlignment="1">
      <alignment horizontal="center"/>
    </xf>
    <xf numFmtId="0" fontId="0" fillId="0" borderId="0" xfId="0" applyFont="1" applyFill="1" applyAlignment="1">
      <alignment horizontal="center"/>
    </xf>
    <xf numFmtId="0" fontId="5" fillId="0" borderId="0" xfId="0" applyFont="1" applyFill="1" applyAlignment="1">
      <alignment horizontal="center"/>
    </xf>
    <xf numFmtId="0" fontId="12" fillId="3" borderId="68" xfId="0" applyFont="1" applyFill="1" applyBorder="1" applyAlignment="1">
      <alignment horizontal="center"/>
    </xf>
    <xf numFmtId="9" fontId="1" fillId="2" borderId="16" xfId="3" applyFont="1" applyFill="1" applyBorder="1" applyAlignment="1" applyProtection="1">
      <alignment horizontal="center"/>
      <protection locked="0"/>
    </xf>
    <xf numFmtId="9" fontId="1" fillId="2" borderId="19" xfId="3" applyFont="1" applyFill="1" applyBorder="1" applyAlignment="1" applyProtection="1">
      <alignment horizontal="center"/>
      <protection locked="0"/>
    </xf>
    <xf numFmtId="9" fontId="1" fillId="2" borderId="67" xfId="3" applyFont="1" applyFill="1" applyBorder="1" applyAlignment="1" applyProtection="1">
      <alignment horizontal="center"/>
      <protection locked="0"/>
    </xf>
    <xf numFmtId="0" fontId="0" fillId="0" borderId="38" xfId="0" applyBorder="1"/>
    <xf numFmtId="0" fontId="19" fillId="0" borderId="38" xfId="0" applyFont="1" applyFill="1" applyBorder="1"/>
    <xf numFmtId="0" fontId="0" fillId="0" borderId="38" xfId="0" applyFont="1" applyFill="1" applyBorder="1"/>
    <xf numFmtId="0" fontId="0" fillId="0" borderId="38" xfId="0" applyFill="1" applyBorder="1"/>
    <xf numFmtId="0" fontId="1" fillId="0" borderId="38" xfId="0" applyFont="1" applyFill="1" applyBorder="1" applyAlignment="1">
      <alignment vertical="center"/>
    </xf>
    <xf numFmtId="0" fontId="0" fillId="0" borderId="38" xfId="0" applyFont="1" applyFill="1" applyBorder="1" applyAlignment="1">
      <alignment horizontal="left"/>
    </xf>
    <xf numFmtId="0" fontId="0" fillId="0" borderId="38" xfId="0" applyFill="1" applyBorder="1" applyAlignment="1">
      <alignment vertical="center"/>
    </xf>
    <xf numFmtId="0" fontId="0" fillId="0" borderId="38" xfId="0" applyFill="1" applyBorder="1" applyAlignment="1">
      <alignment vertical="center" wrapText="1"/>
    </xf>
    <xf numFmtId="0" fontId="0" fillId="0" borderId="40" xfId="0" applyFill="1" applyBorder="1" applyAlignment="1">
      <alignment vertical="center" wrapText="1"/>
    </xf>
    <xf numFmtId="0" fontId="23" fillId="2" borderId="41" xfId="0" applyFont="1" applyFill="1" applyBorder="1" applyAlignment="1" applyProtection="1">
      <alignment vertical="center"/>
      <protection locked="0"/>
    </xf>
    <xf numFmtId="165" fontId="0" fillId="0" borderId="0" xfId="0" applyNumberFormat="1"/>
    <xf numFmtId="168" fontId="1" fillId="0" borderId="39" xfId="0" applyNumberFormat="1" applyFont="1" applyFill="1" applyBorder="1" applyAlignment="1" applyProtection="1">
      <alignment horizontal="center"/>
      <protection locked="0"/>
    </xf>
    <xf numFmtId="168" fontId="0" fillId="0" borderId="39" xfId="0" applyNumberFormat="1" applyFont="1" applyFill="1" applyBorder="1" applyAlignment="1">
      <alignment horizontal="center"/>
    </xf>
    <xf numFmtId="0" fontId="0" fillId="6" borderId="60" xfId="0" applyFill="1" applyBorder="1" applyAlignment="1"/>
    <xf numFmtId="0" fontId="0" fillId="6" borderId="0" xfId="0" applyFill="1" applyAlignment="1"/>
    <xf numFmtId="0" fontId="0" fillId="6" borderId="61" xfId="0" applyFill="1" applyBorder="1" applyAlignment="1"/>
    <xf numFmtId="9" fontId="16" fillId="2" borderId="16" xfId="3" applyFont="1" applyFill="1" applyBorder="1" applyAlignment="1" applyProtection="1">
      <alignment horizontal="center"/>
      <protection locked="0"/>
    </xf>
    <xf numFmtId="9" fontId="16" fillId="2" borderId="25" xfId="3" applyFont="1" applyFill="1" applyBorder="1" applyAlignment="1" applyProtection="1">
      <alignment horizontal="center"/>
      <protection locked="0"/>
    </xf>
    <xf numFmtId="9" fontId="16" fillId="2" borderId="19" xfId="3" applyFont="1" applyFill="1" applyBorder="1" applyAlignment="1" applyProtection="1">
      <alignment horizontal="center"/>
      <protection locked="0"/>
    </xf>
    <xf numFmtId="9" fontId="16" fillId="2" borderId="9" xfId="3" applyFont="1" applyFill="1" applyBorder="1" applyAlignment="1" applyProtection="1">
      <alignment horizontal="center"/>
      <protection locked="0"/>
    </xf>
    <xf numFmtId="9" fontId="16" fillId="2" borderId="67" xfId="3" applyFont="1" applyFill="1" applyBorder="1" applyAlignment="1" applyProtection="1">
      <alignment horizontal="center"/>
      <protection locked="0"/>
    </xf>
    <xf numFmtId="9" fontId="16" fillId="2" borderId="41" xfId="3" applyFont="1" applyFill="1" applyBorder="1" applyAlignment="1" applyProtection="1">
      <alignment horizontal="center"/>
      <protection locked="0"/>
    </xf>
    <xf numFmtId="168" fontId="16" fillId="2" borderId="45" xfId="0" applyNumberFormat="1" applyFont="1" applyFill="1" applyBorder="1" applyAlignment="1" applyProtection="1">
      <alignment horizontal="center"/>
      <protection locked="0"/>
    </xf>
    <xf numFmtId="168" fontId="16" fillId="2" borderId="46" xfId="0" applyNumberFormat="1" applyFont="1" applyFill="1" applyBorder="1" applyAlignment="1" applyProtection="1">
      <alignment horizontal="center"/>
      <protection locked="0"/>
    </xf>
    <xf numFmtId="168" fontId="16" fillId="6" borderId="47" xfId="0" applyNumberFormat="1" applyFont="1" applyFill="1" applyBorder="1" applyAlignment="1">
      <alignment horizontal="center"/>
    </xf>
    <xf numFmtId="173" fontId="0" fillId="0" borderId="0" xfId="0" applyNumberFormat="1"/>
    <xf numFmtId="9" fontId="2" fillId="8" borderId="46" xfId="0" applyNumberFormat="1" applyFont="1" applyFill="1" applyBorder="1" applyAlignment="1">
      <alignment horizontal="center" vertical="center"/>
    </xf>
    <xf numFmtId="0" fontId="43" fillId="15" borderId="45" xfId="0" applyFont="1" applyFill="1" applyBorder="1" applyAlignment="1">
      <alignment horizontal="center"/>
    </xf>
    <xf numFmtId="9" fontId="2" fillId="8" borderId="46" xfId="3" applyFont="1" applyFill="1" applyBorder="1" applyAlignment="1">
      <alignment horizontal="center" vertical="center"/>
    </xf>
    <xf numFmtId="9" fontId="2" fillId="8" borderId="47" xfId="3" applyFont="1" applyFill="1" applyBorder="1" applyAlignment="1">
      <alignment horizontal="center" vertical="center"/>
    </xf>
    <xf numFmtId="168" fontId="49" fillId="14" borderId="39" xfId="0" applyNumberFormat="1" applyFont="1" applyFill="1" applyBorder="1" applyAlignment="1" applyProtection="1">
      <alignment horizontal="center"/>
      <protection locked="0"/>
    </xf>
    <xf numFmtId="168" fontId="49" fillId="14" borderId="45" xfId="0" applyNumberFormat="1" applyFont="1" applyFill="1" applyBorder="1" applyAlignment="1" applyProtection="1">
      <alignment horizontal="center"/>
      <protection locked="0"/>
    </xf>
    <xf numFmtId="168" fontId="49" fillId="14" borderId="46" xfId="0" applyNumberFormat="1" applyFont="1" applyFill="1" applyBorder="1" applyAlignment="1" applyProtection="1">
      <alignment horizontal="center"/>
      <protection locked="0"/>
    </xf>
    <xf numFmtId="168" fontId="49" fillId="14" borderId="47" xfId="0" applyNumberFormat="1" applyFont="1" applyFill="1" applyBorder="1" applyAlignment="1">
      <alignment horizontal="center"/>
    </xf>
    <xf numFmtId="9" fontId="49" fillId="14" borderId="16" xfId="3" applyFont="1" applyFill="1" applyBorder="1" applyAlignment="1" applyProtection="1">
      <alignment horizontal="center"/>
      <protection locked="0"/>
    </xf>
    <xf numFmtId="9" fontId="49" fillId="14" borderId="25" xfId="3" applyFont="1" applyFill="1" applyBorder="1" applyAlignment="1" applyProtection="1">
      <alignment horizontal="center"/>
      <protection locked="0"/>
    </xf>
    <xf numFmtId="9" fontId="49" fillId="14" borderId="19" xfId="3" applyFont="1" applyFill="1" applyBorder="1" applyAlignment="1" applyProtection="1">
      <alignment horizontal="center"/>
      <protection locked="0"/>
    </xf>
    <xf numFmtId="9" fontId="49" fillId="14" borderId="9" xfId="3" applyFont="1" applyFill="1" applyBorder="1" applyAlignment="1" applyProtection="1">
      <alignment horizontal="center"/>
      <protection locked="0"/>
    </xf>
    <xf numFmtId="0" fontId="50" fillId="14" borderId="9" xfId="0" applyFont="1" applyFill="1" applyBorder="1" applyAlignment="1" applyProtection="1">
      <alignment vertical="center"/>
      <protection locked="0"/>
    </xf>
    <xf numFmtId="0" fontId="2" fillId="11" borderId="32" xfId="0" applyFont="1" applyFill="1" applyBorder="1"/>
    <xf numFmtId="0" fontId="2" fillId="11" borderId="32" xfId="0" applyFont="1" applyFill="1" applyBorder="1" applyAlignment="1">
      <alignment wrapText="1"/>
    </xf>
    <xf numFmtId="0" fontId="2" fillId="11" borderId="32" xfId="0" applyFont="1" applyFill="1" applyBorder="1" applyAlignment="1"/>
    <xf numFmtId="0" fontId="2" fillId="11" borderId="10" xfId="0" applyFont="1" applyFill="1" applyBorder="1"/>
    <xf numFmtId="0" fontId="2" fillId="11" borderId="10" xfId="0" applyFont="1" applyFill="1" applyBorder="1" applyAlignment="1">
      <alignment vertical="center"/>
    </xf>
    <xf numFmtId="0" fontId="2" fillId="9" borderId="60" xfId="0" applyFont="1" applyFill="1" applyBorder="1" applyAlignment="1">
      <alignment wrapText="1"/>
    </xf>
    <xf numFmtId="0" fontId="2" fillId="9" borderId="10" xfId="0" applyFont="1" applyFill="1" applyBorder="1"/>
    <xf numFmtId="0" fontId="2" fillId="9" borderId="10" xfId="0" applyFont="1" applyFill="1" applyBorder="1" applyAlignment="1">
      <alignment wrapText="1"/>
    </xf>
    <xf numFmtId="0" fontId="35" fillId="3" borderId="33" xfId="0" applyFont="1" applyFill="1" applyBorder="1" applyAlignment="1">
      <alignment horizontal="center"/>
    </xf>
    <xf numFmtId="0" fontId="35" fillId="3" borderId="34" xfId="0" applyFont="1" applyFill="1" applyBorder="1" applyAlignment="1">
      <alignment horizontal="center"/>
    </xf>
    <xf numFmtId="0" fontId="35" fillId="3" borderId="35" xfId="0" applyFont="1" applyFill="1" applyBorder="1" applyAlignment="1">
      <alignment horizontal="center"/>
    </xf>
    <xf numFmtId="9" fontId="7" fillId="6" borderId="36" xfId="3" applyFont="1" applyFill="1" applyBorder="1" applyAlignment="1">
      <alignment horizontal="center"/>
    </xf>
    <xf numFmtId="9" fontId="7" fillId="6" borderId="25" xfId="3" applyFont="1" applyFill="1" applyBorder="1" applyAlignment="1">
      <alignment horizontal="center"/>
    </xf>
    <xf numFmtId="9" fontId="7" fillId="6" borderId="37" xfId="3" applyFont="1" applyFill="1" applyBorder="1" applyAlignment="1">
      <alignment horizontal="center"/>
    </xf>
    <xf numFmtId="9" fontId="7" fillId="6" borderId="38" xfId="3" applyFont="1" applyFill="1" applyBorder="1" applyAlignment="1">
      <alignment horizontal="center"/>
    </xf>
    <xf numFmtId="9" fontId="7" fillId="6" borderId="9" xfId="3" applyFont="1" applyFill="1" applyBorder="1" applyAlignment="1">
      <alignment horizontal="center"/>
    </xf>
    <xf numFmtId="9" fontId="7" fillId="6" borderId="39" xfId="3" applyFont="1" applyFill="1" applyBorder="1" applyAlignment="1">
      <alignment horizontal="center"/>
    </xf>
    <xf numFmtId="9" fontId="7" fillId="6" borderId="40" xfId="3" applyFont="1" applyFill="1" applyBorder="1" applyAlignment="1">
      <alignment horizontal="center"/>
    </xf>
    <xf numFmtId="9" fontId="7" fillId="6" borderId="41" xfId="3" applyFont="1" applyFill="1" applyBorder="1" applyAlignment="1">
      <alignment horizontal="center"/>
    </xf>
    <xf numFmtId="9" fontId="7" fillId="6" borderId="42" xfId="3" applyFont="1" applyFill="1" applyBorder="1" applyAlignment="1">
      <alignment horizontal="center"/>
    </xf>
    <xf numFmtId="9" fontId="23" fillId="2" borderId="36" xfId="3" applyFont="1" applyFill="1" applyBorder="1" applyAlignment="1" applyProtection="1">
      <alignment horizontal="center"/>
      <protection locked="0"/>
    </xf>
    <xf numFmtId="9" fontId="23" fillId="2" borderId="25" xfId="3" applyFont="1" applyFill="1" applyBorder="1" applyAlignment="1" applyProtection="1">
      <alignment horizontal="center"/>
      <protection locked="0"/>
    </xf>
    <xf numFmtId="9" fontId="23" fillId="2" borderId="37" xfId="3" applyFont="1" applyFill="1" applyBorder="1" applyAlignment="1" applyProtection="1">
      <alignment horizontal="center"/>
      <protection locked="0"/>
    </xf>
    <xf numFmtId="9" fontId="23" fillId="2" borderId="38" xfId="3" applyFont="1" applyFill="1" applyBorder="1" applyAlignment="1" applyProtection="1">
      <alignment horizontal="center"/>
      <protection locked="0"/>
    </xf>
    <xf numFmtId="9" fontId="23" fillId="2" borderId="9" xfId="3" applyFont="1" applyFill="1" applyBorder="1" applyAlignment="1" applyProtection="1">
      <alignment horizontal="center"/>
      <protection locked="0"/>
    </xf>
    <xf numFmtId="9" fontId="23" fillId="2" borderId="39" xfId="3" applyFont="1" applyFill="1" applyBorder="1" applyAlignment="1" applyProtection="1">
      <alignment horizontal="center"/>
      <protection locked="0"/>
    </xf>
    <xf numFmtId="9" fontId="23" fillId="2" borderId="40" xfId="3" applyFont="1" applyFill="1" applyBorder="1" applyAlignment="1" applyProtection="1">
      <alignment horizontal="center"/>
      <protection locked="0"/>
    </xf>
    <xf numFmtId="9" fontId="23" fillId="2" borderId="41" xfId="3" applyFont="1" applyFill="1" applyBorder="1" applyAlignment="1" applyProtection="1">
      <alignment horizontal="center"/>
      <protection locked="0"/>
    </xf>
    <xf numFmtId="9" fontId="23" fillId="2" borderId="42" xfId="3" applyFont="1" applyFill="1" applyBorder="1" applyAlignment="1" applyProtection="1">
      <alignment horizontal="center"/>
      <protection locked="0"/>
    </xf>
    <xf numFmtId="168" fontId="23" fillId="2" borderId="45" xfId="0" applyNumberFormat="1" applyFont="1" applyFill="1" applyBorder="1" applyAlignment="1" applyProtection="1">
      <alignment horizontal="center"/>
      <protection locked="0"/>
    </xf>
    <xf numFmtId="168" fontId="23" fillId="2" borderId="46" xfId="0" applyNumberFormat="1" applyFont="1" applyFill="1" applyBorder="1" applyAlignment="1" applyProtection="1">
      <alignment horizontal="center"/>
      <protection locked="0"/>
    </xf>
    <xf numFmtId="168" fontId="7" fillId="6" borderId="47" xfId="0" applyNumberFormat="1" applyFont="1" applyFill="1" applyBorder="1" applyAlignment="1">
      <alignment horizontal="center"/>
    </xf>
    <xf numFmtId="168" fontId="53" fillId="6" borderId="10" xfId="0" applyNumberFormat="1" applyFont="1" applyFill="1" applyBorder="1" applyAlignment="1">
      <alignment horizontal="center"/>
    </xf>
    <xf numFmtId="168" fontId="23" fillId="2" borderId="47" xfId="0" applyNumberFormat="1" applyFont="1" applyFill="1" applyBorder="1" applyAlignment="1" applyProtection="1">
      <alignment horizontal="center"/>
      <protection locked="0"/>
    </xf>
    <xf numFmtId="3" fontId="35" fillId="10" borderId="3" xfId="0" applyNumberFormat="1" applyFont="1" applyFill="1" applyBorder="1" applyAlignment="1">
      <alignment horizontal="center" vertical="center"/>
    </xf>
    <xf numFmtId="3" fontId="35" fillId="10" borderId="11" xfId="0" applyNumberFormat="1" applyFont="1" applyFill="1" applyBorder="1" applyAlignment="1">
      <alignment horizontal="center" vertical="center"/>
    </xf>
    <xf numFmtId="0" fontId="35" fillId="10" borderId="5" xfId="0" applyFont="1" applyFill="1" applyBorder="1" applyAlignment="1">
      <alignment horizontal="center" vertical="center"/>
    </xf>
    <xf numFmtId="3" fontId="35" fillId="10" borderId="33" xfId="0" applyNumberFormat="1" applyFont="1" applyFill="1" applyBorder="1" applyAlignment="1">
      <alignment horizontal="center" vertical="center"/>
    </xf>
    <xf numFmtId="3" fontId="35" fillId="10" borderId="35" xfId="0" applyNumberFormat="1" applyFont="1" applyFill="1" applyBorder="1" applyAlignment="1">
      <alignment horizontal="center" vertical="center"/>
    </xf>
    <xf numFmtId="0" fontId="35" fillId="10" borderId="1" xfId="0" applyFont="1" applyFill="1" applyBorder="1" applyAlignment="1">
      <alignment horizontal="center" vertical="center"/>
    </xf>
    <xf numFmtId="3" fontId="35" fillId="10" borderId="62" xfId="0" applyNumberFormat="1" applyFont="1" applyFill="1" applyBorder="1" applyAlignment="1">
      <alignment horizontal="center" vertical="center"/>
    </xf>
    <xf numFmtId="3" fontId="35" fillId="10" borderId="58" xfId="0" applyNumberFormat="1" applyFont="1" applyFill="1" applyBorder="1" applyAlignment="1">
      <alignment horizontal="center" vertical="center"/>
    </xf>
    <xf numFmtId="3" fontId="35" fillId="10" borderId="32" xfId="0" applyNumberFormat="1" applyFont="1" applyFill="1" applyBorder="1" applyAlignment="1">
      <alignment horizontal="center" vertical="center"/>
    </xf>
    <xf numFmtId="3" fontId="35" fillId="10" borderId="10" xfId="0" applyNumberFormat="1" applyFont="1" applyFill="1" applyBorder="1" applyAlignment="1">
      <alignment horizontal="center" vertical="center"/>
    </xf>
    <xf numFmtId="0" fontId="35" fillId="10" borderId="7" xfId="0" applyFont="1" applyFill="1" applyBorder="1" applyAlignment="1">
      <alignment horizontal="center" vertical="center"/>
    </xf>
    <xf numFmtId="3" fontId="35" fillId="10" borderId="65" xfId="0" applyNumberFormat="1" applyFont="1" applyFill="1" applyBorder="1" applyAlignment="1">
      <alignment horizontal="center" vertical="center"/>
    </xf>
    <xf numFmtId="3" fontId="35" fillId="10" borderId="12" xfId="0" applyNumberFormat="1" applyFont="1" applyFill="1" applyBorder="1" applyAlignment="1">
      <alignment horizontal="center" vertical="center"/>
    </xf>
    <xf numFmtId="3" fontId="35" fillId="10" borderId="7" xfId="0" applyNumberFormat="1" applyFont="1" applyFill="1" applyBorder="1" applyAlignment="1">
      <alignment horizontal="center" vertical="center"/>
    </xf>
    <xf numFmtId="3" fontId="35" fillId="10" borderId="6" xfId="0" applyNumberFormat="1" applyFont="1" applyFill="1" applyBorder="1" applyAlignment="1">
      <alignment horizontal="center" vertical="center"/>
    </xf>
    <xf numFmtId="166" fontId="2" fillId="6" borderId="45" xfId="0" applyNumberFormat="1" applyFont="1" applyFill="1" applyBorder="1" applyAlignment="1"/>
    <xf numFmtId="173" fontId="46" fillId="6" borderId="46" xfId="0" applyNumberFormat="1" applyFont="1" applyFill="1" applyBorder="1" applyAlignment="1"/>
    <xf numFmtId="173" fontId="46" fillId="6" borderId="47" xfId="0" applyNumberFormat="1" applyFont="1" applyFill="1" applyBorder="1" applyAlignment="1"/>
    <xf numFmtId="3" fontId="7" fillId="6" borderId="33" xfId="0" applyNumberFormat="1" applyFont="1" applyFill="1" applyBorder="1" applyAlignment="1">
      <alignment horizontal="center"/>
    </xf>
    <xf numFmtId="9" fontId="7" fillId="6" borderId="34" xfId="0" applyNumberFormat="1" applyFont="1" applyFill="1" applyBorder="1" applyAlignment="1">
      <alignment horizontal="center"/>
    </xf>
    <xf numFmtId="9" fontId="7" fillId="6" borderId="35" xfId="0" applyNumberFormat="1" applyFont="1" applyFill="1" applyBorder="1" applyAlignment="1">
      <alignment horizontal="center"/>
    </xf>
    <xf numFmtId="3" fontId="7" fillId="6" borderId="43" xfId="0" applyNumberFormat="1" applyFont="1" applyFill="1" applyBorder="1" applyAlignment="1">
      <alignment horizontal="center"/>
    </xf>
    <xf numFmtId="3" fontId="7" fillId="6" borderId="59" xfId="0" applyNumberFormat="1" applyFont="1" applyFill="1" applyBorder="1" applyAlignment="1">
      <alignment horizontal="center"/>
    </xf>
    <xf numFmtId="3" fontId="7" fillId="6" borderId="40" xfId="0" applyNumberFormat="1" applyFont="1" applyFill="1" applyBorder="1" applyAlignment="1">
      <alignment horizontal="center"/>
    </xf>
    <xf numFmtId="3" fontId="7" fillId="6" borderId="42" xfId="0" applyNumberFormat="1" applyFont="1" applyFill="1" applyBorder="1" applyAlignment="1">
      <alignment horizontal="center"/>
    </xf>
    <xf numFmtId="3" fontId="7" fillId="6" borderId="38" xfId="0" applyNumberFormat="1" applyFont="1" applyFill="1" applyBorder="1" applyAlignment="1">
      <alignment horizontal="center"/>
    </xf>
    <xf numFmtId="3" fontId="7" fillId="6" borderId="39" xfId="0" applyNumberFormat="1" applyFont="1" applyFill="1" applyBorder="1" applyAlignment="1">
      <alignment horizontal="center"/>
    </xf>
    <xf numFmtId="172" fontId="7" fillId="6" borderId="43" xfId="1" applyNumberFormat="1" applyFont="1" applyFill="1" applyBorder="1" applyAlignment="1">
      <alignment horizontal="right"/>
    </xf>
    <xf numFmtId="172" fontId="7" fillId="6" borderId="44" xfId="1" applyNumberFormat="1" applyFont="1" applyFill="1" applyBorder="1" applyAlignment="1">
      <alignment horizontal="right"/>
    </xf>
    <xf numFmtId="172" fontId="7" fillId="6" borderId="59" xfId="1" applyNumberFormat="1" applyFont="1" applyFill="1" applyBorder="1" applyAlignment="1">
      <alignment horizontal="right"/>
    </xf>
    <xf numFmtId="172" fontId="7" fillId="6" borderId="38" xfId="1" applyNumberFormat="1" applyFont="1" applyFill="1" applyBorder="1" applyAlignment="1">
      <alignment horizontal="right"/>
    </xf>
    <xf numFmtId="172" fontId="7" fillId="6" borderId="9" xfId="1" applyNumberFormat="1" applyFont="1" applyFill="1" applyBorder="1" applyAlignment="1">
      <alignment horizontal="right"/>
    </xf>
    <xf numFmtId="172" fontId="7" fillId="6" borderId="39" xfId="1" applyNumberFormat="1" applyFont="1" applyFill="1" applyBorder="1" applyAlignment="1">
      <alignment horizontal="right"/>
    </xf>
    <xf numFmtId="172" fontId="7" fillId="6" borderId="40" xfId="1" applyNumberFormat="1" applyFont="1" applyFill="1" applyBorder="1" applyAlignment="1">
      <alignment horizontal="right"/>
    </xf>
    <xf numFmtId="172" fontId="7" fillId="6" borderId="41" xfId="1" applyNumberFormat="1" applyFont="1" applyFill="1" applyBorder="1" applyAlignment="1">
      <alignment horizontal="right"/>
    </xf>
    <xf numFmtId="172" fontId="7" fillId="6" borderId="42" xfId="1" applyNumberFormat="1" applyFont="1" applyFill="1" applyBorder="1" applyAlignment="1">
      <alignment horizontal="right"/>
    </xf>
    <xf numFmtId="0" fontId="2" fillId="9" borderId="32" xfId="0" applyFont="1" applyFill="1" applyBorder="1" applyAlignment="1"/>
    <xf numFmtId="0" fontId="54" fillId="0" borderId="0" xfId="0" applyFont="1" applyFill="1" applyAlignment="1">
      <alignment vertical="center"/>
    </xf>
    <xf numFmtId="0" fontId="48" fillId="0" borderId="0" xfId="0" applyFont="1" applyFill="1"/>
    <xf numFmtId="0" fontId="23" fillId="0" borderId="73" xfId="0" applyFont="1" applyFill="1" applyBorder="1" applyAlignment="1">
      <alignment horizontal="left" vertical="center" wrapText="1"/>
    </xf>
    <xf numFmtId="0" fontId="23" fillId="0" borderId="53" xfId="0" applyFont="1" applyFill="1" applyBorder="1" applyAlignment="1">
      <alignment horizontal="left" vertical="center" wrapText="1"/>
    </xf>
    <xf numFmtId="0" fontId="23" fillId="0" borderId="55" xfId="0" applyFont="1" applyFill="1" applyBorder="1" applyAlignment="1">
      <alignment horizontal="left" vertical="center" wrapText="1"/>
    </xf>
    <xf numFmtId="0" fontId="19" fillId="0" borderId="74" xfId="0" applyFont="1" applyFill="1" applyBorder="1" applyAlignment="1">
      <alignment horizontal="center" vertical="center" wrapText="1"/>
    </xf>
    <xf numFmtId="0" fontId="19" fillId="0" borderId="54" xfId="0" applyFont="1" applyFill="1" applyBorder="1" applyAlignment="1">
      <alignment horizontal="center" vertical="center" wrapText="1"/>
    </xf>
    <xf numFmtId="0" fontId="19" fillId="0" borderId="75" xfId="0" applyFont="1" applyFill="1" applyBorder="1" applyAlignment="1">
      <alignment horizontal="center" vertical="center" wrapText="1"/>
    </xf>
    <xf numFmtId="0" fontId="19" fillId="0" borderId="46" xfId="0" applyFont="1" applyFill="1" applyBorder="1" applyAlignment="1">
      <alignment horizontal="center" vertical="center" wrapText="1"/>
    </xf>
    <xf numFmtId="0" fontId="19" fillId="0" borderId="47" xfId="0" applyFont="1" applyFill="1" applyBorder="1" applyAlignment="1">
      <alignment horizontal="center" vertical="center" wrapText="1"/>
    </xf>
    <xf numFmtId="0" fontId="23" fillId="5" borderId="8" xfId="0" applyFont="1" applyFill="1" applyBorder="1" applyAlignment="1">
      <alignment horizontal="left" wrapText="1"/>
    </xf>
    <xf numFmtId="0" fontId="23" fillId="5" borderId="58" xfId="0" applyFont="1" applyFill="1" applyBorder="1" applyAlignment="1">
      <alignment horizontal="center" wrapText="1"/>
    </xf>
    <xf numFmtId="0" fontId="23" fillId="5" borderId="2" xfId="0" applyFont="1" applyFill="1" applyBorder="1" applyAlignment="1">
      <alignment horizontal="center" wrapText="1"/>
    </xf>
    <xf numFmtId="0" fontId="19" fillId="0" borderId="57" xfId="0" applyFont="1" applyFill="1" applyBorder="1" applyAlignment="1">
      <alignment horizontal="center" vertical="center" wrapText="1"/>
    </xf>
    <xf numFmtId="0" fontId="44" fillId="7" borderId="0" xfId="0" applyFont="1" applyFill="1" applyAlignment="1">
      <alignment horizontal="left"/>
    </xf>
    <xf numFmtId="0" fontId="51" fillId="5" borderId="0" xfId="0" applyFont="1" applyFill="1" applyAlignment="1">
      <alignment vertical="center"/>
    </xf>
    <xf numFmtId="0" fontId="2" fillId="5" borderId="0" xfId="0" applyFont="1" applyFill="1" applyAlignment="1">
      <alignment horizontal="left" vertical="center"/>
    </xf>
    <xf numFmtId="0" fontId="2" fillId="5" borderId="0" xfId="0" applyFont="1" applyFill="1" applyAlignment="1">
      <alignment vertical="center"/>
    </xf>
    <xf numFmtId="9" fontId="1" fillId="6" borderId="44" xfId="0" applyNumberFormat="1" applyFont="1" applyFill="1" applyBorder="1" applyAlignment="1">
      <alignment horizontal="center"/>
    </xf>
    <xf numFmtId="9" fontId="1" fillId="6" borderId="48" xfId="0" applyNumberFormat="1" applyFont="1" applyFill="1" applyBorder="1" applyAlignment="1">
      <alignment horizontal="center"/>
    </xf>
    <xf numFmtId="9" fontId="1" fillId="6" borderId="9" xfId="0" applyNumberFormat="1" applyFont="1" applyFill="1" applyBorder="1" applyAlignment="1">
      <alignment horizontal="center"/>
    </xf>
    <xf numFmtId="9" fontId="1" fillId="6" borderId="18" xfId="0" applyNumberFormat="1" applyFont="1" applyFill="1" applyBorder="1" applyAlignment="1">
      <alignment horizontal="center"/>
    </xf>
    <xf numFmtId="9" fontId="1" fillId="6" borderId="41" xfId="0" applyNumberFormat="1" applyFont="1" applyFill="1" applyBorder="1" applyAlignment="1">
      <alignment horizontal="center"/>
    </xf>
    <xf numFmtId="9" fontId="1" fillId="6" borderId="49" xfId="0" applyNumberFormat="1" applyFont="1" applyFill="1" applyBorder="1" applyAlignment="1">
      <alignment horizontal="center"/>
    </xf>
    <xf numFmtId="0" fontId="29" fillId="5" borderId="0" xfId="4" applyFont="1" applyFill="1" applyAlignment="1">
      <alignment vertical="center"/>
    </xf>
    <xf numFmtId="0" fontId="31" fillId="5" borderId="0" xfId="4" applyFont="1" applyFill="1" applyAlignment="1">
      <alignment vertical="center"/>
    </xf>
    <xf numFmtId="0" fontId="15" fillId="0" borderId="0" xfId="0" applyFont="1" applyFill="1" applyAlignment="1">
      <alignment horizontal="left" vertical="center" wrapText="1"/>
    </xf>
    <xf numFmtId="0" fontId="0" fillId="0" borderId="0" xfId="0" applyFill="1" applyAlignment="1">
      <alignment horizontal="center" wrapText="1"/>
    </xf>
    <xf numFmtId="0" fontId="23" fillId="0" borderId="0" xfId="0" applyFont="1" applyAlignment="1"/>
    <xf numFmtId="0" fontId="7" fillId="0" borderId="0" xfId="0" applyFont="1" applyAlignment="1"/>
    <xf numFmtId="0" fontId="0" fillId="0" borderId="0" xfId="0" applyFont="1" applyAlignment="1">
      <alignment horizontal="left" vertical="center" wrapText="1" indent="1"/>
    </xf>
    <xf numFmtId="0" fontId="44" fillId="10" borderId="1" xfId="0" applyFont="1" applyFill="1" applyBorder="1" applyAlignment="1">
      <alignment horizontal="center" wrapText="1"/>
    </xf>
    <xf numFmtId="0" fontId="44" fillId="3" borderId="8" xfId="0" applyFont="1" applyFill="1" applyBorder="1" applyAlignment="1">
      <alignment horizontal="center" wrapText="1"/>
    </xf>
    <xf numFmtId="0" fontId="44" fillId="3" borderId="1" xfId="0" applyFont="1" applyFill="1" applyBorder="1" applyAlignment="1">
      <alignment horizontal="center" wrapText="1"/>
    </xf>
    <xf numFmtId="0" fontId="55" fillId="16" borderId="8" xfId="0" applyFont="1" applyFill="1" applyBorder="1" applyAlignment="1">
      <alignment horizontal="center"/>
    </xf>
    <xf numFmtId="0" fontId="55" fillId="16" borderId="1" xfId="0" applyFont="1" applyFill="1" applyBorder="1" applyAlignment="1">
      <alignment horizontal="center"/>
    </xf>
    <xf numFmtId="0" fontId="55" fillId="16" borderId="2" xfId="0" applyFont="1" applyFill="1" applyBorder="1" applyAlignment="1">
      <alignment horizontal="center"/>
    </xf>
    <xf numFmtId="3" fontId="7" fillId="6" borderId="53" xfId="0" applyNumberFormat="1" applyFont="1" applyFill="1" applyBorder="1" applyAlignment="1">
      <alignment horizontal="center"/>
    </xf>
    <xf numFmtId="3" fontId="7" fillId="6" borderId="17" xfId="0" applyNumberFormat="1" applyFont="1" applyFill="1" applyBorder="1" applyAlignment="1">
      <alignment horizontal="center"/>
    </xf>
    <xf numFmtId="3" fontId="7" fillId="6" borderId="54" xfId="0" applyNumberFormat="1" applyFont="1" applyFill="1" applyBorder="1" applyAlignment="1">
      <alignment horizontal="center"/>
    </xf>
    <xf numFmtId="3" fontId="23" fillId="2" borderId="40" xfId="0" applyNumberFormat="1" applyFont="1" applyFill="1" applyBorder="1" applyAlignment="1" applyProtection="1">
      <alignment horizontal="center"/>
      <protection locked="0"/>
    </xf>
    <xf numFmtId="3" fontId="23" fillId="2" borderId="41" xfId="0" applyNumberFormat="1" applyFont="1" applyFill="1" applyBorder="1" applyAlignment="1" applyProtection="1">
      <alignment horizontal="center"/>
      <protection locked="0"/>
    </xf>
    <xf numFmtId="3" fontId="23" fillId="2" borderId="42" xfId="0" applyNumberFormat="1" applyFont="1" applyFill="1" applyBorder="1" applyAlignment="1" applyProtection="1">
      <alignment horizontal="center"/>
      <protection locked="0"/>
    </xf>
    <xf numFmtId="168" fontId="7" fillId="6" borderId="6" xfId="0" applyNumberFormat="1" applyFont="1" applyFill="1" applyBorder="1" applyAlignment="1">
      <alignment horizontal="center" vertical="center"/>
    </xf>
    <xf numFmtId="168" fontId="7" fillId="6" borderId="5" xfId="0" applyNumberFormat="1" applyFont="1" applyFill="1" applyBorder="1" applyAlignment="1">
      <alignment horizontal="center" vertical="center"/>
    </xf>
    <xf numFmtId="0" fontId="0" fillId="5" borderId="0" xfId="0" applyFont="1" applyFill="1" applyBorder="1" applyAlignment="1">
      <alignment horizontal="center"/>
    </xf>
    <xf numFmtId="3" fontId="35" fillId="10" borderId="8" xfId="0" applyNumberFormat="1" applyFont="1" applyFill="1" applyBorder="1" applyAlignment="1">
      <alignment horizontal="center"/>
    </xf>
    <xf numFmtId="3" fontId="35" fillId="10" borderId="2" xfId="0" applyNumberFormat="1" applyFont="1" applyFill="1" applyBorder="1" applyAlignment="1">
      <alignment horizontal="center"/>
    </xf>
    <xf numFmtId="0" fontId="43" fillId="3" borderId="8" xfId="0" applyFont="1" applyFill="1" applyBorder="1" applyAlignment="1">
      <alignment horizontal="center"/>
    </xf>
    <xf numFmtId="0" fontId="43" fillId="3" borderId="1" xfId="0" applyFont="1" applyFill="1" applyBorder="1" applyAlignment="1">
      <alignment horizontal="center"/>
    </xf>
    <xf numFmtId="0" fontId="43" fillId="3" borderId="2" xfId="0" applyFont="1" applyFill="1" applyBorder="1" applyAlignment="1">
      <alignment horizontal="center"/>
    </xf>
    <xf numFmtId="3" fontId="23" fillId="9" borderId="0" xfId="0" applyNumberFormat="1" applyFont="1" applyFill="1" applyBorder="1" applyAlignment="1">
      <alignment horizontal="center"/>
    </xf>
    <xf numFmtId="3" fontId="23" fillId="9" borderId="61" xfId="0" applyNumberFormat="1" applyFont="1" applyFill="1" applyBorder="1" applyAlignment="1">
      <alignment horizontal="center"/>
    </xf>
    <xf numFmtId="3" fontId="1" fillId="9" borderId="0" xfId="0" applyNumberFormat="1" applyFont="1" applyFill="1" applyBorder="1" applyAlignment="1">
      <alignment horizontal="center"/>
    </xf>
    <xf numFmtId="3" fontId="1" fillId="9" borderId="61" xfId="0" applyNumberFormat="1" applyFont="1" applyFill="1" applyBorder="1" applyAlignment="1">
      <alignment horizontal="center"/>
    </xf>
    <xf numFmtId="3" fontId="1" fillId="9" borderId="4" xfId="0" applyNumberFormat="1" applyFont="1" applyFill="1" applyBorder="1" applyAlignment="1">
      <alignment horizontal="center"/>
    </xf>
    <xf numFmtId="3" fontId="1" fillId="9" borderId="5" xfId="0" applyNumberFormat="1" applyFont="1" applyFill="1" applyBorder="1" applyAlignment="1">
      <alignment horizontal="center"/>
    </xf>
    <xf numFmtId="3" fontId="23" fillId="0" borderId="32" xfId="0" applyNumberFormat="1" applyFont="1" applyFill="1" applyBorder="1" applyAlignment="1" applyProtection="1">
      <alignment horizontal="center"/>
      <protection locked="0"/>
    </xf>
    <xf numFmtId="0" fontId="23" fillId="0" borderId="7" xfId="0" applyFont="1" applyFill="1" applyBorder="1" applyAlignment="1" applyProtection="1">
      <alignment horizontal="center"/>
      <protection locked="0"/>
    </xf>
    <xf numFmtId="0" fontId="23" fillId="0" borderId="6" xfId="0" applyFont="1" applyFill="1" applyBorder="1" applyAlignment="1" applyProtection="1">
      <alignment horizontal="center"/>
      <protection locked="0"/>
    </xf>
    <xf numFmtId="3" fontId="41" fillId="0" borderId="32" xfId="0" applyNumberFormat="1" applyFont="1" applyFill="1" applyBorder="1" applyAlignment="1" applyProtection="1">
      <alignment horizontal="center"/>
      <protection locked="0"/>
    </xf>
    <xf numFmtId="0" fontId="41" fillId="0" borderId="7" xfId="0" applyFont="1" applyFill="1" applyBorder="1" applyAlignment="1" applyProtection="1">
      <alignment horizontal="center"/>
      <protection locked="0"/>
    </xf>
    <xf numFmtId="0" fontId="41" fillId="0" borderId="6" xfId="0" applyFont="1" applyFill="1" applyBorder="1" applyAlignment="1" applyProtection="1">
      <alignment horizontal="center"/>
      <protection locked="0"/>
    </xf>
    <xf numFmtId="3" fontId="7" fillId="6" borderId="50" xfId="0" applyNumberFormat="1" applyFont="1" applyFill="1" applyBorder="1" applyAlignment="1">
      <alignment horizontal="center"/>
    </xf>
    <xf numFmtId="3" fontId="7" fillId="6" borderId="51" xfId="0" applyNumberFormat="1" applyFont="1" applyFill="1" applyBorder="1" applyAlignment="1">
      <alignment horizontal="center"/>
    </xf>
    <xf numFmtId="3" fontId="7" fillId="6" borderId="52" xfId="0" applyNumberFormat="1" applyFont="1" applyFill="1" applyBorder="1" applyAlignment="1">
      <alignment horizontal="center"/>
    </xf>
    <xf numFmtId="3" fontId="7" fillId="6" borderId="55" xfId="0" applyNumberFormat="1" applyFont="1" applyFill="1" applyBorder="1" applyAlignment="1">
      <alignment horizontal="center"/>
    </xf>
    <xf numFmtId="3" fontId="7" fillId="6" borderId="56" xfId="0" applyNumberFormat="1" applyFont="1" applyFill="1" applyBorder="1" applyAlignment="1">
      <alignment horizontal="center"/>
    </xf>
    <xf numFmtId="3" fontId="7" fillId="6" borderId="57" xfId="0" applyNumberFormat="1" applyFont="1" applyFill="1" applyBorder="1" applyAlignment="1">
      <alignment horizontal="center"/>
    </xf>
    <xf numFmtId="3" fontId="7" fillId="6" borderId="43" xfId="0" applyNumberFormat="1" applyFont="1" applyFill="1" applyBorder="1" applyAlignment="1">
      <alignment horizontal="center"/>
    </xf>
    <xf numFmtId="0" fontId="7" fillId="6" borderId="44" xfId="0" applyFont="1" applyFill="1" applyBorder="1" applyAlignment="1">
      <alignment horizontal="center"/>
    </xf>
    <xf numFmtId="0" fontId="7" fillId="6" borderId="48" xfId="0" applyFont="1" applyFill="1" applyBorder="1" applyAlignment="1">
      <alignment horizontal="center"/>
    </xf>
    <xf numFmtId="3" fontId="7" fillId="6" borderId="38" xfId="0" applyNumberFormat="1" applyFont="1" applyFill="1" applyBorder="1" applyAlignment="1">
      <alignment horizontal="center"/>
    </xf>
    <xf numFmtId="0" fontId="7" fillId="6" borderId="9" xfId="0" applyFont="1" applyFill="1" applyBorder="1" applyAlignment="1">
      <alignment horizontal="center"/>
    </xf>
    <xf numFmtId="0" fontId="7" fillId="6" borderId="18" xfId="0" applyFont="1" applyFill="1" applyBorder="1" applyAlignment="1">
      <alignment horizontal="center"/>
    </xf>
    <xf numFmtId="3" fontId="7" fillId="6" borderId="40" xfId="0" applyNumberFormat="1" applyFont="1" applyFill="1" applyBorder="1" applyAlignment="1">
      <alignment horizontal="center"/>
    </xf>
    <xf numFmtId="0" fontId="7" fillId="6" borderId="41" xfId="0" applyFont="1" applyFill="1" applyBorder="1" applyAlignment="1">
      <alignment horizontal="center"/>
    </xf>
    <xf numFmtId="0" fontId="7" fillId="6" borderId="49" xfId="0" applyFont="1" applyFill="1" applyBorder="1" applyAlignment="1">
      <alignment horizontal="center"/>
    </xf>
    <xf numFmtId="0" fontId="0" fillId="0" borderId="32" xfId="0" applyFont="1" applyFill="1" applyBorder="1" applyAlignment="1">
      <alignment horizontal="left" vertical="top" wrapText="1"/>
    </xf>
    <xf numFmtId="0" fontId="0" fillId="0" borderId="7" xfId="0" applyFont="1" applyFill="1" applyBorder="1" applyAlignment="1">
      <alignment horizontal="left" vertical="top" wrapText="1"/>
    </xf>
    <xf numFmtId="0" fontId="2" fillId="9" borderId="10" xfId="0" applyFont="1" applyFill="1" applyBorder="1" applyAlignment="1">
      <alignment horizontal="left" vertical="center"/>
    </xf>
    <xf numFmtId="0" fontId="2" fillId="9" borderId="11" xfId="0" applyFont="1" applyFill="1" applyBorder="1" applyAlignment="1">
      <alignment horizontal="left" vertical="center"/>
    </xf>
    <xf numFmtId="1" fontId="7" fillId="6" borderId="55" xfId="0" applyNumberFormat="1" applyFont="1" applyFill="1" applyBorder="1" applyAlignment="1">
      <alignment horizontal="center"/>
    </xf>
    <xf numFmtId="1" fontId="7" fillId="6" borderId="56" xfId="0" applyNumberFormat="1" applyFont="1" applyFill="1" applyBorder="1" applyAlignment="1">
      <alignment horizontal="center"/>
    </xf>
    <xf numFmtId="1" fontId="7" fillId="6" borderId="57" xfId="0" applyNumberFormat="1" applyFont="1" applyFill="1" applyBorder="1" applyAlignment="1">
      <alignment horizontal="center"/>
    </xf>
    <xf numFmtId="0" fontId="10" fillId="2" borderId="32" xfId="0" applyFont="1" applyFill="1" applyBorder="1" applyAlignment="1" applyProtection="1">
      <alignment horizontal="center" vertical="center"/>
      <protection locked="0"/>
    </xf>
    <xf numFmtId="0" fontId="10" fillId="2" borderId="7" xfId="0" applyFont="1" applyFill="1" applyBorder="1" applyAlignment="1" applyProtection="1">
      <alignment horizontal="center" vertical="center"/>
      <protection locked="0"/>
    </xf>
    <xf numFmtId="0" fontId="10" fillId="2" borderId="6" xfId="0" applyFont="1" applyFill="1" applyBorder="1" applyAlignment="1" applyProtection="1">
      <alignment horizontal="center" vertical="center"/>
      <protection locked="0"/>
    </xf>
    <xf numFmtId="0" fontId="10" fillId="2" borderId="3" xfId="0" applyFont="1" applyFill="1" applyBorder="1" applyAlignment="1" applyProtection="1">
      <alignment horizontal="center" vertical="center"/>
      <protection locked="0"/>
    </xf>
    <xf numFmtId="0" fontId="10" fillId="2" borderId="4" xfId="0" applyFont="1" applyFill="1" applyBorder="1" applyAlignment="1" applyProtection="1">
      <alignment horizontal="center" vertical="center"/>
      <protection locked="0"/>
    </xf>
    <xf numFmtId="0" fontId="10" fillId="2" borderId="5" xfId="0" applyFont="1" applyFill="1" applyBorder="1" applyAlignment="1" applyProtection="1">
      <alignment horizontal="center" vertical="center"/>
      <protection locked="0"/>
    </xf>
    <xf numFmtId="9" fontId="23" fillId="0" borderId="55" xfId="3" applyFont="1" applyBorder="1" applyAlignment="1" applyProtection="1">
      <alignment horizontal="center"/>
      <protection locked="0"/>
    </xf>
    <xf numFmtId="9" fontId="23" fillId="0" borderId="56" xfId="3" applyFont="1" applyBorder="1" applyAlignment="1" applyProtection="1">
      <alignment horizontal="center"/>
      <protection locked="0"/>
    </xf>
    <xf numFmtId="9" fontId="23" fillId="0" borderId="57" xfId="3" applyFont="1" applyBorder="1" applyAlignment="1" applyProtection="1">
      <alignment horizontal="center"/>
      <protection locked="0"/>
    </xf>
    <xf numFmtId="9" fontId="23" fillId="0" borderId="50" xfId="3" applyFont="1" applyBorder="1" applyAlignment="1" applyProtection="1">
      <alignment horizontal="center"/>
      <protection locked="0"/>
    </xf>
    <xf numFmtId="9" fontId="23" fillId="0" borderId="51" xfId="3" applyFont="1" applyBorder="1" applyAlignment="1" applyProtection="1">
      <alignment horizontal="center"/>
      <protection locked="0"/>
    </xf>
    <xf numFmtId="9" fontId="23" fillId="0" borderId="52" xfId="3" applyFont="1" applyBorder="1" applyAlignment="1" applyProtection="1">
      <alignment horizontal="center"/>
      <protection locked="0"/>
    </xf>
    <xf numFmtId="0" fontId="43" fillId="3" borderId="8" xfId="0" applyFont="1" applyFill="1" applyBorder="1" applyAlignment="1">
      <alignment horizontal="left"/>
    </xf>
    <xf numFmtId="0" fontId="43" fillId="3" borderId="1" xfId="0" applyFont="1" applyFill="1" applyBorder="1" applyAlignment="1">
      <alignment horizontal="left"/>
    </xf>
    <xf numFmtId="0" fontId="43" fillId="3" borderId="2" xfId="0" applyFont="1" applyFill="1" applyBorder="1" applyAlignment="1">
      <alignment horizontal="left"/>
    </xf>
    <xf numFmtId="9" fontId="23" fillId="2" borderId="50" xfId="3" applyFont="1" applyFill="1" applyBorder="1" applyAlignment="1" applyProtection="1">
      <alignment horizontal="center"/>
      <protection locked="0"/>
    </xf>
    <xf numFmtId="9" fontId="23" fillId="2" borderId="51" xfId="3" applyFont="1" applyFill="1" applyBorder="1" applyAlignment="1" applyProtection="1">
      <alignment horizontal="center"/>
      <protection locked="0"/>
    </xf>
    <xf numFmtId="9" fontId="23" fillId="2" borderId="52" xfId="3" applyFont="1" applyFill="1" applyBorder="1" applyAlignment="1" applyProtection="1">
      <alignment horizontal="center"/>
      <protection locked="0"/>
    </xf>
    <xf numFmtId="0" fontId="2" fillId="11" borderId="10" xfId="0" applyFont="1" applyFill="1" applyBorder="1" applyAlignment="1">
      <alignment horizontal="left" vertical="center" wrapText="1"/>
    </xf>
    <xf numFmtId="0" fontId="2" fillId="11" borderId="11" xfId="0" applyFont="1" applyFill="1" applyBorder="1" applyAlignment="1">
      <alignment horizontal="left" vertical="center" wrapText="1"/>
    </xf>
    <xf numFmtId="3" fontId="35" fillId="10" borderId="33" xfId="0" applyNumberFormat="1" applyFont="1" applyFill="1" applyBorder="1" applyAlignment="1">
      <alignment horizontal="center"/>
    </xf>
    <xf numFmtId="3" fontId="35" fillId="10" borderId="35" xfId="0" applyNumberFormat="1" applyFont="1" applyFill="1" applyBorder="1" applyAlignment="1">
      <alignment horizontal="center"/>
    </xf>
    <xf numFmtId="172" fontId="14" fillId="6" borderId="18" xfId="1" applyNumberFormat="1" applyFont="1" applyFill="1" applyBorder="1" applyAlignment="1">
      <alignment vertical="center"/>
    </xf>
    <xf numFmtId="172" fontId="14" fillId="6" borderId="17" xfId="1" applyNumberFormat="1" applyFont="1" applyFill="1" applyBorder="1" applyAlignment="1">
      <alignment vertical="center"/>
    </xf>
    <xf numFmtId="172" fontId="14" fillId="6" borderId="19" xfId="1" applyNumberFormat="1" applyFont="1" applyFill="1" applyBorder="1" applyAlignment="1">
      <alignment vertical="center"/>
    </xf>
    <xf numFmtId="0" fontId="41" fillId="5" borderId="38" xfId="0" applyFont="1" applyFill="1" applyBorder="1" applyAlignment="1">
      <alignment horizontal="center" vertical="center"/>
    </xf>
    <xf numFmtId="0" fontId="41" fillId="5" borderId="39" xfId="0" applyFont="1" applyFill="1" applyBorder="1" applyAlignment="1">
      <alignment horizontal="center" vertical="center"/>
    </xf>
    <xf numFmtId="0" fontId="43" fillId="4" borderId="8" xfId="0" applyFont="1" applyFill="1" applyBorder="1" applyAlignment="1">
      <alignment horizontal="center" vertical="center"/>
    </xf>
    <xf numFmtId="0" fontId="43" fillId="4" borderId="1" xfId="0" applyFont="1" applyFill="1" applyBorder="1" applyAlignment="1">
      <alignment horizontal="center" vertical="center"/>
    </xf>
    <xf numFmtId="0" fontId="12" fillId="7" borderId="0" xfId="0" applyFont="1" applyFill="1" applyBorder="1" applyAlignment="1">
      <alignment horizontal="center"/>
    </xf>
    <xf numFmtId="0" fontId="12" fillId="3" borderId="0" xfId="0" applyFont="1" applyFill="1" applyBorder="1" applyAlignment="1">
      <alignment horizontal="center"/>
    </xf>
    <xf numFmtId="0" fontId="0" fillId="0" borderId="21" xfId="0" applyBorder="1" applyAlignment="1">
      <alignment horizontal="center" wrapText="1"/>
    </xf>
    <xf numFmtId="0" fontId="0" fillId="0" borderId="0" xfId="0" applyAlignment="1">
      <alignment horizontal="center" wrapText="1"/>
    </xf>
    <xf numFmtId="0" fontId="0" fillId="6" borderId="0" xfId="0" applyFill="1" applyAlignment="1">
      <alignment horizontal="center"/>
    </xf>
    <xf numFmtId="0" fontId="0" fillId="0" borderId="32" xfId="0" applyBorder="1" applyAlignment="1">
      <alignment horizontal="center" vertical="top" wrapText="1"/>
    </xf>
    <xf numFmtId="0" fontId="0" fillId="0" borderId="7" xfId="0" applyBorder="1" applyAlignment="1">
      <alignment horizontal="center" vertical="top"/>
    </xf>
    <xf numFmtId="0" fontId="0" fillId="0" borderId="6" xfId="0" applyBorder="1" applyAlignment="1">
      <alignment horizontal="center" vertical="top"/>
    </xf>
    <xf numFmtId="0" fontId="0" fillId="0" borderId="60" xfId="0" applyBorder="1" applyAlignment="1">
      <alignment horizontal="center" vertical="top"/>
    </xf>
    <xf numFmtId="0" fontId="0" fillId="0" borderId="0" xfId="0" applyBorder="1" applyAlignment="1">
      <alignment horizontal="center" vertical="top"/>
    </xf>
    <xf numFmtId="0" fontId="0" fillId="0" borderId="61"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5" xfId="0" applyBorder="1" applyAlignment="1">
      <alignment horizontal="center" vertical="top"/>
    </xf>
    <xf numFmtId="0" fontId="0" fillId="6" borderId="60" xfId="0" applyFill="1" applyBorder="1" applyAlignment="1">
      <alignment horizontal="center"/>
    </xf>
    <xf numFmtId="0" fontId="0" fillId="6" borderId="61" xfId="0" applyFill="1" applyBorder="1" applyAlignment="1">
      <alignment horizontal="center"/>
    </xf>
    <xf numFmtId="0" fontId="0" fillId="6" borderId="63" xfId="0" applyFill="1" applyBorder="1" applyAlignment="1">
      <alignment horizontal="center"/>
    </xf>
    <xf numFmtId="0" fontId="43" fillId="13" borderId="38" xfId="0" applyFont="1" applyFill="1" applyBorder="1" applyAlignment="1">
      <alignment horizontal="center" vertical="center" wrapText="1"/>
    </xf>
    <xf numFmtId="0" fontId="43" fillId="13" borderId="9" xfId="0" applyFont="1" applyFill="1" applyBorder="1" applyAlignment="1">
      <alignment horizontal="center" vertical="center" wrapText="1"/>
    </xf>
    <xf numFmtId="9" fontId="2" fillId="9" borderId="9" xfId="0" applyNumberFormat="1" applyFont="1" applyFill="1" applyBorder="1" applyAlignment="1">
      <alignment horizontal="center" vertical="center"/>
    </xf>
    <xf numFmtId="9" fontId="2" fillId="9" borderId="18" xfId="0" applyNumberFormat="1" applyFont="1" applyFill="1" applyBorder="1" applyAlignment="1">
      <alignment horizontal="center" vertical="center"/>
    </xf>
    <xf numFmtId="165" fontId="2" fillId="9" borderId="9" xfId="0" applyNumberFormat="1" applyFont="1" applyFill="1" applyBorder="1" applyAlignment="1">
      <alignment horizontal="center" vertical="center"/>
    </xf>
    <xf numFmtId="165" fontId="2" fillId="9" borderId="18" xfId="0" applyNumberFormat="1" applyFont="1" applyFill="1" applyBorder="1" applyAlignment="1">
      <alignment horizontal="center" vertical="center"/>
    </xf>
    <xf numFmtId="0" fontId="43" fillId="13" borderId="40" xfId="0" applyFont="1" applyFill="1" applyBorder="1" applyAlignment="1">
      <alignment horizontal="center" vertical="center" wrapText="1"/>
    </xf>
    <xf numFmtId="0" fontId="43" fillId="13" borderId="41" xfId="0" applyFont="1" applyFill="1" applyBorder="1" applyAlignment="1">
      <alignment horizontal="center" vertical="center" wrapText="1"/>
    </xf>
    <xf numFmtId="173" fontId="2" fillId="9" borderId="41" xfId="2" applyNumberFormat="1" applyFont="1" applyFill="1" applyBorder="1" applyAlignment="1">
      <alignment horizontal="center" vertical="center"/>
    </xf>
    <xf numFmtId="173" fontId="2" fillId="9" borderId="49" xfId="2" applyNumberFormat="1" applyFont="1" applyFill="1" applyBorder="1" applyAlignment="1">
      <alignment horizontal="center" vertical="center"/>
    </xf>
    <xf numFmtId="0" fontId="12" fillId="7" borderId="60" xfId="0" applyFont="1" applyFill="1" applyBorder="1" applyAlignment="1">
      <alignment horizontal="left" vertical="center"/>
    </xf>
    <xf numFmtId="0" fontId="12" fillId="7" borderId="0" xfId="0" applyFont="1" applyFill="1" applyBorder="1" applyAlignment="1">
      <alignment horizontal="left" vertical="center"/>
    </xf>
    <xf numFmtId="0" fontId="12" fillId="7" borderId="61" xfId="0" applyFont="1" applyFill="1" applyBorder="1" applyAlignment="1">
      <alignment horizontal="left" vertical="center"/>
    </xf>
    <xf numFmtId="0" fontId="0" fillId="12" borderId="60" xfId="0" applyFill="1" applyBorder="1" applyAlignment="1">
      <alignment horizontal="center"/>
    </xf>
    <xf numFmtId="0" fontId="0" fillId="12" borderId="0" xfId="0" applyFill="1" applyBorder="1" applyAlignment="1">
      <alignment horizontal="center"/>
    </xf>
    <xf numFmtId="0" fontId="0" fillId="12" borderId="61" xfId="0" applyFill="1" applyBorder="1" applyAlignment="1">
      <alignment horizontal="center"/>
    </xf>
    <xf numFmtId="0" fontId="35" fillId="4" borderId="60" xfId="0" applyFont="1" applyFill="1" applyBorder="1" applyAlignment="1">
      <alignment horizontal="left" vertical="center"/>
    </xf>
    <xf numFmtId="0" fontId="35" fillId="4" borderId="0" xfId="0" applyFont="1" applyFill="1" applyBorder="1" applyAlignment="1">
      <alignment horizontal="left" vertical="center"/>
    </xf>
    <xf numFmtId="0" fontId="35" fillId="4" borderId="61" xfId="0" applyFont="1" applyFill="1" applyBorder="1" applyAlignment="1">
      <alignment horizontal="left" vertical="center"/>
    </xf>
    <xf numFmtId="0" fontId="0" fillId="12" borderId="12" xfId="0" applyFill="1" applyBorder="1" applyAlignment="1">
      <alignment horizontal="center"/>
    </xf>
    <xf numFmtId="0" fontId="0" fillId="12" borderId="69" xfId="0" applyFill="1" applyBorder="1" applyAlignment="1">
      <alignment horizontal="center"/>
    </xf>
    <xf numFmtId="0" fontId="0" fillId="12" borderId="4" xfId="0" applyFill="1" applyBorder="1" applyAlignment="1">
      <alignment horizontal="center"/>
    </xf>
    <xf numFmtId="0" fontId="0" fillId="12" borderId="5" xfId="0" applyFill="1" applyBorder="1" applyAlignment="1">
      <alignment horizontal="center"/>
    </xf>
    <xf numFmtId="0" fontId="43" fillId="13" borderId="8" xfId="0" applyFont="1" applyFill="1" applyBorder="1" applyAlignment="1">
      <alignment horizontal="center"/>
    </xf>
    <xf numFmtId="0" fontId="43" fillId="13" borderId="1" xfId="0" applyFont="1" applyFill="1" applyBorder="1" applyAlignment="1">
      <alignment horizontal="center"/>
    </xf>
    <xf numFmtId="0" fontId="43" fillId="13" borderId="43" xfId="0" applyFont="1" applyFill="1" applyBorder="1" applyAlignment="1">
      <alignment horizontal="center" vertical="center" wrapText="1"/>
    </xf>
    <xf numFmtId="0" fontId="43" fillId="13" borderId="44" xfId="0" applyFont="1" applyFill="1" applyBorder="1" applyAlignment="1">
      <alignment horizontal="center" vertical="center" wrapText="1"/>
    </xf>
    <xf numFmtId="9" fontId="2" fillId="9" borderId="44" xfId="0" applyNumberFormat="1" applyFont="1" applyFill="1" applyBorder="1" applyAlignment="1">
      <alignment horizontal="center" vertical="center"/>
    </xf>
    <xf numFmtId="9" fontId="2" fillId="9" borderId="48" xfId="0" applyNumberFormat="1" applyFont="1" applyFill="1" applyBorder="1" applyAlignment="1">
      <alignment horizontal="center" vertical="center"/>
    </xf>
    <xf numFmtId="0" fontId="12" fillId="7" borderId="60" xfId="0" applyFont="1" applyFill="1" applyBorder="1" applyAlignment="1">
      <alignment horizontal="left"/>
    </xf>
    <xf numFmtId="0" fontId="12" fillId="7" borderId="0" xfId="0" applyFont="1" applyFill="1" applyBorder="1" applyAlignment="1">
      <alignment horizontal="left"/>
    </xf>
    <xf numFmtId="0" fontId="12" fillId="7" borderId="61" xfId="0" applyFont="1" applyFill="1" applyBorder="1" applyAlignment="1">
      <alignment horizontal="left"/>
    </xf>
    <xf numFmtId="3" fontId="0" fillId="0" borderId="9" xfId="0" applyNumberFormat="1" applyFont="1" applyFill="1" applyBorder="1" applyAlignment="1">
      <alignment horizontal="center"/>
    </xf>
    <xf numFmtId="9" fontId="1" fillId="0" borderId="9" xfId="3" applyFont="1" applyFill="1" applyBorder="1" applyAlignment="1" applyProtection="1">
      <alignment horizontal="center"/>
      <protection locked="0"/>
    </xf>
    <xf numFmtId="9" fontId="1" fillId="12" borderId="61" xfId="3" applyFont="1" applyFill="1" applyBorder="1" applyAlignment="1" applyProtection="1">
      <alignment horizontal="center"/>
      <protection locked="0"/>
    </xf>
    <xf numFmtId="0" fontId="2" fillId="0" borderId="43" xfId="0" applyFont="1" applyBorder="1" applyAlignment="1">
      <alignment horizontal="center"/>
    </xf>
    <xf numFmtId="0" fontId="2" fillId="0" borderId="44" xfId="0" applyFont="1" applyBorder="1" applyAlignment="1">
      <alignment horizontal="center"/>
    </xf>
    <xf numFmtId="0" fontId="2" fillId="0" borderId="59" xfId="0" applyFont="1" applyBorder="1" applyAlignment="1">
      <alignment horizontal="center"/>
    </xf>
    <xf numFmtId="3" fontId="0" fillId="0" borderId="9" xfId="0" applyNumberFormat="1" applyBorder="1" applyAlignment="1">
      <alignment horizontal="center"/>
    </xf>
    <xf numFmtId="9" fontId="49" fillId="14" borderId="9" xfId="0" applyNumberFormat="1" applyFont="1" applyFill="1" applyBorder="1" applyAlignment="1">
      <alignment horizontal="center"/>
    </xf>
    <xf numFmtId="172" fontId="0" fillId="0" borderId="9" xfId="1" applyNumberFormat="1" applyFont="1" applyBorder="1" applyAlignment="1">
      <alignment horizontal="center"/>
    </xf>
    <xf numFmtId="0" fontId="0" fillId="0" borderId="9" xfId="0" applyBorder="1" applyAlignment="1">
      <alignment horizontal="center"/>
    </xf>
    <xf numFmtId="173" fontId="2" fillId="9" borderId="41" xfId="2" applyNumberFormat="1" applyFont="1" applyFill="1" applyBorder="1" applyAlignment="1">
      <alignment horizontal="center"/>
    </xf>
    <xf numFmtId="173" fontId="2" fillId="9" borderId="42" xfId="2" applyNumberFormat="1" applyFont="1" applyFill="1" applyBorder="1" applyAlignment="1">
      <alignment horizontal="center"/>
    </xf>
    <xf numFmtId="165" fontId="2" fillId="9" borderId="9" xfId="0" applyNumberFormat="1" applyFont="1" applyFill="1" applyBorder="1" applyAlignment="1">
      <alignment horizontal="center"/>
    </xf>
    <xf numFmtId="165" fontId="2" fillId="9" borderId="39" xfId="0" applyNumberFormat="1" applyFont="1" applyFill="1" applyBorder="1" applyAlignment="1">
      <alignment horizontal="center"/>
    </xf>
    <xf numFmtId="9" fontId="2" fillId="9" borderId="9" xfId="0" applyNumberFormat="1" applyFont="1" applyFill="1" applyBorder="1" applyAlignment="1">
      <alignment horizontal="center"/>
    </xf>
    <xf numFmtId="9" fontId="2" fillId="9" borderId="39" xfId="0" applyNumberFormat="1" applyFont="1" applyFill="1" applyBorder="1" applyAlignment="1">
      <alignment horizontal="center"/>
    </xf>
    <xf numFmtId="9" fontId="2" fillId="9" borderId="44" xfId="0" applyNumberFormat="1" applyFont="1" applyFill="1" applyBorder="1" applyAlignment="1">
      <alignment horizontal="center"/>
    </xf>
    <xf numFmtId="9" fontId="2" fillId="9" borderId="59" xfId="0" applyNumberFormat="1" applyFont="1" applyFill="1" applyBorder="1" applyAlignment="1">
      <alignment horizontal="center"/>
    </xf>
    <xf numFmtId="9" fontId="0" fillId="0" borderId="9" xfId="0" applyNumberFormat="1" applyBorder="1" applyAlignment="1">
      <alignment horizontal="center"/>
    </xf>
    <xf numFmtId="172" fontId="49" fillId="14" borderId="9" xfId="1" applyNumberFormat="1" applyFont="1" applyFill="1" applyBorder="1" applyAlignment="1">
      <alignment horizontal="center"/>
    </xf>
    <xf numFmtId="9" fontId="19" fillId="0" borderId="9" xfId="0" applyNumberFormat="1" applyFont="1" applyBorder="1" applyAlignment="1">
      <alignment horizontal="center"/>
    </xf>
    <xf numFmtId="3" fontId="49" fillId="14" borderId="9" xfId="0" applyNumberFormat="1" applyFont="1" applyFill="1" applyBorder="1" applyAlignment="1">
      <alignment horizontal="center"/>
    </xf>
    <xf numFmtId="3" fontId="49" fillId="14" borderId="50" xfId="0" applyNumberFormat="1" applyFont="1" applyFill="1" applyBorder="1" applyAlignment="1">
      <alignment horizontal="center"/>
    </xf>
    <xf numFmtId="3" fontId="49" fillId="14" borderId="51" xfId="0" applyNumberFormat="1" applyFont="1" applyFill="1" applyBorder="1" applyAlignment="1">
      <alignment horizontal="center"/>
    </xf>
    <xf numFmtId="3" fontId="49" fillId="14" borderId="52" xfId="0" applyNumberFormat="1" applyFont="1" applyFill="1" applyBorder="1" applyAlignment="1">
      <alignment horizontal="center"/>
    </xf>
    <xf numFmtId="3" fontId="49" fillId="14" borderId="53" xfId="0" applyNumberFormat="1" applyFont="1" applyFill="1" applyBorder="1" applyAlignment="1">
      <alignment horizontal="center"/>
    </xf>
    <xf numFmtId="3" fontId="49" fillId="14" borderId="17" xfId="0" applyNumberFormat="1" applyFont="1" applyFill="1" applyBorder="1" applyAlignment="1">
      <alignment horizontal="center"/>
    </xf>
    <xf numFmtId="3" fontId="49" fillId="14" borderId="54" xfId="0" applyNumberFormat="1" applyFont="1" applyFill="1" applyBorder="1" applyAlignment="1">
      <alignment horizontal="center"/>
    </xf>
    <xf numFmtId="3" fontId="49" fillId="14" borderId="55" xfId="0" applyNumberFormat="1" applyFont="1" applyFill="1" applyBorder="1" applyAlignment="1">
      <alignment horizontal="center"/>
    </xf>
    <xf numFmtId="3" fontId="49" fillId="14" borderId="56" xfId="0" applyNumberFormat="1" applyFont="1" applyFill="1" applyBorder="1" applyAlignment="1">
      <alignment horizontal="center"/>
    </xf>
    <xf numFmtId="3" fontId="49" fillId="14" borderId="57" xfId="0" applyNumberFormat="1" applyFont="1" applyFill="1" applyBorder="1" applyAlignment="1">
      <alignment horizontal="center"/>
    </xf>
    <xf numFmtId="0" fontId="0" fillId="0" borderId="7" xfId="0" applyBorder="1" applyAlignment="1">
      <alignment horizontal="center" vertical="top" wrapText="1"/>
    </xf>
    <xf numFmtId="0" fontId="0" fillId="0" borderId="6" xfId="0" applyBorder="1" applyAlignment="1">
      <alignment horizontal="center" vertical="top" wrapText="1"/>
    </xf>
    <xf numFmtId="0" fontId="0" fillId="0" borderId="60" xfId="0" applyBorder="1" applyAlignment="1">
      <alignment horizontal="center" vertical="top" wrapText="1"/>
    </xf>
    <xf numFmtId="0" fontId="0" fillId="0" borderId="0" xfId="0" applyBorder="1" applyAlignment="1">
      <alignment horizontal="center" vertical="top" wrapText="1"/>
    </xf>
    <xf numFmtId="0" fontId="0" fillId="0" borderId="61"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165" fontId="2" fillId="9" borderId="18" xfId="0" applyNumberFormat="1" applyFont="1" applyFill="1" applyBorder="1" applyAlignment="1">
      <alignment horizontal="center"/>
    </xf>
    <xf numFmtId="165" fontId="2" fillId="9" borderId="54" xfId="0" applyNumberFormat="1" applyFont="1" applyFill="1" applyBorder="1" applyAlignment="1">
      <alignment horizontal="center"/>
    </xf>
    <xf numFmtId="0" fontId="43" fillId="13" borderId="53" xfId="0" applyFont="1" applyFill="1" applyBorder="1" applyAlignment="1">
      <alignment horizontal="center" vertical="center" wrapText="1"/>
    </xf>
    <xf numFmtId="0" fontId="43" fillId="13" borderId="17" xfId="0" applyFont="1" applyFill="1" applyBorder="1" applyAlignment="1">
      <alignment horizontal="center" vertical="center" wrapText="1"/>
    </xf>
    <xf numFmtId="0" fontId="43" fillId="13" borderId="19" xfId="0" applyFont="1" applyFill="1" applyBorder="1" applyAlignment="1">
      <alignment horizontal="center" vertical="center" wrapText="1"/>
    </xf>
    <xf numFmtId="0" fontId="43" fillId="13" borderId="55" xfId="0" applyFont="1" applyFill="1" applyBorder="1" applyAlignment="1">
      <alignment horizontal="center" vertical="center" wrapText="1"/>
    </xf>
    <xf numFmtId="0" fontId="43" fillId="13" borderId="56" xfId="0" applyFont="1" applyFill="1" applyBorder="1" applyAlignment="1">
      <alignment horizontal="center" vertical="center" wrapText="1"/>
    </xf>
    <xf numFmtId="0" fontId="43" fillId="13" borderId="67" xfId="0" applyFont="1" applyFill="1" applyBorder="1" applyAlignment="1">
      <alignment horizontal="center" vertical="center" wrapText="1"/>
    </xf>
    <xf numFmtId="173" fontId="2" fillId="9" borderId="49" xfId="2" applyNumberFormat="1" applyFont="1" applyFill="1" applyBorder="1" applyAlignment="1">
      <alignment horizontal="center"/>
    </xf>
    <xf numFmtId="173" fontId="2" fillId="9" borderId="57" xfId="2" applyNumberFormat="1" applyFont="1" applyFill="1" applyBorder="1" applyAlignment="1">
      <alignment horizontal="center"/>
    </xf>
    <xf numFmtId="9" fontId="2" fillId="9" borderId="48" xfId="0" applyNumberFormat="1" applyFont="1" applyFill="1" applyBorder="1" applyAlignment="1">
      <alignment horizontal="center"/>
    </xf>
    <xf numFmtId="9" fontId="2" fillId="9" borderId="52" xfId="0" applyNumberFormat="1" applyFont="1" applyFill="1" applyBorder="1" applyAlignment="1">
      <alignment horizontal="center"/>
    </xf>
    <xf numFmtId="0" fontId="43" fillId="13" borderId="50" xfId="0" applyFont="1" applyFill="1" applyBorder="1" applyAlignment="1">
      <alignment horizontal="center" vertical="center" wrapText="1"/>
    </xf>
    <xf numFmtId="0" fontId="43" fillId="13" borderId="51" xfId="0" applyFont="1" applyFill="1" applyBorder="1" applyAlignment="1">
      <alignment horizontal="center" vertical="center" wrapText="1"/>
    </xf>
    <xf numFmtId="0" fontId="43" fillId="13" borderId="66" xfId="0" applyFont="1" applyFill="1" applyBorder="1" applyAlignment="1">
      <alignment horizontal="center" vertical="center" wrapText="1"/>
    </xf>
    <xf numFmtId="9" fontId="2" fillId="9" borderId="18" xfId="0" applyNumberFormat="1" applyFont="1" applyFill="1" applyBorder="1" applyAlignment="1">
      <alignment horizontal="center"/>
    </xf>
    <xf numFmtId="9" fontId="2" fillId="9" borderId="54" xfId="0" applyNumberFormat="1" applyFont="1" applyFill="1" applyBorder="1" applyAlignment="1">
      <alignment horizontal="center"/>
    </xf>
    <xf numFmtId="9" fontId="1" fillId="0" borderId="18" xfId="3" applyFont="1" applyFill="1" applyBorder="1" applyAlignment="1" applyProtection="1">
      <alignment horizontal="center"/>
      <protection locked="0"/>
    </xf>
    <xf numFmtId="9" fontId="1" fillId="0" borderId="17" xfId="3" applyFont="1" applyFill="1" applyBorder="1" applyAlignment="1" applyProtection="1">
      <alignment horizontal="center"/>
      <protection locked="0"/>
    </xf>
    <xf numFmtId="9" fontId="1" fillId="0" borderId="19" xfId="3" applyFont="1" applyFill="1" applyBorder="1" applyAlignment="1" applyProtection="1">
      <alignment horizontal="center"/>
      <protection locked="0"/>
    </xf>
    <xf numFmtId="9" fontId="1" fillId="12" borderId="70" xfId="3" applyFont="1" applyFill="1" applyBorder="1" applyAlignment="1" applyProtection="1">
      <alignment horizontal="center"/>
      <protection locked="0"/>
    </xf>
    <xf numFmtId="172" fontId="49" fillId="14" borderId="18" xfId="1" applyNumberFormat="1" applyFont="1" applyFill="1" applyBorder="1" applyAlignment="1">
      <alignment horizontal="center"/>
    </xf>
    <xf numFmtId="172" fontId="49" fillId="14" borderId="17" xfId="1" applyNumberFormat="1" applyFont="1" applyFill="1" applyBorder="1" applyAlignment="1">
      <alignment horizontal="center"/>
    </xf>
    <xf numFmtId="172" fontId="49" fillId="14" borderId="19" xfId="1" applyNumberFormat="1" applyFont="1" applyFill="1" applyBorder="1" applyAlignment="1">
      <alignment horizontal="center"/>
    </xf>
    <xf numFmtId="0" fontId="0" fillId="12" borderId="70" xfId="0" applyFill="1" applyBorder="1" applyAlignment="1">
      <alignment horizontal="center"/>
    </xf>
    <xf numFmtId="3" fontId="16" fillId="6" borderId="50" xfId="0" applyNumberFormat="1" applyFont="1" applyFill="1" applyBorder="1" applyAlignment="1">
      <alignment horizontal="center"/>
    </xf>
    <xf numFmtId="3" fontId="16" fillId="6" borderId="51" xfId="0" applyNumberFormat="1" applyFont="1" applyFill="1" applyBorder="1" applyAlignment="1">
      <alignment horizontal="center"/>
    </xf>
    <xf numFmtId="3" fontId="16" fillId="6" borderId="52" xfId="0" applyNumberFormat="1" applyFont="1" applyFill="1" applyBorder="1" applyAlignment="1">
      <alignment horizontal="center"/>
    </xf>
    <xf numFmtId="3" fontId="16" fillId="6" borderId="53" xfId="0" applyNumberFormat="1" applyFont="1" applyFill="1" applyBorder="1" applyAlignment="1">
      <alignment horizontal="center"/>
    </xf>
    <xf numFmtId="3" fontId="16" fillId="6" borderId="17" xfId="0" applyNumberFormat="1" applyFont="1" applyFill="1" applyBorder="1" applyAlignment="1">
      <alignment horizontal="center"/>
    </xf>
    <xf numFmtId="3" fontId="16" fillId="6" borderId="54" xfId="0" applyNumberFormat="1" applyFont="1" applyFill="1" applyBorder="1" applyAlignment="1">
      <alignment horizontal="center"/>
    </xf>
    <xf numFmtId="9" fontId="19" fillId="0" borderId="18" xfId="0" applyNumberFormat="1" applyFont="1" applyBorder="1" applyAlignment="1">
      <alignment horizontal="center"/>
    </xf>
    <xf numFmtId="9" fontId="19" fillId="0" borderId="17" xfId="0" applyNumberFormat="1" applyFont="1" applyBorder="1" applyAlignment="1">
      <alignment horizontal="center"/>
    </xf>
    <xf numFmtId="9" fontId="19" fillId="0" borderId="19" xfId="0" applyNumberFormat="1" applyFont="1" applyBorder="1" applyAlignment="1">
      <alignment horizontal="center"/>
    </xf>
    <xf numFmtId="3" fontId="16" fillId="6" borderId="55" xfId="0" applyNumberFormat="1" applyFont="1" applyFill="1" applyBorder="1" applyAlignment="1">
      <alignment horizontal="center"/>
    </xf>
    <xf numFmtId="3" fontId="16" fillId="6" borderId="56" xfId="0" applyNumberFormat="1" applyFont="1" applyFill="1" applyBorder="1" applyAlignment="1">
      <alignment horizontal="center"/>
    </xf>
    <xf numFmtId="3" fontId="16" fillId="6" borderId="57" xfId="0" applyNumberFormat="1" applyFont="1" applyFill="1" applyBorder="1" applyAlignment="1">
      <alignment horizontal="center"/>
    </xf>
    <xf numFmtId="0" fontId="2" fillId="0" borderId="50" xfId="0" applyFont="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0" fillId="6" borderId="0" xfId="0" applyFill="1" applyBorder="1" applyAlignment="1">
      <alignment horizontal="center"/>
    </xf>
    <xf numFmtId="0" fontId="12" fillId="7" borderId="71" xfId="0" applyFont="1" applyFill="1" applyBorder="1" applyAlignment="1">
      <alignment horizontal="left"/>
    </xf>
    <xf numFmtId="0" fontId="12" fillId="7" borderId="21" xfId="0" applyFont="1" applyFill="1" applyBorder="1" applyAlignment="1">
      <alignment horizontal="left"/>
    </xf>
    <xf numFmtId="0" fontId="12" fillId="7" borderId="72" xfId="0" applyFont="1" applyFill="1" applyBorder="1" applyAlignment="1">
      <alignment horizontal="left"/>
    </xf>
    <xf numFmtId="3" fontId="0" fillId="0" borderId="18" xfId="0" applyNumberFormat="1" applyBorder="1" applyAlignment="1">
      <alignment horizontal="center"/>
    </xf>
    <xf numFmtId="3" fontId="0" fillId="0" borderId="17" xfId="0" applyNumberFormat="1" applyBorder="1" applyAlignment="1">
      <alignment horizontal="center"/>
    </xf>
    <xf numFmtId="3" fontId="0" fillId="0" borderId="19" xfId="0" applyNumberFormat="1" applyBorder="1" applyAlignment="1">
      <alignment horizontal="center"/>
    </xf>
    <xf numFmtId="9" fontId="0" fillId="0" borderId="18" xfId="0" applyNumberFormat="1" applyBorder="1" applyAlignment="1">
      <alignment horizontal="center"/>
    </xf>
    <xf numFmtId="9" fontId="0" fillId="0" borderId="17" xfId="0" applyNumberFormat="1" applyBorder="1" applyAlignment="1">
      <alignment horizontal="center"/>
    </xf>
    <xf numFmtId="9" fontId="0" fillId="0" borderId="19" xfId="0" applyNumberFormat="1" applyBorder="1" applyAlignment="1">
      <alignment horizontal="center"/>
    </xf>
  </cellXfs>
  <cellStyles count="6">
    <cellStyle name="Comma" xfId="1" builtinId="3"/>
    <cellStyle name="Currency" xfId="2" builtinId="4"/>
    <cellStyle name="Hyperlink" xfId="5" builtinId="8"/>
    <cellStyle name="Normal" xfId="0" builtinId="0"/>
    <cellStyle name="Normal_HIV testing 080808" xfId="4"/>
    <cellStyle name="Percent" xfId="3" builtinId="5"/>
  </cellStyles>
  <dxfs count="9">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b/>
        <i val="0"/>
        <color theme="1"/>
      </font>
      <fill>
        <patternFill>
          <bgColor rgb="FFFFFF00"/>
        </patternFill>
      </fill>
    </dxf>
    <dxf>
      <font>
        <color rgb="FF9C0006"/>
      </font>
      <fill>
        <patternFill>
          <bgColor rgb="FFFFC7CE"/>
        </patternFill>
      </fill>
    </dxf>
    <dxf>
      <font>
        <color rgb="FF9C0006"/>
      </font>
      <fill>
        <patternFill>
          <bgColor rgb="FFFFC7CE"/>
        </patternFill>
      </fill>
    </dxf>
    <dxf>
      <font>
        <color theme="1"/>
      </font>
      <numFmt numFmtId="168" formatCode="0.0%"/>
      <fill>
        <patternFill>
          <bgColor theme="0" tint="-0.14996795556505021"/>
        </patternFill>
      </fill>
    </dxf>
    <dxf>
      <font>
        <color rgb="FF9C0006"/>
      </font>
      <fill>
        <patternFill>
          <bgColor rgb="FFFFC7CE"/>
        </patternFill>
      </fill>
    </dxf>
  </dxfs>
  <tableStyles count="0" defaultTableStyle="TableStyleMedium2" defaultPivotStyle="PivotStyleLight16"/>
  <colors>
    <mruColors>
      <color rgb="FFEDF1F9"/>
      <color rgb="FFFF9999"/>
      <color rgb="FFA24A0E"/>
      <color rgb="FFEF8B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t>Vaccination coverage</a:t>
            </a:r>
            <a:r>
              <a:rPr lang="en-US" sz="1200" b="1" baseline="0"/>
              <a:t> by dog type</a:t>
            </a:r>
            <a:endParaRPr lang="en-US" sz="1200" b="1"/>
          </a:p>
        </c:rich>
      </c:tx>
      <c:layout>
        <c:manualLayout>
          <c:xMode val="edge"/>
          <c:yMode val="edge"/>
          <c:x val="0.2215423335685118"/>
          <c:y val="2.9562225791380431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2.4756427644558065E-3"/>
          <c:y val="0.1666026476183467"/>
          <c:w val="0.99752435723554422"/>
          <c:h val="0.64860364739052434"/>
        </c:manualLayout>
      </c:layout>
      <c:barChart>
        <c:barDir val="col"/>
        <c:grouping val="clustered"/>
        <c:varyColors val="0"/>
        <c:ser>
          <c:idx val="0"/>
          <c:order val="0"/>
          <c:spPr>
            <a:solidFill>
              <a:schemeClr val="accent5">
                <a:lumMod val="5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'VACCINATION CALCULATOR'!$AO$16:$AO$19</c:f>
                <c:numCache>
                  <c:formatCode>General</c:formatCode>
                  <c:ptCount val="4"/>
                </c:numCache>
              </c:numRef>
            </c:plus>
            <c:minus>
              <c:numRef>
                <c:f>'VACCINATION CALCULATOR'!$AO$16:$AO$19</c:f>
                <c:numCache>
                  <c:formatCode>General</c:formatCode>
                  <c:ptCount val="4"/>
                </c:numCache>
              </c:numRef>
            </c:minus>
            <c:spPr>
              <a:noFill/>
              <a:ln w="9525" cap="flat" cmpd="sng" algn="ctr">
                <a:solidFill>
                  <a:schemeClr val="tx1">
                    <a:lumMod val="65000"/>
                    <a:lumOff val="35000"/>
                  </a:schemeClr>
                </a:solidFill>
                <a:round/>
              </a:ln>
              <a:effectLst/>
            </c:spPr>
          </c:errBars>
          <c:cat>
            <c:strRef>
              <c:f>('VACCINATION CALCULATOR'!$J$10:$J$12,'VACCINATION CALCULATOR'!$J$15:$J$16)</c:f>
              <c:strCache>
                <c:ptCount val="5"/>
                <c:pt idx="0">
                  <c:v>Always confined</c:v>
                </c:pt>
                <c:pt idx="1">
                  <c:v>Sometimes confined</c:v>
                </c:pt>
                <c:pt idx="2">
                  <c:v>Always free-roaming</c:v>
                </c:pt>
                <c:pt idx="3">
                  <c:v>Total Population</c:v>
                </c:pt>
                <c:pt idx="4">
                  <c:v>Free-roaming Population</c:v>
                </c:pt>
              </c:strCache>
            </c:strRef>
          </c:cat>
          <c:val>
            <c:numRef>
              <c:f>('VACCINATION CALCULATOR'!$M$10:$M$12,'VACCINATION CALCULATOR'!$M$15:$M$16)</c:f>
              <c:numCache>
                <c:formatCode>0%</c:formatCode>
                <c:ptCount val="5"/>
                <c:pt idx="0">
                  <c:v>0.95</c:v>
                </c:pt>
                <c:pt idx="1">
                  <c:v>0.62814996999419526</c:v>
                </c:pt>
                <c:pt idx="2">
                  <c:v>0.8</c:v>
                </c:pt>
                <c:pt idx="3">
                  <c:v>0.78703749249854893</c:v>
                </c:pt>
                <c:pt idx="4">
                  <c:v>0.74629686562318609</c:v>
                </c:pt>
              </c:numCache>
            </c:numRef>
          </c:val>
          <c:extLst>
            <c:ext xmlns:c16="http://schemas.microsoft.com/office/drawing/2014/chart" uri="{C3380CC4-5D6E-409C-BE32-E72D297353CC}">
              <c16:uniqueId val="{00000000-233C-407A-9EAB-A2D5B6F571FB}"/>
            </c:ext>
          </c:extLst>
        </c:ser>
        <c:dLbls>
          <c:showLegendKey val="0"/>
          <c:showVal val="0"/>
          <c:showCatName val="0"/>
          <c:showSerName val="0"/>
          <c:showPercent val="0"/>
          <c:showBubbleSize val="0"/>
        </c:dLbls>
        <c:gapWidth val="50"/>
        <c:overlap val="-27"/>
        <c:axId val="410485328"/>
        <c:axId val="410483368"/>
      </c:barChart>
      <c:catAx>
        <c:axId val="410485328"/>
        <c:scaling>
          <c:orientation val="minMax"/>
        </c:scaling>
        <c:delete val="0"/>
        <c:axPos val="b"/>
        <c:numFmt formatCode="General" sourceLinked="1"/>
        <c:majorTickMark val="out"/>
        <c:minorTickMark val="none"/>
        <c:tickLblPos val="nextTo"/>
        <c:spPr>
          <a:noFill/>
          <a:ln w="9525" cap="flat" cmpd="sng" algn="ctr">
            <a:noFill/>
            <a:round/>
          </a:ln>
          <a:effectLst/>
        </c:spPr>
        <c:txPr>
          <a:bodyPr rot="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410483368"/>
        <c:crosses val="autoZero"/>
        <c:auto val="1"/>
        <c:lblAlgn val="ctr"/>
        <c:lblOffset val="100"/>
        <c:noMultiLvlLbl val="0"/>
      </c:catAx>
      <c:valAx>
        <c:axId val="410483368"/>
        <c:scaling>
          <c:orientation val="minMax"/>
          <c:max val="1"/>
        </c:scaling>
        <c:delete val="1"/>
        <c:axPos val="l"/>
        <c:numFmt formatCode="0%" sourceLinked="0"/>
        <c:majorTickMark val="out"/>
        <c:minorTickMark val="out"/>
        <c:tickLblPos val="nextTo"/>
        <c:crossAx val="410485328"/>
        <c:crosses val="autoZero"/>
        <c:crossBetween val="between"/>
        <c:majorUnit val="0.2"/>
        <c:minorUnit val="0.1"/>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sz="1200" b="1"/>
              <a:t>Vaccine wastage by dog</a:t>
            </a:r>
            <a:r>
              <a:rPr lang="en-US" sz="1200" b="1" baseline="0"/>
              <a:t> vaccination strategy (1000s)</a:t>
            </a:r>
            <a:endParaRPr lang="en-US" sz="1200" b="1"/>
          </a:p>
        </c:rich>
      </c:tx>
      <c:layout>
        <c:manualLayout>
          <c:xMode val="edge"/>
          <c:yMode val="edge"/>
          <c:x val="0.10976548425737968"/>
          <c:y val="2.5089569081174032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1.8401288495212111E-3"/>
          <c:y val="0.18668154761904765"/>
          <c:w val="0.99344114641563175"/>
          <c:h val="0.62914415499657728"/>
        </c:manualLayout>
      </c:layout>
      <c:barChart>
        <c:barDir val="col"/>
        <c:grouping val="clustered"/>
        <c:varyColors val="0"/>
        <c:ser>
          <c:idx val="0"/>
          <c:order val="0"/>
          <c:spPr>
            <a:solidFill>
              <a:schemeClr val="accent2">
                <a:lumMod val="75000"/>
              </a:schemeClr>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'VACCINATION CALCULATOR'!$K$4:$K$7</c:f>
              <c:strCache>
                <c:ptCount val="4"/>
                <c:pt idx="0">
                  <c:v>CPV</c:v>
                </c:pt>
                <c:pt idx="1">
                  <c:v>DDV</c:v>
                </c:pt>
                <c:pt idx="2">
                  <c:v>CVR</c:v>
                </c:pt>
                <c:pt idx="3">
                  <c:v>ORV</c:v>
                </c:pt>
              </c:strCache>
            </c:strRef>
          </c:cat>
          <c:val>
            <c:numRef>
              <c:f>'VACCINATION CALCULATOR'!$O$4:$O$7</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0-0A55-43B1-92CC-E785EF1533BA}"/>
            </c:ext>
          </c:extLst>
        </c:ser>
        <c:dLbls>
          <c:dLblPos val="outEnd"/>
          <c:showLegendKey val="0"/>
          <c:showVal val="1"/>
          <c:showCatName val="0"/>
          <c:showSerName val="0"/>
          <c:showPercent val="0"/>
          <c:showBubbleSize val="0"/>
        </c:dLbls>
        <c:gapWidth val="50"/>
        <c:axId val="412050872"/>
        <c:axId val="412051264"/>
      </c:barChart>
      <c:catAx>
        <c:axId val="41205087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412051264"/>
        <c:crosses val="autoZero"/>
        <c:auto val="1"/>
        <c:lblAlgn val="ctr"/>
        <c:lblOffset val="100"/>
        <c:noMultiLvlLbl val="0"/>
      </c:catAx>
      <c:valAx>
        <c:axId val="412051264"/>
        <c:scaling>
          <c:orientation val="minMax"/>
        </c:scaling>
        <c:delete val="1"/>
        <c:axPos val="l"/>
        <c:numFmt formatCode="_(* #,##0_);_(* \(#,##0\);_(* &quot;-&quot;??_);_(@_)" sourceLinked="1"/>
        <c:majorTickMark val="none"/>
        <c:minorTickMark val="none"/>
        <c:tickLblPos val="nextTo"/>
        <c:crossAx val="412050872"/>
        <c:crosses val="autoZero"/>
        <c:crossBetween val="between"/>
        <c:dispUnits>
          <c:builtInUnit val="thousands"/>
        </c:dispUnits>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t>Vaccine wastage</a:t>
            </a:r>
          </a:p>
        </c:rich>
      </c:tx>
      <c:layout>
        <c:manualLayout>
          <c:xMode val="edge"/>
          <c:yMode val="edge"/>
          <c:x val="0.37665861984037008"/>
          <c:y val="2.2295924160966079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4.6171018024760514E-2"/>
          <c:y val="0.23678212206190777"/>
          <c:w val="0.88832790107801518"/>
          <c:h val="0.55434665818023454"/>
        </c:manualLayout>
      </c:layout>
      <c:barChart>
        <c:barDir val="bar"/>
        <c:grouping val="stacked"/>
        <c:varyColors val="0"/>
        <c:ser>
          <c:idx val="0"/>
          <c:order val="0"/>
          <c:tx>
            <c:strRef>
              <c:f>'VACCINATION CALCULATOR'!$L$18</c:f>
              <c:strCache>
                <c:ptCount val="1"/>
                <c:pt idx="0">
                  <c:v>Used</c:v>
                </c:pt>
              </c:strCache>
            </c:strRef>
          </c:tx>
          <c:spPr>
            <a:solidFill>
              <a:schemeClr val="accent5">
                <a:lumMod val="50000"/>
              </a:schemeClr>
            </a:solidFill>
            <a:ln w="19050">
              <a:solidFill>
                <a:schemeClr val="lt1"/>
              </a:solidFill>
            </a:ln>
            <a:effectLst/>
          </c:spPr>
          <c:invertIfNegative val="0"/>
          <c:dPt>
            <c:idx val="0"/>
            <c:invertIfNegative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824D-4B01-9E0C-9FD55C417E24}"/>
              </c:ext>
            </c:extLst>
          </c:dPt>
          <c:dPt>
            <c:idx val="1"/>
            <c:invertIfNegative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3-824D-4B01-9E0C-9FD55C417E24}"/>
              </c:ext>
            </c:extLst>
          </c:dPt>
          <c:val>
            <c:numRef>
              <c:f>'VACCINATION CALCULATOR'!$L$19</c:f>
              <c:numCache>
                <c:formatCode>0%</c:formatCode>
                <c:ptCount val="1"/>
                <c:pt idx="0">
                  <c:v>1</c:v>
                </c:pt>
              </c:numCache>
            </c:numRef>
          </c:val>
          <c:extLst>
            <c:ext xmlns:c16="http://schemas.microsoft.com/office/drawing/2014/chart" uri="{C3380CC4-5D6E-409C-BE32-E72D297353CC}">
              <c16:uniqueId val="{00000004-824D-4B01-9E0C-9FD55C417E24}"/>
            </c:ext>
          </c:extLst>
        </c:ser>
        <c:ser>
          <c:idx val="1"/>
          <c:order val="1"/>
          <c:tx>
            <c:strRef>
              <c:f>'VACCINATION CALCULATOR'!$M$18</c:f>
              <c:strCache>
                <c:ptCount val="1"/>
                <c:pt idx="0">
                  <c:v>Unused</c:v>
                </c:pt>
              </c:strCache>
            </c:strRef>
          </c:tx>
          <c:spPr>
            <a:solidFill>
              <a:srgbClr val="EF8B47"/>
            </a:solidFill>
            <a:ln w="19050">
              <a:solidFill>
                <a:schemeClr val="lt1"/>
              </a:solidFill>
            </a:ln>
            <a:effectLst/>
          </c:spPr>
          <c:invertIfNegative val="0"/>
          <c:dLbls>
            <c:dLbl>
              <c:idx val="0"/>
              <c:layout>
                <c:manualLayout>
                  <c:x val="7.6914023924082905E-2"/>
                  <c:y val="-0.3123759216549261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4D-4B01-9E0C-9FD55C417E24}"/>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'VACCINATION CALCULATOR'!$M$19</c:f>
              <c:numCache>
                <c:formatCode>0%</c:formatCode>
                <c:ptCount val="1"/>
                <c:pt idx="0">
                  <c:v>0</c:v>
                </c:pt>
              </c:numCache>
            </c:numRef>
          </c:val>
          <c:extLst>
            <c:ext xmlns:c16="http://schemas.microsoft.com/office/drawing/2014/chart" uri="{C3380CC4-5D6E-409C-BE32-E72D297353CC}">
              <c16:uniqueId val="{00000006-824D-4B01-9E0C-9FD55C417E24}"/>
            </c:ext>
          </c:extLst>
        </c:ser>
        <c:dLbls>
          <c:showLegendKey val="0"/>
          <c:showVal val="0"/>
          <c:showCatName val="0"/>
          <c:showSerName val="0"/>
          <c:showPercent val="0"/>
          <c:showBubbleSize val="0"/>
        </c:dLbls>
        <c:gapWidth val="40"/>
        <c:overlap val="100"/>
        <c:axId val="412057536"/>
        <c:axId val="412055968"/>
      </c:barChart>
      <c:valAx>
        <c:axId val="412055968"/>
        <c:scaling>
          <c:orientation val="minMax"/>
          <c:max val="1"/>
          <c:min val="0"/>
        </c:scaling>
        <c:delete val="0"/>
        <c:axPos val="b"/>
        <c:numFmt formatCode="0%" sourceLinked="0"/>
        <c:majorTickMark val="out"/>
        <c:minorTickMark val="none"/>
        <c:tickLblPos val="nextTo"/>
        <c:spPr>
          <a:noFill/>
          <a:ln>
            <a:noFill/>
          </a:ln>
          <a:effectLst/>
        </c:spPr>
        <c:txPr>
          <a:bodyPr rot="-60000000" spcFirstLastPara="1" vertOverflow="ellipsis" vert="horz" wrap="square" anchor="t" anchorCtr="0"/>
          <a:lstStyle/>
          <a:p>
            <a:pPr>
              <a:defRPr sz="1050" b="1" i="0" u="none" strike="noStrike" kern="1200" baseline="0">
                <a:solidFill>
                  <a:schemeClr val="tx1"/>
                </a:solidFill>
                <a:latin typeface="+mn-lt"/>
                <a:ea typeface="+mn-ea"/>
                <a:cs typeface="+mn-cs"/>
              </a:defRPr>
            </a:pPr>
            <a:endParaRPr lang="en-US"/>
          </a:p>
        </c:txPr>
        <c:crossAx val="412057536"/>
        <c:crosses val="autoZero"/>
        <c:crossBetween val="between"/>
        <c:majorUnit val="1"/>
      </c:valAx>
      <c:catAx>
        <c:axId val="412057536"/>
        <c:scaling>
          <c:orientation val="minMax"/>
        </c:scaling>
        <c:delete val="1"/>
        <c:axPos val="l"/>
        <c:majorTickMark val="out"/>
        <c:minorTickMark val="none"/>
        <c:tickLblPos val="nextTo"/>
        <c:crossAx val="412055968"/>
        <c:crosses val="autoZero"/>
        <c:auto val="1"/>
        <c:lblAlgn val="ctr"/>
        <c:lblOffset val="100"/>
        <c:noMultiLvlLbl val="0"/>
      </c:catAx>
      <c:spPr>
        <a:noFill/>
        <a:ln>
          <a:noFill/>
        </a:ln>
        <a:effectLst/>
      </c:spPr>
    </c:plotArea>
    <c:legend>
      <c:legendPos val="b"/>
      <c:layout>
        <c:manualLayout>
          <c:xMode val="edge"/>
          <c:yMode val="edge"/>
          <c:x val="0.25368430593631791"/>
          <c:y val="0.75849899954186473"/>
          <c:w val="0.47088187090502692"/>
          <c:h val="0.1321131796325976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t>Average cost of vaccination per dog: breakdown</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35828801454137521"/>
          <c:y val="0.15735636839160747"/>
          <c:w val="0.60741646115701386"/>
          <c:h val="0.76397511734986745"/>
        </c:manualLayout>
      </c:layout>
      <c:barChart>
        <c:barDir val="bar"/>
        <c:grouping val="clustered"/>
        <c:varyColors val="0"/>
        <c:ser>
          <c:idx val="0"/>
          <c:order val="0"/>
          <c:spPr>
            <a:solidFill>
              <a:schemeClr val="accent5">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'VACCINATION COSTS'!$B$21:$B$26</c:f>
              <c:strCache>
                <c:ptCount val="6"/>
                <c:pt idx="0">
                  <c:v>Human resources</c:v>
                </c:pt>
                <c:pt idx="1">
                  <c:v>Human vaccines / PEP</c:v>
                </c:pt>
                <c:pt idx="2">
                  <c:v>Transport costs</c:v>
                </c:pt>
                <c:pt idx="3">
                  <c:v>Awareness campaign</c:v>
                </c:pt>
                <c:pt idx="4">
                  <c:v>Equipment </c:v>
                </c:pt>
                <c:pt idx="5">
                  <c:v>Dog vaccines (consumables)</c:v>
                </c:pt>
              </c:strCache>
            </c:strRef>
          </c:cat>
          <c:val>
            <c:numRef>
              <c:f>'VACCINATION COSTS'!$J$21:$J$26</c:f>
              <c:numCache>
                <c:formatCode>_("$"* #,##0.00_);_("$"* \(#,##0.00\);_("$"* "-"??_);_(@_)</c:formatCode>
                <c:ptCount val="6"/>
                <c:pt idx="0">
                  <c:v>0.40079660297368425</c:v>
                </c:pt>
                <c:pt idx="1">
                  <c:v>1.2500000000000001E-2</c:v>
                </c:pt>
                <c:pt idx="2">
                  <c:v>3.9459254999999999E-2</c:v>
                </c:pt>
                <c:pt idx="3">
                  <c:v>0.217788225</c:v>
                </c:pt>
                <c:pt idx="4">
                  <c:v>0.19049342105263159</c:v>
                </c:pt>
                <c:pt idx="5">
                  <c:v>1.71275</c:v>
                </c:pt>
              </c:numCache>
            </c:numRef>
          </c:val>
          <c:extLst>
            <c:ext xmlns:c16="http://schemas.microsoft.com/office/drawing/2014/chart" uri="{C3380CC4-5D6E-409C-BE32-E72D297353CC}">
              <c16:uniqueId val="{00000000-8AF2-42D3-87D8-E04B74CCF7D2}"/>
            </c:ext>
          </c:extLst>
        </c:ser>
        <c:dLbls>
          <c:showLegendKey val="0"/>
          <c:showVal val="0"/>
          <c:showCatName val="0"/>
          <c:showSerName val="0"/>
          <c:showPercent val="0"/>
          <c:showBubbleSize val="0"/>
        </c:dLbls>
        <c:gapWidth val="100"/>
        <c:axId val="412055184"/>
        <c:axId val="412057928"/>
      </c:barChart>
      <c:catAx>
        <c:axId val="412055184"/>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412057928"/>
        <c:crosses val="autoZero"/>
        <c:auto val="1"/>
        <c:lblAlgn val="ctr"/>
        <c:lblOffset val="100"/>
        <c:noMultiLvlLbl val="0"/>
      </c:catAx>
      <c:valAx>
        <c:axId val="412057928"/>
        <c:scaling>
          <c:orientation val="minMax"/>
        </c:scaling>
        <c:delete val="1"/>
        <c:axPos val="b"/>
        <c:numFmt formatCode="#,##0.00" sourceLinked="0"/>
        <c:majorTickMark val="none"/>
        <c:minorTickMark val="none"/>
        <c:tickLblPos val="nextTo"/>
        <c:crossAx val="412055184"/>
        <c:crosses val="autoZero"/>
        <c:crossBetween val="between"/>
      </c:valAx>
      <c:spPr>
        <a:noFill/>
        <a:ln>
          <a:noFill/>
        </a:ln>
        <a:effectLst/>
      </c:spPr>
    </c:plotArea>
    <c:plotVisOnly val="1"/>
    <c:dispBlanksAs val="gap"/>
    <c:showDLblsOverMax val="0"/>
  </c:chart>
  <c:spPr>
    <a:no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Definitions!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hyperlink" Target="#'VACCINATION COSTS'!A1"/></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106680</xdr:colOff>
      <xdr:row>0</xdr:row>
      <xdr:rowOff>60960</xdr:rowOff>
    </xdr:from>
    <xdr:to>
      <xdr:col>1</xdr:col>
      <xdr:colOff>1028700</xdr:colOff>
      <xdr:row>4</xdr:row>
      <xdr:rowOff>0</xdr:rowOff>
    </xdr:to>
    <xdr:pic>
      <xdr:nvPicPr>
        <xdr:cNvPr id="2" name="Picture 3" descr="CDCLOGO-rgb_good">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lum contrast="30000"/>
          <a:extLst>
            <a:ext uri="{28A0092B-C50C-407E-A947-70E740481C1C}">
              <a14:useLocalDpi xmlns:a14="http://schemas.microsoft.com/office/drawing/2010/main" val="0"/>
            </a:ext>
          </a:extLst>
        </a:blip>
        <a:srcRect/>
        <a:stretch>
          <a:fillRect/>
        </a:stretch>
      </xdr:blipFill>
      <xdr:spPr bwMode="auto">
        <a:xfrm>
          <a:off x="304800" y="60960"/>
          <a:ext cx="92202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4096310</xdr:colOff>
      <xdr:row>16</xdr:row>
      <xdr:rowOff>18824</xdr:rowOff>
    </xdr:from>
    <xdr:to>
      <xdr:col>1</xdr:col>
      <xdr:colOff>5256455</xdr:colOff>
      <xdr:row>17</xdr:row>
      <xdr:rowOff>102646</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4294430" y="3790724"/>
          <a:ext cx="1160145" cy="259082"/>
        </a:xfrm>
        <a:prstGeom prst="rect">
          <a:avLst/>
        </a:prstGeom>
        <a:solidFill>
          <a:schemeClr val="accent5">
            <a:lumMod val="75000"/>
          </a:schemeClr>
        </a:solidFill>
        <a:effectLst>
          <a:innerShdw blurRad="114300">
            <a:prstClr val="black"/>
          </a:innerShdw>
        </a:effectLst>
        <a:scene3d>
          <a:camera prst="orthographicFront"/>
          <a:lightRig rig="threePt" dir="t"/>
        </a:scene3d>
        <a:sp3d>
          <a:bevelT/>
          <a:bevelB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Arial" pitchFamily="34" charset="0"/>
              <a:cs typeface="Arial" pitchFamily="34" charset="0"/>
            </a:rPr>
            <a:t>Start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12279</xdr:colOff>
      <xdr:row>25</xdr:row>
      <xdr:rowOff>100854</xdr:rowOff>
    </xdr:from>
    <xdr:to>
      <xdr:col>11</xdr:col>
      <xdr:colOff>829236</xdr:colOff>
      <xdr:row>38</xdr:row>
      <xdr:rowOff>76522</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907677</xdr:colOff>
      <xdr:row>25</xdr:row>
      <xdr:rowOff>100853</xdr:rowOff>
    </xdr:from>
    <xdr:to>
      <xdr:col>16</xdr:col>
      <xdr:colOff>2240</xdr:colOff>
      <xdr:row>38</xdr:row>
      <xdr:rowOff>76200</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315686</xdr:colOff>
      <xdr:row>19</xdr:row>
      <xdr:rowOff>163285</xdr:rowOff>
    </xdr:from>
    <xdr:to>
      <xdr:col>16</xdr:col>
      <xdr:colOff>1</xdr:colOff>
      <xdr:row>25</xdr:row>
      <xdr:rowOff>0</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464046</xdr:colOff>
      <xdr:row>37</xdr:row>
      <xdr:rowOff>46350</xdr:rowOff>
    </xdr:from>
    <xdr:to>
      <xdr:col>5</xdr:col>
      <xdr:colOff>455081</xdr:colOff>
      <xdr:row>38</xdr:row>
      <xdr:rowOff>156882</xdr:rowOff>
    </xdr:to>
    <xdr:sp macro="" textlink="">
      <xdr:nvSpPr>
        <xdr:cNvPr id="6" name="Rectangle 5">
          <a:hlinkClick xmlns:r="http://schemas.openxmlformats.org/officeDocument/2006/relationships" r:id="rId4"/>
          <a:extLst>
            <a:ext uri="{FF2B5EF4-FFF2-40B4-BE49-F238E27FC236}">
              <a16:creationId xmlns:a16="http://schemas.microsoft.com/office/drawing/2014/main" id="{00000000-0008-0000-0200-000006000000}"/>
            </a:ext>
          </a:extLst>
        </xdr:cNvPr>
        <xdr:cNvSpPr/>
      </xdr:nvSpPr>
      <xdr:spPr>
        <a:xfrm>
          <a:off x="6268693" y="8260262"/>
          <a:ext cx="2377888" cy="301032"/>
        </a:xfrm>
        <a:prstGeom prst="rect">
          <a:avLst/>
        </a:prstGeom>
        <a:solidFill>
          <a:schemeClr val="accent5">
            <a:lumMod val="50000"/>
          </a:schemeClr>
        </a:solidFill>
        <a:effectLst>
          <a:innerShdw blurRad="114300">
            <a:prstClr val="black"/>
          </a:innerShdw>
        </a:effectLst>
        <a:scene3d>
          <a:camera prst="orthographicFront"/>
          <a:lightRig rig="threePt" dir="t"/>
        </a:scene3d>
        <a:sp3d>
          <a:bevelT/>
          <a:bevelB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latin typeface="+mn-lt"/>
              <a:cs typeface="Arial" pitchFamily="34" charset="0"/>
            </a:rPr>
            <a:t>Estimate</a:t>
          </a:r>
          <a:r>
            <a:rPr lang="en-US" sz="1400" b="0" baseline="0">
              <a:latin typeface="+mn-lt"/>
              <a:cs typeface="Arial" pitchFamily="34" charset="0"/>
            </a:rPr>
            <a:t> value</a:t>
          </a:r>
          <a:endParaRPr lang="en-US" sz="1400" b="0">
            <a:latin typeface="+mn-lt"/>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168087</xdr:colOff>
      <xdr:row>1</xdr:row>
      <xdr:rowOff>42585</xdr:rowOff>
    </xdr:from>
    <xdr:to>
      <xdr:col>8</xdr:col>
      <xdr:colOff>1001806</xdr:colOff>
      <xdr:row>14</xdr:row>
      <xdr:rowOff>33619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662216</xdr:colOff>
      <xdr:row>71</xdr:row>
      <xdr:rowOff>181430</xdr:rowOff>
    </xdr:from>
    <xdr:to>
      <xdr:col>21</xdr:col>
      <xdr:colOff>496858</xdr:colOff>
      <xdr:row>89</xdr:row>
      <xdr:rowOff>150950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11561537" y="13720537"/>
          <a:ext cx="5331928" cy="33985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5"/>
  <sheetViews>
    <sheetView showGridLines="0" showRowColHeaders="0" topLeftCell="B1" workbookViewId="0">
      <selection activeCell="B1" sqref="B1"/>
    </sheetView>
  </sheetViews>
  <sheetFormatPr defaultColWidth="9.28515625" defaultRowHeight="12.75" x14ac:dyDescent="0.2"/>
  <cols>
    <col min="1" max="1" width="2.7109375" style="88" customWidth="1"/>
    <col min="2" max="2" width="131.7109375" style="88" customWidth="1"/>
    <col min="3" max="257" width="9.28515625" style="88"/>
    <col min="258" max="258" width="136.7109375" style="88" customWidth="1"/>
    <col min="259" max="513" width="9.28515625" style="88"/>
    <col min="514" max="514" width="136.7109375" style="88" customWidth="1"/>
    <col min="515" max="769" width="9.28515625" style="88"/>
    <col min="770" max="770" width="136.7109375" style="88" customWidth="1"/>
    <col min="771" max="1025" width="9.28515625" style="88"/>
    <col min="1026" max="1026" width="136.7109375" style="88" customWidth="1"/>
    <col min="1027" max="1281" width="9.28515625" style="88"/>
    <col min="1282" max="1282" width="136.7109375" style="88" customWidth="1"/>
    <col min="1283" max="1537" width="9.28515625" style="88"/>
    <col min="1538" max="1538" width="136.7109375" style="88" customWidth="1"/>
    <col min="1539" max="1793" width="9.28515625" style="88"/>
    <col min="1794" max="1794" width="136.7109375" style="88" customWidth="1"/>
    <col min="1795" max="2049" width="9.28515625" style="88"/>
    <col min="2050" max="2050" width="136.7109375" style="88" customWidth="1"/>
    <col min="2051" max="2305" width="9.28515625" style="88"/>
    <col min="2306" max="2306" width="136.7109375" style="88" customWidth="1"/>
    <col min="2307" max="2561" width="9.28515625" style="88"/>
    <col min="2562" max="2562" width="136.7109375" style="88" customWidth="1"/>
    <col min="2563" max="2817" width="9.28515625" style="88"/>
    <col min="2818" max="2818" width="136.7109375" style="88" customWidth="1"/>
    <col min="2819" max="3073" width="9.28515625" style="88"/>
    <col min="3074" max="3074" width="136.7109375" style="88" customWidth="1"/>
    <col min="3075" max="3329" width="9.28515625" style="88"/>
    <col min="3330" max="3330" width="136.7109375" style="88" customWidth="1"/>
    <col min="3331" max="3585" width="9.28515625" style="88"/>
    <col min="3586" max="3586" width="136.7109375" style="88" customWidth="1"/>
    <col min="3587" max="3841" width="9.28515625" style="88"/>
    <col min="3842" max="3842" width="136.7109375" style="88" customWidth="1"/>
    <col min="3843" max="4097" width="9.28515625" style="88"/>
    <col min="4098" max="4098" width="136.7109375" style="88" customWidth="1"/>
    <col min="4099" max="4353" width="9.28515625" style="88"/>
    <col min="4354" max="4354" width="136.7109375" style="88" customWidth="1"/>
    <col min="4355" max="4609" width="9.28515625" style="88"/>
    <col min="4610" max="4610" width="136.7109375" style="88" customWidth="1"/>
    <col min="4611" max="4865" width="9.28515625" style="88"/>
    <col min="4866" max="4866" width="136.7109375" style="88" customWidth="1"/>
    <col min="4867" max="5121" width="9.28515625" style="88"/>
    <col min="5122" max="5122" width="136.7109375" style="88" customWidth="1"/>
    <col min="5123" max="5377" width="9.28515625" style="88"/>
    <col min="5378" max="5378" width="136.7109375" style="88" customWidth="1"/>
    <col min="5379" max="5633" width="9.28515625" style="88"/>
    <col min="5634" max="5634" width="136.7109375" style="88" customWidth="1"/>
    <col min="5635" max="5889" width="9.28515625" style="88"/>
    <col min="5890" max="5890" width="136.7109375" style="88" customWidth="1"/>
    <col min="5891" max="6145" width="9.28515625" style="88"/>
    <col min="6146" max="6146" width="136.7109375" style="88" customWidth="1"/>
    <col min="6147" max="6401" width="9.28515625" style="88"/>
    <col min="6402" max="6402" width="136.7109375" style="88" customWidth="1"/>
    <col min="6403" max="6657" width="9.28515625" style="88"/>
    <col min="6658" max="6658" width="136.7109375" style="88" customWidth="1"/>
    <col min="6659" max="6913" width="9.28515625" style="88"/>
    <col min="6914" max="6914" width="136.7109375" style="88" customWidth="1"/>
    <col min="6915" max="7169" width="9.28515625" style="88"/>
    <col min="7170" max="7170" width="136.7109375" style="88" customWidth="1"/>
    <col min="7171" max="7425" width="9.28515625" style="88"/>
    <col min="7426" max="7426" width="136.7109375" style="88" customWidth="1"/>
    <col min="7427" max="7681" width="9.28515625" style="88"/>
    <col min="7682" max="7682" width="136.7109375" style="88" customWidth="1"/>
    <col min="7683" max="7937" width="9.28515625" style="88"/>
    <col min="7938" max="7938" width="136.7109375" style="88" customWidth="1"/>
    <col min="7939" max="8193" width="9.28515625" style="88"/>
    <col min="8194" max="8194" width="136.7109375" style="88" customWidth="1"/>
    <col min="8195" max="8449" width="9.28515625" style="88"/>
    <col min="8450" max="8450" width="136.7109375" style="88" customWidth="1"/>
    <col min="8451" max="8705" width="9.28515625" style="88"/>
    <col min="8706" max="8706" width="136.7109375" style="88" customWidth="1"/>
    <col min="8707" max="8961" width="9.28515625" style="88"/>
    <col min="8962" max="8962" width="136.7109375" style="88" customWidth="1"/>
    <col min="8963" max="9217" width="9.28515625" style="88"/>
    <col min="9218" max="9218" width="136.7109375" style="88" customWidth="1"/>
    <col min="9219" max="9473" width="9.28515625" style="88"/>
    <col min="9474" max="9474" width="136.7109375" style="88" customWidth="1"/>
    <col min="9475" max="9729" width="9.28515625" style="88"/>
    <col min="9730" max="9730" width="136.7109375" style="88" customWidth="1"/>
    <col min="9731" max="9985" width="9.28515625" style="88"/>
    <col min="9986" max="9986" width="136.7109375" style="88" customWidth="1"/>
    <col min="9987" max="10241" width="9.28515625" style="88"/>
    <col min="10242" max="10242" width="136.7109375" style="88" customWidth="1"/>
    <col min="10243" max="10497" width="9.28515625" style="88"/>
    <col min="10498" max="10498" width="136.7109375" style="88" customWidth="1"/>
    <col min="10499" max="10753" width="9.28515625" style="88"/>
    <col min="10754" max="10754" width="136.7109375" style="88" customWidth="1"/>
    <col min="10755" max="11009" width="9.28515625" style="88"/>
    <col min="11010" max="11010" width="136.7109375" style="88" customWidth="1"/>
    <col min="11011" max="11265" width="9.28515625" style="88"/>
    <col min="11266" max="11266" width="136.7109375" style="88" customWidth="1"/>
    <col min="11267" max="11521" width="9.28515625" style="88"/>
    <col min="11522" max="11522" width="136.7109375" style="88" customWidth="1"/>
    <col min="11523" max="11777" width="9.28515625" style="88"/>
    <col min="11778" max="11778" width="136.7109375" style="88" customWidth="1"/>
    <col min="11779" max="12033" width="9.28515625" style="88"/>
    <col min="12034" max="12034" width="136.7109375" style="88" customWidth="1"/>
    <col min="12035" max="12289" width="9.28515625" style="88"/>
    <col min="12290" max="12290" width="136.7109375" style="88" customWidth="1"/>
    <col min="12291" max="12545" width="9.28515625" style="88"/>
    <col min="12546" max="12546" width="136.7109375" style="88" customWidth="1"/>
    <col min="12547" max="12801" width="9.28515625" style="88"/>
    <col min="12802" max="12802" width="136.7109375" style="88" customWidth="1"/>
    <col min="12803" max="13057" width="9.28515625" style="88"/>
    <col min="13058" max="13058" width="136.7109375" style="88" customWidth="1"/>
    <col min="13059" max="13313" width="9.28515625" style="88"/>
    <col min="13314" max="13314" width="136.7109375" style="88" customWidth="1"/>
    <col min="13315" max="13569" width="9.28515625" style="88"/>
    <col min="13570" max="13570" width="136.7109375" style="88" customWidth="1"/>
    <col min="13571" max="13825" width="9.28515625" style="88"/>
    <col min="13826" max="13826" width="136.7109375" style="88" customWidth="1"/>
    <col min="13827" max="14081" width="9.28515625" style="88"/>
    <col min="14082" max="14082" width="136.7109375" style="88" customWidth="1"/>
    <col min="14083" max="14337" width="9.28515625" style="88"/>
    <col min="14338" max="14338" width="136.7109375" style="88" customWidth="1"/>
    <col min="14339" max="14593" width="9.28515625" style="88"/>
    <col min="14594" max="14594" width="136.7109375" style="88" customWidth="1"/>
    <col min="14595" max="14849" width="9.28515625" style="88"/>
    <col min="14850" max="14850" width="136.7109375" style="88" customWidth="1"/>
    <col min="14851" max="15105" width="9.28515625" style="88"/>
    <col min="15106" max="15106" width="136.7109375" style="88" customWidth="1"/>
    <col min="15107" max="15361" width="9.28515625" style="88"/>
    <col min="15362" max="15362" width="136.7109375" style="88" customWidth="1"/>
    <col min="15363" max="15617" width="9.28515625" style="88"/>
    <col min="15618" max="15618" width="136.7109375" style="88" customWidth="1"/>
    <col min="15619" max="15873" width="9.28515625" style="88"/>
    <col min="15874" max="15874" width="136.7109375" style="88" customWidth="1"/>
    <col min="15875" max="16129" width="9.28515625" style="88"/>
    <col min="16130" max="16130" width="136.7109375" style="88" customWidth="1"/>
    <col min="16131" max="16384" width="9.28515625" style="88"/>
  </cols>
  <sheetData>
    <row r="2" spans="2:4" x14ac:dyDescent="0.2">
      <c r="B2" s="95"/>
    </row>
    <row r="3" spans="2:4" x14ac:dyDescent="0.2">
      <c r="B3" s="94"/>
    </row>
    <row r="6" spans="2:4" ht="21" x14ac:dyDescent="0.35">
      <c r="B6" s="86" t="s">
        <v>227</v>
      </c>
      <c r="C6" s="87"/>
      <c r="D6" s="87"/>
    </row>
    <row r="7" spans="2:4" ht="15" x14ac:dyDescent="0.25">
      <c r="B7" s="93"/>
      <c r="C7" s="87"/>
      <c r="D7" s="87"/>
    </row>
    <row r="8" spans="2:4" ht="15" x14ac:dyDescent="0.25">
      <c r="B8" s="93" t="s">
        <v>109</v>
      </c>
      <c r="C8" s="87"/>
      <c r="D8" s="87"/>
    </row>
    <row r="9" spans="2:4" x14ac:dyDescent="0.2">
      <c r="B9" s="110">
        <f>'Instructions &amp; Definitions'!C4</f>
        <v>43141</v>
      </c>
      <c r="C9" s="87"/>
      <c r="D9" s="87"/>
    </row>
    <row r="10" spans="2:4" x14ac:dyDescent="0.2">
      <c r="B10" s="89"/>
      <c r="C10" s="87"/>
      <c r="D10" s="87"/>
    </row>
    <row r="11" spans="2:4" ht="15" x14ac:dyDescent="0.2">
      <c r="B11" s="504" t="s">
        <v>112</v>
      </c>
      <c r="C11" s="505"/>
      <c r="D11" s="505"/>
    </row>
    <row r="12" spans="2:4" ht="30" x14ac:dyDescent="0.25">
      <c r="B12" s="96" t="s">
        <v>111</v>
      </c>
      <c r="C12" s="87"/>
      <c r="D12" s="87"/>
    </row>
    <row r="13" spans="2:4" ht="15.75" x14ac:dyDescent="0.25">
      <c r="B13" s="90"/>
      <c r="C13" s="87"/>
      <c r="D13" s="87"/>
    </row>
    <row r="14" spans="2:4" ht="38.25" x14ac:dyDescent="0.2">
      <c r="B14" s="91" t="s">
        <v>110</v>
      </c>
      <c r="C14" s="87"/>
      <c r="D14" s="87"/>
    </row>
    <row r="15" spans="2:4" ht="15" x14ac:dyDescent="0.25">
      <c r="B15" s="92"/>
    </row>
  </sheetData>
  <mergeCells count="1">
    <mergeCell ref="B11:D1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zoomScale="85" zoomScaleNormal="85" workbookViewId="0">
      <selection activeCell="N25" sqref="N25:O26"/>
    </sheetView>
  </sheetViews>
  <sheetFormatPr defaultRowHeight="15" x14ac:dyDescent="0.25"/>
  <cols>
    <col min="1" max="1" width="29" customWidth="1"/>
    <col min="2" max="2" width="11.5703125" bestFit="1" customWidth="1"/>
    <col min="13" max="13" width="31.42578125" customWidth="1"/>
    <col min="18" max="18" width="17.140625" customWidth="1"/>
  </cols>
  <sheetData>
    <row r="1" spans="1:24" ht="15.75" thickBot="1" x14ac:dyDescent="0.3">
      <c r="A1" s="598"/>
      <c r="B1" s="598"/>
      <c r="C1" s="598"/>
      <c r="D1" s="598"/>
      <c r="E1" s="598"/>
      <c r="F1" s="598"/>
      <c r="G1" s="598"/>
      <c r="H1" s="598"/>
      <c r="I1" s="598"/>
      <c r="J1" s="598"/>
      <c r="K1" s="598"/>
      <c r="L1" s="598"/>
      <c r="M1" s="598"/>
      <c r="N1" s="598"/>
      <c r="O1" s="598"/>
      <c r="P1" s="598"/>
      <c r="Q1" s="598"/>
      <c r="R1" s="598"/>
      <c r="S1" s="598"/>
      <c r="T1" s="598"/>
      <c r="U1" s="598"/>
      <c r="V1" s="598"/>
      <c r="W1" s="598"/>
      <c r="X1" s="598"/>
    </row>
    <row r="2" spans="1:24" ht="18.75" x14ac:dyDescent="0.3">
      <c r="A2" s="646" t="s">
        <v>273</v>
      </c>
      <c r="B2" s="647"/>
      <c r="C2" s="647"/>
      <c r="D2" s="647"/>
      <c r="E2" s="648"/>
      <c r="F2" s="608"/>
      <c r="G2" s="598"/>
      <c r="H2" s="598"/>
      <c r="I2" s="598"/>
      <c r="J2" s="598"/>
      <c r="K2" s="598"/>
      <c r="L2" s="609"/>
      <c r="M2" s="646" t="s">
        <v>304</v>
      </c>
      <c r="N2" s="647"/>
      <c r="O2" s="647"/>
      <c r="P2" s="647"/>
      <c r="Q2" s="648"/>
      <c r="R2" s="384"/>
      <c r="S2" s="598"/>
      <c r="T2" s="598"/>
      <c r="U2" s="598"/>
      <c r="V2" s="598"/>
      <c r="W2" s="598"/>
      <c r="X2" s="598"/>
    </row>
    <row r="3" spans="1:24" x14ac:dyDescent="0.25">
      <c r="A3" s="640" t="s">
        <v>274</v>
      </c>
      <c r="B3" s="641"/>
      <c r="C3" s="641"/>
      <c r="D3" s="641"/>
      <c r="E3" s="642"/>
      <c r="F3" s="608"/>
      <c r="G3" s="598"/>
      <c r="H3" s="598"/>
      <c r="I3" s="598"/>
      <c r="J3" s="598"/>
      <c r="K3" s="598"/>
      <c r="L3" s="609"/>
      <c r="M3" s="640" t="s">
        <v>274</v>
      </c>
      <c r="N3" s="641"/>
      <c r="O3" s="641"/>
      <c r="P3" s="641"/>
      <c r="Q3" s="642"/>
      <c r="R3" s="384"/>
      <c r="S3" s="598"/>
      <c r="T3" s="598"/>
      <c r="U3" s="598"/>
      <c r="V3" s="598"/>
      <c r="W3" s="598"/>
      <c r="X3" s="598"/>
    </row>
    <row r="4" spans="1:24" x14ac:dyDescent="0.25">
      <c r="A4" s="370" t="s">
        <v>276</v>
      </c>
      <c r="B4" s="649">
        <v>30000</v>
      </c>
      <c r="C4" s="649"/>
      <c r="D4" s="649"/>
      <c r="E4" s="626"/>
      <c r="F4" s="608"/>
      <c r="G4" s="598"/>
      <c r="H4" s="598"/>
      <c r="I4" s="598"/>
      <c r="J4" s="598"/>
      <c r="K4" s="598"/>
      <c r="L4" s="609"/>
      <c r="M4" s="370" t="s">
        <v>276</v>
      </c>
      <c r="N4" s="649">
        <v>30000</v>
      </c>
      <c r="O4" s="649"/>
      <c r="P4" s="649"/>
      <c r="Q4" s="626"/>
      <c r="R4" s="384"/>
      <c r="S4" s="598"/>
      <c r="T4" s="598"/>
      <c r="U4" s="598"/>
      <c r="V4" s="598"/>
      <c r="W4" s="598"/>
      <c r="X4" s="598"/>
    </row>
    <row r="5" spans="1:24" x14ac:dyDescent="0.25">
      <c r="A5" s="370" t="s">
        <v>275</v>
      </c>
      <c r="B5" s="661">
        <v>0.28000000000000003</v>
      </c>
      <c r="C5" s="661"/>
      <c r="D5" s="661"/>
      <c r="E5" s="626"/>
      <c r="F5" s="608"/>
      <c r="G5" s="598"/>
      <c r="H5" s="598"/>
      <c r="I5" s="598"/>
      <c r="J5" s="598"/>
      <c r="K5" s="598"/>
      <c r="L5" s="609"/>
      <c r="M5" s="370" t="s">
        <v>275</v>
      </c>
      <c r="N5" s="663">
        <v>0.28000000000000003</v>
      </c>
      <c r="O5" s="663"/>
      <c r="P5" s="663"/>
      <c r="Q5" s="626"/>
      <c r="R5" s="384"/>
      <c r="S5" s="598"/>
      <c r="T5" s="598"/>
      <c r="U5" s="598"/>
      <c r="V5" s="598"/>
      <c r="W5" s="598"/>
      <c r="X5" s="598"/>
    </row>
    <row r="6" spans="1:24" x14ac:dyDescent="0.25">
      <c r="A6" s="370" t="s">
        <v>6</v>
      </c>
      <c r="B6" s="661">
        <v>0.48</v>
      </c>
      <c r="C6" s="661"/>
      <c r="D6" s="661"/>
      <c r="E6" s="626"/>
      <c r="F6" s="608"/>
      <c r="G6" s="598"/>
      <c r="H6" s="598"/>
      <c r="I6" s="598"/>
      <c r="J6" s="598"/>
      <c r="K6" s="598"/>
      <c r="L6" s="609"/>
      <c r="M6" s="370" t="s">
        <v>6</v>
      </c>
      <c r="N6" s="663">
        <v>0.48</v>
      </c>
      <c r="O6" s="663"/>
      <c r="P6" s="663"/>
      <c r="Q6" s="626"/>
      <c r="R6" s="384"/>
      <c r="S6" s="598"/>
      <c r="T6" s="598"/>
      <c r="U6" s="598"/>
      <c r="V6" s="598"/>
      <c r="W6" s="598"/>
      <c r="X6" s="598"/>
    </row>
    <row r="7" spans="1:24" x14ac:dyDescent="0.25">
      <c r="A7" s="370" t="s">
        <v>7</v>
      </c>
      <c r="B7" s="661">
        <v>0.24</v>
      </c>
      <c r="C7" s="661"/>
      <c r="D7" s="661"/>
      <c r="E7" s="626"/>
      <c r="F7" s="608"/>
      <c r="G7" s="598"/>
      <c r="H7" s="598"/>
      <c r="I7" s="598"/>
      <c r="J7" s="598"/>
      <c r="K7" s="598"/>
      <c r="L7" s="609"/>
      <c r="M7" s="370" t="s">
        <v>7</v>
      </c>
      <c r="N7" s="663">
        <v>0.24</v>
      </c>
      <c r="O7" s="663"/>
      <c r="P7" s="663"/>
      <c r="Q7" s="626"/>
      <c r="R7" s="384"/>
      <c r="S7" s="598"/>
      <c r="T7" s="598"/>
      <c r="U7" s="598"/>
      <c r="V7" s="598"/>
      <c r="W7" s="598"/>
      <c r="X7" s="598"/>
    </row>
    <row r="8" spans="1:24" ht="6" customHeight="1" thickBot="1" x14ac:dyDescent="0.3">
      <c r="A8" s="624"/>
      <c r="B8" s="625"/>
      <c r="C8" s="625"/>
      <c r="D8" s="625"/>
      <c r="E8" s="626"/>
      <c r="F8" s="608"/>
      <c r="G8" s="598"/>
      <c r="H8" s="598"/>
      <c r="I8" s="598"/>
      <c r="J8" s="598"/>
      <c r="K8" s="598"/>
      <c r="L8" s="609"/>
      <c r="M8" s="624"/>
      <c r="N8" s="625"/>
      <c r="O8" s="625"/>
      <c r="P8" s="625"/>
      <c r="Q8" s="626"/>
      <c r="R8" s="384"/>
      <c r="S8" s="598"/>
      <c r="T8" s="598"/>
      <c r="U8" s="598"/>
      <c r="V8" s="598"/>
      <c r="W8" s="598"/>
      <c r="X8" s="598"/>
    </row>
    <row r="9" spans="1:24" ht="15" customHeight="1" x14ac:dyDescent="0.25">
      <c r="A9" s="640" t="s">
        <v>258</v>
      </c>
      <c r="B9" s="641"/>
      <c r="C9" s="641"/>
      <c r="D9" s="641"/>
      <c r="E9" s="642"/>
      <c r="F9" s="608"/>
      <c r="G9" s="599" t="s">
        <v>296</v>
      </c>
      <c r="H9" s="674"/>
      <c r="I9" s="674"/>
      <c r="J9" s="674"/>
      <c r="K9" s="675"/>
      <c r="L9" s="609"/>
      <c r="M9" s="640" t="s">
        <v>258</v>
      </c>
      <c r="N9" s="641"/>
      <c r="O9" s="641"/>
      <c r="P9" s="641"/>
      <c r="Q9" s="642"/>
      <c r="R9" s="384"/>
      <c r="S9" s="599" t="s">
        <v>297</v>
      </c>
      <c r="T9" s="600"/>
      <c r="U9" s="600"/>
      <c r="V9" s="600"/>
      <c r="W9" s="601"/>
      <c r="X9" s="608"/>
    </row>
    <row r="10" spans="1:24" x14ac:dyDescent="0.25">
      <c r="A10" s="371" t="s">
        <v>280</v>
      </c>
      <c r="B10" s="651">
        <v>24000</v>
      </c>
      <c r="C10" s="651"/>
      <c r="D10" s="651"/>
      <c r="E10" s="626"/>
      <c r="F10" s="608"/>
      <c r="G10" s="676"/>
      <c r="H10" s="677"/>
      <c r="I10" s="677"/>
      <c r="J10" s="677"/>
      <c r="K10" s="678"/>
      <c r="L10" s="609"/>
      <c r="M10" s="371" t="s">
        <v>280</v>
      </c>
      <c r="N10" s="651">
        <v>24000</v>
      </c>
      <c r="O10" s="651"/>
      <c r="P10" s="651"/>
      <c r="Q10" s="626"/>
      <c r="R10" s="384"/>
      <c r="S10" s="602"/>
      <c r="T10" s="603"/>
      <c r="U10" s="603"/>
      <c r="V10" s="603"/>
      <c r="W10" s="604"/>
      <c r="X10" s="608"/>
    </row>
    <row r="11" spans="1:24" x14ac:dyDescent="0.25">
      <c r="A11" s="370" t="s">
        <v>281</v>
      </c>
      <c r="B11" s="652">
        <v>0</v>
      </c>
      <c r="C11" s="652"/>
      <c r="D11" s="652"/>
      <c r="E11" s="626"/>
      <c r="F11" s="608"/>
      <c r="G11" s="676"/>
      <c r="H11" s="677"/>
      <c r="I11" s="677"/>
      <c r="J11" s="677"/>
      <c r="K11" s="678"/>
      <c r="L11" s="609"/>
      <c r="M11" s="370" t="s">
        <v>281</v>
      </c>
      <c r="N11" s="652">
        <v>0</v>
      </c>
      <c r="O11" s="652"/>
      <c r="P11" s="652"/>
      <c r="Q11" s="626"/>
      <c r="R11" s="384"/>
      <c r="S11" s="602"/>
      <c r="T11" s="603"/>
      <c r="U11" s="603"/>
      <c r="V11" s="603"/>
      <c r="W11" s="604"/>
      <c r="X11" s="608"/>
    </row>
    <row r="12" spans="1:24" ht="6" customHeight="1" x14ac:dyDescent="0.25">
      <c r="A12" s="624"/>
      <c r="B12" s="625"/>
      <c r="C12" s="625"/>
      <c r="D12" s="625"/>
      <c r="E12" s="626"/>
      <c r="F12" s="608"/>
      <c r="G12" s="676"/>
      <c r="H12" s="677"/>
      <c r="I12" s="677"/>
      <c r="J12" s="677"/>
      <c r="K12" s="678"/>
      <c r="L12" s="609"/>
      <c r="M12" s="624"/>
      <c r="N12" s="625"/>
      <c r="O12" s="625"/>
      <c r="P12" s="625"/>
      <c r="Q12" s="626"/>
      <c r="R12" s="384"/>
      <c r="S12" s="602"/>
      <c r="T12" s="603"/>
      <c r="U12" s="603"/>
      <c r="V12" s="603"/>
      <c r="W12" s="604"/>
      <c r="X12" s="608"/>
    </row>
    <row r="13" spans="1:24" x14ac:dyDescent="0.25">
      <c r="A13" s="640" t="s">
        <v>268</v>
      </c>
      <c r="B13" s="641"/>
      <c r="C13" s="641"/>
      <c r="D13" s="641"/>
      <c r="E13" s="642"/>
      <c r="F13" s="608"/>
      <c r="G13" s="676"/>
      <c r="H13" s="677"/>
      <c r="I13" s="677"/>
      <c r="J13" s="677"/>
      <c r="K13" s="678"/>
      <c r="L13" s="609"/>
      <c r="M13" s="640" t="s">
        <v>268</v>
      </c>
      <c r="N13" s="641"/>
      <c r="O13" s="641"/>
      <c r="P13" s="641"/>
      <c r="Q13" s="642"/>
      <c r="R13" s="384"/>
      <c r="S13" s="602"/>
      <c r="T13" s="603"/>
      <c r="U13" s="603"/>
      <c r="V13" s="603"/>
      <c r="W13" s="604"/>
      <c r="X13" s="608"/>
    </row>
    <row r="14" spans="1:24" x14ac:dyDescent="0.25">
      <c r="A14" s="372" t="s">
        <v>0</v>
      </c>
      <c r="B14" s="643">
        <f>(B11+B10)*E14</f>
        <v>24000</v>
      </c>
      <c r="C14" s="643"/>
      <c r="D14" s="643"/>
      <c r="E14" s="381">
        <v>1</v>
      </c>
      <c r="F14" s="608"/>
      <c r="G14" s="676"/>
      <c r="H14" s="677"/>
      <c r="I14" s="677"/>
      <c r="J14" s="677"/>
      <c r="K14" s="678"/>
      <c r="L14" s="609"/>
      <c r="M14" s="372" t="s">
        <v>0</v>
      </c>
      <c r="N14" s="664">
        <f>(N11+N10)*Q14</f>
        <v>20400</v>
      </c>
      <c r="O14" s="664"/>
      <c r="P14" s="664"/>
      <c r="Q14" s="400">
        <v>0.85</v>
      </c>
      <c r="R14" s="384"/>
      <c r="S14" s="602"/>
      <c r="T14" s="603"/>
      <c r="U14" s="603"/>
      <c r="V14" s="603"/>
      <c r="W14" s="604"/>
      <c r="X14" s="608"/>
    </row>
    <row r="15" spans="1:24" x14ac:dyDescent="0.25">
      <c r="A15" s="372" t="s">
        <v>1</v>
      </c>
      <c r="B15" s="643">
        <f>(B11+B10)*E15</f>
        <v>0</v>
      </c>
      <c r="C15" s="643"/>
      <c r="D15" s="643"/>
      <c r="E15" s="381">
        <v>0</v>
      </c>
      <c r="F15" s="608"/>
      <c r="G15" s="676"/>
      <c r="H15" s="677"/>
      <c r="I15" s="677"/>
      <c r="J15" s="677"/>
      <c r="K15" s="678"/>
      <c r="L15" s="609"/>
      <c r="M15" s="372" t="s">
        <v>1</v>
      </c>
      <c r="N15" s="664">
        <f>(N11+N10)*Q15</f>
        <v>3600</v>
      </c>
      <c r="O15" s="664"/>
      <c r="P15" s="664"/>
      <c r="Q15" s="400">
        <v>0.15</v>
      </c>
      <c r="R15" s="384"/>
      <c r="S15" s="602"/>
      <c r="T15" s="603"/>
      <c r="U15" s="603"/>
      <c r="V15" s="603"/>
      <c r="W15" s="604"/>
      <c r="X15" s="608"/>
    </row>
    <row r="16" spans="1:24" x14ac:dyDescent="0.25">
      <c r="A16" s="372" t="s">
        <v>2</v>
      </c>
      <c r="B16" s="643">
        <f>(B10+B11)*E16</f>
        <v>0</v>
      </c>
      <c r="C16" s="643"/>
      <c r="D16" s="643"/>
      <c r="E16" s="381">
        <v>0</v>
      </c>
      <c r="F16" s="608"/>
      <c r="G16" s="676"/>
      <c r="H16" s="677"/>
      <c r="I16" s="677"/>
      <c r="J16" s="677"/>
      <c r="K16" s="678"/>
      <c r="L16" s="609"/>
      <c r="M16" s="372" t="s">
        <v>2</v>
      </c>
      <c r="N16" s="643">
        <f>(N10+N11)*Q16</f>
        <v>0</v>
      </c>
      <c r="O16" s="643"/>
      <c r="P16" s="643"/>
      <c r="Q16" s="381">
        <v>0</v>
      </c>
      <c r="R16" s="384"/>
      <c r="S16" s="602"/>
      <c r="T16" s="603"/>
      <c r="U16" s="603"/>
      <c r="V16" s="603"/>
      <c r="W16" s="604"/>
      <c r="X16" s="608"/>
    </row>
    <row r="17" spans="1:24" x14ac:dyDescent="0.25">
      <c r="A17" s="372" t="s">
        <v>3</v>
      </c>
      <c r="B17" s="643">
        <f>B11</f>
        <v>0</v>
      </c>
      <c r="C17" s="643"/>
      <c r="D17" s="643"/>
      <c r="E17" s="382">
        <f>ORV_Procured/(B10+B11)</f>
        <v>2.5</v>
      </c>
      <c r="F17" s="608"/>
      <c r="G17" s="676"/>
      <c r="H17" s="677"/>
      <c r="I17" s="677"/>
      <c r="J17" s="677"/>
      <c r="K17" s="678"/>
      <c r="L17" s="609"/>
      <c r="M17" s="372" t="s">
        <v>3</v>
      </c>
      <c r="N17" s="643">
        <f>N11</f>
        <v>0</v>
      </c>
      <c r="O17" s="643"/>
      <c r="P17" s="643"/>
      <c r="Q17" s="382">
        <f>ORV_Procured/(N10+N11)</f>
        <v>2.5</v>
      </c>
      <c r="R17" s="384"/>
      <c r="S17" s="602"/>
      <c r="T17" s="603"/>
      <c r="U17" s="603"/>
      <c r="V17" s="603"/>
      <c r="W17" s="604"/>
      <c r="X17" s="608"/>
    </row>
    <row r="18" spans="1:24" ht="6" customHeight="1" x14ac:dyDescent="0.25">
      <c r="A18" s="624"/>
      <c r="B18" s="625"/>
      <c r="C18" s="625"/>
      <c r="D18" s="625"/>
      <c r="E18" s="626"/>
      <c r="F18" s="608"/>
      <c r="G18" s="676"/>
      <c r="H18" s="677"/>
      <c r="I18" s="677"/>
      <c r="J18" s="677"/>
      <c r="K18" s="678"/>
      <c r="L18" s="609"/>
      <c r="M18" s="624"/>
      <c r="N18" s="625"/>
      <c r="O18" s="625"/>
      <c r="P18" s="625"/>
      <c r="Q18" s="626"/>
      <c r="R18" s="384"/>
      <c r="S18" s="602"/>
      <c r="T18" s="603"/>
      <c r="U18" s="603"/>
      <c r="V18" s="603"/>
      <c r="W18" s="604"/>
      <c r="X18" s="608"/>
    </row>
    <row r="19" spans="1:24" x14ac:dyDescent="0.25">
      <c r="A19" s="640" t="s">
        <v>259</v>
      </c>
      <c r="B19" s="641"/>
      <c r="C19" s="641"/>
      <c r="D19" s="641"/>
      <c r="E19" s="642"/>
      <c r="F19" s="608"/>
      <c r="G19" s="676"/>
      <c r="H19" s="677"/>
      <c r="I19" s="677"/>
      <c r="J19" s="677"/>
      <c r="K19" s="678"/>
      <c r="L19" s="609"/>
      <c r="M19" s="640" t="s">
        <v>259</v>
      </c>
      <c r="N19" s="641"/>
      <c r="O19" s="641"/>
      <c r="P19" s="641"/>
      <c r="Q19" s="642"/>
      <c r="R19" s="384"/>
      <c r="S19" s="602"/>
      <c r="T19" s="603"/>
      <c r="U19" s="603"/>
      <c r="V19" s="603"/>
      <c r="W19" s="604"/>
      <c r="X19" s="608"/>
    </row>
    <row r="20" spans="1:24" x14ac:dyDescent="0.25">
      <c r="A20" s="373" t="s">
        <v>280</v>
      </c>
      <c r="B20" s="644">
        <v>1</v>
      </c>
      <c r="C20" s="644"/>
      <c r="D20" s="644"/>
      <c r="E20" s="645"/>
      <c r="F20" s="608"/>
      <c r="G20" s="676"/>
      <c r="H20" s="677"/>
      <c r="I20" s="677"/>
      <c r="J20" s="677"/>
      <c r="K20" s="678"/>
      <c r="L20" s="609"/>
      <c r="M20" s="373" t="s">
        <v>280</v>
      </c>
      <c r="N20" s="644">
        <v>1</v>
      </c>
      <c r="O20" s="644"/>
      <c r="P20" s="644"/>
      <c r="Q20" s="645"/>
      <c r="R20" s="384"/>
      <c r="S20" s="602"/>
      <c r="T20" s="603"/>
      <c r="U20" s="603"/>
      <c r="V20" s="603"/>
      <c r="W20" s="604"/>
      <c r="X20" s="608"/>
    </row>
    <row r="21" spans="1:24" x14ac:dyDescent="0.25">
      <c r="A21" s="373" t="s">
        <v>281</v>
      </c>
      <c r="B21" s="644">
        <v>1</v>
      </c>
      <c r="C21" s="644"/>
      <c r="D21" s="644"/>
      <c r="E21" s="645"/>
      <c r="F21" s="608"/>
      <c r="G21" s="676"/>
      <c r="H21" s="677"/>
      <c r="I21" s="677"/>
      <c r="J21" s="677"/>
      <c r="K21" s="678"/>
      <c r="L21" s="609"/>
      <c r="M21" s="373" t="s">
        <v>281</v>
      </c>
      <c r="N21" s="644">
        <v>1</v>
      </c>
      <c r="O21" s="644"/>
      <c r="P21" s="644"/>
      <c r="Q21" s="645"/>
      <c r="R21" s="384"/>
      <c r="S21" s="602"/>
      <c r="T21" s="603"/>
      <c r="U21" s="603"/>
      <c r="V21" s="603"/>
      <c r="W21" s="604"/>
      <c r="X21" s="608"/>
    </row>
    <row r="22" spans="1:24" ht="6" customHeight="1" x14ac:dyDescent="0.25">
      <c r="A22" s="624"/>
      <c r="B22" s="625"/>
      <c r="C22" s="625"/>
      <c r="D22" s="625"/>
      <c r="E22" s="626"/>
      <c r="F22" s="608"/>
      <c r="G22" s="676"/>
      <c r="H22" s="677"/>
      <c r="I22" s="677"/>
      <c r="J22" s="677"/>
      <c r="K22" s="678"/>
      <c r="L22" s="609"/>
      <c r="M22" s="624"/>
      <c r="N22" s="625"/>
      <c r="O22" s="625"/>
      <c r="P22" s="625"/>
      <c r="Q22" s="626"/>
      <c r="R22" s="384"/>
      <c r="S22" s="602"/>
      <c r="T22" s="603"/>
      <c r="U22" s="603"/>
      <c r="V22" s="603"/>
      <c r="W22" s="604"/>
      <c r="X22" s="608"/>
    </row>
    <row r="23" spans="1:24" ht="15.75" thickBot="1" x14ac:dyDescent="0.3">
      <c r="A23" s="621" t="s">
        <v>282</v>
      </c>
      <c r="B23" s="622"/>
      <c r="C23" s="622"/>
      <c r="D23" s="622"/>
      <c r="E23" s="623"/>
      <c r="F23" s="608"/>
      <c r="G23" s="676"/>
      <c r="H23" s="677"/>
      <c r="I23" s="677"/>
      <c r="J23" s="677"/>
      <c r="K23" s="678"/>
      <c r="L23" s="609"/>
      <c r="M23" s="621" t="s">
        <v>282</v>
      </c>
      <c r="N23" s="622"/>
      <c r="O23" s="622"/>
      <c r="P23" s="622"/>
      <c r="Q23" s="623"/>
      <c r="R23" s="384"/>
      <c r="S23" s="602"/>
      <c r="T23" s="603"/>
      <c r="U23" s="603"/>
      <c r="V23" s="603"/>
      <c r="W23" s="604"/>
      <c r="X23" s="608"/>
    </row>
    <row r="24" spans="1:24" ht="15.75" thickBot="1" x14ac:dyDescent="0.3">
      <c r="A24" s="374" t="s">
        <v>239</v>
      </c>
      <c r="B24" s="366" t="s">
        <v>216</v>
      </c>
      <c r="C24" s="204" t="s">
        <v>217</v>
      </c>
      <c r="D24" s="204" t="s">
        <v>2</v>
      </c>
      <c r="E24" s="205" t="s">
        <v>3</v>
      </c>
      <c r="F24" s="608"/>
      <c r="G24" s="676"/>
      <c r="H24" s="677"/>
      <c r="I24" s="677"/>
      <c r="J24" s="677"/>
      <c r="K24" s="678"/>
      <c r="L24" s="609"/>
      <c r="M24" s="374" t="s">
        <v>239</v>
      </c>
      <c r="N24" s="366" t="s">
        <v>216</v>
      </c>
      <c r="O24" s="204" t="s">
        <v>217</v>
      </c>
      <c r="P24" s="204" t="s">
        <v>2</v>
      </c>
      <c r="Q24" s="205" t="s">
        <v>3</v>
      </c>
      <c r="R24" s="384"/>
      <c r="S24" s="602"/>
      <c r="T24" s="603"/>
      <c r="U24" s="603"/>
      <c r="V24" s="603"/>
      <c r="W24" s="604"/>
      <c r="X24" s="608"/>
    </row>
    <row r="25" spans="1:24" x14ac:dyDescent="0.25">
      <c r="A25" s="375" t="s">
        <v>5</v>
      </c>
      <c r="B25" s="367">
        <v>0.8</v>
      </c>
      <c r="C25" s="349">
        <v>0.8</v>
      </c>
      <c r="D25" s="349">
        <v>0.05</v>
      </c>
      <c r="E25" s="350">
        <v>0.05</v>
      </c>
      <c r="F25" s="608"/>
      <c r="G25" s="676"/>
      <c r="H25" s="677"/>
      <c r="I25" s="677"/>
      <c r="J25" s="677"/>
      <c r="K25" s="678"/>
      <c r="L25" s="609"/>
      <c r="M25" s="375" t="s">
        <v>5</v>
      </c>
      <c r="N25" s="404">
        <v>0.95</v>
      </c>
      <c r="O25" s="405">
        <v>0.95</v>
      </c>
      <c r="P25" s="349">
        <v>0.05</v>
      </c>
      <c r="Q25" s="350">
        <v>0.05</v>
      </c>
      <c r="R25" s="384"/>
      <c r="S25" s="602"/>
      <c r="T25" s="603"/>
      <c r="U25" s="603"/>
      <c r="V25" s="603"/>
      <c r="W25" s="604"/>
      <c r="X25" s="608"/>
    </row>
    <row r="26" spans="1:24" x14ac:dyDescent="0.25">
      <c r="A26" s="375" t="s">
        <v>6</v>
      </c>
      <c r="B26" s="368">
        <v>0.6</v>
      </c>
      <c r="C26" s="351">
        <v>0.6</v>
      </c>
      <c r="D26" s="351">
        <v>0.8</v>
      </c>
      <c r="E26" s="352">
        <v>0.8</v>
      </c>
      <c r="F26" s="608"/>
      <c r="G26" s="676"/>
      <c r="H26" s="677"/>
      <c r="I26" s="677"/>
      <c r="J26" s="677"/>
      <c r="K26" s="678"/>
      <c r="L26" s="609"/>
      <c r="M26" s="375" t="s">
        <v>6</v>
      </c>
      <c r="N26" s="406">
        <v>0.8</v>
      </c>
      <c r="O26" s="407">
        <v>0.8</v>
      </c>
      <c r="P26" s="351">
        <v>0.8</v>
      </c>
      <c r="Q26" s="352">
        <v>0.8</v>
      </c>
      <c r="R26" s="384"/>
      <c r="S26" s="602"/>
      <c r="T26" s="603"/>
      <c r="U26" s="603"/>
      <c r="V26" s="603"/>
      <c r="W26" s="604"/>
      <c r="X26" s="608"/>
    </row>
    <row r="27" spans="1:24" ht="15.75" thickBot="1" x14ac:dyDescent="0.3">
      <c r="A27" s="375" t="s">
        <v>7</v>
      </c>
      <c r="B27" s="369">
        <v>0.05</v>
      </c>
      <c r="C27" s="353">
        <v>0.05</v>
      </c>
      <c r="D27" s="353">
        <v>0.6</v>
      </c>
      <c r="E27" s="354">
        <v>0.8</v>
      </c>
      <c r="F27" s="608"/>
      <c r="G27" s="676"/>
      <c r="H27" s="677"/>
      <c r="I27" s="677"/>
      <c r="J27" s="677"/>
      <c r="K27" s="678"/>
      <c r="L27" s="609"/>
      <c r="M27" s="375" t="s">
        <v>7</v>
      </c>
      <c r="N27" s="369">
        <v>0.05</v>
      </c>
      <c r="O27" s="353">
        <v>0.05</v>
      </c>
      <c r="P27" s="353">
        <v>0.6</v>
      </c>
      <c r="Q27" s="354">
        <v>0.8</v>
      </c>
      <c r="R27" s="384"/>
      <c r="S27" s="602"/>
      <c r="T27" s="603"/>
      <c r="U27" s="603"/>
      <c r="V27" s="603"/>
      <c r="W27" s="604"/>
      <c r="X27" s="608"/>
    </row>
    <row r="28" spans="1:24" ht="6" customHeight="1" x14ac:dyDescent="0.25">
      <c r="A28" s="624"/>
      <c r="B28" s="625"/>
      <c r="C28" s="625"/>
      <c r="D28" s="625"/>
      <c r="E28" s="626"/>
      <c r="F28" s="608"/>
      <c r="G28" s="676"/>
      <c r="H28" s="677"/>
      <c r="I28" s="677"/>
      <c r="J28" s="677"/>
      <c r="K28" s="678"/>
      <c r="L28" s="609"/>
      <c r="M28" s="624"/>
      <c r="N28" s="625"/>
      <c r="O28" s="625"/>
      <c r="P28" s="625"/>
      <c r="Q28" s="626"/>
      <c r="R28" s="384"/>
      <c r="S28" s="602"/>
      <c r="T28" s="603"/>
      <c r="U28" s="603"/>
      <c r="V28" s="603"/>
      <c r="W28" s="604"/>
      <c r="X28" s="608"/>
    </row>
    <row r="29" spans="1:24" ht="15.75" x14ac:dyDescent="0.25">
      <c r="A29" s="627" t="s">
        <v>244</v>
      </c>
      <c r="B29" s="628"/>
      <c r="C29" s="628"/>
      <c r="D29" s="628"/>
      <c r="E29" s="629"/>
      <c r="F29" s="608"/>
      <c r="G29" s="676"/>
      <c r="H29" s="677"/>
      <c r="I29" s="677"/>
      <c r="J29" s="677"/>
      <c r="K29" s="678"/>
      <c r="L29" s="609"/>
      <c r="M29" s="627" t="s">
        <v>244</v>
      </c>
      <c r="N29" s="628"/>
      <c r="O29" s="628"/>
      <c r="P29" s="628"/>
      <c r="Q29" s="629"/>
      <c r="R29" s="384"/>
      <c r="S29" s="602"/>
      <c r="T29" s="603"/>
      <c r="U29" s="603"/>
      <c r="V29" s="603"/>
      <c r="W29" s="604"/>
      <c r="X29" s="608"/>
    </row>
    <row r="30" spans="1:24" ht="15.75" x14ac:dyDescent="0.25">
      <c r="A30" s="376" t="s">
        <v>283</v>
      </c>
      <c r="B30" s="334">
        <v>60</v>
      </c>
      <c r="C30" s="630"/>
      <c r="D30" s="625"/>
      <c r="E30" s="626"/>
      <c r="F30" s="608"/>
      <c r="G30" s="676"/>
      <c r="H30" s="677"/>
      <c r="I30" s="677"/>
      <c r="J30" s="677"/>
      <c r="K30" s="678"/>
      <c r="L30" s="609"/>
      <c r="M30" s="376" t="s">
        <v>283</v>
      </c>
      <c r="N30" s="334">
        <v>60</v>
      </c>
      <c r="O30" s="630"/>
      <c r="P30" s="625"/>
      <c r="Q30" s="626"/>
      <c r="R30" s="384"/>
      <c r="S30" s="602"/>
      <c r="T30" s="603"/>
      <c r="U30" s="603"/>
      <c r="V30" s="603"/>
      <c r="W30" s="604"/>
      <c r="X30" s="608"/>
    </row>
    <row r="31" spans="1:24" ht="6" customHeight="1" x14ac:dyDescent="0.25">
      <c r="A31" s="624"/>
      <c r="B31" s="625"/>
      <c r="C31" s="625"/>
      <c r="D31" s="625"/>
      <c r="E31" s="626"/>
      <c r="F31" s="608"/>
      <c r="G31" s="676"/>
      <c r="H31" s="677"/>
      <c r="I31" s="677"/>
      <c r="J31" s="677"/>
      <c r="K31" s="678"/>
      <c r="L31" s="609"/>
      <c r="M31" s="624"/>
      <c r="N31" s="625"/>
      <c r="O31" s="625"/>
      <c r="P31" s="625"/>
      <c r="Q31" s="626"/>
      <c r="R31" s="384"/>
      <c r="S31" s="602"/>
      <c r="T31" s="603"/>
      <c r="U31" s="603"/>
      <c r="V31" s="603"/>
      <c r="W31" s="604"/>
      <c r="X31" s="608"/>
    </row>
    <row r="32" spans="1:24" ht="15.75" x14ac:dyDescent="0.25">
      <c r="A32" s="627" t="s">
        <v>245</v>
      </c>
      <c r="B32" s="628"/>
      <c r="C32" s="628"/>
      <c r="D32" s="628"/>
      <c r="E32" s="629"/>
      <c r="F32" s="608"/>
      <c r="G32" s="676"/>
      <c r="H32" s="677"/>
      <c r="I32" s="677"/>
      <c r="J32" s="677"/>
      <c r="K32" s="678"/>
      <c r="L32" s="609"/>
      <c r="M32" s="627" t="s">
        <v>245</v>
      </c>
      <c r="N32" s="628"/>
      <c r="O32" s="628"/>
      <c r="P32" s="628"/>
      <c r="Q32" s="629"/>
      <c r="R32" s="384"/>
      <c r="S32" s="602"/>
      <c r="T32" s="603"/>
      <c r="U32" s="603"/>
      <c r="V32" s="603"/>
      <c r="W32" s="604"/>
      <c r="X32" s="608"/>
    </row>
    <row r="33" spans="1:26" ht="16.5" thickBot="1" x14ac:dyDescent="0.3">
      <c r="A33" s="377" t="s">
        <v>0</v>
      </c>
      <c r="B33" s="334">
        <v>30</v>
      </c>
      <c r="C33" s="630"/>
      <c r="D33" s="625"/>
      <c r="E33" s="626"/>
      <c r="F33" s="608"/>
      <c r="G33" s="676"/>
      <c r="H33" s="677"/>
      <c r="I33" s="677"/>
      <c r="J33" s="677"/>
      <c r="K33" s="678"/>
      <c r="L33" s="609"/>
      <c r="M33" s="377" t="s">
        <v>0</v>
      </c>
      <c r="N33" s="334">
        <v>30</v>
      </c>
      <c r="O33" s="630"/>
      <c r="P33" s="625"/>
      <c r="Q33" s="626"/>
      <c r="R33" s="384"/>
      <c r="S33" s="605"/>
      <c r="T33" s="606"/>
      <c r="U33" s="606"/>
      <c r="V33" s="606"/>
      <c r="W33" s="607"/>
      <c r="X33" s="608"/>
    </row>
    <row r="34" spans="1:26" ht="15.75" x14ac:dyDescent="0.25">
      <c r="A34" s="377" t="s">
        <v>1</v>
      </c>
      <c r="B34" s="334">
        <v>30</v>
      </c>
      <c r="C34" s="630"/>
      <c r="D34" s="625"/>
      <c r="E34" s="626"/>
      <c r="F34" s="383"/>
      <c r="G34" s="676"/>
      <c r="H34" s="677"/>
      <c r="I34" s="677"/>
      <c r="J34" s="677"/>
      <c r="K34" s="678"/>
      <c r="L34" s="385"/>
      <c r="M34" s="377" t="s">
        <v>1</v>
      </c>
      <c r="N34" s="334">
        <v>30</v>
      </c>
      <c r="O34" s="630"/>
      <c r="P34" s="625"/>
      <c r="Q34" s="626"/>
      <c r="R34" s="384"/>
      <c r="S34" s="598"/>
      <c r="T34" s="598"/>
      <c r="U34" s="598"/>
      <c r="V34" s="598"/>
      <c r="W34" s="598"/>
      <c r="X34" s="598"/>
    </row>
    <row r="35" spans="1:26" ht="15.75" x14ac:dyDescent="0.25">
      <c r="A35" s="377" t="s">
        <v>2</v>
      </c>
      <c r="B35" s="334">
        <v>30</v>
      </c>
      <c r="C35" s="630"/>
      <c r="D35" s="625"/>
      <c r="E35" s="626"/>
      <c r="F35" s="383"/>
      <c r="G35" s="676"/>
      <c r="H35" s="677"/>
      <c r="I35" s="677"/>
      <c r="J35" s="677"/>
      <c r="K35" s="678"/>
      <c r="L35" s="385"/>
      <c r="M35" s="377" t="s">
        <v>2</v>
      </c>
      <c r="N35" s="334">
        <v>30</v>
      </c>
      <c r="O35" s="630"/>
      <c r="P35" s="625"/>
      <c r="Q35" s="626"/>
      <c r="R35" s="384"/>
      <c r="S35" s="598"/>
      <c r="T35" s="598"/>
      <c r="U35" s="598"/>
      <c r="V35" s="598"/>
      <c r="W35" s="598"/>
      <c r="X35" s="598"/>
    </row>
    <row r="36" spans="1:26" ht="16.5" thickBot="1" x14ac:dyDescent="0.3">
      <c r="A36" s="378" t="s">
        <v>3</v>
      </c>
      <c r="B36" s="379">
        <v>50</v>
      </c>
      <c r="C36" s="631"/>
      <c r="D36" s="632"/>
      <c r="E36" s="633"/>
      <c r="F36" s="383"/>
      <c r="G36" s="676"/>
      <c r="H36" s="677"/>
      <c r="I36" s="677"/>
      <c r="J36" s="677"/>
      <c r="K36" s="678"/>
      <c r="L36" s="385"/>
      <c r="M36" s="378" t="s">
        <v>3</v>
      </c>
      <c r="N36" s="379">
        <v>50</v>
      </c>
      <c r="O36" s="631"/>
      <c r="P36" s="632"/>
      <c r="Q36" s="633"/>
      <c r="R36" s="384"/>
      <c r="S36" s="598"/>
      <c r="T36" s="598"/>
      <c r="U36" s="598"/>
      <c r="V36" s="598"/>
      <c r="W36" s="598"/>
      <c r="X36" s="598"/>
      <c r="Z36" s="380"/>
    </row>
    <row r="37" spans="1:26" ht="19.5" thickBot="1" x14ac:dyDescent="0.35">
      <c r="A37" s="634" t="s">
        <v>301</v>
      </c>
      <c r="B37" s="635"/>
      <c r="C37" s="635"/>
      <c r="D37" s="635"/>
      <c r="E37" s="635"/>
      <c r="F37" s="383"/>
      <c r="G37" s="676"/>
      <c r="H37" s="677"/>
      <c r="I37" s="677"/>
      <c r="J37" s="677"/>
      <c r="K37" s="678"/>
      <c r="L37" s="385"/>
      <c r="M37" s="634" t="s">
        <v>302</v>
      </c>
      <c r="N37" s="635"/>
      <c r="O37" s="635"/>
      <c r="P37" s="635"/>
      <c r="Q37" s="635"/>
      <c r="R37" s="397" t="s">
        <v>300</v>
      </c>
      <c r="S37" s="598"/>
      <c r="T37" s="598"/>
      <c r="U37" s="598"/>
      <c r="V37" s="598"/>
      <c r="W37" s="598"/>
      <c r="X37" s="598"/>
    </row>
    <row r="38" spans="1:26" ht="18.75" customHeight="1" thickBot="1" x14ac:dyDescent="0.35">
      <c r="A38" s="636" t="s">
        <v>284</v>
      </c>
      <c r="B38" s="637"/>
      <c r="C38" s="637"/>
      <c r="D38" s="659">
        <v>0.35</v>
      </c>
      <c r="E38" s="660"/>
      <c r="F38" s="383"/>
      <c r="G38" s="679"/>
      <c r="H38" s="680"/>
      <c r="I38" s="680"/>
      <c r="J38" s="680"/>
      <c r="K38" s="681"/>
      <c r="L38" s="385"/>
      <c r="M38" s="636" t="s">
        <v>284</v>
      </c>
      <c r="N38" s="637"/>
      <c r="O38" s="637"/>
      <c r="P38" s="659">
        <v>0.17</v>
      </c>
      <c r="Q38" s="660"/>
      <c r="R38" s="396">
        <f>P38-D38</f>
        <v>-0.17999999999999997</v>
      </c>
      <c r="S38" s="598"/>
      <c r="T38" s="598"/>
      <c r="U38" s="598"/>
      <c r="V38" s="598"/>
      <c r="W38" s="598"/>
      <c r="X38" s="598"/>
    </row>
    <row r="39" spans="1:26" ht="18.75" customHeight="1" x14ac:dyDescent="0.3">
      <c r="A39" s="611" t="s">
        <v>285</v>
      </c>
      <c r="B39" s="612"/>
      <c r="C39" s="612"/>
      <c r="D39" s="657">
        <v>0.52</v>
      </c>
      <c r="E39" s="658"/>
      <c r="F39" s="383"/>
      <c r="G39" s="384"/>
      <c r="H39" s="384"/>
      <c r="I39" s="384"/>
      <c r="J39" s="384"/>
      <c r="K39" s="384"/>
      <c r="L39" s="385"/>
      <c r="M39" s="611" t="s">
        <v>285</v>
      </c>
      <c r="N39" s="612"/>
      <c r="O39" s="612"/>
      <c r="P39" s="657">
        <v>0.66</v>
      </c>
      <c r="Q39" s="658"/>
      <c r="R39" s="396">
        <f t="shared" ref="R39:R40" si="0">P39-D39</f>
        <v>0.14000000000000001</v>
      </c>
      <c r="S39" s="598"/>
      <c r="T39" s="598"/>
      <c r="U39" s="598"/>
      <c r="V39" s="598"/>
      <c r="W39" s="598"/>
      <c r="X39" s="598"/>
    </row>
    <row r="40" spans="1:26" ht="31.5" customHeight="1" x14ac:dyDescent="0.3">
      <c r="A40" s="611" t="s">
        <v>286</v>
      </c>
      <c r="B40" s="612"/>
      <c r="C40" s="612"/>
      <c r="D40" s="657">
        <v>0.42</v>
      </c>
      <c r="E40" s="658"/>
      <c r="F40" s="383"/>
      <c r="G40" s="384"/>
      <c r="H40" s="384"/>
      <c r="I40" s="384"/>
      <c r="J40" s="384"/>
      <c r="K40" s="384"/>
      <c r="L40" s="385"/>
      <c r="M40" s="611" t="s">
        <v>286</v>
      </c>
      <c r="N40" s="612"/>
      <c r="O40" s="612"/>
      <c r="P40" s="657">
        <v>0.55000000000000004</v>
      </c>
      <c r="Q40" s="658"/>
      <c r="R40" s="396">
        <f t="shared" si="0"/>
        <v>0.13000000000000006</v>
      </c>
      <c r="S40" s="598"/>
      <c r="T40" s="598"/>
      <c r="U40" s="598"/>
      <c r="V40" s="598"/>
      <c r="W40" s="598"/>
      <c r="X40" s="598"/>
    </row>
    <row r="41" spans="1:26" ht="18.75" customHeight="1" x14ac:dyDescent="0.3">
      <c r="A41" s="611" t="s">
        <v>100</v>
      </c>
      <c r="B41" s="612"/>
      <c r="C41" s="612"/>
      <c r="D41" s="655">
        <v>4.17</v>
      </c>
      <c r="E41" s="656"/>
      <c r="F41" s="383"/>
      <c r="G41" s="384"/>
      <c r="H41" s="384"/>
      <c r="I41" s="384"/>
      <c r="J41" s="384"/>
      <c r="K41" s="384"/>
      <c r="L41" s="385"/>
      <c r="M41" s="611" t="s">
        <v>100</v>
      </c>
      <c r="N41" s="612"/>
      <c r="O41" s="612"/>
      <c r="P41" s="655">
        <v>6.74</v>
      </c>
      <c r="Q41" s="656"/>
      <c r="R41" s="398">
        <f>(P41-D41)/D41</f>
        <v>0.61630695443645089</v>
      </c>
      <c r="S41" s="598"/>
      <c r="T41" s="598"/>
      <c r="U41" s="598"/>
      <c r="V41" s="598"/>
      <c r="W41" s="598"/>
      <c r="X41" s="598"/>
    </row>
    <row r="42" spans="1:26" ht="19.5" customHeight="1" thickBot="1" x14ac:dyDescent="0.35">
      <c r="A42" s="617" t="s">
        <v>99</v>
      </c>
      <c r="B42" s="618"/>
      <c r="C42" s="618"/>
      <c r="D42" s="653">
        <v>65625</v>
      </c>
      <c r="E42" s="654"/>
      <c r="F42" s="383"/>
      <c r="G42" s="384"/>
      <c r="H42" s="384"/>
      <c r="I42" s="384"/>
      <c r="J42" s="384"/>
      <c r="K42" s="384"/>
      <c r="L42" s="385"/>
      <c r="M42" s="617" t="s">
        <v>99</v>
      </c>
      <c r="N42" s="618"/>
      <c r="O42" s="618"/>
      <c r="P42" s="653">
        <v>133848</v>
      </c>
      <c r="Q42" s="654"/>
      <c r="R42" s="399">
        <f>(P42-D42)/D42</f>
        <v>1.0395885714285715</v>
      </c>
      <c r="S42" s="598"/>
      <c r="T42" s="598"/>
      <c r="U42" s="598"/>
      <c r="V42" s="598"/>
      <c r="W42" s="598"/>
      <c r="X42" s="598"/>
    </row>
    <row r="43" spans="1:26" x14ac:dyDescent="0.25">
      <c r="A43" s="598"/>
      <c r="B43" s="598"/>
      <c r="C43" s="598"/>
      <c r="D43" s="598"/>
      <c r="E43" s="598"/>
      <c r="F43" s="598"/>
      <c r="G43" s="598"/>
      <c r="H43" s="598"/>
      <c r="I43" s="598"/>
      <c r="J43" s="598"/>
      <c r="K43" s="598"/>
      <c r="L43" s="598"/>
      <c r="M43" s="598"/>
      <c r="N43" s="598"/>
      <c r="O43" s="598"/>
      <c r="P43" s="598"/>
      <c r="Q43" s="598"/>
      <c r="R43" s="384"/>
      <c r="S43" s="598"/>
      <c r="T43" s="598"/>
      <c r="U43" s="598"/>
      <c r="V43" s="598"/>
      <c r="W43" s="598"/>
      <c r="X43" s="598"/>
    </row>
    <row r="44" spans="1:26" x14ac:dyDescent="0.25">
      <c r="A44" s="598"/>
      <c r="B44" s="598"/>
      <c r="C44" s="598"/>
      <c r="D44" s="598"/>
      <c r="E44" s="598"/>
      <c r="F44" s="598"/>
      <c r="G44" s="598"/>
      <c r="H44" s="598"/>
      <c r="I44" s="598"/>
      <c r="J44" s="598"/>
      <c r="K44" s="598"/>
      <c r="L44" s="598"/>
      <c r="M44" s="598"/>
      <c r="N44" s="598"/>
      <c r="O44" s="598"/>
      <c r="P44" s="598"/>
      <c r="Q44" s="598"/>
      <c r="R44" s="384"/>
      <c r="S44" s="598"/>
      <c r="T44" s="598"/>
      <c r="U44" s="598"/>
      <c r="V44" s="598"/>
      <c r="W44" s="598"/>
      <c r="X44" s="598"/>
    </row>
    <row r="45" spans="1:26" x14ac:dyDescent="0.25">
      <c r="A45" s="598"/>
      <c r="B45" s="598"/>
      <c r="C45" s="598"/>
      <c r="D45" s="598"/>
      <c r="E45" s="598"/>
      <c r="F45" s="598"/>
      <c r="G45" s="598"/>
      <c r="H45" s="598"/>
      <c r="I45" s="598"/>
      <c r="J45" s="598"/>
      <c r="K45" s="598"/>
      <c r="L45" s="598"/>
      <c r="M45" s="598"/>
      <c r="N45" s="598"/>
      <c r="O45" s="598"/>
      <c r="P45" s="598"/>
      <c r="Q45" s="598"/>
      <c r="R45" s="384"/>
      <c r="S45" s="598"/>
      <c r="T45" s="598"/>
      <c r="U45" s="598"/>
      <c r="V45" s="598"/>
      <c r="W45" s="598"/>
      <c r="X45" s="598"/>
    </row>
  </sheetData>
  <mergeCells count="94">
    <mergeCell ref="A1:R1"/>
    <mergeCell ref="S1:X8"/>
    <mergeCell ref="A2:E2"/>
    <mergeCell ref="F2:L8"/>
    <mergeCell ref="M2:Q2"/>
    <mergeCell ref="A3:E3"/>
    <mergeCell ref="M3:Q3"/>
    <mergeCell ref="B4:D4"/>
    <mergeCell ref="E4:E7"/>
    <mergeCell ref="N4:P4"/>
    <mergeCell ref="Q4:Q7"/>
    <mergeCell ref="B5:D5"/>
    <mergeCell ref="N5:P5"/>
    <mergeCell ref="B6:D6"/>
    <mergeCell ref="N6:P6"/>
    <mergeCell ref="B7:D7"/>
    <mergeCell ref="N7:P7"/>
    <mergeCell ref="A8:E8"/>
    <mergeCell ref="M8:Q8"/>
    <mergeCell ref="A9:E9"/>
    <mergeCell ref="F9:F33"/>
    <mergeCell ref="L9:L33"/>
    <mergeCell ref="M9:Q9"/>
    <mergeCell ref="A13:E13"/>
    <mergeCell ref="M13:Q13"/>
    <mergeCell ref="B14:D14"/>
    <mergeCell ref="B17:D17"/>
    <mergeCell ref="N17:P17"/>
    <mergeCell ref="M18:Q18"/>
    <mergeCell ref="A19:E19"/>
    <mergeCell ref="M19:Q19"/>
    <mergeCell ref="B20:D20"/>
    <mergeCell ref="S9:W33"/>
    <mergeCell ref="X9:X33"/>
    <mergeCell ref="B10:D10"/>
    <mergeCell ref="E10:E11"/>
    <mergeCell ref="N10:P10"/>
    <mergeCell ref="Q10:Q11"/>
    <mergeCell ref="B11:D11"/>
    <mergeCell ref="N11:P11"/>
    <mergeCell ref="A12:E12"/>
    <mergeCell ref="M12:Q12"/>
    <mergeCell ref="N14:P14"/>
    <mergeCell ref="B15:D15"/>
    <mergeCell ref="N15:P15"/>
    <mergeCell ref="B16:D16"/>
    <mergeCell ref="N16:P16"/>
    <mergeCell ref="A18:E18"/>
    <mergeCell ref="E20:E21"/>
    <mergeCell ref="N20:P20"/>
    <mergeCell ref="Q20:Q21"/>
    <mergeCell ref="B21:D21"/>
    <mergeCell ref="N21:P21"/>
    <mergeCell ref="M22:Q22"/>
    <mergeCell ref="A23:E23"/>
    <mergeCell ref="M23:Q23"/>
    <mergeCell ref="A28:E28"/>
    <mergeCell ref="M28:Q28"/>
    <mergeCell ref="A22:E22"/>
    <mergeCell ref="S34:X45"/>
    <mergeCell ref="A37:E37"/>
    <mergeCell ref="M37:Q37"/>
    <mergeCell ref="A38:C38"/>
    <mergeCell ref="D38:E38"/>
    <mergeCell ref="A41:C41"/>
    <mergeCell ref="D41:E41"/>
    <mergeCell ref="M41:O41"/>
    <mergeCell ref="P41:Q41"/>
    <mergeCell ref="M38:O38"/>
    <mergeCell ref="P38:Q38"/>
    <mergeCell ref="A39:C39"/>
    <mergeCell ref="D39:E39"/>
    <mergeCell ref="M39:O39"/>
    <mergeCell ref="P39:Q39"/>
    <mergeCell ref="G9:K38"/>
    <mergeCell ref="A40:C40"/>
    <mergeCell ref="D40:E40"/>
    <mergeCell ref="M40:O40"/>
    <mergeCell ref="P40:Q40"/>
    <mergeCell ref="A32:E32"/>
    <mergeCell ref="M32:Q32"/>
    <mergeCell ref="C33:E36"/>
    <mergeCell ref="O33:Q36"/>
    <mergeCell ref="A29:E29"/>
    <mergeCell ref="M29:Q29"/>
    <mergeCell ref="C30:E30"/>
    <mergeCell ref="O30:Q30"/>
    <mergeCell ref="A31:E31"/>
    <mergeCell ref="M31:Q31"/>
    <mergeCell ref="A42:C42"/>
    <mergeCell ref="D42:E42"/>
    <mergeCell ref="M42:O42"/>
    <mergeCell ref="P42:Q42"/>
    <mergeCell ref="A43:Q4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zoomScale="85" zoomScaleNormal="85" workbookViewId="0">
      <selection activeCell="Y34" sqref="Y34"/>
    </sheetView>
  </sheetViews>
  <sheetFormatPr defaultRowHeight="15" x14ac:dyDescent="0.25"/>
  <cols>
    <col min="1" max="1" width="29" customWidth="1"/>
    <col min="2" max="2" width="11.5703125" bestFit="1" customWidth="1"/>
    <col min="13" max="13" width="31.42578125" customWidth="1"/>
    <col min="18" max="18" width="17.140625" customWidth="1"/>
  </cols>
  <sheetData>
    <row r="1" spans="1:24" ht="15.75" thickBot="1" x14ac:dyDescent="0.3">
      <c r="A1" s="598"/>
      <c r="B1" s="598"/>
      <c r="C1" s="598"/>
      <c r="D1" s="598"/>
      <c r="E1" s="598"/>
      <c r="F1" s="598"/>
      <c r="G1" s="598"/>
      <c r="H1" s="598"/>
      <c r="I1" s="598"/>
      <c r="J1" s="598"/>
      <c r="K1" s="598"/>
      <c r="L1" s="598"/>
      <c r="M1" s="598"/>
      <c r="N1" s="598"/>
      <c r="O1" s="598"/>
      <c r="P1" s="598"/>
      <c r="Q1" s="598"/>
      <c r="R1" s="598"/>
      <c r="S1" s="598"/>
      <c r="T1" s="598"/>
      <c r="U1" s="598"/>
      <c r="V1" s="598"/>
      <c r="W1" s="598"/>
      <c r="X1" s="598"/>
    </row>
    <row r="2" spans="1:24" ht="18.75" x14ac:dyDescent="0.3">
      <c r="A2" s="719" t="s">
        <v>308</v>
      </c>
      <c r="B2" s="720"/>
      <c r="C2" s="720"/>
      <c r="D2" s="720"/>
      <c r="E2" s="721"/>
      <c r="F2" s="608"/>
      <c r="G2" s="722"/>
      <c r="H2" s="722"/>
      <c r="I2" s="722"/>
      <c r="J2" s="722"/>
      <c r="K2" s="722"/>
      <c r="L2" s="609"/>
      <c r="M2" s="719" t="s">
        <v>303</v>
      </c>
      <c r="N2" s="720"/>
      <c r="O2" s="720"/>
      <c r="P2" s="720"/>
      <c r="Q2" s="721"/>
      <c r="R2" s="384"/>
      <c r="S2" s="598"/>
      <c r="T2" s="598"/>
      <c r="U2" s="598"/>
      <c r="V2" s="598"/>
      <c r="W2" s="598"/>
      <c r="X2" s="598"/>
    </row>
    <row r="3" spans="1:24" x14ac:dyDescent="0.25">
      <c r="A3" s="723" t="s">
        <v>274</v>
      </c>
      <c r="B3" s="724"/>
      <c r="C3" s="724"/>
      <c r="D3" s="724"/>
      <c r="E3" s="725"/>
      <c r="F3" s="608"/>
      <c r="G3" s="722"/>
      <c r="H3" s="722"/>
      <c r="I3" s="722"/>
      <c r="J3" s="722"/>
      <c r="K3" s="722"/>
      <c r="L3" s="609"/>
      <c r="M3" s="723" t="s">
        <v>274</v>
      </c>
      <c r="N3" s="724"/>
      <c r="O3" s="724"/>
      <c r="P3" s="724"/>
      <c r="Q3" s="725"/>
      <c r="R3" s="384"/>
      <c r="S3" s="598"/>
      <c r="T3" s="598"/>
      <c r="U3" s="598"/>
      <c r="V3" s="598"/>
      <c r="W3" s="598"/>
      <c r="X3" s="598"/>
    </row>
    <row r="4" spans="1:24" x14ac:dyDescent="0.25">
      <c r="A4" s="370" t="s">
        <v>276</v>
      </c>
      <c r="B4" s="726">
        <v>30000</v>
      </c>
      <c r="C4" s="727"/>
      <c r="D4" s="728"/>
      <c r="E4" s="706"/>
      <c r="F4" s="608"/>
      <c r="G4" s="722"/>
      <c r="H4" s="722"/>
      <c r="I4" s="722"/>
      <c r="J4" s="722"/>
      <c r="K4" s="722"/>
      <c r="L4" s="609"/>
      <c r="M4" s="370" t="s">
        <v>276</v>
      </c>
      <c r="N4" s="726">
        <v>30000</v>
      </c>
      <c r="O4" s="727"/>
      <c r="P4" s="728"/>
      <c r="Q4" s="706"/>
      <c r="R4" s="384"/>
      <c r="S4" s="598"/>
      <c r="T4" s="598"/>
      <c r="U4" s="598"/>
      <c r="V4" s="598"/>
      <c r="W4" s="598"/>
      <c r="X4" s="598"/>
    </row>
    <row r="5" spans="1:24" x14ac:dyDescent="0.25">
      <c r="A5" s="370" t="s">
        <v>275</v>
      </c>
      <c r="B5" s="729">
        <v>0.28000000000000003</v>
      </c>
      <c r="C5" s="730"/>
      <c r="D5" s="731"/>
      <c r="E5" s="706"/>
      <c r="F5" s="608"/>
      <c r="G5" s="722"/>
      <c r="H5" s="722"/>
      <c r="I5" s="722"/>
      <c r="J5" s="722"/>
      <c r="K5" s="722"/>
      <c r="L5" s="609"/>
      <c r="M5" s="370" t="s">
        <v>275</v>
      </c>
      <c r="N5" s="713">
        <v>0.28000000000000003</v>
      </c>
      <c r="O5" s="714"/>
      <c r="P5" s="715"/>
      <c r="Q5" s="706"/>
      <c r="R5" s="384"/>
      <c r="S5" s="598"/>
      <c r="T5" s="598"/>
      <c r="U5" s="598"/>
      <c r="V5" s="598"/>
      <c r="W5" s="598"/>
      <c r="X5" s="598"/>
    </row>
    <row r="6" spans="1:24" x14ac:dyDescent="0.25">
      <c r="A6" s="370" t="s">
        <v>6</v>
      </c>
      <c r="B6" s="729">
        <v>0.48</v>
      </c>
      <c r="C6" s="730"/>
      <c r="D6" s="731"/>
      <c r="E6" s="706"/>
      <c r="F6" s="608"/>
      <c r="G6" s="722"/>
      <c r="H6" s="722"/>
      <c r="I6" s="722"/>
      <c r="J6" s="722"/>
      <c r="K6" s="722"/>
      <c r="L6" s="609"/>
      <c r="M6" s="370" t="s">
        <v>6</v>
      </c>
      <c r="N6" s="713">
        <v>0.48</v>
      </c>
      <c r="O6" s="714"/>
      <c r="P6" s="715"/>
      <c r="Q6" s="706"/>
      <c r="R6" s="384"/>
      <c r="S6" s="598"/>
      <c r="T6" s="598"/>
      <c r="U6" s="598"/>
      <c r="V6" s="598"/>
      <c r="W6" s="598"/>
      <c r="X6" s="598"/>
    </row>
    <row r="7" spans="1:24" x14ac:dyDescent="0.25">
      <c r="A7" s="370" t="s">
        <v>7</v>
      </c>
      <c r="B7" s="729">
        <v>0.24</v>
      </c>
      <c r="C7" s="730"/>
      <c r="D7" s="731"/>
      <c r="E7" s="706"/>
      <c r="F7" s="608"/>
      <c r="G7" s="722"/>
      <c r="H7" s="722"/>
      <c r="I7" s="722"/>
      <c r="J7" s="722"/>
      <c r="K7" s="722"/>
      <c r="L7" s="609"/>
      <c r="M7" s="370" t="s">
        <v>7</v>
      </c>
      <c r="N7" s="713">
        <v>0.24</v>
      </c>
      <c r="O7" s="714"/>
      <c r="P7" s="715"/>
      <c r="Q7" s="706"/>
      <c r="R7" s="384"/>
      <c r="S7" s="598"/>
      <c r="T7" s="598"/>
      <c r="U7" s="598"/>
      <c r="V7" s="598"/>
      <c r="W7" s="598"/>
      <c r="X7" s="598"/>
    </row>
    <row r="8" spans="1:24" ht="6" customHeight="1" thickBot="1" x14ac:dyDescent="0.3">
      <c r="A8" s="624"/>
      <c r="B8" s="625"/>
      <c r="C8" s="625"/>
      <c r="D8" s="625"/>
      <c r="E8" s="626"/>
      <c r="F8" s="608"/>
      <c r="G8" s="722"/>
      <c r="H8" s="722"/>
      <c r="I8" s="722"/>
      <c r="J8" s="722"/>
      <c r="K8" s="722"/>
      <c r="L8" s="609"/>
      <c r="M8" s="624"/>
      <c r="N8" s="625"/>
      <c r="O8" s="625"/>
      <c r="P8" s="625"/>
      <c r="Q8" s="626"/>
      <c r="R8" s="384"/>
      <c r="S8" s="598"/>
      <c r="T8" s="598"/>
      <c r="U8" s="598"/>
      <c r="V8" s="598"/>
      <c r="W8" s="598"/>
      <c r="X8" s="598"/>
    </row>
    <row r="9" spans="1:24" ht="15" customHeight="1" x14ac:dyDescent="0.25">
      <c r="A9" s="640" t="s">
        <v>258</v>
      </c>
      <c r="B9" s="641"/>
      <c r="C9" s="641"/>
      <c r="D9" s="641"/>
      <c r="E9" s="642"/>
      <c r="F9" s="610"/>
      <c r="G9" s="599" t="s">
        <v>298</v>
      </c>
      <c r="H9" s="674"/>
      <c r="I9" s="674"/>
      <c r="J9" s="674"/>
      <c r="K9" s="675"/>
      <c r="L9" s="610"/>
      <c r="M9" s="640" t="s">
        <v>258</v>
      </c>
      <c r="N9" s="641"/>
      <c r="O9" s="641"/>
      <c r="P9" s="641"/>
      <c r="Q9" s="642"/>
      <c r="R9" s="384"/>
      <c r="S9" s="599" t="s">
        <v>299</v>
      </c>
      <c r="T9" s="600"/>
      <c r="U9" s="600"/>
      <c r="V9" s="600"/>
      <c r="W9" s="601"/>
      <c r="X9" s="608"/>
    </row>
    <row r="10" spans="1:24" x14ac:dyDescent="0.25">
      <c r="A10" s="371" t="s">
        <v>280</v>
      </c>
      <c r="B10" s="703">
        <v>20400</v>
      </c>
      <c r="C10" s="704"/>
      <c r="D10" s="705"/>
      <c r="E10" s="706"/>
      <c r="F10" s="610"/>
      <c r="G10" s="676"/>
      <c r="H10" s="677"/>
      <c r="I10" s="677"/>
      <c r="J10" s="677"/>
      <c r="K10" s="678"/>
      <c r="L10" s="610"/>
      <c r="M10" s="371" t="s">
        <v>280</v>
      </c>
      <c r="N10" s="703">
        <v>20400</v>
      </c>
      <c r="O10" s="704"/>
      <c r="P10" s="705"/>
      <c r="Q10" s="706"/>
      <c r="R10" s="384"/>
      <c r="S10" s="602"/>
      <c r="T10" s="603"/>
      <c r="U10" s="603"/>
      <c r="V10" s="603"/>
      <c r="W10" s="604"/>
      <c r="X10" s="608"/>
    </row>
    <row r="11" spans="1:24" x14ac:dyDescent="0.25">
      <c r="A11" s="370" t="s">
        <v>281</v>
      </c>
      <c r="B11" s="703">
        <v>3600</v>
      </c>
      <c r="C11" s="704"/>
      <c r="D11" s="705"/>
      <c r="E11" s="706"/>
      <c r="F11" s="610"/>
      <c r="G11" s="676"/>
      <c r="H11" s="677"/>
      <c r="I11" s="677"/>
      <c r="J11" s="677"/>
      <c r="K11" s="678"/>
      <c r="L11" s="610"/>
      <c r="M11" s="370" t="s">
        <v>281</v>
      </c>
      <c r="N11" s="703">
        <v>3600</v>
      </c>
      <c r="O11" s="704"/>
      <c r="P11" s="705"/>
      <c r="Q11" s="706"/>
      <c r="R11" s="384"/>
      <c r="S11" s="602"/>
      <c r="T11" s="603"/>
      <c r="U11" s="603"/>
      <c r="V11" s="603"/>
      <c r="W11" s="604"/>
      <c r="X11" s="608"/>
    </row>
    <row r="12" spans="1:24" ht="6" customHeight="1" x14ac:dyDescent="0.25">
      <c r="A12" s="624"/>
      <c r="B12" s="625"/>
      <c r="C12" s="625"/>
      <c r="D12" s="625"/>
      <c r="E12" s="626"/>
      <c r="F12" s="610"/>
      <c r="G12" s="676"/>
      <c r="H12" s="677"/>
      <c r="I12" s="677"/>
      <c r="J12" s="677"/>
      <c r="K12" s="678"/>
      <c r="L12" s="610"/>
      <c r="M12" s="624"/>
      <c r="N12" s="625"/>
      <c r="O12" s="625"/>
      <c r="P12" s="625"/>
      <c r="Q12" s="626"/>
      <c r="R12" s="384"/>
      <c r="S12" s="602"/>
      <c r="T12" s="603"/>
      <c r="U12" s="603"/>
      <c r="V12" s="603"/>
      <c r="W12" s="604"/>
      <c r="X12" s="608"/>
    </row>
    <row r="13" spans="1:24" ht="15.75" thickBot="1" x14ac:dyDescent="0.3">
      <c r="A13" s="640" t="s">
        <v>268</v>
      </c>
      <c r="B13" s="641"/>
      <c r="C13" s="641"/>
      <c r="D13" s="641"/>
      <c r="E13" s="642"/>
      <c r="F13" s="610"/>
      <c r="G13" s="676"/>
      <c r="H13" s="677"/>
      <c r="I13" s="677"/>
      <c r="J13" s="677"/>
      <c r="K13" s="678"/>
      <c r="L13" s="610"/>
      <c r="M13" s="640" t="s">
        <v>268</v>
      </c>
      <c r="N13" s="641"/>
      <c r="O13" s="641"/>
      <c r="P13" s="641"/>
      <c r="Q13" s="642"/>
      <c r="R13" s="384"/>
      <c r="S13" s="602"/>
      <c r="T13" s="603"/>
      <c r="U13" s="603"/>
      <c r="V13" s="603"/>
      <c r="W13" s="604"/>
      <c r="X13" s="608"/>
    </row>
    <row r="14" spans="1:24" x14ac:dyDescent="0.25">
      <c r="A14" s="372" t="s">
        <v>0</v>
      </c>
      <c r="B14" s="665">
        <f>(B11+B10)*E14</f>
        <v>12000</v>
      </c>
      <c r="C14" s="666"/>
      <c r="D14" s="667"/>
      <c r="E14" s="401">
        <v>0.5</v>
      </c>
      <c r="F14" s="610"/>
      <c r="G14" s="676"/>
      <c r="H14" s="677"/>
      <c r="I14" s="677"/>
      <c r="J14" s="677"/>
      <c r="K14" s="678"/>
      <c r="L14" s="610"/>
      <c r="M14" s="372" t="s">
        <v>0</v>
      </c>
      <c r="N14" s="707">
        <f>(N11+N10)*Q14</f>
        <v>12000</v>
      </c>
      <c r="O14" s="708"/>
      <c r="P14" s="709"/>
      <c r="Q14" s="392">
        <v>0.5</v>
      </c>
      <c r="R14" s="384"/>
      <c r="S14" s="602"/>
      <c r="T14" s="603"/>
      <c r="U14" s="603"/>
      <c r="V14" s="603"/>
      <c r="W14" s="604"/>
      <c r="X14" s="608"/>
    </row>
    <row r="15" spans="1:24" x14ac:dyDescent="0.25">
      <c r="A15" s="372" t="s">
        <v>1</v>
      </c>
      <c r="B15" s="668">
        <f>(B11+B10)*E15</f>
        <v>2400</v>
      </c>
      <c r="C15" s="669"/>
      <c r="D15" s="670"/>
      <c r="E15" s="402">
        <v>0.1</v>
      </c>
      <c r="F15" s="610"/>
      <c r="G15" s="676"/>
      <c r="H15" s="677"/>
      <c r="I15" s="677"/>
      <c r="J15" s="677"/>
      <c r="K15" s="678"/>
      <c r="L15" s="610"/>
      <c r="M15" s="372" t="s">
        <v>1</v>
      </c>
      <c r="N15" s="710">
        <f>(N11+N10)*Q15</f>
        <v>2400</v>
      </c>
      <c r="O15" s="711"/>
      <c r="P15" s="712"/>
      <c r="Q15" s="393">
        <v>0.1</v>
      </c>
      <c r="R15" s="384"/>
      <c r="S15" s="602"/>
      <c r="T15" s="603"/>
      <c r="U15" s="603"/>
      <c r="V15" s="603"/>
      <c r="W15" s="604"/>
      <c r="X15" s="608"/>
    </row>
    <row r="16" spans="1:24" x14ac:dyDescent="0.25">
      <c r="A16" s="372" t="s">
        <v>2</v>
      </c>
      <c r="B16" s="668">
        <f>(B10+B11)*E16</f>
        <v>6000</v>
      </c>
      <c r="C16" s="669"/>
      <c r="D16" s="670"/>
      <c r="E16" s="402">
        <v>0.25</v>
      </c>
      <c r="F16" s="610"/>
      <c r="G16" s="676"/>
      <c r="H16" s="677"/>
      <c r="I16" s="677"/>
      <c r="J16" s="677"/>
      <c r="K16" s="678"/>
      <c r="L16" s="610"/>
      <c r="M16" s="372" t="s">
        <v>2</v>
      </c>
      <c r="N16" s="710">
        <f>(N10+N11)*Q16</f>
        <v>6000</v>
      </c>
      <c r="O16" s="711"/>
      <c r="P16" s="712"/>
      <c r="Q16" s="393">
        <v>0.25</v>
      </c>
      <c r="R16" s="384"/>
      <c r="S16" s="602"/>
      <c r="T16" s="603"/>
      <c r="U16" s="603"/>
      <c r="V16" s="603"/>
      <c r="W16" s="604"/>
      <c r="X16" s="608"/>
    </row>
    <row r="17" spans="1:24" ht="15.75" thickBot="1" x14ac:dyDescent="0.3">
      <c r="A17" s="372" t="s">
        <v>3</v>
      </c>
      <c r="B17" s="671">
        <v>3600</v>
      </c>
      <c r="C17" s="672"/>
      <c r="D17" s="673"/>
      <c r="E17" s="403">
        <v>0.15</v>
      </c>
      <c r="F17" s="610"/>
      <c r="G17" s="676"/>
      <c r="H17" s="677"/>
      <c r="I17" s="677"/>
      <c r="J17" s="677"/>
      <c r="K17" s="678"/>
      <c r="L17" s="610"/>
      <c r="M17" s="372" t="s">
        <v>3</v>
      </c>
      <c r="N17" s="716">
        <v>3600</v>
      </c>
      <c r="O17" s="717"/>
      <c r="P17" s="718"/>
      <c r="Q17" s="394">
        <v>0.15</v>
      </c>
      <c r="R17" s="384"/>
      <c r="S17" s="602"/>
      <c r="T17" s="603"/>
      <c r="U17" s="603"/>
      <c r="V17" s="603"/>
      <c r="W17" s="604"/>
      <c r="X17" s="608"/>
    </row>
    <row r="18" spans="1:24" ht="6" customHeight="1" x14ac:dyDescent="0.25">
      <c r="A18" s="624"/>
      <c r="B18" s="625"/>
      <c r="C18" s="625"/>
      <c r="D18" s="625"/>
      <c r="E18" s="626"/>
      <c r="F18" s="610"/>
      <c r="G18" s="676"/>
      <c r="H18" s="677"/>
      <c r="I18" s="677"/>
      <c r="J18" s="677"/>
      <c r="K18" s="678"/>
      <c r="L18" s="610"/>
      <c r="M18" s="624"/>
      <c r="N18" s="625"/>
      <c r="O18" s="625"/>
      <c r="P18" s="625"/>
      <c r="Q18" s="626"/>
      <c r="R18" s="384"/>
      <c r="S18" s="602"/>
      <c r="T18" s="603"/>
      <c r="U18" s="603"/>
      <c r="V18" s="603"/>
      <c r="W18" s="604"/>
      <c r="X18" s="608"/>
    </row>
    <row r="19" spans="1:24" x14ac:dyDescent="0.25">
      <c r="A19" s="640" t="s">
        <v>259</v>
      </c>
      <c r="B19" s="641"/>
      <c r="C19" s="641"/>
      <c r="D19" s="641"/>
      <c r="E19" s="642"/>
      <c r="F19" s="610"/>
      <c r="G19" s="676"/>
      <c r="H19" s="677"/>
      <c r="I19" s="677"/>
      <c r="J19" s="677"/>
      <c r="K19" s="678"/>
      <c r="L19" s="610"/>
      <c r="M19" s="640" t="s">
        <v>259</v>
      </c>
      <c r="N19" s="641"/>
      <c r="O19" s="641"/>
      <c r="P19" s="641"/>
      <c r="Q19" s="642"/>
      <c r="R19" s="384"/>
      <c r="S19" s="602"/>
      <c r="T19" s="603"/>
      <c r="U19" s="603"/>
      <c r="V19" s="603"/>
      <c r="W19" s="604"/>
      <c r="X19" s="608"/>
    </row>
    <row r="20" spans="1:24" x14ac:dyDescent="0.25">
      <c r="A20" s="373" t="s">
        <v>280</v>
      </c>
      <c r="B20" s="699">
        <v>1</v>
      </c>
      <c r="C20" s="700"/>
      <c r="D20" s="701"/>
      <c r="E20" s="702"/>
      <c r="F20" s="610"/>
      <c r="G20" s="676"/>
      <c r="H20" s="677"/>
      <c r="I20" s="677"/>
      <c r="J20" s="677"/>
      <c r="K20" s="678"/>
      <c r="L20" s="610"/>
      <c r="M20" s="373" t="s">
        <v>280</v>
      </c>
      <c r="N20" s="699">
        <v>1</v>
      </c>
      <c r="O20" s="700"/>
      <c r="P20" s="701"/>
      <c r="Q20" s="702"/>
      <c r="R20" s="384"/>
      <c r="S20" s="602"/>
      <c r="T20" s="603"/>
      <c r="U20" s="603"/>
      <c r="V20" s="603"/>
      <c r="W20" s="604"/>
      <c r="X20" s="608"/>
    </row>
    <row r="21" spans="1:24" x14ac:dyDescent="0.25">
      <c r="A21" s="373" t="s">
        <v>281</v>
      </c>
      <c r="B21" s="699">
        <v>1</v>
      </c>
      <c r="C21" s="700"/>
      <c r="D21" s="701"/>
      <c r="E21" s="702"/>
      <c r="F21" s="610"/>
      <c r="G21" s="676"/>
      <c r="H21" s="677"/>
      <c r="I21" s="677"/>
      <c r="J21" s="677"/>
      <c r="K21" s="678"/>
      <c r="L21" s="610"/>
      <c r="M21" s="373" t="s">
        <v>281</v>
      </c>
      <c r="N21" s="699">
        <v>1</v>
      </c>
      <c r="O21" s="700"/>
      <c r="P21" s="701"/>
      <c r="Q21" s="702"/>
      <c r="R21" s="384"/>
      <c r="S21" s="602"/>
      <c r="T21" s="603"/>
      <c r="U21" s="603"/>
      <c r="V21" s="603"/>
      <c r="W21" s="604"/>
      <c r="X21" s="608"/>
    </row>
    <row r="22" spans="1:24" ht="6" customHeight="1" x14ac:dyDescent="0.25">
      <c r="A22" s="624"/>
      <c r="B22" s="625"/>
      <c r="C22" s="625"/>
      <c r="D22" s="625"/>
      <c r="E22" s="626"/>
      <c r="F22" s="610"/>
      <c r="G22" s="676"/>
      <c r="H22" s="677"/>
      <c r="I22" s="677"/>
      <c r="J22" s="677"/>
      <c r="K22" s="678"/>
      <c r="L22" s="610"/>
      <c r="M22" s="624"/>
      <c r="N22" s="625"/>
      <c r="O22" s="625"/>
      <c r="P22" s="625"/>
      <c r="Q22" s="626"/>
      <c r="R22" s="384"/>
      <c r="S22" s="602"/>
      <c r="T22" s="603"/>
      <c r="U22" s="603"/>
      <c r="V22" s="603"/>
      <c r="W22" s="604"/>
      <c r="X22" s="608"/>
    </row>
    <row r="23" spans="1:24" ht="15.75" thickBot="1" x14ac:dyDescent="0.3">
      <c r="A23" s="621" t="s">
        <v>282</v>
      </c>
      <c r="B23" s="622"/>
      <c r="C23" s="622"/>
      <c r="D23" s="622"/>
      <c r="E23" s="623"/>
      <c r="F23" s="610"/>
      <c r="G23" s="676"/>
      <c r="H23" s="677"/>
      <c r="I23" s="677"/>
      <c r="J23" s="677"/>
      <c r="K23" s="678"/>
      <c r="L23" s="610"/>
      <c r="M23" s="621" t="s">
        <v>282</v>
      </c>
      <c r="N23" s="622"/>
      <c r="O23" s="622"/>
      <c r="P23" s="622"/>
      <c r="Q23" s="623"/>
      <c r="R23" s="384"/>
      <c r="S23" s="602"/>
      <c r="T23" s="603"/>
      <c r="U23" s="603"/>
      <c r="V23" s="603"/>
      <c r="W23" s="604"/>
      <c r="X23" s="608"/>
    </row>
    <row r="24" spans="1:24" ht="15.75" thickBot="1" x14ac:dyDescent="0.3">
      <c r="A24" s="374" t="s">
        <v>239</v>
      </c>
      <c r="B24" s="366" t="s">
        <v>216</v>
      </c>
      <c r="C24" s="204" t="s">
        <v>217</v>
      </c>
      <c r="D24" s="204" t="s">
        <v>2</v>
      </c>
      <c r="E24" s="205" t="s">
        <v>3</v>
      </c>
      <c r="F24" s="610"/>
      <c r="G24" s="676"/>
      <c r="H24" s="677"/>
      <c r="I24" s="677"/>
      <c r="J24" s="677"/>
      <c r="K24" s="678"/>
      <c r="L24" s="610"/>
      <c r="M24" s="374" t="s">
        <v>239</v>
      </c>
      <c r="N24" s="366" t="s">
        <v>216</v>
      </c>
      <c r="O24" s="204" t="s">
        <v>217</v>
      </c>
      <c r="P24" s="204" t="s">
        <v>2</v>
      </c>
      <c r="Q24" s="205" t="s">
        <v>3</v>
      </c>
      <c r="R24" s="384"/>
      <c r="S24" s="602"/>
      <c r="T24" s="603"/>
      <c r="U24" s="603"/>
      <c r="V24" s="603"/>
      <c r="W24" s="604"/>
      <c r="X24" s="608"/>
    </row>
    <row r="25" spans="1:24" x14ac:dyDescent="0.25">
      <c r="A25" s="375" t="s">
        <v>5</v>
      </c>
      <c r="B25" s="367">
        <v>0.8</v>
      </c>
      <c r="C25" s="349">
        <v>0.8</v>
      </c>
      <c r="D25" s="349">
        <v>0.05</v>
      </c>
      <c r="E25" s="350">
        <v>0.05</v>
      </c>
      <c r="F25" s="610"/>
      <c r="G25" s="676"/>
      <c r="H25" s="677"/>
      <c r="I25" s="677"/>
      <c r="J25" s="677"/>
      <c r="K25" s="678"/>
      <c r="L25" s="610"/>
      <c r="M25" s="375" t="s">
        <v>5</v>
      </c>
      <c r="N25" s="386">
        <v>0.8</v>
      </c>
      <c r="O25" s="387">
        <v>0.8</v>
      </c>
      <c r="P25" s="387">
        <v>0.05</v>
      </c>
      <c r="Q25" s="350">
        <v>0.05</v>
      </c>
      <c r="R25" s="384"/>
      <c r="S25" s="602"/>
      <c r="T25" s="603"/>
      <c r="U25" s="603"/>
      <c r="V25" s="603"/>
      <c r="W25" s="604"/>
      <c r="X25" s="608"/>
    </row>
    <row r="26" spans="1:24" x14ac:dyDescent="0.25">
      <c r="A26" s="375" t="s">
        <v>6</v>
      </c>
      <c r="B26" s="368">
        <v>0.6</v>
      </c>
      <c r="C26" s="351">
        <v>0.6</v>
      </c>
      <c r="D26" s="351">
        <v>0.8</v>
      </c>
      <c r="E26" s="352">
        <v>0.8</v>
      </c>
      <c r="F26" s="610"/>
      <c r="G26" s="676"/>
      <c r="H26" s="677"/>
      <c r="I26" s="677"/>
      <c r="J26" s="677"/>
      <c r="K26" s="678"/>
      <c r="L26" s="610"/>
      <c r="M26" s="375" t="s">
        <v>6</v>
      </c>
      <c r="N26" s="388">
        <v>0.6</v>
      </c>
      <c r="O26" s="389">
        <v>0.6</v>
      </c>
      <c r="P26" s="389">
        <v>0.8</v>
      </c>
      <c r="Q26" s="352">
        <v>0.8</v>
      </c>
      <c r="R26" s="384"/>
      <c r="S26" s="602"/>
      <c r="T26" s="603"/>
      <c r="U26" s="603"/>
      <c r="V26" s="603"/>
      <c r="W26" s="604"/>
      <c r="X26" s="608"/>
    </row>
    <row r="27" spans="1:24" ht="15.75" thickBot="1" x14ac:dyDescent="0.3">
      <c r="A27" s="375" t="s">
        <v>7</v>
      </c>
      <c r="B27" s="369">
        <v>0.05</v>
      </c>
      <c r="C27" s="353">
        <v>0.05</v>
      </c>
      <c r="D27" s="353">
        <v>0.6</v>
      </c>
      <c r="E27" s="354">
        <v>0.8</v>
      </c>
      <c r="F27" s="610"/>
      <c r="G27" s="676"/>
      <c r="H27" s="677"/>
      <c r="I27" s="677"/>
      <c r="J27" s="677"/>
      <c r="K27" s="678"/>
      <c r="L27" s="610"/>
      <c r="M27" s="375" t="s">
        <v>7</v>
      </c>
      <c r="N27" s="390">
        <v>0.05</v>
      </c>
      <c r="O27" s="391">
        <v>0.05</v>
      </c>
      <c r="P27" s="391">
        <v>0.6</v>
      </c>
      <c r="Q27" s="354">
        <v>0.8</v>
      </c>
      <c r="R27" s="384"/>
      <c r="S27" s="602"/>
      <c r="T27" s="603"/>
      <c r="U27" s="603"/>
      <c r="V27" s="603"/>
      <c r="W27" s="604"/>
      <c r="X27" s="608"/>
    </row>
    <row r="28" spans="1:24" ht="6" customHeight="1" x14ac:dyDescent="0.25">
      <c r="A28" s="624"/>
      <c r="B28" s="625"/>
      <c r="C28" s="625"/>
      <c r="D28" s="625"/>
      <c r="E28" s="626"/>
      <c r="F28" s="610"/>
      <c r="G28" s="676"/>
      <c r="H28" s="677"/>
      <c r="I28" s="677"/>
      <c r="J28" s="677"/>
      <c r="K28" s="678"/>
      <c r="L28" s="610"/>
      <c r="M28" s="624"/>
      <c r="N28" s="625"/>
      <c r="O28" s="625"/>
      <c r="P28" s="625"/>
      <c r="Q28" s="626"/>
      <c r="R28" s="384"/>
      <c r="S28" s="602"/>
      <c r="T28" s="603"/>
      <c r="U28" s="603"/>
      <c r="V28" s="603"/>
      <c r="W28" s="604"/>
      <c r="X28" s="608"/>
    </row>
    <row r="29" spans="1:24" ht="15.75" x14ac:dyDescent="0.25">
      <c r="A29" s="627" t="s">
        <v>244</v>
      </c>
      <c r="B29" s="628"/>
      <c r="C29" s="628"/>
      <c r="D29" s="628"/>
      <c r="E29" s="629"/>
      <c r="F29" s="610"/>
      <c r="G29" s="676"/>
      <c r="H29" s="677"/>
      <c r="I29" s="677"/>
      <c r="J29" s="677"/>
      <c r="K29" s="678"/>
      <c r="L29" s="610"/>
      <c r="M29" s="627" t="s">
        <v>244</v>
      </c>
      <c r="N29" s="628"/>
      <c r="O29" s="628"/>
      <c r="P29" s="628"/>
      <c r="Q29" s="629"/>
      <c r="R29" s="384"/>
      <c r="S29" s="602"/>
      <c r="T29" s="603"/>
      <c r="U29" s="603"/>
      <c r="V29" s="603"/>
      <c r="W29" s="604"/>
      <c r="X29" s="608"/>
    </row>
    <row r="30" spans="1:24" ht="15.75" x14ac:dyDescent="0.25">
      <c r="A30" s="376" t="s">
        <v>283</v>
      </c>
      <c r="B30" s="334">
        <v>60</v>
      </c>
      <c r="C30" s="630"/>
      <c r="D30" s="625"/>
      <c r="E30" s="626"/>
      <c r="F30" s="610"/>
      <c r="G30" s="676"/>
      <c r="H30" s="677"/>
      <c r="I30" s="677"/>
      <c r="J30" s="677"/>
      <c r="K30" s="678"/>
      <c r="L30" s="610"/>
      <c r="M30" s="376" t="s">
        <v>283</v>
      </c>
      <c r="N30" s="334">
        <v>60</v>
      </c>
      <c r="O30" s="630"/>
      <c r="P30" s="625"/>
      <c r="Q30" s="626"/>
      <c r="R30" s="384"/>
      <c r="S30" s="602"/>
      <c r="T30" s="603"/>
      <c r="U30" s="603"/>
      <c r="V30" s="603"/>
      <c r="W30" s="604"/>
      <c r="X30" s="608"/>
    </row>
    <row r="31" spans="1:24" ht="6" customHeight="1" x14ac:dyDescent="0.25">
      <c r="A31" s="624"/>
      <c r="B31" s="625"/>
      <c r="C31" s="625"/>
      <c r="D31" s="625"/>
      <c r="E31" s="626"/>
      <c r="F31" s="610"/>
      <c r="G31" s="676"/>
      <c r="H31" s="677"/>
      <c r="I31" s="677"/>
      <c r="J31" s="677"/>
      <c r="K31" s="678"/>
      <c r="L31" s="610"/>
      <c r="M31" s="624"/>
      <c r="N31" s="625"/>
      <c r="O31" s="625"/>
      <c r="P31" s="625"/>
      <c r="Q31" s="626"/>
      <c r="R31" s="384"/>
      <c r="S31" s="602"/>
      <c r="T31" s="603"/>
      <c r="U31" s="603"/>
      <c r="V31" s="603"/>
      <c r="W31" s="604"/>
      <c r="X31" s="608"/>
    </row>
    <row r="32" spans="1:24" ht="15.75" x14ac:dyDescent="0.25">
      <c r="A32" s="627" t="s">
        <v>245</v>
      </c>
      <c r="B32" s="628"/>
      <c r="C32" s="628"/>
      <c r="D32" s="628"/>
      <c r="E32" s="629"/>
      <c r="F32" s="610"/>
      <c r="G32" s="676"/>
      <c r="H32" s="677"/>
      <c r="I32" s="677"/>
      <c r="J32" s="677"/>
      <c r="K32" s="678"/>
      <c r="L32" s="610"/>
      <c r="M32" s="627" t="s">
        <v>245</v>
      </c>
      <c r="N32" s="628"/>
      <c r="O32" s="628"/>
      <c r="P32" s="628"/>
      <c r="Q32" s="629"/>
      <c r="R32" s="384"/>
      <c r="S32" s="602"/>
      <c r="T32" s="603"/>
      <c r="U32" s="603"/>
      <c r="V32" s="603"/>
      <c r="W32" s="604"/>
      <c r="X32" s="608"/>
    </row>
    <row r="33" spans="1:26" ht="16.5" thickBot="1" x14ac:dyDescent="0.3">
      <c r="A33" s="377" t="s">
        <v>0</v>
      </c>
      <c r="B33" s="334">
        <v>30</v>
      </c>
      <c r="C33" s="630"/>
      <c r="D33" s="625"/>
      <c r="E33" s="626"/>
      <c r="F33" s="610"/>
      <c r="G33" s="676"/>
      <c r="H33" s="677"/>
      <c r="I33" s="677"/>
      <c r="J33" s="677"/>
      <c r="K33" s="678"/>
      <c r="L33" s="610"/>
      <c r="M33" s="377" t="s">
        <v>0</v>
      </c>
      <c r="N33" s="408">
        <v>60</v>
      </c>
      <c r="O33" s="630"/>
      <c r="P33" s="625"/>
      <c r="Q33" s="626"/>
      <c r="R33" s="384"/>
      <c r="S33" s="605"/>
      <c r="T33" s="606"/>
      <c r="U33" s="606"/>
      <c r="V33" s="606"/>
      <c r="W33" s="607"/>
      <c r="X33" s="608"/>
      <c r="Z33" s="395"/>
    </row>
    <row r="34" spans="1:26" ht="15.75" x14ac:dyDescent="0.25">
      <c r="A34" s="377" t="s">
        <v>1</v>
      </c>
      <c r="B34" s="334">
        <v>30</v>
      </c>
      <c r="C34" s="630"/>
      <c r="D34" s="625"/>
      <c r="E34" s="626"/>
      <c r="F34" s="383"/>
      <c r="G34" s="676"/>
      <c r="H34" s="677"/>
      <c r="I34" s="677"/>
      <c r="J34" s="677"/>
      <c r="K34" s="678"/>
      <c r="L34" s="385"/>
      <c r="M34" s="377" t="s">
        <v>1</v>
      </c>
      <c r="N34" s="408">
        <v>60</v>
      </c>
      <c r="O34" s="630"/>
      <c r="P34" s="625"/>
      <c r="Q34" s="626"/>
      <c r="R34" s="384"/>
      <c r="S34" s="598"/>
      <c r="T34" s="598"/>
      <c r="U34" s="598"/>
      <c r="V34" s="598"/>
      <c r="W34" s="598"/>
      <c r="X34" s="598"/>
    </row>
    <row r="35" spans="1:26" ht="15.75" x14ac:dyDescent="0.25">
      <c r="A35" s="377" t="s">
        <v>2</v>
      </c>
      <c r="B35" s="334">
        <v>30</v>
      </c>
      <c r="C35" s="630"/>
      <c r="D35" s="625"/>
      <c r="E35" s="626"/>
      <c r="F35" s="383"/>
      <c r="G35" s="676"/>
      <c r="H35" s="677"/>
      <c r="I35" s="677"/>
      <c r="J35" s="677"/>
      <c r="K35" s="678"/>
      <c r="L35" s="385"/>
      <c r="M35" s="377" t="s">
        <v>2</v>
      </c>
      <c r="N35" s="408">
        <v>60</v>
      </c>
      <c r="O35" s="630"/>
      <c r="P35" s="625"/>
      <c r="Q35" s="626"/>
      <c r="R35" s="384"/>
      <c r="S35" s="598"/>
      <c r="T35" s="598"/>
      <c r="U35" s="598"/>
      <c r="V35" s="598"/>
      <c r="W35" s="598"/>
      <c r="X35" s="598"/>
    </row>
    <row r="36" spans="1:26" ht="16.5" thickBot="1" x14ac:dyDescent="0.3">
      <c r="A36" s="378" t="s">
        <v>3</v>
      </c>
      <c r="B36" s="379">
        <v>50</v>
      </c>
      <c r="C36" s="631"/>
      <c r="D36" s="632"/>
      <c r="E36" s="633"/>
      <c r="F36" s="383"/>
      <c r="G36" s="676"/>
      <c r="H36" s="677"/>
      <c r="I36" s="677"/>
      <c r="J36" s="677"/>
      <c r="K36" s="678"/>
      <c r="L36" s="385"/>
      <c r="M36" s="378" t="s">
        <v>3</v>
      </c>
      <c r="N36" s="379">
        <v>50</v>
      </c>
      <c r="O36" s="631"/>
      <c r="P36" s="632"/>
      <c r="Q36" s="633"/>
      <c r="R36" s="384"/>
      <c r="S36" s="598"/>
      <c r="T36" s="598"/>
      <c r="U36" s="598"/>
      <c r="V36" s="598"/>
      <c r="W36" s="598"/>
      <c r="X36" s="598"/>
      <c r="Z36" s="380"/>
    </row>
    <row r="37" spans="1:26" ht="19.5" thickBot="1" x14ac:dyDescent="0.35">
      <c r="A37" s="634" t="s">
        <v>301</v>
      </c>
      <c r="B37" s="635"/>
      <c r="C37" s="635"/>
      <c r="D37" s="635"/>
      <c r="E37" s="635"/>
      <c r="F37" s="383"/>
      <c r="G37" s="676"/>
      <c r="H37" s="677"/>
      <c r="I37" s="677"/>
      <c r="J37" s="677"/>
      <c r="K37" s="678"/>
      <c r="L37" s="385"/>
      <c r="M37" s="634" t="s">
        <v>302</v>
      </c>
      <c r="N37" s="635"/>
      <c r="O37" s="635"/>
      <c r="P37" s="635"/>
      <c r="Q37" s="635"/>
      <c r="R37" s="397" t="s">
        <v>300</v>
      </c>
      <c r="S37" s="598"/>
      <c r="T37" s="598"/>
      <c r="U37" s="598"/>
      <c r="V37" s="598"/>
      <c r="W37" s="598"/>
      <c r="X37" s="598"/>
    </row>
    <row r="38" spans="1:26" ht="18.75" customHeight="1" thickBot="1" x14ac:dyDescent="0.35">
      <c r="A38" s="694" t="s">
        <v>284</v>
      </c>
      <c r="B38" s="695"/>
      <c r="C38" s="696"/>
      <c r="D38" s="692">
        <v>0</v>
      </c>
      <c r="E38" s="693"/>
      <c r="F38" s="383"/>
      <c r="G38" s="679"/>
      <c r="H38" s="680"/>
      <c r="I38" s="680"/>
      <c r="J38" s="680"/>
      <c r="K38" s="681"/>
      <c r="L38" s="385"/>
      <c r="M38" s="694" t="s">
        <v>284</v>
      </c>
      <c r="N38" s="695"/>
      <c r="O38" s="696"/>
      <c r="P38" s="692">
        <v>0</v>
      </c>
      <c r="Q38" s="693"/>
      <c r="R38" s="396">
        <f>P38-D38</f>
        <v>0</v>
      </c>
      <c r="S38" s="598"/>
      <c r="T38" s="598"/>
      <c r="U38" s="598"/>
      <c r="V38" s="598"/>
      <c r="W38" s="598"/>
      <c r="X38" s="598"/>
    </row>
    <row r="39" spans="1:26" ht="18.75" customHeight="1" x14ac:dyDescent="0.3">
      <c r="A39" s="684" t="s">
        <v>285</v>
      </c>
      <c r="B39" s="685"/>
      <c r="C39" s="686"/>
      <c r="D39" s="697">
        <v>0.8</v>
      </c>
      <c r="E39" s="698"/>
      <c r="F39" s="383"/>
      <c r="G39" s="384"/>
      <c r="H39" s="384"/>
      <c r="I39" s="384"/>
      <c r="J39" s="384"/>
      <c r="K39" s="384"/>
      <c r="L39" s="385"/>
      <c r="M39" s="684" t="s">
        <v>285</v>
      </c>
      <c r="N39" s="685"/>
      <c r="O39" s="686"/>
      <c r="P39" s="697">
        <v>0.8</v>
      </c>
      <c r="Q39" s="698"/>
      <c r="R39" s="396">
        <f t="shared" ref="R39:R40" si="0">P39-D39</f>
        <v>0</v>
      </c>
      <c r="S39" s="598"/>
      <c r="T39" s="598"/>
      <c r="U39" s="598"/>
      <c r="V39" s="598"/>
      <c r="W39" s="598"/>
      <c r="X39" s="598"/>
    </row>
    <row r="40" spans="1:26" ht="31.5" customHeight="1" x14ac:dyDescent="0.3">
      <c r="A40" s="684" t="s">
        <v>286</v>
      </c>
      <c r="B40" s="685"/>
      <c r="C40" s="686"/>
      <c r="D40" s="697">
        <v>0.8</v>
      </c>
      <c r="E40" s="698"/>
      <c r="F40" s="383"/>
      <c r="G40" s="384"/>
      <c r="H40" s="384"/>
      <c r="I40" s="384"/>
      <c r="J40" s="384"/>
      <c r="K40" s="384"/>
      <c r="L40" s="385"/>
      <c r="M40" s="684" t="s">
        <v>286</v>
      </c>
      <c r="N40" s="685"/>
      <c r="O40" s="686"/>
      <c r="P40" s="697">
        <v>0.8</v>
      </c>
      <c r="Q40" s="698"/>
      <c r="R40" s="396">
        <f t="shared" si="0"/>
        <v>0</v>
      </c>
      <c r="S40" s="598"/>
      <c r="T40" s="598"/>
      <c r="U40" s="598"/>
      <c r="V40" s="598"/>
      <c r="W40" s="598"/>
      <c r="X40" s="598"/>
    </row>
    <row r="41" spans="1:26" ht="18.75" customHeight="1" x14ac:dyDescent="0.3">
      <c r="A41" s="684" t="s">
        <v>100</v>
      </c>
      <c r="B41" s="685"/>
      <c r="C41" s="686"/>
      <c r="D41" s="682">
        <v>3.2</v>
      </c>
      <c r="E41" s="683"/>
      <c r="F41" s="383"/>
      <c r="G41" s="384"/>
      <c r="H41" s="384"/>
      <c r="I41" s="384"/>
      <c r="J41" s="384"/>
      <c r="K41" s="384"/>
      <c r="L41" s="385"/>
      <c r="M41" s="684" t="s">
        <v>100</v>
      </c>
      <c r="N41" s="685"/>
      <c r="O41" s="686"/>
      <c r="P41" s="682">
        <v>3.05</v>
      </c>
      <c r="Q41" s="683"/>
      <c r="R41" s="398">
        <f>(P41-D41)/D41</f>
        <v>-4.6875000000000111E-2</v>
      </c>
      <c r="S41" s="598"/>
      <c r="T41" s="598"/>
      <c r="U41" s="598"/>
      <c r="V41" s="598"/>
      <c r="W41" s="598"/>
      <c r="X41" s="598"/>
    </row>
    <row r="42" spans="1:26" ht="19.5" customHeight="1" thickBot="1" x14ac:dyDescent="0.35">
      <c r="A42" s="687" t="s">
        <v>99</v>
      </c>
      <c r="B42" s="688"/>
      <c r="C42" s="689"/>
      <c r="D42" s="690">
        <v>76807</v>
      </c>
      <c r="E42" s="691"/>
      <c r="F42" s="383"/>
      <c r="G42" s="384"/>
      <c r="H42" s="384"/>
      <c r="I42" s="384"/>
      <c r="J42" s="384"/>
      <c r="K42" s="384"/>
      <c r="L42" s="385"/>
      <c r="M42" s="687" t="s">
        <v>99</v>
      </c>
      <c r="N42" s="688"/>
      <c r="O42" s="689"/>
      <c r="P42" s="690">
        <v>73157</v>
      </c>
      <c r="Q42" s="691"/>
      <c r="R42" s="399">
        <f>(P42-D42)/D42</f>
        <v>-4.7521710260783522E-2</v>
      </c>
      <c r="S42" s="598"/>
      <c r="T42" s="598"/>
      <c r="U42" s="598"/>
      <c r="V42" s="598"/>
      <c r="W42" s="598"/>
      <c r="X42" s="598"/>
    </row>
    <row r="43" spans="1:26" x14ac:dyDescent="0.25">
      <c r="A43" s="598"/>
      <c r="B43" s="598"/>
      <c r="C43" s="598"/>
      <c r="D43" s="598"/>
      <c r="E43" s="598"/>
      <c r="F43" s="598"/>
      <c r="G43" s="598"/>
      <c r="H43" s="598"/>
      <c r="I43" s="598"/>
      <c r="J43" s="598"/>
      <c r="K43" s="598"/>
      <c r="L43" s="598"/>
      <c r="M43" s="598"/>
      <c r="N43" s="598"/>
      <c r="O43" s="598"/>
      <c r="P43" s="598"/>
      <c r="Q43" s="598"/>
      <c r="R43" s="384"/>
      <c r="S43" s="598"/>
      <c r="T43" s="598"/>
      <c r="U43" s="598"/>
      <c r="V43" s="598"/>
      <c r="W43" s="598"/>
      <c r="X43" s="598"/>
    </row>
    <row r="44" spans="1:26" x14ac:dyDescent="0.25">
      <c r="A44" s="598"/>
      <c r="B44" s="598"/>
      <c r="C44" s="598"/>
      <c r="D44" s="598"/>
      <c r="E44" s="598"/>
      <c r="F44" s="598"/>
      <c r="G44" s="598"/>
      <c r="H44" s="598"/>
      <c r="I44" s="598"/>
      <c r="J44" s="598"/>
      <c r="K44" s="598"/>
      <c r="L44" s="598"/>
      <c r="M44" s="598"/>
      <c r="N44" s="598"/>
      <c r="O44" s="598"/>
      <c r="P44" s="598"/>
      <c r="Q44" s="598"/>
      <c r="R44" s="384"/>
      <c r="S44" s="598"/>
      <c r="T44" s="598"/>
      <c r="U44" s="598"/>
      <c r="V44" s="598"/>
      <c r="W44" s="598"/>
      <c r="X44" s="598"/>
    </row>
    <row r="45" spans="1:26" x14ac:dyDescent="0.25">
      <c r="A45" s="598"/>
      <c r="B45" s="598"/>
      <c r="C45" s="598"/>
      <c r="D45" s="598"/>
      <c r="E45" s="598"/>
      <c r="F45" s="598"/>
      <c r="G45" s="598"/>
      <c r="H45" s="598"/>
      <c r="I45" s="598"/>
      <c r="J45" s="598"/>
      <c r="K45" s="598"/>
      <c r="L45" s="598"/>
      <c r="M45" s="598"/>
      <c r="N45" s="598"/>
      <c r="O45" s="598"/>
      <c r="P45" s="598"/>
      <c r="Q45" s="598"/>
      <c r="R45" s="384"/>
      <c r="S45" s="598"/>
      <c r="T45" s="598"/>
      <c r="U45" s="598"/>
      <c r="V45" s="598"/>
      <c r="W45" s="598"/>
      <c r="X45" s="598"/>
    </row>
  </sheetData>
  <mergeCells count="94">
    <mergeCell ref="A1:R1"/>
    <mergeCell ref="S1:X8"/>
    <mergeCell ref="A2:E2"/>
    <mergeCell ref="F2:L8"/>
    <mergeCell ref="M2:Q2"/>
    <mergeCell ref="A3:E3"/>
    <mergeCell ref="M3:Q3"/>
    <mergeCell ref="B4:D4"/>
    <mergeCell ref="E4:E7"/>
    <mergeCell ref="N4:P4"/>
    <mergeCell ref="Q4:Q7"/>
    <mergeCell ref="B5:D5"/>
    <mergeCell ref="N5:P5"/>
    <mergeCell ref="B6:D6"/>
    <mergeCell ref="N6:P6"/>
    <mergeCell ref="B7:D7"/>
    <mergeCell ref="N7:P7"/>
    <mergeCell ref="A8:E8"/>
    <mergeCell ref="M8:Q8"/>
    <mergeCell ref="A9:E9"/>
    <mergeCell ref="F9:F33"/>
    <mergeCell ref="G9:K38"/>
    <mergeCell ref="L9:L33"/>
    <mergeCell ref="M9:Q9"/>
    <mergeCell ref="A13:E13"/>
    <mergeCell ref="M13:Q13"/>
    <mergeCell ref="B14:D14"/>
    <mergeCell ref="B17:D17"/>
    <mergeCell ref="N17:P17"/>
    <mergeCell ref="M18:Q18"/>
    <mergeCell ref="A19:E19"/>
    <mergeCell ref="M19:Q19"/>
    <mergeCell ref="S9:W33"/>
    <mergeCell ref="X9:X33"/>
    <mergeCell ref="B10:D10"/>
    <mergeCell ref="E10:E11"/>
    <mergeCell ref="N10:P10"/>
    <mergeCell ref="Q10:Q11"/>
    <mergeCell ref="B11:D11"/>
    <mergeCell ref="N11:P11"/>
    <mergeCell ref="A12:E12"/>
    <mergeCell ref="M12:Q12"/>
    <mergeCell ref="N14:P14"/>
    <mergeCell ref="B15:D15"/>
    <mergeCell ref="N15:P15"/>
    <mergeCell ref="B16:D16"/>
    <mergeCell ref="N16:P16"/>
    <mergeCell ref="A18:E18"/>
    <mergeCell ref="B20:D20"/>
    <mergeCell ref="E20:E21"/>
    <mergeCell ref="N20:P20"/>
    <mergeCell ref="Q20:Q21"/>
    <mergeCell ref="B21:D21"/>
    <mergeCell ref="N21:P21"/>
    <mergeCell ref="A22:E22"/>
    <mergeCell ref="M22:Q22"/>
    <mergeCell ref="A23:E23"/>
    <mergeCell ref="M23:Q23"/>
    <mergeCell ref="A28:E28"/>
    <mergeCell ref="M28:Q28"/>
    <mergeCell ref="A29:E29"/>
    <mergeCell ref="M29:Q29"/>
    <mergeCell ref="C30:E30"/>
    <mergeCell ref="O30:Q30"/>
    <mergeCell ref="A31:E31"/>
    <mergeCell ref="M31:Q31"/>
    <mergeCell ref="S34:X45"/>
    <mergeCell ref="A37:E37"/>
    <mergeCell ref="M37:Q37"/>
    <mergeCell ref="A38:C38"/>
    <mergeCell ref="D38:E38"/>
    <mergeCell ref="M38:O38"/>
    <mergeCell ref="A40:C40"/>
    <mergeCell ref="D40:E40"/>
    <mergeCell ref="M40:O40"/>
    <mergeCell ref="P40:Q40"/>
    <mergeCell ref="A39:C39"/>
    <mergeCell ref="D39:E39"/>
    <mergeCell ref="M39:O39"/>
    <mergeCell ref="P39:Q39"/>
    <mergeCell ref="A43:Q45"/>
    <mergeCell ref="A41:C41"/>
    <mergeCell ref="A32:E32"/>
    <mergeCell ref="M32:Q32"/>
    <mergeCell ref="C33:E36"/>
    <mergeCell ref="O33:Q36"/>
    <mergeCell ref="P38:Q38"/>
    <mergeCell ref="D41:E41"/>
    <mergeCell ref="M41:O41"/>
    <mergeCell ref="P41:Q41"/>
    <mergeCell ref="A42:C42"/>
    <mergeCell ref="D42:E42"/>
    <mergeCell ref="M42:O42"/>
    <mergeCell ref="P42:Q4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5"/>
  <sheetViews>
    <sheetView showGridLines="0" zoomScale="70" zoomScaleNormal="70" workbookViewId="0">
      <selection activeCell="B38" sqref="B38:D38"/>
    </sheetView>
  </sheetViews>
  <sheetFormatPr defaultRowHeight="15" x14ac:dyDescent="0.25"/>
  <cols>
    <col min="1" max="1" width="2.28515625" customWidth="1"/>
    <col min="2" max="2" width="53.140625" style="82" customWidth="1"/>
    <col min="3" max="3" width="54" style="1" customWidth="1"/>
    <col min="4" max="4" width="36" style="82" customWidth="1"/>
    <col min="5" max="6" width="8.7109375" style="82"/>
  </cols>
  <sheetData>
    <row r="2" spans="2:8" ht="21" x14ac:dyDescent="0.35">
      <c r="B2" s="494" t="s">
        <v>127</v>
      </c>
      <c r="C2" s="114"/>
      <c r="D2" s="115"/>
      <c r="E2" s="115"/>
      <c r="F2" s="115"/>
    </row>
    <row r="3" spans="2:8" s="82" customFormat="1" x14ac:dyDescent="0.25">
      <c r="C3" s="102"/>
    </row>
    <row r="4" spans="2:8" s="82" customFormat="1" x14ac:dyDescent="0.25">
      <c r="B4" s="111" t="s">
        <v>119</v>
      </c>
      <c r="C4" s="104">
        <v>43141</v>
      </c>
    </row>
    <row r="5" spans="2:8" s="82" customFormat="1" x14ac:dyDescent="0.25">
      <c r="B5" s="111" t="s">
        <v>120</v>
      </c>
      <c r="C5" s="105" t="s">
        <v>121</v>
      </c>
    </row>
    <row r="6" spans="2:8" x14ac:dyDescent="0.25">
      <c r="B6" s="106"/>
      <c r="C6" s="82"/>
    </row>
    <row r="7" spans="2:8" x14ac:dyDescent="0.25">
      <c r="B7" s="111" t="s">
        <v>122</v>
      </c>
    </row>
    <row r="8" spans="2:8" x14ac:dyDescent="0.25">
      <c r="B8" s="112" t="s">
        <v>123</v>
      </c>
      <c r="C8" s="113"/>
      <c r="D8" s="106"/>
    </row>
    <row r="9" spans="2:8" x14ac:dyDescent="0.25">
      <c r="B9" s="112" t="s">
        <v>124</v>
      </c>
      <c r="C9" s="100"/>
    </row>
    <row r="10" spans="2:8" x14ac:dyDescent="0.25">
      <c r="B10" s="112" t="s">
        <v>125</v>
      </c>
      <c r="C10" s="241"/>
    </row>
    <row r="11" spans="2:8" x14ac:dyDescent="0.25">
      <c r="B11" s="106"/>
      <c r="C11" s="11"/>
      <c r="D11" s="106"/>
    </row>
    <row r="12" spans="2:8" ht="15.75" x14ac:dyDescent="0.25">
      <c r="B12" s="508" t="s">
        <v>113</v>
      </c>
      <c r="C12" s="509"/>
    </row>
    <row r="14" spans="2:8" ht="19.149999999999999" customHeight="1" x14ac:dyDescent="0.25">
      <c r="B14" s="495" t="s">
        <v>117</v>
      </c>
      <c r="C14" s="121"/>
      <c r="D14" s="122"/>
      <c r="E14" s="122"/>
      <c r="F14" s="122"/>
    </row>
    <row r="15" spans="2:8" x14ac:dyDescent="0.25">
      <c r="B15" s="107" t="s">
        <v>228</v>
      </c>
    </row>
    <row r="16" spans="2:8" ht="72" customHeight="1" x14ac:dyDescent="0.25">
      <c r="B16" s="510" t="s">
        <v>126</v>
      </c>
      <c r="C16" s="510"/>
      <c r="D16" s="510"/>
      <c r="E16" s="109"/>
      <c r="F16" s="109"/>
      <c r="G16" s="109"/>
      <c r="H16" s="109"/>
    </row>
    <row r="17" spans="2:8" x14ac:dyDescent="0.25">
      <c r="B17" s="108" t="s">
        <v>118</v>
      </c>
      <c r="C17" s="101"/>
    </row>
    <row r="18" spans="2:8" ht="72" customHeight="1" x14ac:dyDescent="0.25">
      <c r="B18" s="510" t="s">
        <v>115</v>
      </c>
      <c r="C18" s="510"/>
      <c r="D18" s="510"/>
      <c r="E18" s="109"/>
      <c r="F18" s="109"/>
      <c r="G18" s="109"/>
      <c r="H18" s="109"/>
    </row>
    <row r="19" spans="2:8" x14ac:dyDescent="0.25">
      <c r="B19" s="107" t="s">
        <v>234</v>
      </c>
      <c r="C19" s="101"/>
    </row>
    <row r="20" spans="2:8" ht="57.6" customHeight="1" x14ac:dyDescent="0.25">
      <c r="B20" s="510" t="s">
        <v>114</v>
      </c>
      <c r="C20" s="510"/>
      <c r="D20" s="510"/>
      <c r="E20" s="109"/>
      <c r="F20" s="109"/>
      <c r="G20" s="109"/>
      <c r="H20" s="99"/>
    </row>
    <row r="21" spans="2:8" x14ac:dyDescent="0.25">
      <c r="B21" s="108" t="s">
        <v>328</v>
      </c>
      <c r="C21" s="101"/>
    </row>
    <row r="22" spans="2:8" ht="57.6" customHeight="1" x14ac:dyDescent="0.25">
      <c r="B22" s="510" t="s">
        <v>116</v>
      </c>
      <c r="C22" s="510"/>
      <c r="D22" s="510"/>
      <c r="E22" s="109"/>
      <c r="F22" s="109"/>
      <c r="G22" s="109"/>
      <c r="H22" s="99"/>
    </row>
    <row r="23" spans="2:8" ht="15" customHeight="1" x14ac:dyDescent="0.25">
      <c r="B23" s="99"/>
      <c r="C23" s="99"/>
      <c r="D23" s="99"/>
      <c r="E23" s="109"/>
      <c r="F23" s="109"/>
      <c r="G23" s="109"/>
      <c r="H23" s="99"/>
    </row>
    <row r="24" spans="2:8" ht="24" customHeight="1" x14ac:dyDescent="0.25">
      <c r="B24" s="496" t="s">
        <v>128</v>
      </c>
      <c r="C24" s="123"/>
      <c r="D24" s="124"/>
      <c r="E24" s="125"/>
      <c r="F24" s="125"/>
    </row>
    <row r="25" spans="2:8" x14ac:dyDescent="0.25">
      <c r="B25" s="103" t="s">
        <v>229</v>
      </c>
      <c r="C25" s="117"/>
      <c r="D25" s="116"/>
    </row>
    <row r="26" spans="2:8" ht="31.5" customHeight="1" x14ac:dyDescent="0.25">
      <c r="B26" s="510" t="s">
        <v>230</v>
      </c>
      <c r="C26" s="510"/>
      <c r="D26" s="510"/>
    </row>
    <row r="27" spans="2:8" x14ac:dyDescent="0.25">
      <c r="B27" s="103" t="s">
        <v>129</v>
      </c>
      <c r="C27" s="117"/>
      <c r="D27" s="116"/>
    </row>
    <row r="28" spans="2:8" ht="33.75" customHeight="1" x14ac:dyDescent="0.25">
      <c r="B28" s="510" t="s">
        <v>231</v>
      </c>
      <c r="C28" s="510"/>
      <c r="D28" s="510"/>
    </row>
    <row r="29" spans="2:8" x14ac:dyDescent="0.25">
      <c r="B29" s="103" t="s">
        <v>130</v>
      </c>
      <c r="C29" s="117"/>
      <c r="D29" s="116"/>
    </row>
    <row r="30" spans="2:8" ht="29.65" customHeight="1" x14ac:dyDescent="0.25">
      <c r="B30" s="510" t="s">
        <v>232</v>
      </c>
      <c r="C30" s="510"/>
      <c r="D30" s="510"/>
    </row>
    <row r="31" spans="2:8" x14ac:dyDescent="0.25">
      <c r="B31" s="103" t="s">
        <v>131</v>
      </c>
      <c r="C31" s="117"/>
      <c r="D31" s="116"/>
    </row>
    <row r="32" spans="2:8" x14ac:dyDescent="0.25">
      <c r="B32" s="116" t="s">
        <v>132</v>
      </c>
    </row>
    <row r="33" spans="2:8" x14ac:dyDescent="0.25">
      <c r="B33" s="116"/>
    </row>
    <row r="34" spans="2:8" ht="21" customHeight="1" x14ac:dyDescent="0.25">
      <c r="B34" s="496" t="s">
        <v>137</v>
      </c>
      <c r="C34" s="126"/>
      <c r="D34" s="125"/>
      <c r="E34" s="125"/>
      <c r="F34" s="125"/>
    </row>
    <row r="35" spans="2:8" x14ac:dyDescent="0.25">
      <c r="B35" s="118" t="s">
        <v>235</v>
      </c>
    </row>
    <row r="36" spans="2:8" x14ac:dyDescent="0.25">
      <c r="B36" s="510" t="s">
        <v>133</v>
      </c>
      <c r="C36" s="510"/>
      <c r="D36" s="510"/>
    </row>
    <row r="37" spans="2:8" x14ac:dyDescent="0.25">
      <c r="B37" s="118" t="s">
        <v>236</v>
      </c>
    </row>
    <row r="38" spans="2:8" ht="86.65" customHeight="1" x14ac:dyDescent="0.25">
      <c r="B38" s="510" t="s">
        <v>134</v>
      </c>
      <c r="C38" s="510"/>
      <c r="D38" s="510"/>
    </row>
    <row r="39" spans="2:8" x14ac:dyDescent="0.25">
      <c r="B39" s="98" t="s">
        <v>136</v>
      </c>
      <c r="C39" s="99"/>
      <c r="D39" s="99"/>
    </row>
    <row r="40" spans="2:8" ht="57" customHeight="1" x14ac:dyDescent="0.25">
      <c r="B40" s="510" t="s">
        <v>135</v>
      </c>
      <c r="C40" s="510"/>
      <c r="D40" s="510"/>
    </row>
    <row r="41" spans="2:8" ht="14.65" customHeight="1" x14ac:dyDescent="0.25">
      <c r="B41" s="118" t="s">
        <v>139</v>
      </c>
    </row>
    <row r="42" spans="2:8" ht="28.9" customHeight="1" x14ac:dyDescent="0.25">
      <c r="B42" s="510" t="s">
        <v>138</v>
      </c>
      <c r="C42" s="510"/>
      <c r="D42" s="510"/>
    </row>
    <row r="44" spans="2:8" ht="21.6" customHeight="1" x14ac:dyDescent="0.25">
      <c r="B44" s="496" t="s">
        <v>194</v>
      </c>
      <c r="C44" s="126"/>
      <c r="D44" s="125"/>
      <c r="E44" s="125"/>
      <c r="F44" s="125"/>
    </row>
    <row r="45" spans="2:8" ht="51" customHeight="1" thickBot="1" x14ac:dyDescent="0.3">
      <c r="B45" s="507" t="s">
        <v>233</v>
      </c>
      <c r="C45" s="507"/>
      <c r="D45" s="507"/>
      <c r="E45" s="507"/>
      <c r="F45" s="507"/>
    </row>
    <row r="46" spans="2:8" ht="16.5" thickBot="1" x14ac:dyDescent="0.3">
      <c r="B46" s="490" t="s">
        <v>331</v>
      </c>
      <c r="C46" s="491" t="s">
        <v>329</v>
      </c>
      <c r="D46" s="492" t="s">
        <v>330</v>
      </c>
      <c r="E46" s="329"/>
      <c r="F46" s="329"/>
    </row>
    <row r="47" spans="2:8" ht="45" x14ac:dyDescent="0.25">
      <c r="B47" s="482" t="s">
        <v>314</v>
      </c>
      <c r="C47" s="487" t="s">
        <v>323</v>
      </c>
      <c r="D47" s="485" t="s">
        <v>324</v>
      </c>
    </row>
    <row r="48" spans="2:8" ht="45" x14ac:dyDescent="0.25">
      <c r="B48" s="483" t="s">
        <v>315</v>
      </c>
      <c r="C48" s="488" t="s">
        <v>325</v>
      </c>
      <c r="D48" s="486" t="s">
        <v>326</v>
      </c>
      <c r="E48" s="481"/>
      <c r="F48" s="481"/>
      <c r="G48" s="481"/>
      <c r="H48" s="481"/>
    </row>
    <row r="49" spans="2:11" ht="45" x14ac:dyDescent="0.25">
      <c r="B49" s="483" t="s">
        <v>316</v>
      </c>
      <c r="C49" s="488" t="s">
        <v>332</v>
      </c>
      <c r="D49" s="486" t="s">
        <v>333</v>
      </c>
      <c r="E49" s="480"/>
      <c r="F49" s="480"/>
      <c r="G49" s="480"/>
      <c r="H49" s="480"/>
      <c r="I49" s="21"/>
      <c r="J49" s="21"/>
      <c r="K49" s="21"/>
    </row>
    <row r="50" spans="2:11" ht="60" x14ac:dyDescent="0.25">
      <c r="B50" s="483" t="s">
        <v>317</v>
      </c>
      <c r="C50" s="488" t="s">
        <v>334</v>
      </c>
      <c r="D50" s="486" t="s">
        <v>337</v>
      </c>
      <c r="E50" s="480"/>
      <c r="F50" s="480"/>
      <c r="G50" s="480"/>
      <c r="H50" s="480"/>
      <c r="I50" s="21"/>
      <c r="J50" s="21"/>
      <c r="K50" s="21"/>
    </row>
    <row r="51" spans="2:11" ht="135" x14ac:dyDescent="0.25">
      <c r="B51" s="483" t="s">
        <v>318</v>
      </c>
      <c r="C51" s="488" t="s">
        <v>335</v>
      </c>
      <c r="D51" s="486" t="s">
        <v>327</v>
      </c>
      <c r="E51" s="480"/>
      <c r="F51" s="480"/>
      <c r="G51" s="480"/>
      <c r="H51" s="480"/>
      <c r="I51" s="21"/>
      <c r="J51" s="21"/>
      <c r="K51" s="21"/>
    </row>
    <row r="52" spans="2:11" ht="135" x14ac:dyDescent="0.25">
      <c r="B52" s="483" t="s">
        <v>319</v>
      </c>
      <c r="C52" s="488" t="s">
        <v>336</v>
      </c>
      <c r="D52" s="486" t="s">
        <v>337</v>
      </c>
      <c r="E52" s="480"/>
      <c r="F52" s="480"/>
      <c r="G52" s="480"/>
      <c r="H52" s="480"/>
      <c r="I52" s="21"/>
      <c r="J52" s="21"/>
      <c r="K52" s="21"/>
    </row>
    <row r="53" spans="2:11" ht="105" x14ac:dyDescent="0.25">
      <c r="B53" s="483" t="s">
        <v>320</v>
      </c>
      <c r="C53" s="488" t="s">
        <v>338</v>
      </c>
      <c r="D53" s="486" t="s">
        <v>337</v>
      </c>
      <c r="E53" s="480"/>
      <c r="F53" s="480"/>
      <c r="G53" s="480"/>
      <c r="H53" s="480"/>
      <c r="I53" s="21"/>
      <c r="J53" s="21"/>
      <c r="K53" s="21"/>
    </row>
    <row r="54" spans="2:11" ht="135" x14ac:dyDescent="0.25">
      <c r="B54" s="483" t="s">
        <v>321</v>
      </c>
      <c r="C54" s="488" t="s">
        <v>339</v>
      </c>
      <c r="D54" s="486" t="s">
        <v>340</v>
      </c>
      <c r="E54" s="480"/>
      <c r="F54" s="480"/>
      <c r="G54" s="480"/>
      <c r="H54" s="480"/>
      <c r="I54" s="21"/>
      <c r="J54" s="21"/>
      <c r="K54" s="21"/>
    </row>
    <row r="55" spans="2:11" ht="120.75" thickBot="1" x14ac:dyDescent="0.3">
      <c r="B55" s="484" t="s">
        <v>322</v>
      </c>
      <c r="C55" s="489" t="s">
        <v>341</v>
      </c>
      <c r="D55" s="493" t="s">
        <v>337</v>
      </c>
      <c r="E55" s="21"/>
      <c r="F55" s="21"/>
      <c r="G55" s="21"/>
      <c r="H55" s="21"/>
      <c r="I55" s="21"/>
      <c r="J55" s="21"/>
      <c r="K55" s="21"/>
    </row>
    <row r="56" spans="2:11" ht="14.65" customHeight="1" x14ac:dyDescent="0.25">
      <c r="D56" s="21"/>
      <c r="E56" s="21"/>
      <c r="F56" s="21"/>
      <c r="G56" s="21"/>
      <c r="H56" s="21"/>
      <c r="I56" s="21"/>
      <c r="J56" s="21"/>
      <c r="K56" s="21"/>
    </row>
    <row r="57" spans="2:11" ht="18.75" x14ac:dyDescent="0.25">
      <c r="B57" s="497" t="s">
        <v>140</v>
      </c>
      <c r="C57" s="126"/>
      <c r="D57" s="125"/>
      <c r="E57" s="125"/>
      <c r="F57" s="125"/>
    </row>
    <row r="58" spans="2:11" x14ac:dyDescent="0.25">
      <c r="B58" s="21" t="s">
        <v>89</v>
      </c>
      <c r="C58" s="21"/>
    </row>
    <row r="59" spans="2:11" x14ac:dyDescent="0.25">
      <c r="B59" s="21" t="s">
        <v>90</v>
      </c>
      <c r="C59" s="21"/>
    </row>
    <row r="60" spans="2:11" x14ac:dyDescent="0.25">
      <c r="B60" s="21" t="s">
        <v>91</v>
      </c>
      <c r="C60" s="21"/>
    </row>
    <row r="61" spans="2:11" x14ac:dyDescent="0.25">
      <c r="B61" s="21" t="s">
        <v>92</v>
      </c>
      <c r="C61" s="21"/>
    </row>
    <row r="62" spans="2:11" x14ac:dyDescent="0.25">
      <c r="B62" s="21" t="s">
        <v>93</v>
      </c>
      <c r="C62" s="21"/>
    </row>
    <row r="63" spans="2:11" x14ac:dyDescent="0.25">
      <c r="B63" s="21" t="s">
        <v>94</v>
      </c>
      <c r="C63" s="21"/>
    </row>
    <row r="64" spans="2:11" x14ac:dyDescent="0.25">
      <c r="B64" s="21" t="s">
        <v>167</v>
      </c>
      <c r="C64" s="21"/>
    </row>
    <row r="65" spans="2:6" ht="57.75" customHeight="1" x14ac:dyDescent="0.25">
      <c r="B65" s="506" t="s">
        <v>98</v>
      </c>
      <c r="C65" s="506"/>
      <c r="D65" s="506"/>
      <c r="E65" s="506"/>
      <c r="F65" s="506"/>
    </row>
  </sheetData>
  <mergeCells count="14">
    <mergeCell ref="B65:F65"/>
    <mergeCell ref="B45:F45"/>
    <mergeCell ref="B12:C12"/>
    <mergeCell ref="B16:D16"/>
    <mergeCell ref="B18:D18"/>
    <mergeCell ref="B20:D20"/>
    <mergeCell ref="B22:D22"/>
    <mergeCell ref="B38:D38"/>
    <mergeCell ref="B40:D40"/>
    <mergeCell ref="B42:D42"/>
    <mergeCell ref="B26:D26"/>
    <mergeCell ref="B28:D28"/>
    <mergeCell ref="B30:D30"/>
    <mergeCell ref="B36:D3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AO44"/>
  <sheetViews>
    <sheetView showGridLines="0" zoomScale="85" zoomScaleNormal="85" workbookViewId="0">
      <selection activeCell="B13" sqref="B13"/>
    </sheetView>
  </sheetViews>
  <sheetFormatPr defaultRowHeight="15" x14ac:dyDescent="0.25"/>
  <cols>
    <col min="1" max="1" width="1.28515625" style="82" customWidth="1"/>
    <col min="2" max="2" width="85.7109375" customWidth="1"/>
    <col min="3" max="6" width="12" customWidth="1"/>
    <col min="7" max="7" width="1.140625" customWidth="1"/>
    <col min="8" max="8" width="2.7109375" style="11" customWidth="1"/>
    <col min="9" max="9" width="1" style="11" customWidth="1"/>
    <col min="10" max="10" width="43.7109375" customWidth="1"/>
    <col min="11" max="11" width="16.28515625" style="2" customWidth="1"/>
    <col min="12" max="12" width="14.5703125" style="2" customWidth="1"/>
    <col min="13" max="13" width="13.42578125" style="2" customWidth="1"/>
    <col min="14" max="15" width="13.42578125" customWidth="1"/>
    <col min="16" max="16" width="13" customWidth="1"/>
    <col min="17" max="17" width="1.28515625" customWidth="1"/>
    <col min="18" max="18" width="2.28515625" style="82" customWidth="1"/>
    <col min="19" max="19" width="5.5703125" bestFit="1" customWidth="1"/>
    <col min="20" max="22" width="8.7109375" style="3" customWidth="1"/>
    <col min="23" max="23" width="23.28515625" style="362" customWidth="1"/>
    <col min="24" max="25" width="8.7109375" style="3" customWidth="1"/>
    <col min="26" max="26" width="8" style="3" bestFit="1" customWidth="1"/>
    <col min="27" max="31" width="7.28515625" style="3" customWidth="1"/>
  </cols>
  <sheetData>
    <row r="1" spans="1:41" ht="24" thickBot="1" x14ac:dyDescent="0.4">
      <c r="B1" s="514" t="s">
        <v>247</v>
      </c>
      <c r="C1" s="515"/>
      <c r="D1" s="515"/>
      <c r="E1" s="515"/>
      <c r="F1" s="515"/>
      <c r="G1" s="515"/>
      <c r="H1" s="515"/>
      <c r="I1" s="515"/>
      <c r="J1" s="515"/>
      <c r="K1" s="515"/>
      <c r="L1" s="515"/>
      <c r="M1" s="515"/>
      <c r="N1" s="515"/>
      <c r="O1" s="515"/>
      <c r="P1" s="515"/>
      <c r="Q1" s="516"/>
    </row>
    <row r="2" spans="1:41" s="1" customFormat="1" ht="20.25" customHeight="1" thickBot="1" x14ac:dyDescent="0.4">
      <c r="A2" s="102"/>
      <c r="B2" s="512" t="s">
        <v>252</v>
      </c>
      <c r="C2" s="513"/>
      <c r="D2" s="513"/>
      <c r="E2" s="513"/>
      <c r="F2" s="513"/>
      <c r="G2" s="245"/>
      <c r="H2" s="190"/>
      <c r="I2" s="296"/>
      <c r="J2" s="511" t="s">
        <v>179</v>
      </c>
      <c r="K2" s="511"/>
      <c r="L2" s="511"/>
      <c r="M2" s="511"/>
      <c r="N2" s="511"/>
      <c r="O2" s="511"/>
      <c r="P2" s="511"/>
      <c r="Q2" s="297"/>
      <c r="R2" s="102"/>
      <c r="W2" s="306"/>
      <c r="AB2" s="3"/>
      <c r="AC2" s="3"/>
      <c r="AD2" s="3"/>
      <c r="AE2" s="3"/>
      <c r="AF2" s="3"/>
      <c r="AG2" s="3"/>
      <c r="AH2" s="3"/>
    </row>
    <row r="3" spans="1:41" ht="26.25" customHeight="1" thickBot="1" x14ac:dyDescent="0.35">
      <c r="B3" s="410" t="s">
        <v>313</v>
      </c>
      <c r="C3" s="528" t="s">
        <v>223</v>
      </c>
      <c r="D3" s="529"/>
      <c r="E3" s="530"/>
      <c r="F3" s="240" t="s">
        <v>224</v>
      </c>
      <c r="G3" s="231"/>
      <c r="I3" s="219"/>
      <c r="J3" s="414" t="s">
        <v>8</v>
      </c>
      <c r="K3" s="531" t="s">
        <v>243</v>
      </c>
      <c r="L3" s="532"/>
      <c r="M3" s="443" t="s">
        <v>178</v>
      </c>
      <c r="N3" s="444" t="s">
        <v>180</v>
      </c>
      <c r="O3" s="445" t="s">
        <v>181</v>
      </c>
      <c r="P3" s="298"/>
      <c r="Q3" s="299"/>
      <c r="AF3" s="3"/>
      <c r="AG3" s="3"/>
      <c r="AH3" s="3"/>
    </row>
    <row r="4" spans="1:41" ht="16.5" thickBot="1" x14ac:dyDescent="0.3">
      <c r="B4" s="255" t="s">
        <v>251</v>
      </c>
      <c r="C4" s="537">
        <v>101647</v>
      </c>
      <c r="D4" s="538"/>
      <c r="E4" s="539"/>
      <c r="F4" s="441">
        <f>SUM(C5:E7)/Pop_all</f>
        <v>1</v>
      </c>
      <c r="G4" s="231"/>
      <c r="I4" s="219"/>
      <c r="J4" s="225" t="s">
        <v>214</v>
      </c>
      <c r="K4" s="533" t="s">
        <v>216</v>
      </c>
      <c r="L4" s="534"/>
      <c r="M4" s="470">
        <f>CP_Procured</f>
        <v>0</v>
      </c>
      <c r="N4" s="471">
        <f>Vax_CP</f>
        <v>0</v>
      </c>
      <c r="O4" s="472">
        <f>C14-N4</f>
        <v>0</v>
      </c>
      <c r="P4" s="300"/>
      <c r="Q4" s="220"/>
      <c r="AF4" s="3"/>
      <c r="AG4" s="3"/>
      <c r="AH4" s="3"/>
    </row>
    <row r="5" spans="1:41" ht="15.75" x14ac:dyDescent="0.25">
      <c r="B5" s="256" t="s">
        <v>278</v>
      </c>
      <c r="C5" s="549">
        <f>Pop_all*F5</f>
        <v>20329.400000000001</v>
      </c>
      <c r="D5" s="550"/>
      <c r="E5" s="551"/>
      <c r="F5" s="438">
        <v>0.2</v>
      </c>
      <c r="G5" s="231"/>
      <c r="I5" s="219"/>
      <c r="J5" s="225" t="s">
        <v>215</v>
      </c>
      <c r="K5" s="533" t="s">
        <v>217</v>
      </c>
      <c r="L5" s="534"/>
      <c r="M5" s="473">
        <f>DD_Procured</f>
        <v>20000</v>
      </c>
      <c r="N5" s="474">
        <f>Vax_DD</f>
        <v>20000</v>
      </c>
      <c r="O5" s="475">
        <f>C15-N5</f>
        <v>0</v>
      </c>
      <c r="P5" s="300"/>
      <c r="Q5" s="220"/>
      <c r="AF5" s="3"/>
      <c r="AG5" s="3"/>
      <c r="AH5" s="3"/>
    </row>
    <row r="6" spans="1:41" ht="15.75" x14ac:dyDescent="0.25">
      <c r="B6" s="256" t="s">
        <v>312</v>
      </c>
      <c r="C6" s="552">
        <f>Pop_all*F6</f>
        <v>25411.75</v>
      </c>
      <c r="D6" s="553"/>
      <c r="E6" s="554"/>
      <c r="F6" s="439">
        <v>0.25</v>
      </c>
      <c r="G6" s="231"/>
      <c r="I6" s="219"/>
      <c r="J6" s="225" t="s">
        <v>199</v>
      </c>
      <c r="K6" s="533" t="s">
        <v>2</v>
      </c>
      <c r="L6" s="534"/>
      <c r="M6" s="473">
        <f>CVR_Procured</f>
        <v>0</v>
      </c>
      <c r="N6" s="474">
        <f>Vax_CVR</f>
        <v>0</v>
      </c>
      <c r="O6" s="475">
        <f>C16-N6</f>
        <v>0</v>
      </c>
      <c r="P6" s="300"/>
      <c r="Q6" s="220"/>
      <c r="X6" s="12"/>
      <c r="Y6" s="14"/>
      <c r="Z6" s="12"/>
      <c r="AA6" s="12"/>
      <c r="AB6" s="12"/>
      <c r="AC6" s="12"/>
      <c r="AD6" s="12"/>
      <c r="AE6" s="12"/>
      <c r="AF6" s="12"/>
      <c r="AG6" s="12"/>
      <c r="AH6" s="3"/>
    </row>
    <row r="7" spans="1:41" ht="16.5" thickBot="1" x14ac:dyDescent="0.3">
      <c r="B7" s="257" t="s">
        <v>279</v>
      </c>
      <c r="C7" s="555">
        <f>Pop_all*F7</f>
        <v>55905.850000000006</v>
      </c>
      <c r="D7" s="556"/>
      <c r="E7" s="557"/>
      <c r="F7" s="442">
        <v>0.55000000000000004</v>
      </c>
      <c r="G7" s="231"/>
      <c r="I7" s="219"/>
      <c r="J7" s="226" t="s">
        <v>200</v>
      </c>
      <c r="K7" s="535" t="s">
        <v>3</v>
      </c>
      <c r="L7" s="536"/>
      <c r="M7" s="476">
        <f>ORV_Procured</f>
        <v>60000</v>
      </c>
      <c r="N7" s="477">
        <f>Vax_ORV</f>
        <v>60000</v>
      </c>
      <c r="O7" s="478">
        <f>C17-N7</f>
        <v>0</v>
      </c>
      <c r="P7" s="301"/>
      <c r="Q7" s="302"/>
      <c r="X7" s="14"/>
      <c r="Y7" s="12"/>
      <c r="Z7" s="12"/>
      <c r="AA7" s="12"/>
      <c r="AB7" s="14"/>
      <c r="AC7" s="14"/>
      <c r="AD7" s="12"/>
      <c r="AE7" s="12"/>
      <c r="AF7" s="12"/>
      <c r="AG7" s="14"/>
      <c r="AH7" s="3"/>
    </row>
    <row r="8" spans="1:41" ht="16.5" thickBot="1" x14ac:dyDescent="0.3">
      <c r="B8" s="232"/>
      <c r="C8" s="525"/>
      <c r="D8" s="525"/>
      <c r="E8" s="525"/>
      <c r="F8" s="525"/>
      <c r="G8" s="233"/>
      <c r="I8" s="219"/>
      <c r="J8" s="211"/>
      <c r="K8" s="212"/>
      <c r="L8" s="212"/>
      <c r="M8" s="213"/>
      <c r="N8" s="526" t="s">
        <v>186</v>
      </c>
      <c r="O8" s="527"/>
      <c r="P8" s="303"/>
      <c r="Q8" s="220"/>
      <c r="X8" s="5"/>
      <c r="Y8" s="5"/>
      <c r="Z8" s="5"/>
      <c r="AA8" s="5"/>
      <c r="AB8" s="5"/>
      <c r="AC8" s="5"/>
      <c r="AD8" s="5"/>
      <c r="AE8" s="5"/>
      <c r="AF8" s="5"/>
      <c r="AG8" s="12"/>
      <c r="AH8" s="3"/>
      <c r="AI8" s="3"/>
    </row>
    <row r="9" spans="1:41" ht="19.5" thickBot="1" x14ac:dyDescent="0.35">
      <c r="B9" s="409" t="s">
        <v>345</v>
      </c>
      <c r="C9" s="528" t="s">
        <v>225</v>
      </c>
      <c r="D9" s="529"/>
      <c r="E9" s="529"/>
      <c r="F9" s="240" t="s">
        <v>224</v>
      </c>
      <c r="G9" s="233"/>
      <c r="I9" s="219"/>
      <c r="J9" s="416" t="s">
        <v>222</v>
      </c>
      <c r="K9" s="446" t="s">
        <v>183</v>
      </c>
      <c r="L9" s="447" t="s">
        <v>184</v>
      </c>
      <c r="M9" s="448" t="s">
        <v>188</v>
      </c>
      <c r="N9" s="446" t="s">
        <v>10</v>
      </c>
      <c r="O9" s="449" t="s">
        <v>185</v>
      </c>
      <c r="P9" s="450" t="s">
        <v>248</v>
      </c>
      <c r="Q9" s="220"/>
      <c r="X9" s="15"/>
      <c r="Y9" s="15"/>
      <c r="Z9" s="15"/>
      <c r="AA9" s="15"/>
      <c r="AB9" s="13"/>
      <c r="AC9" s="15"/>
      <c r="AD9" s="15"/>
      <c r="AE9" s="15"/>
      <c r="AF9" s="15"/>
      <c r="AG9" s="16"/>
      <c r="AH9" s="6"/>
      <c r="AI9" s="4"/>
    </row>
    <row r="10" spans="1:41" ht="15.75" x14ac:dyDescent="0.25">
      <c r="B10" s="255" t="s">
        <v>264</v>
      </c>
      <c r="C10" s="540">
        <v>20000</v>
      </c>
      <c r="D10" s="541"/>
      <c r="E10" s="542"/>
      <c r="F10" s="523">
        <f>SUM(C14:E17)/(C10+C11)</f>
        <v>1</v>
      </c>
      <c r="G10" s="233"/>
      <c r="I10" s="219"/>
      <c r="J10" s="229" t="s">
        <v>218</v>
      </c>
      <c r="K10" s="464">
        <f>Vax_C</f>
        <v>19312.93</v>
      </c>
      <c r="L10" s="465">
        <f>C5-K10</f>
        <v>1016.4700000000012</v>
      </c>
      <c r="M10" s="355">
        <f>K10/Pop_C</f>
        <v>0.95</v>
      </c>
      <c r="N10" s="498">
        <f>Calculations!S47</f>
        <v>0.8892586647473546</v>
      </c>
      <c r="O10" s="499">
        <f>Calculations!T47</f>
        <v>1</v>
      </c>
      <c r="P10" s="358">
        <f>Calculations!AA24/Pop_C</f>
        <v>0.95</v>
      </c>
      <c r="Q10" s="220"/>
      <c r="X10" s="15"/>
      <c r="Y10" s="15"/>
      <c r="Z10" s="15"/>
      <c r="AA10" s="15"/>
      <c r="AB10" s="13"/>
      <c r="AC10" s="15"/>
      <c r="AD10" s="15"/>
      <c r="AE10" s="15"/>
      <c r="AF10" s="15"/>
      <c r="AG10" s="17"/>
      <c r="AH10" s="4"/>
      <c r="AI10" s="4"/>
    </row>
    <row r="11" spans="1:41" ht="16.5" thickBot="1" x14ac:dyDescent="0.3">
      <c r="B11" s="258" t="s">
        <v>265</v>
      </c>
      <c r="C11" s="520">
        <v>60000</v>
      </c>
      <c r="D11" s="521"/>
      <c r="E11" s="522"/>
      <c r="F11" s="524"/>
      <c r="G11" s="233"/>
      <c r="I11" s="219"/>
      <c r="J11" s="229" t="s">
        <v>346</v>
      </c>
      <c r="K11" s="468">
        <f>Vax_SC</f>
        <v>15962.389999999992</v>
      </c>
      <c r="L11" s="469">
        <f>C6-K11</f>
        <v>9449.3600000000079</v>
      </c>
      <c r="M11" s="356">
        <f>K11/Pop_SC</f>
        <v>0.62814996999419526</v>
      </c>
      <c r="N11" s="500">
        <f>Calculations!S48</f>
        <v>0.5674086347415499</v>
      </c>
      <c r="O11" s="501">
        <f>Calculations!T48</f>
        <v>0.68889130524684072</v>
      </c>
      <c r="P11" s="359">
        <f>Calculations!AA25/Pop_SC</f>
        <v>0.50792747449506603</v>
      </c>
      <c r="Q11" s="220"/>
      <c r="X11" s="15"/>
      <c r="Y11" s="15"/>
      <c r="Z11" s="15"/>
      <c r="AA11" s="15"/>
      <c r="AB11" s="13"/>
      <c r="AC11" s="15"/>
      <c r="AD11" s="15"/>
      <c r="AE11" s="15"/>
      <c r="AF11" s="15"/>
      <c r="AG11" s="17"/>
      <c r="AH11" s="4"/>
      <c r="AI11" s="4"/>
    </row>
    <row r="12" spans="1:41" ht="16.5" thickBot="1" x14ac:dyDescent="0.3">
      <c r="B12" s="232"/>
      <c r="C12" s="132"/>
      <c r="D12" s="132"/>
      <c r="E12" s="132"/>
      <c r="F12" s="132"/>
      <c r="G12" s="233"/>
      <c r="I12" s="219"/>
      <c r="J12" s="230" t="s">
        <v>347</v>
      </c>
      <c r="K12" s="466">
        <f>Vax_NC</f>
        <v>44724.680000000008</v>
      </c>
      <c r="L12" s="467">
        <f>C7-K12</f>
        <v>11181.169999999998</v>
      </c>
      <c r="M12" s="357">
        <f>K12/Pop_NC</f>
        <v>0.8</v>
      </c>
      <c r="N12" s="502">
        <f>Calculations!S49</f>
        <v>0.73925866474735469</v>
      </c>
      <c r="O12" s="503">
        <f>Calculations!T49</f>
        <v>0.86074133525264551</v>
      </c>
      <c r="P12" s="360">
        <f>Calculations!AA26/Pop_NC</f>
        <v>0.64</v>
      </c>
      <c r="Q12" s="220"/>
      <c r="X12" s="17"/>
      <c r="Y12" s="17"/>
      <c r="Z12" s="17"/>
      <c r="AA12" s="17"/>
      <c r="AB12" s="17"/>
      <c r="AC12" s="17"/>
      <c r="AD12" s="17"/>
      <c r="AE12" s="17"/>
      <c r="AF12" s="17"/>
      <c r="AG12" s="17"/>
      <c r="AH12" s="17"/>
      <c r="AI12" s="17"/>
      <c r="AJ12" s="11"/>
    </row>
    <row r="13" spans="1:41" ht="19.5" thickBot="1" x14ac:dyDescent="0.35">
      <c r="B13" s="411" t="s">
        <v>344</v>
      </c>
      <c r="C13" s="528" t="s">
        <v>225</v>
      </c>
      <c r="D13" s="529"/>
      <c r="E13" s="530"/>
      <c r="F13" s="240" t="s">
        <v>224</v>
      </c>
      <c r="G13" s="233"/>
      <c r="I13" s="219"/>
      <c r="J13" s="211"/>
      <c r="K13" s="212"/>
      <c r="L13" s="212"/>
      <c r="M13" s="213"/>
      <c r="N13" s="585" t="s">
        <v>186</v>
      </c>
      <c r="O13" s="586"/>
      <c r="P13" s="303"/>
      <c r="Q13" s="220"/>
      <c r="X13" s="17"/>
      <c r="Y13" s="17"/>
      <c r="Z13" s="17"/>
      <c r="AA13" s="17"/>
      <c r="AB13" s="17"/>
      <c r="AC13" s="17"/>
      <c r="AD13" s="17"/>
      <c r="AE13" s="17"/>
      <c r="AF13" s="17"/>
      <c r="AG13" s="17"/>
      <c r="AH13" s="17"/>
      <c r="AI13" s="17"/>
      <c r="AJ13" s="11"/>
    </row>
    <row r="14" spans="1:41" ht="19.5" thickBot="1" x14ac:dyDescent="0.35">
      <c r="B14" s="256" t="s">
        <v>260</v>
      </c>
      <c r="C14" s="543">
        <f>(C11+C10)*F14</f>
        <v>0</v>
      </c>
      <c r="D14" s="544"/>
      <c r="E14" s="545"/>
      <c r="F14" s="438">
        <v>0</v>
      </c>
      <c r="G14" s="233"/>
      <c r="I14" s="219"/>
      <c r="J14" s="415" t="s">
        <v>221</v>
      </c>
      <c r="K14" s="451" t="s">
        <v>187</v>
      </c>
      <c r="L14" s="452" t="s">
        <v>248</v>
      </c>
      <c r="M14" s="453" t="s">
        <v>188</v>
      </c>
      <c r="N14" s="454" t="s">
        <v>10</v>
      </c>
      <c r="O14" s="455" t="s">
        <v>185</v>
      </c>
      <c r="P14" s="450" t="s">
        <v>248</v>
      </c>
      <c r="Q14" s="220"/>
      <c r="V14" s="12"/>
      <c r="W14" s="13"/>
      <c r="X14" s="15"/>
      <c r="Y14" s="15"/>
      <c r="Z14" s="15"/>
      <c r="AA14" s="15"/>
      <c r="AB14" s="15"/>
      <c r="AC14" s="15"/>
      <c r="AD14" s="15"/>
      <c r="AE14" s="15"/>
      <c r="AF14" s="15"/>
      <c r="AG14" s="15"/>
      <c r="AH14" s="15"/>
      <c r="AI14" s="15"/>
      <c r="AJ14" s="11"/>
    </row>
    <row r="15" spans="1:41" ht="19.5" customHeight="1" x14ac:dyDescent="0.25">
      <c r="B15" s="256" t="s">
        <v>261</v>
      </c>
      <c r="C15" s="517">
        <f>(C11+C10)*F15</f>
        <v>20000</v>
      </c>
      <c r="D15" s="518"/>
      <c r="E15" s="519"/>
      <c r="F15" s="439">
        <v>0.25</v>
      </c>
      <c r="G15" s="233"/>
      <c r="I15" s="219"/>
      <c r="J15" s="229" t="s">
        <v>219</v>
      </c>
      <c r="K15" s="464">
        <f>Pop_all</f>
        <v>101647</v>
      </c>
      <c r="L15" s="465">
        <f>SUM(K10:K12)</f>
        <v>80000</v>
      </c>
      <c r="M15" s="355">
        <f>L15/K15</f>
        <v>0.78703749249854893</v>
      </c>
      <c r="N15" s="498">
        <f>Calculations!S50</f>
        <v>0.72629615724590346</v>
      </c>
      <c r="O15" s="499">
        <f>Calculations!T50</f>
        <v>0.8477788277511944</v>
      </c>
      <c r="P15" s="358">
        <f>SUM(Calculations!AA24:AA26)/Pop_all</f>
        <v>0.66898186862376652</v>
      </c>
      <c r="Q15" s="220"/>
      <c r="V15" s="12"/>
      <c r="W15" s="13"/>
      <c r="X15" s="15"/>
      <c r="Y15" s="15"/>
      <c r="Z15" s="15"/>
      <c r="AA15" s="84"/>
      <c r="AB15" s="15"/>
      <c r="AC15" s="15"/>
      <c r="AD15" s="15"/>
      <c r="AE15" s="15"/>
      <c r="AF15" s="15"/>
      <c r="AG15" s="15"/>
      <c r="AH15" s="15"/>
      <c r="AI15" s="15"/>
      <c r="AJ15" s="11"/>
    </row>
    <row r="16" spans="1:41" ht="19.5" customHeight="1" thickBot="1" x14ac:dyDescent="0.3">
      <c r="B16" s="256" t="s">
        <v>262</v>
      </c>
      <c r="C16" s="517">
        <f>(C10+C11)*F16</f>
        <v>0</v>
      </c>
      <c r="D16" s="518"/>
      <c r="E16" s="519"/>
      <c r="F16" s="439">
        <v>0</v>
      </c>
      <c r="G16" s="234"/>
      <c r="I16" s="219"/>
      <c r="J16" s="230" t="s">
        <v>220</v>
      </c>
      <c r="K16" s="466">
        <f>Pop_SC+Pop_NC</f>
        <v>81317.600000000006</v>
      </c>
      <c r="L16" s="467">
        <f>SUM(K11:K12)</f>
        <v>60687.07</v>
      </c>
      <c r="M16" s="357">
        <f>L16/K16</f>
        <v>0.74629686562318609</v>
      </c>
      <c r="N16" s="502">
        <f>Calculations!S51</f>
        <v>0.68555553037054073</v>
      </c>
      <c r="O16" s="503">
        <f>Calculations!T51</f>
        <v>0.80703820087583156</v>
      </c>
      <c r="P16" s="360">
        <f>SUM(Calculations!AA25:AA26)/SUM('VACCINATION CALCULATOR'!C6:E7)</f>
        <v>0.59872733577970816</v>
      </c>
      <c r="Q16" s="220"/>
      <c r="V16" s="12"/>
      <c r="W16" s="13"/>
      <c r="X16" s="15"/>
      <c r="Y16" s="15"/>
      <c r="Z16" s="15"/>
      <c r="AA16" s="84"/>
      <c r="AB16" s="15"/>
      <c r="AC16" s="15"/>
      <c r="AD16" s="15"/>
      <c r="AE16" s="15"/>
      <c r="AF16" s="15"/>
      <c r="AG16" s="15"/>
      <c r="AH16" s="15"/>
      <c r="AI16" s="15"/>
      <c r="AJ16" s="11"/>
      <c r="AO16" s="7"/>
    </row>
    <row r="17" spans="1:41" ht="19.5" customHeight="1" thickBot="1" x14ac:dyDescent="0.3">
      <c r="B17" s="257" t="s">
        <v>263</v>
      </c>
      <c r="C17" s="546">
        <f>C11</f>
        <v>60000</v>
      </c>
      <c r="D17" s="547"/>
      <c r="E17" s="548"/>
      <c r="F17" s="440">
        <f>ORV_Procured/(C10+C11)</f>
        <v>0.75</v>
      </c>
      <c r="G17" s="235"/>
      <c r="I17" s="219"/>
      <c r="J17" s="211"/>
      <c r="K17" s="212"/>
      <c r="L17" s="212"/>
      <c r="M17" s="213"/>
      <c r="N17" s="533"/>
      <c r="O17" s="533"/>
      <c r="P17" s="242"/>
      <c r="Q17" s="220"/>
      <c r="V17" s="12"/>
      <c r="W17" s="13"/>
      <c r="X17" s="15"/>
      <c r="Y17" s="15"/>
      <c r="Z17" s="15"/>
      <c r="AA17" s="84"/>
      <c r="AB17" s="15"/>
      <c r="AC17" s="15"/>
      <c r="AD17" s="15"/>
      <c r="AE17" s="15"/>
      <c r="AF17" s="15"/>
      <c r="AG17" s="15"/>
      <c r="AH17" s="15"/>
      <c r="AI17" s="15"/>
      <c r="AJ17" s="11"/>
      <c r="AO17" s="7"/>
    </row>
    <row r="18" spans="1:41" ht="15.6" customHeight="1" thickBot="1" x14ac:dyDescent="0.3">
      <c r="B18" s="232"/>
      <c r="C18" s="132"/>
      <c r="D18" s="132"/>
      <c r="E18" s="132"/>
      <c r="F18" s="132"/>
      <c r="G18" s="231"/>
      <c r="I18" s="219"/>
      <c r="J18" s="560" t="s">
        <v>189</v>
      </c>
      <c r="K18" s="451" t="s">
        <v>178</v>
      </c>
      <c r="L18" s="450" t="s">
        <v>180</v>
      </c>
      <c r="M18" s="456" t="s">
        <v>181</v>
      </c>
      <c r="N18" s="450" t="s">
        <v>10</v>
      </c>
      <c r="O18" s="457" t="s">
        <v>185</v>
      </c>
      <c r="P18" s="304"/>
      <c r="Q18" s="220"/>
      <c r="V18" s="12"/>
      <c r="W18" s="13"/>
      <c r="X18" s="12"/>
      <c r="Y18" s="12"/>
      <c r="Z18" s="12"/>
      <c r="AA18" s="85"/>
      <c r="AB18" s="12"/>
      <c r="AC18" s="12"/>
      <c r="AD18" s="12"/>
      <c r="AE18" s="12"/>
      <c r="AF18" s="12"/>
      <c r="AG18" s="12"/>
      <c r="AH18" s="12"/>
      <c r="AI18" s="12"/>
      <c r="AJ18" s="11"/>
      <c r="AO18" s="7"/>
    </row>
    <row r="19" spans="1:41" ht="19.5" thickBot="1" x14ac:dyDescent="0.35">
      <c r="B19" s="412" t="s">
        <v>343</v>
      </c>
      <c r="C19" s="528" t="s">
        <v>237</v>
      </c>
      <c r="D19" s="529"/>
      <c r="E19" s="529"/>
      <c r="F19" s="530"/>
      <c r="G19" s="231"/>
      <c r="I19" s="219"/>
      <c r="J19" s="561"/>
      <c r="K19" s="461">
        <f>SUM(C10:E11)</f>
        <v>80000</v>
      </c>
      <c r="L19" s="462">
        <f>SUM(N4:N7)/K19</f>
        <v>1</v>
      </c>
      <c r="M19" s="361">
        <f>SUM(O4:O7)/K19</f>
        <v>0</v>
      </c>
      <c r="N19" s="462">
        <f>MAX(0,1-((O15*C4)/(C10+C11)))</f>
        <v>0</v>
      </c>
      <c r="O19" s="463">
        <f>1-((N15*C4)/(C10+C11))</f>
        <v>7.7177181305320697E-2</v>
      </c>
      <c r="P19" s="305"/>
      <c r="Q19" s="220"/>
      <c r="W19" s="2"/>
      <c r="AF19" s="3"/>
      <c r="AG19" s="3"/>
      <c r="AH19" s="3"/>
      <c r="AI19" s="3"/>
      <c r="AO19" s="7"/>
    </row>
    <row r="20" spans="1:41" ht="16.5" thickBot="1" x14ac:dyDescent="0.3">
      <c r="B20" s="259" t="s">
        <v>266</v>
      </c>
      <c r="C20" s="574">
        <v>1</v>
      </c>
      <c r="D20" s="575"/>
      <c r="E20" s="575"/>
      <c r="F20" s="576"/>
      <c r="G20" s="235"/>
      <c r="I20" s="219"/>
      <c r="J20" s="215"/>
      <c r="K20" s="215"/>
      <c r="L20" s="215"/>
      <c r="M20" s="215"/>
      <c r="N20" s="215"/>
      <c r="O20" s="215"/>
      <c r="P20" s="215"/>
      <c r="Q20" s="220"/>
      <c r="W20" s="2"/>
      <c r="AA20" s="84"/>
      <c r="AF20" s="3"/>
      <c r="AG20" s="3"/>
      <c r="AH20" s="3"/>
      <c r="AI20" s="3"/>
    </row>
    <row r="21" spans="1:41" ht="19.5" thickBot="1" x14ac:dyDescent="0.35">
      <c r="B21" s="260" t="s">
        <v>267</v>
      </c>
      <c r="C21" s="571">
        <v>0.8</v>
      </c>
      <c r="D21" s="572"/>
      <c r="E21" s="572"/>
      <c r="F21" s="573"/>
      <c r="G21" s="236"/>
      <c r="I21" s="219"/>
      <c r="J21" s="479" t="s">
        <v>192</v>
      </c>
      <c r="K21" s="452" t="s">
        <v>193</v>
      </c>
      <c r="L21" s="215"/>
      <c r="M21" s="195"/>
      <c r="N21" s="195"/>
      <c r="O21" s="195"/>
      <c r="P21" s="195"/>
      <c r="Q21" s="220"/>
      <c r="W21" s="2"/>
      <c r="AA21" s="84"/>
      <c r="AF21" s="3"/>
      <c r="AG21" s="3"/>
      <c r="AH21" s="3"/>
      <c r="AI21" s="3"/>
    </row>
    <row r="22" spans="1:41" ht="19.5" customHeight="1" thickBot="1" x14ac:dyDescent="0.35">
      <c r="B22" s="232"/>
      <c r="C22" s="132"/>
      <c r="D22" s="132"/>
      <c r="E22" s="132"/>
      <c r="F22" s="132"/>
      <c r="G22" s="236"/>
      <c r="I22" s="219"/>
      <c r="J22" s="225" t="s">
        <v>190</v>
      </c>
      <c r="K22" s="458">
        <f>'VACCINATION COSTS'!J78</f>
        <v>2.5737875040263161</v>
      </c>
      <c r="L22" s="215"/>
      <c r="M22" s="195"/>
      <c r="N22" s="195"/>
      <c r="O22" s="191"/>
      <c r="P22" s="191"/>
      <c r="Q22" s="220"/>
      <c r="W22" s="2"/>
      <c r="AF22" s="3"/>
      <c r="AG22" s="3"/>
      <c r="AH22" s="3"/>
      <c r="AI22" s="3"/>
    </row>
    <row r="23" spans="1:41" ht="18.75" customHeight="1" thickBot="1" x14ac:dyDescent="0.35">
      <c r="B23" s="413" t="s">
        <v>309</v>
      </c>
      <c r="C23" s="528" t="s">
        <v>310</v>
      </c>
      <c r="D23" s="529"/>
      <c r="E23" s="529"/>
      <c r="F23" s="530"/>
      <c r="G23" s="236"/>
      <c r="I23" s="219"/>
      <c r="J23" s="225" t="s">
        <v>99</v>
      </c>
      <c r="K23" s="459">
        <f>'VACCINATION COSTS'!J77</f>
        <v>205903.00032210528</v>
      </c>
      <c r="L23" s="215"/>
      <c r="M23" s="195"/>
      <c r="N23" s="195"/>
      <c r="O23" s="191"/>
      <c r="P23" s="191"/>
      <c r="Q23" s="220"/>
      <c r="W23" s="2"/>
      <c r="AF23" s="3"/>
      <c r="AG23" s="3"/>
      <c r="AH23" s="3"/>
      <c r="AI23" s="3"/>
    </row>
    <row r="24" spans="1:41" ht="18.75" customHeight="1" thickBot="1" x14ac:dyDescent="0.35">
      <c r="B24" s="261" t="s">
        <v>239</v>
      </c>
      <c r="C24" s="417" t="s">
        <v>216</v>
      </c>
      <c r="D24" s="418" t="s">
        <v>217</v>
      </c>
      <c r="E24" s="418" t="s">
        <v>2</v>
      </c>
      <c r="F24" s="419" t="s">
        <v>3</v>
      </c>
      <c r="G24" s="237"/>
      <c r="I24" s="219"/>
      <c r="J24" s="227" t="s">
        <v>171</v>
      </c>
      <c r="K24" s="459">
        <f>'VACCINATION COSTS'!K11</f>
        <v>143577.21649263159</v>
      </c>
      <c r="L24" s="216"/>
      <c r="M24" s="191"/>
      <c r="N24" s="191"/>
      <c r="O24" s="191"/>
      <c r="P24" s="191"/>
      <c r="Q24" s="220"/>
      <c r="W24" s="2"/>
      <c r="AF24" s="3"/>
      <c r="AG24" s="3"/>
      <c r="AH24" s="3"/>
      <c r="AI24" s="3"/>
    </row>
    <row r="25" spans="1:41" ht="18.75" customHeight="1" thickBot="1" x14ac:dyDescent="0.35">
      <c r="B25" s="262" t="s">
        <v>269</v>
      </c>
      <c r="C25" s="429">
        <v>0.95</v>
      </c>
      <c r="D25" s="430">
        <v>0.95</v>
      </c>
      <c r="E25" s="430">
        <v>0.05</v>
      </c>
      <c r="F25" s="431">
        <v>0.05</v>
      </c>
      <c r="G25" s="237"/>
      <c r="I25" s="219"/>
      <c r="J25" s="228" t="s">
        <v>35</v>
      </c>
      <c r="K25" s="460">
        <f>'VACCINATION COSTS'!K12</f>
        <v>261900.53692631581</v>
      </c>
      <c r="L25" s="216"/>
      <c r="M25" s="191"/>
      <c r="N25" s="191"/>
      <c r="O25" s="191"/>
      <c r="P25" s="191"/>
      <c r="Q25" s="220"/>
      <c r="W25" s="2"/>
      <c r="AF25" s="3"/>
      <c r="AG25" s="3"/>
      <c r="AH25" s="3"/>
      <c r="AI25" s="3"/>
    </row>
    <row r="26" spans="1:41" ht="15.75" x14ac:dyDescent="0.25">
      <c r="B26" s="262" t="s">
        <v>270</v>
      </c>
      <c r="C26" s="432">
        <v>0.8</v>
      </c>
      <c r="D26" s="433">
        <v>0.8</v>
      </c>
      <c r="E26" s="433">
        <v>0.7</v>
      </c>
      <c r="F26" s="434">
        <v>0.95</v>
      </c>
      <c r="G26" s="231"/>
      <c r="I26" s="219"/>
      <c r="J26" s="214"/>
      <c r="K26" s="216"/>
      <c r="L26" s="216"/>
      <c r="M26" s="216"/>
      <c r="N26" s="216"/>
      <c r="O26" s="216"/>
      <c r="P26" s="216"/>
      <c r="Q26" s="220"/>
      <c r="W26" s="2"/>
      <c r="AF26" s="3"/>
      <c r="AG26" s="3"/>
      <c r="AH26" s="3"/>
      <c r="AI26" s="3"/>
    </row>
    <row r="27" spans="1:41" ht="16.5" thickBot="1" x14ac:dyDescent="0.3">
      <c r="B27" s="263" t="s">
        <v>271</v>
      </c>
      <c r="C27" s="435">
        <v>0.05</v>
      </c>
      <c r="D27" s="436">
        <v>0.1</v>
      </c>
      <c r="E27" s="436">
        <v>0.64</v>
      </c>
      <c r="F27" s="437">
        <v>0.79</v>
      </c>
      <c r="G27" s="231"/>
      <c r="I27" s="219"/>
      <c r="J27" s="214"/>
      <c r="K27" s="215"/>
      <c r="L27" s="215"/>
      <c r="M27" s="215"/>
      <c r="N27" s="215"/>
      <c r="O27" s="215"/>
      <c r="P27" s="215"/>
      <c r="Q27" s="220"/>
      <c r="W27" s="2"/>
      <c r="AF27" s="3"/>
      <c r="AG27" s="3"/>
      <c r="AH27" s="3"/>
      <c r="AI27" s="3"/>
    </row>
    <row r="28" spans="1:41" ht="14.65" customHeight="1" thickBot="1" x14ac:dyDescent="0.3">
      <c r="B28" s="232"/>
      <c r="C28" s="132"/>
      <c r="D28" s="132"/>
      <c r="E28" s="132"/>
      <c r="F28" s="132"/>
      <c r="G28" s="238"/>
      <c r="I28" s="219"/>
      <c r="J28" s="214"/>
      <c r="K28" s="215"/>
      <c r="L28" s="215"/>
      <c r="M28" s="215"/>
      <c r="N28" s="215"/>
      <c r="O28" s="215"/>
      <c r="P28" s="215"/>
      <c r="Q28" s="220"/>
      <c r="W28" s="2"/>
      <c r="AF28" s="3"/>
      <c r="AG28" s="3"/>
      <c r="AH28" s="3"/>
      <c r="AI28" s="3"/>
    </row>
    <row r="29" spans="1:41" ht="14.65" customHeight="1" x14ac:dyDescent="0.25">
      <c r="B29" s="583" t="s">
        <v>238</v>
      </c>
      <c r="C29" s="565">
        <v>5</v>
      </c>
      <c r="D29" s="566"/>
      <c r="E29" s="566"/>
      <c r="F29" s="567"/>
      <c r="G29" s="238"/>
      <c r="I29" s="219"/>
      <c r="J29" s="214"/>
      <c r="K29" s="215"/>
      <c r="L29" s="215"/>
      <c r="M29" s="215"/>
      <c r="N29" s="215"/>
      <c r="O29" s="217"/>
      <c r="P29" s="217"/>
      <c r="Q29" s="220"/>
      <c r="W29" s="2"/>
      <c r="AF29" s="3"/>
      <c r="AG29" s="3"/>
      <c r="AH29" s="3"/>
      <c r="AI29" s="3"/>
    </row>
    <row r="30" spans="1:41" s="82" customFormat="1" ht="14.65" customHeight="1" thickBot="1" x14ac:dyDescent="0.3">
      <c r="B30" s="584"/>
      <c r="C30" s="568"/>
      <c r="D30" s="569"/>
      <c r="E30" s="569"/>
      <c r="F30" s="570"/>
      <c r="G30" s="244"/>
      <c r="H30" s="11"/>
      <c r="I30" s="219"/>
      <c r="J30" s="214"/>
      <c r="K30" s="215"/>
      <c r="L30" s="215"/>
      <c r="M30" s="215"/>
      <c r="N30" s="215"/>
      <c r="O30" s="217"/>
      <c r="P30" s="217"/>
      <c r="Q30" s="220"/>
      <c r="T30" s="83"/>
      <c r="U30" s="83"/>
      <c r="V30" s="83"/>
      <c r="W30" s="248"/>
      <c r="X30" s="83"/>
      <c r="Y30" s="83"/>
      <c r="Z30" s="83"/>
      <c r="AA30" s="83"/>
      <c r="AB30" s="83"/>
      <c r="AC30" s="83"/>
      <c r="AD30" s="83"/>
      <c r="AE30" s="83"/>
      <c r="AF30" s="83"/>
      <c r="AG30" s="83"/>
      <c r="AH30" s="83"/>
      <c r="AI30" s="83"/>
    </row>
    <row r="31" spans="1:41" ht="19.5" customHeight="1" thickBot="1" x14ac:dyDescent="0.35">
      <c r="B31" s="577" t="s">
        <v>277</v>
      </c>
      <c r="C31" s="578"/>
      <c r="D31" s="578"/>
      <c r="E31" s="578"/>
      <c r="F31" s="578"/>
      <c r="G31" s="579"/>
      <c r="I31" s="219"/>
      <c r="J31" s="214"/>
      <c r="K31" s="215"/>
      <c r="L31" s="215"/>
      <c r="M31" s="215"/>
      <c r="N31" s="215"/>
      <c r="O31" s="217"/>
      <c r="P31" s="217"/>
      <c r="Q31" s="221"/>
      <c r="W31" s="2"/>
      <c r="AF31" s="3"/>
      <c r="AG31" s="3"/>
      <c r="AH31" s="3"/>
      <c r="AI31" s="3"/>
    </row>
    <row r="32" spans="1:41" s="196" customFormat="1" ht="18.75" x14ac:dyDescent="0.3">
      <c r="A32" s="116"/>
      <c r="B32" s="409" t="s">
        <v>342</v>
      </c>
      <c r="C32" s="580">
        <v>0.7</v>
      </c>
      <c r="D32" s="581"/>
      <c r="E32" s="581"/>
      <c r="F32" s="582"/>
      <c r="G32" s="247"/>
      <c r="H32" s="194"/>
      <c r="I32" s="222"/>
      <c r="J32" s="211"/>
      <c r="K32" s="215"/>
      <c r="L32" s="215"/>
      <c r="M32" s="215"/>
      <c r="N32" s="215"/>
      <c r="O32" s="218"/>
      <c r="P32" s="218"/>
      <c r="Q32" s="223"/>
      <c r="R32" s="116"/>
      <c r="W32" s="363"/>
    </row>
    <row r="33" spans="1:31" s="196" customFormat="1" ht="16.5" thickBot="1" x14ac:dyDescent="0.3">
      <c r="A33" s="116"/>
      <c r="B33" s="264" t="s">
        <v>168</v>
      </c>
      <c r="C33" s="562" t="str">
        <f>Calculations!U11</f>
        <v>Phase III</v>
      </c>
      <c r="D33" s="563"/>
      <c r="E33" s="563"/>
      <c r="F33" s="564"/>
      <c r="G33" s="239"/>
      <c r="H33" s="194"/>
      <c r="I33" s="222"/>
      <c r="J33" s="216"/>
      <c r="K33" s="213"/>
      <c r="L33" s="213"/>
      <c r="M33" s="213"/>
      <c r="N33" s="211"/>
      <c r="O33" s="211"/>
      <c r="P33" s="211"/>
      <c r="Q33" s="223"/>
      <c r="R33" s="116"/>
      <c r="W33" s="363"/>
    </row>
    <row r="34" spans="1:31" s="196" customFormat="1" ht="16.149999999999999" customHeight="1" thickBot="1" x14ac:dyDescent="0.3">
      <c r="A34" s="116"/>
      <c r="B34" s="265" t="s">
        <v>177</v>
      </c>
      <c r="C34" s="417" t="s">
        <v>216</v>
      </c>
      <c r="D34" s="418" t="s">
        <v>217</v>
      </c>
      <c r="E34" s="418" t="s">
        <v>2</v>
      </c>
      <c r="F34" s="419" t="s">
        <v>3</v>
      </c>
      <c r="G34" s="239"/>
      <c r="H34" s="194"/>
      <c r="I34" s="222"/>
      <c r="J34" s="216"/>
      <c r="K34" s="213"/>
      <c r="L34" s="213"/>
      <c r="M34" s="213"/>
      <c r="N34" s="211"/>
      <c r="O34" s="211"/>
      <c r="P34" s="211"/>
      <c r="Q34" s="223"/>
      <c r="R34" s="116"/>
      <c r="W34" s="363"/>
    </row>
    <row r="35" spans="1:31" s="116" customFormat="1" ht="16.149999999999999" customHeight="1" x14ac:dyDescent="0.25">
      <c r="B35" s="262" t="s">
        <v>240</v>
      </c>
      <c r="C35" s="420">
        <f>IF(Calculations!$U$12=1,0.2,IF(Calculations!$U$12=2,0.4,IF(Calculations!$U$12=3,0.8, IF(Calculations!$U$12=4,0.95,0))))</f>
        <v>0.95</v>
      </c>
      <c r="D35" s="421">
        <f>IF(Calculations!$U$12=1,0.2,IF(Calculations!$U$12=2,0.4,IF(Calculations!$U$12=3,0.8, IF(Calculations!$U$12=4,0.95,0))))</f>
        <v>0.95</v>
      </c>
      <c r="E35" s="421">
        <f>IF(Calculations!$U$12=1,0.05,IF(Calculations!$U$12=2,0.05,IF(Calculations!$U$12=3,0.05, IF(Calculations!$U$12=4,0.05,0))))</f>
        <v>0.05</v>
      </c>
      <c r="F35" s="422">
        <f>IF(Calculations!$U$12=1,0.05,IF(Calculations!$U$12=2,0.05,IF(Calculations!$U$12=3,0.05, IF(Calculations!$U$12=4,0.05,0))))</f>
        <v>0.05</v>
      </c>
      <c r="G35" s="235"/>
      <c r="H35" s="120"/>
      <c r="I35" s="224"/>
      <c r="J35" s="211"/>
      <c r="K35" s="211"/>
      <c r="L35" s="213"/>
      <c r="M35" s="213"/>
      <c r="N35" s="211"/>
      <c r="O35" s="211"/>
      <c r="P35" s="211"/>
      <c r="Q35" s="223"/>
      <c r="W35" s="364"/>
    </row>
    <row r="36" spans="1:31" s="196" customFormat="1" ht="16.149999999999999" customHeight="1" x14ac:dyDescent="0.25">
      <c r="A36" s="116"/>
      <c r="B36" s="262" t="s">
        <v>241</v>
      </c>
      <c r="C36" s="423">
        <f>IF(Calculations!$U$12=1,0.2,IF(Calculations!$U$12=2,0.2,IF(Calculations!$U$12=3,0.6, IF(Calculations!$U$12=4,0.8,0))))</f>
        <v>0.8</v>
      </c>
      <c r="D36" s="424">
        <f>IF(Calculations!$U$12=1,0.2,IF(Calculations!$U$12=2,0.2,IF(Calculations!$U$12=3,0.6, IF(Calculations!$U$12=4,0.8,0))))</f>
        <v>0.8</v>
      </c>
      <c r="E36" s="424">
        <f>IF(Calculations!$U$12=1,0.2,IF(Calculations!$U$12=2,0.4,IF(Calculations!$U$12=3,0.8, IF(Calculations!$U$12=4,0.95,0))))</f>
        <v>0.95</v>
      </c>
      <c r="F36" s="425">
        <f>IF(Calculations!$U$12=1,0.2,IF(Calculations!$U$12=2,0.4,IF(Calculations!$U$12=3,0.8, IF(Calculations!$U$12=4,0.95,0))))</f>
        <v>0.95</v>
      </c>
      <c r="G36" s="235"/>
      <c r="H36" s="120"/>
      <c r="I36" s="224"/>
      <c r="J36" s="211"/>
      <c r="K36" s="211"/>
      <c r="L36" s="213"/>
      <c r="M36" s="213"/>
      <c r="N36" s="211"/>
      <c r="O36" s="211"/>
      <c r="P36" s="211"/>
      <c r="Q36" s="223"/>
      <c r="R36" s="116"/>
      <c r="W36" s="363"/>
    </row>
    <row r="37" spans="1:31" s="116" customFormat="1" ht="16.5" thickBot="1" x14ac:dyDescent="0.3">
      <c r="B37" s="263" t="s">
        <v>242</v>
      </c>
      <c r="C37" s="426">
        <f>IF(Calculations!$U$12=1,0.05,IF(Calculations!$U$12=2,0.05,IF(Calculations!$U$12=3,0.05, IF(Calculations!$U$12=4,0.05,0))))</f>
        <v>0.05</v>
      </c>
      <c r="D37" s="427">
        <f>IF(Calculations!$U$12=1,0.05,IF(Calculations!$U$12=2,0.05,IF(Calculations!$U$12=3,0.05, IF(Calculations!$U$12=4,0.05,0))))</f>
        <v>0.05</v>
      </c>
      <c r="E37" s="427">
        <f>IF(Calculations!$U$12=1,0.2,IF(Calculations!$U$12=2,0.2,IF(Calculations!$U$12=3,0.6, IF(Calculations!$U$12=4,0.8,0))))</f>
        <v>0.8</v>
      </c>
      <c r="F37" s="428">
        <f>IF(Calculations!$U$12=1,0.2,IF(Calculations!$U$12=2,0.4,IF(Calculations!$U$12=3,0.8, IF(Calculations!$U$12=4,0.95,0))))</f>
        <v>0.95</v>
      </c>
      <c r="G37" s="235"/>
      <c r="H37" s="194"/>
      <c r="I37" s="222"/>
      <c r="J37" s="211"/>
      <c r="K37" s="211"/>
      <c r="L37" s="211"/>
      <c r="M37" s="211"/>
      <c r="N37" s="211"/>
      <c r="O37" s="211"/>
      <c r="P37" s="211"/>
      <c r="Q37" s="223"/>
      <c r="W37" s="364"/>
    </row>
    <row r="38" spans="1:31" s="116" customFormat="1" x14ac:dyDescent="0.25">
      <c r="B38" s="266" t="s">
        <v>197</v>
      </c>
      <c r="C38" s="193"/>
      <c r="D38" s="193"/>
      <c r="E38" s="193"/>
      <c r="F38" s="193"/>
      <c r="G38" s="235"/>
      <c r="H38" s="194"/>
      <c r="I38" s="222"/>
      <c r="J38" s="211"/>
      <c r="K38" s="211"/>
      <c r="L38" s="211"/>
      <c r="M38" s="211"/>
      <c r="N38" s="211"/>
      <c r="O38" s="211"/>
      <c r="P38" s="211"/>
      <c r="Q38" s="223"/>
      <c r="W38" s="364"/>
    </row>
    <row r="39" spans="1:31" s="116" customFormat="1" ht="15.75" thickBot="1" x14ac:dyDescent="0.3">
      <c r="B39" s="267" t="s">
        <v>272</v>
      </c>
      <c r="C39" s="193"/>
      <c r="D39" s="193"/>
      <c r="E39" s="193"/>
      <c r="F39" s="193"/>
      <c r="G39" s="235"/>
      <c r="H39" s="194"/>
      <c r="I39" s="222"/>
      <c r="J39" s="211"/>
      <c r="K39" s="211"/>
      <c r="L39" s="211"/>
      <c r="M39" s="211"/>
      <c r="N39" s="211"/>
      <c r="O39" s="211"/>
      <c r="P39" s="211"/>
      <c r="Q39" s="223"/>
      <c r="W39" s="364"/>
    </row>
    <row r="40" spans="1:31" s="82" customFormat="1" ht="29.25" customHeight="1" x14ac:dyDescent="0.25">
      <c r="B40" s="558" t="s">
        <v>311</v>
      </c>
      <c r="C40" s="559"/>
      <c r="D40" s="559"/>
      <c r="E40" s="559"/>
      <c r="F40" s="559"/>
      <c r="G40" s="559"/>
      <c r="H40" s="559"/>
      <c r="I40" s="559"/>
      <c r="J40" s="559"/>
      <c r="K40" s="559"/>
      <c r="L40" s="559"/>
      <c r="M40" s="559"/>
      <c r="N40" s="559"/>
      <c r="O40" s="559"/>
      <c r="P40" s="559"/>
      <c r="Q40" s="249"/>
      <c r="T40" s="83"/>
      <c r="U40" s="83"/>
      <c r="V40" s="83"/>
      <c r="W40" s="365"/>
      <c r="X40" s="83"/>
      <c r="Y40" s="83"/>
      <c r="Z40" s="83"/>
      <c r="AA40" s="83"/>
      <c r="AB40" s="83"/>
    </row>
    <row r="41" spans="1:31" s="82" customFormat="1" x14ac:dyDescent="0.25">
      <c r="B41" s="250" t="s">
        <v>169</v>
      </c>
      <c r="C41" s="11"/>
      <c r="D41" s="11"/>
      <c r="E41" s="11"/>
      <c r="F41" s="11"/>
      <c r="G41" s="11"/>
      <c r="H41" s="11"/>
      <c r="I41" s="11"/>
      <c r="J41" s="11"/>
      <c r="K41" s="13"/>
      <c r="L41" s="13"/>
      <c r="M41" s="13"/>
      <c r="N41" s="11"/>
      <c r="O41" s="11"/>
      <c r="P41" s="11"/>
      <c r="Q41" s="251"/>
      <c r="T41" s="83"/>
      <c r="U41" s="83"/>
      <c r="V41" s="83"/>
      <c r="W41" s="365"/>
      <c r="X41" s="83"/>
      <c r="Y41" s="83"/>
      <c r="Z41" s="83"/>
      <c r="AA41" s="83"/>
      <c r="AB41" s="83"/>
    </row>
    <row r="42" spans="1:31" ht="15.75" thickBot="1" x14ac:dyDescent="0.3">
      <c r="B42" s="252" t="s">
        <v>198</v>
      </c>
      <c r="C42" s="253"/>
      <c r="D42" s="253"/>
      <c r="E42" s="253"/>
      <c r="F42" s="253"/>
      <c r="G42" s="253"/>
      <c r="H42" s="253"/>
      <c r="I42" s="253"/>
      <c r="J42" s="253"/>
      <c r="K42" s="254"/>
      <c r="L42" s="254"/>
      <c r="M42" s="254"/>
      <c r="N42" s="253"/>
      <c r="O42" s="253"/>
      <c r="P42" s="253"/>
      <c r="Q42" s="246"/>
      <c r="S42" s="82"/>
      <c r="AC42"/>
      <c r="AD42"/>
      <c r="AE42"/>
    </row>
    <row r="43" spans="1:31" x14ac:dyDescent="0.25">
      <c r="C43" s="82"/>
      <c r="D43" s="82"/>
      <c r="E43" s="82"/>
      <c r="F43" s="82"/>
      <c r="G43" s="11"/>
      <c r="J43" s="82"/>
      <c r="K43" s="248"/>
      <c r="L43" s="248"/>
      <c r="M43" s="248"/>
      <c r="N43" s="82"/>
      <c r="O43" s="82"/>
      <c r="P43" s="82"/>
      <c r="Q43" s="82"/>
      <c r="S43" s="82"/>
      <c r="AC43"/>
      <c r="AD43"/>
      <c r="AE43"/>
    </row>
    <row r="44" spans="1:31" x14ac:dyDescent="0.25">
      <c r="F44" s="82"/>
      <c r="G44" s="82"/>
      <c r="J44" s="82"/>
      <c r="K44" s="248"/>
      <c r="L44" s="248"/>
      <c r="M44" s="248"/>
      <c r="N44" s="82"/>
      <c r="O44" s="82"/>
      <c r="P44" s="82"/>
      <c r="Q44" s="82"/>
      <c r="S44" s="82"/>
      <c r="AC44"/>
      <c r="AD44"/>
      <c r="AE44"/>
    </row>
  </sheetData>
  <sheetProtection selectLockedCells="1"/>
  <mergeCells count="37">
    <mergeCell ref="C5:E5"/>
    <mergeCell ref="C6:E6"/>
    <mergeCell ref="C7:E7"/>
    <mergeCell ref="B40:P40"/>
    <mergeCell ref="J18:J19"/>
    <mergeCell ref="C33:F33"/>
    <mergeCell ref="C29:F30"/>
    <mergeCell ref="C19:F19"/>
    <mergeCell ref="C21:F21"/>
    <mergeCell ref="C20:F20"/>
    <mergeCell ref="B31:G31"/>
    <mergeCell ref="C32:F32"/>
    <mergeCell ref="C23:F23"/>
    <mergeCell ref="B29:B30"/>
    <mergeCell ref="N17:O17"/>
    <mergeCell ref="N13:O13"/>
    <mergeCell ref="C15:E15"/>
    <mergeCell ref="C10:E10"/>
    <mergeCell ref="C14:E14"/>
    <mergeCell ref="C13:E13"/>
    <mergeCell ref="C17:E17"/>
    <mergeCell ref="J2:P2"/>
    <mergeCell ref="B2:F2"/>
    <mergeCell ref="B1:Q1"/>
    <mergeCell ref="C16:E16"/>
    <mergeCell ref="C11:E11"/>
    <mergeCell ref="F10:F11"/>
    <mergeCell ref="C8:F8"/>
    <mergeCell ref="N8:O8"/>
    <mergeCell ref="C3:E3"/>
    <mergeCell ref="C9:E9"/>
    <mergeCell ref="K3:L3"/>
    <mergeCell ref="K4:L4"/>
    <mergeCell ref="K5:L5"/>
    <mergeCell ref="K6:L6"/>
    <mergeCell ref="K7:L7"/>
    <mergeCell ref="C4:E4"/>
  </mergeCells>
  <conditionalFormatting sqref="F10">
    <cfRule type="cellIs" dxfId="8" priority="9" operator="greaterThan">
      <formula>1</formula>
    </cfRule>
  </conditionalFormatting>
  <conditionalFormatting sqref="F4">
    <cfRule type="cellIs" dxfId="7" priority="3" operator="equal">
      <formula>1</formula>
    </cfRule>
    <cfRule type="cellIs" dxfId="6" priority="7" operator="greaterThan">
      <formula>100</formula>
    </cfRule>
    <cfRule type="cellIs" dxfId="5" priority="8" operator="lessThan">
      <formula>100</formula>
    </cfRule>
  </conditionalFormatting>
  <conditionalFormatting sqref="M10:P12 M15:P16">
    <cfRule type="cellIs" dxfId="4" priority="1" operator="greaterThan">
      <formula>0.7</formula>
    </cfRule>
    <cfRule type="colorScale" priority="2">
      <colorScale>
        <cfvo type="num" val="0"/>
        <cfvo type="num" val="0.69899999999999995"/>
        <color rgb="FFFF0000"/>
        <color rgb="FFFFC000"/>
      </colorScale>
    </cfRule>
  </conditionalFormatting>
  <dataValidations count="1">
    <dataValidation operator="lessThan" allowBlank="1" showInputMessage="1" showErrorMessage="1" sqref="X17 Y15:Z17 AF15:AF16 AB15:AC17 AD17 AF17:AG17 AH15:AI17 AE15:AE17"/>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Choose option from 1-10 scale" prompt="1=not confident_x000a_10=very confident">
          <x14:formula1>
            <xm:f>Calculations!$O$6:$O$15</xm:f>
          </x14:formula1>
          <xm:sqref>C29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M100"/>
  <sheetViews>
    <sheetView showGridLines="0" tabSelected="1" topLeftCell="A42" zoomScale="85" zoomScaleNormal="85" workbookViewId="0">
      <selection activeCell="F77" sqref="F77"/>
    </sheetView>
  </sheetViews>
  <sheetFormatPr defaultColWidth="8.7109375" defaultRowHeight="15" x14ac:dyDescent="0.25"/>
  <cols>
    <col min="1" max="1" width="1.42578125" style="61" customWidth="1"/>
    <col min="2" max="2" width="41.140625" style="49" customWidth="1"/>
    <col min="3" max="3" width="18" style="49" customWidth="1"/>
    <col min="4" max="5" width="13.7109375" style="49" customWidth="1"/>
    <col min="6" max="6" width="12.28515625" style="49" customWidth="1"/>
    <col min="7" max="7" width="13.5703125" style="49" customWidth="1"/>
    <col min="8" max="8" width="4.7109375" style="49" customWidth="1"/>
    <col min="9" max="11" width="16.42578125" style="49" customWidth="1"/>
    <col min="12" max="12" width="1.28515625" style="61" customWidth="1"/>
    <col min="13" max="16384" width="8.7109375" style="49"/>
  </cols>
  <sheetData>
    <row r="1" spans="2:13" ht="21.75" thickBot="1" x14ac:dyDescent="0.3">
      <c r="B1" s="289" t="s">
        <v>195</v>
      </c>
      <c r="C1" s="287"/>
      <c r="D1" s="287"/>
      <c r="E1" s="287"/>
      <c r="F1" s="287"/>
      <c r="G1" s="287"/>
      <c r="H1" s="287"/>
      <c r="I1" s="287"/>
      <c r="J1" s="287"/>
      <c r="K1" s="287"/>
      <c r="L1" s="288"/>
    </row>
    <row r="2" spans="2:13" ht="19.5" thickBot="1" x14ac:dyDescent="0.3">
      <c r="B2" s="290" t="s">
        <v>244</v>
      </c>
      <c r="C2" s="295"/>
      <c r="D2" s="60"/>
      <c r="E2" s="60"/>
      <c r="F2" s="60"/>
      <c r="G2" s="60"/>
      <c r="H2" s="60"/>
      <c r="I2" s="60"/>
      <c r="J2" s="592" t="s">
        <v>192</v>
      </c>
      <c r="K2" s="593"/>
      <c r="L2" s="291"/>
      <c r="M2" s="50"/>
    </row>
    <row r="3" spans="2:13" ht="14.65" customHeight="1" x14ac:dyDescent="0.25">
      <c r="B3" s="335" t="s">
        <v>253</v>
      </c>
      <c r="C3" s="334">
        <v>11</v>
      </c>
      <c r="D3" s="60"/>
      <c r="E3" s="60"/>
      <c r="F3" s="60"/>
      <c r="G3" s="60"/>
      <c r="H3" s="60"/>
      <c r="I3" s="60"/>
      <c r="J3" s="337"/>
      <c r="K3" s="338"/>
      <c r="L3" s="268"/>
      <c r="M3" s="50"/>
    </row>
    <row r="4" spans="2:13" ht="14.65" customHeight="1" x14ac:dyDescent="0.25">
      <c r="B4" s="345" t="s">
        <v>245</v>
      </c>
      <c r="C4" s="330"/>
      <c r="D4" s="65"/>
      <c r="E4" s="60"/>
      <c r="F4" s="60"/>
      <c r="G4" s="60"/>
      <c r="H4" s="60"/>
      <c r="I4" s="60"/>
      <c r="J4" s="590" t="s">
        <v>100</v>
      </c>
      <c r="K4" s="591"/>
      <c r="L4" s="269"/>
      <c r="M4" s="25"/>
    </row>
    <row r="5" spans="2:13" ht="45.75" x14ac:dyDescent="0.25">
      <c r="B5" s="333" t="s">
        <v>254</v>
      </c>
      <c r="C5" s="334">
        <v>1</v>
      </c>
      <c r="D5" s="60"/>
      <c r="E5" s="60"/>
      <c r="F5" s="60"/>
      <c r="G5" s="60"/>
      <c r="H5" s="60"/>
      <c r="I5" s="60"/>
      <c r="J5" s="339" t="s">
        <v>191</v>
      </c>
      <c r="K5" s="340">
        <f>J78</f>
        <v>2.5737875040263161</v>
      </c>
      <c r="L5" s="269"/>
      <c r="M5" s="25"/>
    </row>
    <row r="6" spans="2:13" ht="45.75" x14ac:dyDescent="0.25">
      <c r="B6" s="333" t="s">
        <v>255</v>
      </c>
      <c r="C6" s="334">
        <f>19/2</f>
        <v>9.5</v>
      </c>
      <c r="D6" s="60"/>
      <c r="E6" s="60"/>
      <c r="F6" s="60"/>
      <c r="G6" s="60"/>
      <c r="H6" s="60"/>
      <c r="I6" s="60"/>
      <c r="J6" s="341" t="s">
        <v>171</v>
      </c>
      <c r="K6" s="346">
        <f>I78</f>
        <v>1.7947152061578948</v>
      </c>
      <c r="L6" s="269"/>
      <c r="M6" s="25"/>
    </row>
    <row r="7" spans="2:13" ht="46.5" x14ac:dyDescent="0.25">
      <c r="B7" s="333" t="s">
        <v>256</v>
      </c>
      <c r="C7" s="334">
        <v>1</v>
      </c>
      <c r="D7" s="60"/>
      <c r="E7" s="60"/>
      <c r="F7" s="60"/>
      <c r="G7" s="60"/>
      <c r="H7" s="60"/>
      <c r="I7" s="60"/>
      <c r="J7" s="341" t="s">
        <v>35</v>
      </c>
      <c r="K7" s="346">
        <f>K78</f>
        <v>3.2737567115789474</v>
      </c>
      <c r="L7" s="269"/>
      <c r="M7" s="25"/>
    </row>
    <row r="8" spans="2:13" ht="45.75" x14ac:dyDescent="0.25">
      <c r="B8" s="333" t="s">
        <v>257</v>
      </c>
      <c r="C8" s="334">
        <v>32</v>
      </c>
      <c r="D8" s="60"/>
      <c r="E8" s="60"/>
      <c r="F8" s="60"/>
      <c r="G8" s="60"/>
      <c r="H8" s="60"/>
      <c r="I8" s="60"/>
      <c r="J8" s="292"/>
      <c r="K8" s="342"/>
      <c r="L8" s="269"/>
      <c r="M8" s="25"/>
    </row>
    <row r="9" spans="2:13" ht="15.75" customHeight="1" x14ac:dyDescent="0.25">
      <c r="B9" s="345" t="s">
        <v>104</v>
      </c>
      <c r="C9" s="331"/>
      <c r="D9" s="60"/>
      <c r="E9" s="60"/>
      <c r="F9" s="60"/>
      <c r="G9" s="60"/>
      <c r="H9" s="60"/>
      <c r="I9" s="60"/>
      <c r="J9" s="590" t="s">
        <v>196</v>
      </c>
      <c r="K9" s="591"/>
      <c r="L9" s="269"/>
      <c r="M9" s="25"/>
    </row>
    <row r="10" spans="2:13" ht="15.6" customHeight="1" x14ac:dyDescent="0.25">
      <c r="B10" s="270"/>
      <c r="C10" s="332"/>
      <c r="D10" s="63"/>
      <c r="E10" s="60"/>
      <c r="F10" s="60"/>
      <c r="G10" s="60"/>
      <c r="H10" s="60"/>
      <c r="I10" s="60"/>
      <c r="J10" s="339" t="s">
        <v>191</v>
      </c>
      <c r="K10" s="343">
        <f>J77</f>
        <v>205903.00032210528</v>
      </c>
      <c r="L10" s="269"/>
      <c r="M10" s="51"/>
    </row>
    <row r="11" spans="2:13" ht="14.65" customHeight="1" x14ac:dyDescent="0.25">
      <c r="B11" s="335" t="s">
        <v>28</v>
      </c>
      <c r="C11" s="336">
        <f>('VACCINATION CALCULATOR'!N4/C3/C5)*1.1</f>
        <v>0</v>
      </c>
      <c r="D11" s="64"/>
      <c r="E11" s="60"/>
      <c r="F11" s="60"/>
      <c r="G11" s="60"/>
      <c r="H11" s="60"/>
      <c r="I11" s="60"/>
      <c r="J11" s="341" t="s">
        <v>171</v>
      </c>
      <c r="K11" s="343">
        <f>I77</f>
        <v>143577.21649263159</v>
      </c>
      <c r="L11" s="269"/>
      <c r="M11" s="51"/>
    </row>
    <row r="12" spans="2:13" ht="14.65" customHeight="1" x14ac:dyDescent="0.25">
      <c r="B12" s="335" t="s">
        <v>29</v>
      </c>
      <c r="C12" s="336">
        <f>('VACCINATION CALCULATOR'!N5/C3/C6)*1.1</f>
        <v>210.5263157894737</v>
      </c>
      <c r="D12" s="64"/>
      <c r="E12" s="60"/>
      <c r="F12" s="60"/>
      <c r="G12" s="60"/>
      <c r="H12" s="60"/>
      <c r="I12" s="60"/>
      <c r="J12" s="341" t="s">
        <v>35</v>
      </c>
      <c r="K12" s="343">
        <f>K77</f>
        <v>261900.53692631581</v>
      </c>
      <c r="L12" s="269"/>
      <c r="M12" s="51"/>
    </row>
    <row r="13" spans="2:13" ht="14.65" customHeight="1" thickBot="1" x14ac:dyDescent="0.3">
      <c r="B13" s="335" t="s">
        <v>2</v>
      </c>
      <c r="C13" s="336">
        <f>('VACCINATION CALCULATOR'!N6/C3/C7)*1.1</f>
        <v>0</v>
      </c>
      <c r="D13" s="64"/>
      <c r="E13" s="60"/>
      <c r="F13" s="60"/>
      <c r="G13" s="60"/>
      <c r="H13" s="60"/>
      <c r="I13" s="60"/>
      <c r="J13" s="293"/>
      <c r="K13" s="344"/>
      <c r="L13" s="294"/>
      <c r="M13" s="51"/>
    </row>
    <row r="14" spans="2:13" ht="13.15" customHeight="1" x14ac:dyDescent="0.25">
      <c r="B14" s="335" t="s">
        <v>30</v>
      </c>
      <c r="C14" s="336">
        <f>IF('VACCINATION CALCULATOR'!N7/C3/C8-C12-C13&lt;0,0,IF('VACCINATION CALCULATOR'!N7/C3/C8-C12-C13&gt;0,'VACCINATION CALCULATOR'!N7/C3/C8-C12-C13,0))</f>
        <v>0</v>
      </c>
      <c r="D14" s="64"/>
      <c r="E14" s="60"/>
      <c r="F14" s="60"/>
      <c r="G14" s="60"/>
      <c r="H14" s="60"/>
      <c r="I14" s="60"/>
      <c r="J14" s="271"/>
      <c r="K14" s="271"/>
      <c r="L14" s="272"/>
      <c r="M14" s="26"/>
    </row>
    <row r="15" spans="2:13" s="61" customFormat="1" ht="13.15" customHeight="1" x14ac:dyDescent="0.25">
      <c r="B15" s="273"/>
      <c r="C15" s="64"/>
      <c r="D15" s="64"/>
      <c r="E15" s="60"/>
      <c r="F15" s="60"/>
      <c r="G15" s="60"/>
      <c r="H15" s="60"/>
      <c r="I15" s="60"/>
      <c r="J15" s="66"/>
      <c r="K15" s="66"/>
      <c r="L15" s="272"/>
      <c r="M15" s="26"/>
    </row>
    <row r="16" spans="2:13" ht="15.75" x14ac:dyDescent="0.25">
      <c r="B16" s="347" t="s">
        <v>246</v>
      </c>
      <c r="C16" s="198"/>
      <c r="D16" s="198"/>
      <c r="E16" s="198"/>
      <c r="F16" s="198"/>
      <c r="G16" s="198"/>
      <c r="H16" s="198"/>
      <c r="I16" s="198"/>
      <c r="J16" s="348" t="s">
        <v>27</v>
      </c>
      <c r="K16" s="198"/>
      <c r="L16" s="274"/>
    </row>
    <row r="17" spans="2:12" x14ac:dyDescent="0.25">
      <c r="B17" s="275" t="s">
        <v>32</v>
      </c>
      <c r="C17" s="197"/>
      <c r="D17" s="197"/>
      <c r="E17" s="197"/>
      <c r="F17" s="31"/>
      <c r="G17" s="31"/>
      <c r="H17" s="31"/>
      <c r="I17" s="31" t="s">
        <v>33</v>
      </c>
      <c r="J17" s="31" t="s">
        <v>34</v>
      </c>
      <c r="K17" s="31" t="s">
        <v>35</v>
      </c>
      <c r="L17" s="276"/>
    </row>
    <row r="18" spans="2:12" x14ac:dyDescent="0.25">
      <c r="B18" s="270" t="s">
        <v>36</v>
      </c>
      <c r="C18" s="18"/>
      <c r="D18" s="18"/>
      <c r="E18" s="18"/>
      <c r="F18" s="18"/>
      <c r="G18" s="18"/>
      <c r="H18" s="18"/>
      <c r="I18" s="201">
        <f>I78</f>
        <v>1.7947152061578948</v>
      </c>
      <c r="J18" s="46">
        <f>J78</f>
        <v>2.5737875040263161</v>
      </c>
      <c r="K18" s="202">
        <f>K78</f>
        <v>3.2737567115789474</v>
      </c>
      <c r="L18" s="268"/>
    </row>
    <row r="19" spans="2:12" x14ac:dyDescent="0.25">
      <c r="B19" s="270"/>
      <c r="C19" s="18"/>
      <c r="D19" s="18"/>
      <c r="E19" s="18"/>
      <c r="F19" s="18"/>
      <c r="G19" s="18"/>
      <c r="H19" s="18"/>
      <c r="I19" s="18"/>
      <c r="J19" s="18"/>
      <c r="K19" s="18"/>
      <c r="L19" s="268"/>
    </row>
    <row r="20" spans="2:12" x14ac:dyDescent="0.25">
      <c r="B20" s="270" t="s">
        <v>105</v>
      </c>
      <c r="C20" s="18"/>
      <c r="D20" s="18"/>
      <c r="E20" s="18"/>
      <c r="F20" s="18"/>
      <c r="G20" s="18"/>
      <c r="H20" s="18"/>
      <c r="I20" s="587">
        <f>SUM('VACCINATION CALCULATOR'!N4:N7)</f>
        <v>80000</v>
      </c>
      <c r="J20" s="588"/>
      <c r="K20" s="589"/>
      <c r="L20" s="268"/>
    </row>
    <row r="21" spans="2:12" x14ac:dyDescent="0.25">
      <c r="B21" s="277" t="s">
        <v>37</v>
      </c>
      <c r="C21" s="27"/>
      <c r="D21" s="27"/>
      <c r="E21" s="27"/>
      <c r="F21" s="27"/>
      <c r="G21" s="27"/>
      <c r="H21" s="18"/>
      <c r="I21" s="28">
        <f>I30/$I$20</f>
        <v>0.21764463194736841</v>
      </c>
      <c r="J21" s="28">
        <f>J30/$I$20</f>
        <v>0.40079660297368425</v>
      </c>
      <c r="K21" s="28">
        <f>K30/$I$20</f>
        <v>0.49487023473684222</v>
      </c>
      <c r="L21" s="268"/>
    </row>
    <row r="22" spans="2:12" x14ac:dyDescent="0.25">
      <c r="B22" s="277" t="s">
        <v>213</v>
      </c>
      <c r="C22" s="27"/>
      <c r="D22" s="27"/>
      <c r="E22" s="27"/>
      <c r="F22" s="27"/>
      <c r="G22" s="27"/>
      <c r="H22" s="18"/>
      <c r="I22" s="29">
        <f>SUM(I60:I61)/I20</f>
        <v>7.4999999999999997E-3</v>
      </c>
      <c r="J22" s="29">
        <f>SUM(J60:J61)/I20</f>
        <v>1.2500000000000001E-2</v>
      </c>
      <c r="K22" s="29">
        <f>SUM(K60:K61)/I20</f>
        <v>1.7500000000000002E-2</v>
      </c>
      <c r="L22" s="268"/>
    </row>
    <row r="23" spans="2:12" x14ac:dyDescent="0.25">
      <c r="B23" s="277" t="s">
        <v>38</v>
      </c>
      <c r="C23" s="27"/>
      <c r="D23" s="27"/>
      <c r="E23" s="27"/>
      <c r="F23" s="27"/>
      <c r="G23" s="27"/>
      <c r="H23" s="18"/>
      <c r="I23" s="29">
        <f>I41/$I$20</f>
        <v>2.359984E-2</v>
      </c>
      <c r="J23" s="29">
        <f>J41/$I$20</f>
        <v>3.9459254999999999E-2</v>
      </c>
      <c r="K23" s="29">
        <f>K41/$I$20</f>
        <v>5.3162339999999995E-2</v>
      </c>
      <c r="L23" s="268"/>
    </row>
    <row r="24" spans="2:12" x14ac:dyDescent="0.25">
      <c r="B24" s="277" t="s">
        <v>39</v>
      </c>
      <c r="C24" s="27"/>
      <c r="D24" s="27"/>
      <c r="E24" s="27"/>
      <c r="F24" s="27"/>
      <c r="G24" s="27"/>
      <c r="H24" s="18"/>
      <c r="I24" s="29">
        <f>I48/$I$20</f>
        <v>0.13774704999999998</v>
      </c>
      <c r="J24" s="29">
        <f>J48/$I$20</f>
        <v>0.217788225</v>
      </c>
      <c r="K24" s="29">
        <f>K48/$I$20</f>
        <v>0.29782939999999997</v>
      </c>
      <c r="L24" s="268"/>
    </row>
    <row r="25" spans="2:12" x14ac:dyDescent="0.25">
      <c r="B25" s="277" t="s">
        <v>101</v>
      </c>
      <c r="C25" s="27"/>
      <c r="D25" s="27"/>
      <c r="E25" s="27"/>
      <c r="F25" s="27"/>
      <c r="G25" s="27"/>
      <c r="H25" s="18"/>
      <c r="I25" s="29">
        <f>SUM(I54:I59,I62)/$I$20</f>
        <v>0.13072368421052633</v>
      </c>
      <c r="J25" s="29">
        <f t="shared" ref="J25" si="0">SUM(J54:J59,J62)/$I$20</f>
        <v>0.19049342105263159</v>
      </c>
      <c r="K25" s="29">
        <f>SUM(K54:K59,K62)/$I$20</f>
        <v>0.25289473684210523</v>
      </c>
      <c r="L25" s="268"/>
    </row>
    <row r="26" spans="2:12" x14ac:dyDescent="0.25">
      <c r="B26" s="277" t="s">
        <v>103</v>
      </c>
      <c r="C26" s="27"/>
      <c r="D26" s="27"/>
      <c r="E26" s="27"/>
      <c r="F26" s="27"/>
      <c r="G26" s="27"/>
      <c r="H26" s="18"/>
      <c r="I26" s="30">
        <f>I75/$I$20</f>
        <v>1.2775000000000001</v>
      </c>
      <c r="J26" s="30">
        <f>J75/$I$20</f>
        <v>1.71275</v>
      </c>
      <c r="K26" s="30">
        <f>K75/$I$20</f>
        <v>2.1575000000000002</v>
      </c>
      <c r="L26" s="268"/>
    </row>
    <row r="27" spans="2:12" x14ac:dyDescent="0.25">
      <c r="B27" s="277"/>
      <c r="C27" s="27"/>
      <c r="D27" s="27"/>
      <c r="E27" s="27"/>
      <c r="F27" s="27"/>
      <c r="G27" s="27"/>
      <c r="H27" s="27"/>
      <c r="I27" s="27"/>
      <c r="J27" s="27"/>
      <c r="K27" s="27"/>
      <c r="L27" s="278"/>
    </row>
    <row r="28" spans="2:12" ht="15.75" x14ac:dyDescent="0.25">
      <c r="B28" s="347" t="s">
        <v>40</v>
      </c>
      <c r="C28" s="348" t="s">
        <v>41</v>
      </c>
      <c r="D28" s="348" t="s">
        <v>42</v>
      </c>
      <c r="E28" s="348"/>
      <c r="F28" s="348" t="s">
        <v>43</v>
      </c>
      <c r="G28" s="348"/>
      <c r="H28" s="348"/>
      <c r="I28" s="348"/>
      <c r="J28" s="348" t="s">
        <v>44</v>
      </c>
      <c r="K28" s="198"/>
      <c r="L28" s="279"/>
    </row>
    <row r="29" spans="2:12" x14ac:dyDescent="0.25">
      <c r="B29" s="275"/>
      <c r="C29" s="31"/>
      <c r="D29" s="31"/>
      <c r="E29" s="31" t="s">
        <v>10</v>
      </c>
      <c r="F29" s="31" t="s">
        <v>34</v>
      </c>
      <c r="G29" s="31" t="s">
        <v>11</v>
      </c>
      <c r="H29" s="31"/>
      <c r="I29" s="31" t="s">
        <v>33</v>
      </c>
      <c r="J29" s="31" t="s">
        <v>34</v>
      </c>
      <c r="K29" s="31" t="s">
        <v>35</v>
      </c>
      <c r="L29" s="280"/>
    </row>
    <row r="30" spans="2:12" x14ac:dyDescent="0.25">
      <c r="B30" s="270" t="s">
        <v>45</v>
      </c>
      <c r="C30" s="27"/>
      <c r="D30" s="27"/>
      <c r="E30" s="27"/>
      <c r="F30" s="27"/>
      <c r="G30" s="27"/>
      <c r="H30" s="18"/>
      <c r="I30" s="203">
        <f>SUM(I31:I39)</f>
        <v>17411.570555789473</v>
      </c>
      <c r="J30" s="203">
        <f>SUM(J31:J39)</f>
        <v>32063.728237894738</v>
      </c>
      <c r="K30" s="203">
        <f>SUM(K31:K39)</f>
        <v>39589.618778947377</v>
      </c>
      <c r="L30" s="268"/>
    </row>
    <row r="31" spans="2:12" x14ac:dyDescent="0.25">
      <c r="B31" s="277" t="s">
        <v>95</v>
      </c>
      <c r="C31" s="307">
        <v>1</v>
      </c>
      <c r="D31" s="67">
        <f>C3</f>
        <v>11</v>
      </c>
      <c r="E31" s="310">
        <v>12</v>
      </c>
      <c r="F31" s="310">
        <v>18</v>
      </c>
      <c r="G31" s="311">
        <v>24</v>
      </c>
      <c r="H31" s="32"/>
      <c r="I31" s="33">
        <f t="shared" ref="I31:I39" si="1">E31*$C31*$D31</f>
        <v>132</v>
      </c>
      <c r="J31" s="33">
        <f t="shared" ref="J31:K39" si="2">F31*$C31*$D31</f>
        <v>198</v>
      </c>
      <c r="K31" s="33">
        <f t="shared" si="2"/>
        <v>264</v>
      </c>
      <c r="L31" s="268"/>
    </row>
    <row r="32" spans="2:12" x14ac:dyDescent="0.25">
      <c r="B32" s="277" t="s">
        <v>46</v>
      </c>
      <c r="C32" s="308">
        <v>1</v>
      </c>
      <c r="D32" s="68">
        <f>'VACCINATION COSTS'!C3</f>
        <v>11</v>
      </c>
      <c r="E32" s="312">
        <v>12</v>
      </c>
      <c r="F32" s="312">
        <v>18</v>
      </c>
      <c r="G32" s="313">
        <v>24</v>
      </c>
      <c r="H32" s="32"/>
      <c r="I32" s="34">
        <f t="shared" si="1"/>
        <v>132</v>
      </c>
      <c r="J32" s="34">
        <f t="shared" si="2"/>
        <v>198</v>
      </c>
      <c r="K32" s="34">
        <f t="shared" si="2"/>
        <v>264</v>
      </c>
      <c r="L32" s="268"/>
    </row>
    <row r="33" spans="2:12" x14ac:dyDescent="0.25">
      <c r="B33" s="277" t="s">
        <v>208</v>
      </c>
      <c r="C33" s="308">
        <f>Pop_all/25000</f>
        <v>4.0658799999999999</v>
      </c>
      <c r="D33" s="68">
        <f>C3</f>
        <v>11</v>
      </c>
      <c r="E33" s="312">
        <v>8</v>
      </c>
      <c r="F33" s="312">
        <v>15</v>
      </c>
      <c r="G33" s="313">
        <v>20</v>
      </c>
      <c r="H33" s="32"/>
      <c r="I33" s="34">
        <f t="shared" si="1"/>
        <v>357.79743999999999</v>
      </c>
      <c r="J33" s="34">
        <f t="shared" si="2"/>
        <v>670.87019999999995</v>
      </c>
      <c r="K33" s="34">
        <f t="shared" si="2"/>
        <v>894.49360000000001</v>
      </c>
      <c r="L33" s="268"/>
    </row>
    <row r="34" spans="2:12" x14ac:dyDescent="0.25">
      <c r="B34" s="277" t="s">
        <v>96</v>
      </c>
      <c r="C34" s="70">
        <f>C11</f>
        <v>0</v>
      </c>
      <c r="D34" s="68">
        <f>C3</f>
        <v>11</v>
      </c>
      <c r="E34" s="312">
        <v>6</v>
      </c>
      <c r="F34" s="312">
        <v>12</v>
      </c>
      <c r="G34" s="313">
        <v>14</v>
      </c>
      <c r="H34" s="32"/>
      <c r="I34" s="34">
        <f t="shared" si="1"/>
        <v>0</v>
      </c>
      <c r="J34" s="34">
        <f t="shared" si="2"/>
        <v>0</v>
      </c>
      <c r="K34" s="34">
        <f t="shared" si="2"/>
        <v>0</v>
      </c>
      <c r="L34" s="268"/>
    </row>
    <row r="35" spans="2:12" x14ac:dyDescent="0.25">
      <c r="B35" s="277" t="s">
        <v>97</v>
      </c>
      <c r="C35" s="70">
        <f>C12</f>
        <v>210.5263157894737</v>
      </c>
      <c r="D35" s="68">
        <f>C3</f>
        <v>11</v>
      </c>
      <c r="E35" s="312">
        <v>7</v>
      </c>
      <c r="F35" s="312">
        <v>13</v>
      </c>
      <c r="G35" s="313">
        <v>16</v>
      </c>
      <c r="H35" s="32"/>
      <c r="I35" s="34">
        <f t="shared" si="1"/>
        <v>16210.526315789473</v>
      </c>
      <c r="J35" s="34">
        <f t="shared" si="2"/>
        <v>30105.263157894737</v>
      </c>
      <c r="K35" s="34">
        <f t="shared" si="2"/>
        <v>37052.631578947374</v>
      </c>
      <c r="L35" s="268"/>
    </row>
    <row r="36" spans="2:12" x14ac:dyDescent="0.25">
      <c r="B36" s="277" t="s">
        <v>206</v>
      </c>
      <c r="C36" s="70">
        <f>C13</f>
        <v>0</v>
      </c>
      <c r="D36" s="68">
        <f>C3</f>
        <v>11</v>
      </c>
      <c r="E36" s="312">
        <v>7</v>
      </c>
      <c r="F36" s="312">
        <v>11</v>
      </c>
      <c r="G36" s="313">
        <v>13</v>
      </c>
      <c r="H36" s="32"/>
      <c r="I36" s="34">
        <f t="shared" si="1"/>
        <v>0</v>
      </c>
      <c r="J36" s="34">
        <f t="shared" si="2"/>
        <v>0</v>
      </c>
      <c r="K36" s="34">
        <f t="shared" si="2"/>
        <v>0</v>
      </c>
      <c r="L36" s="268"/>
    </row>
    <row r="37" spans="2:12" x14ac:dyDescent="0.25">
      <c r="B37" s="277" t="s">
        <v>207</v>
      </c>
      <c r="C37" s="70">
        <f>C14</f>
        <v>0</v>
      </c>
      <c r="D37" s="68">
        <f>C3</f>
        <v>11</v>
      </c>
      <c r="E37" s="312">
        <v>7</v>
      </c>
      <c r="F37" s="312">
        <v>13</v>
      </c>
      <c r="G37" s="313">
        <v>16</v>
      </c>
      <c r="H37" s="32"/>
      <c r="I37" s="34">
        <f t="shared" si="1"/>
        <v>0</v>
      </c>
      <c r="J37" s="34">
        <f t="shared" si="2"/>
        <v>0</v>
      </c>
      <c r="K37" s="34">
        <f t="shared" si="2"/>
        <v>0</v>
      </c>
      <c r="L37" s="268"/>
    </row>
    <row r="38" spans="2:12" x14ac:dyDescent="0.25">
      <c r="B38" s="277" t="s">
        <v>47</v>
      </c>
      <c r="C38" s="308">
        <f>C43+C42</f>
        <v>8.1317599999999999</v>
      </c>
      <c r="D38" s="68">
        <f>C3</f>
        <v>11</v>
      </c>
      <c r="E38" s="312">
        <v>5</v>
      </c>
      <c r="F38" s="312">
        <v>8</v>
      </c>
      <c r="G38" s="313">
        <v>10</v>
      </c>
      <c r="H38" s="32"/>
      <c r="I38" s="34">
        <f t="shared" si="1"/>
        <v>447.24680000000001</v>
      </c>
      <c r="J38" s="34">
        <f t="shared" si="2"/>
        <v>715.59487999999999</v>
      </c>
      <c r="K38" s="34">
        <f t="shared" si="2"/>
        <v>894.49360000000001</v>
      </c>
      <c r="L38" s="268"/>
    </row>
    <row r="39" spans="2:12" x14ac:dyDescent="0.25">
      <c r="B39" s="277" t="s">
        <v>48</v>
      </c>
      <c r="C39" s="309">
        <v>2</v>
      </c>
      <c r="D39" s="69">
        <f>C3</f>
        <v>11</v>
      </c>
      <c r="E39" s="314">
        <v>6</v>
      </c>
      <c r="F39" s="314">
        <v>8</v>
      </c>
      <c r="G39" s="315">
        <v>10</v>
      </c>
      <c r="H39" s="32"/>
      <c r="I39" s="35">
        <f t="shared" si="1"/>
        <v>132</v>
      </c>
      <c r="J39" s="35">
        <f t="shared" si="2"/>
        <v>176</v>
      </c>
      <c r="K39" s="35">
        <f t="shared" si="2"/>
        <v>220</v>
      </c>
      <c r="L39" s="268"/>
    </row>
    <row r="40" spans="2:12" x14ac:dyDescent="0.25">
      <c r="B40" s="277"/>
      <c r="C40" s="36"/>
      <c r="D40" s="36"/>
      <c r="E40" s="36"/>
      <c r="F40" s="36"/>
      <c r="G40" s="36"/>
      <c r="H40" s="32"/>
      <c r="I40" s="36"/>
      <c r="J40" s="36"/>
      <c r="K40" s="36"/>
      <c r="L40" s="268"/>
    </row>
    <row r="41" spans="2:12" x14ac:dyDescent="0.25">
      <c r="B41" s="270" t="s">
        <v>49</v>
      </c>
      <c r="C41" s="36"/>
      <c r="D41" s="36"/>
      <c r="E41" s="36"/>
      <c r="F41" s="36"/>
      <c r="G41" s="36"/>
      <c r="H41" s="32"/>
      <c r="I41" s="37">
        <f>SUM(I42:I46)</f>
        <v>1887.9872</v>
      </c>
      <c r="J41" s="37">
        <f>SUM(J42:J46)</f>
        <v>3156.7403999999997</v>
      </c>
      <c r="K41" s="37">
        <f>SUM(K42:K46)</f>
        <v>4252.9871999999996</v>
      </c>
      <c r="L41" s="268"/>
    </row>
    <row r="42" spans="2:12" x14ac:dyDescent="0.25">
      <c r="B42" s="277" t="s">
        <v>211</v>
      </c>
      <c r="C42" s="307">
        <v>0</v>
      </c>
      <c r="D42" s="67">
        <f>C3</f>
        <v>11</v>
      </c>
      <c r="E42" s="310">
        <v>10</v>
      </c>
      <c r="F42" s="310">
        <v>15</v>
      </c>
      <c r="G42" s="311">
        <v>20</v>
      </c>
      <c r="H42" s="32"/>
      <c r="I42" s="33">
        <f>E42*$C42*$D42</f>
        <v>0</v>
      </c>
      <c r="J42" s="33">
        <f>F42*$C42*$D42</f>
        <v>0</v>
      </c>
      <c r="K42" s="33">
        <f>G42*$C42*$D42</f>
        <v>0</v>
      </c>
      <c r="L42" s="268"/>
    </row>
    <row r="43" spans="2:12" x14ac:dyDescent="0.25">
      <c r="B43" s="277" t="s">
        <v>210</v>
      </c>
      <c r="C43" s="308">
        <f>Pop_all/25000*2</f>
        <v>8.1317599999999999</v>
      </c>
      <c r="D43" s="68">
        <f>C3</f>
        <v>11</v>
      </c>
      <c r="E43" s="312">
        <v>10</v>
      </c>
      <c r="F43" s="312">
        <v>15</v>
      </c>
      <c r="G43" s="313">
        <v>20</v>
      </c>
      <c r="H43" s="32"/>
      <c r="I43" s="34">
        <f>E43*$C43*$D43</f>
        <v>894.49360000000001</v>
      </c>
      <c r="J43" s="34">
        <f>F43*$E43*$D43</f>
        <v>1650</v>
      </c>
      <c r="K43" s="34">
        <f>G43*$E43*$D43</f>
        <v>2200</v>
      </c>
      <c r="L43" s="268"/>
    </row>
    <row r="44" spans="2:12" x14ac:dyDescent="0.25">
      <c r="B44" s="277" t="s">
        <v>50</v>
      </c>
      <c r="C44" s="308">
        <f>Pop_all/25000*2</f>
        <v>8.1317599999999999</v>
      </c>
      <c r="D44" s="68">
        <f>C3</f>
        <v>11</v>
      </c>
      <c r="E44" s="312">
        <v>10</v>
      </c>
      <c r="F44" s="312">
        <v>15</v>
      </c>
      <c r="G44" s="313">
        <v>20</v>
      </c>
      <c r="H44" s="32"/>
      <c r="I44" s="34">
        <f>E44*$C44*$D44</f>
        <v>894.49360000000001</v>
      </c>
      <c r="J44" s="34">
        <f t="shared" ref="J44:K46" si="3">F44*$C44*$D44</f>
        <v>1341.7403999999999</v>
      </c>
      <c r="K44" s="34">
        <f t="shared" si="3"/>
        <v>1788.9872</v>
      </c>
      <c r="L44" s="268"/>
    </row>
    <row r="45" spans="2:12" x14ac:dyDescent="0.25">
      <c r="B45" s="277" t="s">
        <v>51</v>
      </c>
      <c r="C45" s="308">
        <f>ROUNDUP(Pop_all/25000/2,0)</f>
        <v>3</v>
      </c>
      <c r="D45" s="68">
        <f>C3</f>
        <v>11</v>
      </c>
      <c r="E45" s="312">
        <v>3</v>
      </c>
      <c r="F45" s="312">
        <v>5</v>
      </c>
      <c r="G45" s="313">
        <v>8</v>
      </c>
      <c r="H45" s="32"/>
      <c r="I45" s="34">
        <f>E45*$C45*$D45</f>
        <v>99</v>
      </c>
      <c r="J45" s="34">
        <f t="shared" si="3"/>
        <v>165</v>
      </c>
      <c r="K45" s="34">
        <f t="shared" si="3"/>
        <v>264</v>
      </c>
      <c r="L45" s="268"/>
    </row>
    <row r="46" spans="2:12" x14ac:dyDescent="0.25">
      <c r="B46" s="277" t="s">
        <v>52</v>
      </c>
      <c r="C46" s="316">
        <v>0</v>
      </c>
      <c r="D46" s="69">
        <f>C3</f>
        <v>11</v>
      </c>
      <c r="E46" s="314">
        <v>1.3</v>
      </c>
      <c r="F46" s="314">
        <v>1.6</v>
      </c>
      <c r="G46" s="315">
        <v>1.9</v>
      </c>
      <c r="H46" s="32"/>
      <c r="I46" s="35">
        <f>E46*$C46*$D46</f>
        <v>0</v>
      </c>
      <c r="J46" s="35">
        <f t="shared" si="3"/>
        <v>0</v>
      </c>
      <c r="K46" s="35">
        <f t="shared" si="3"/>
        <v>0</v>
      </c>
      <c r="L46" s="268"/>
    </row>
    <row r="47" spans="2:12" x14ac:dyDescent="0.25">
      <c r="B47" s="277"/>
      <c r="C47" s="36"/>
      <c r="D47" s="36"/>
      <c r="E47" s="36"/>
      <c r="F47" s="36"/>
      <c r="G47" s="36"/>
      <c r="H47" s="32"/>
      <c r="I47" s="36"/>
      <c r="J47" s="36"/>
      <c r="K47" s="36"/>
      <c r="L47" s="268"/>
    </row>
    <row r="48" spans="2:12" x14ac:dyDescent="0.25">
      <c r="B48" s="270" t="s">
        <v>53</v>
      </c>
      <c r="C48" s="36"/>
      <c r="D48" s="36"/>
      <c r="E48" s="36"/>
      <c r="F48" s="36"/>
      <c r="G48" s="36"/>
      <c r="H48" s="32"/>
      <c r="I48" s="37">
        <f>SUM(I49:I51)</f>
        <v>11019.763999999999</v>
      </c>
      <c r="J48" s="37">
        <f>SUM(J49:J51)</f>
        <v>17423.058000000001</v>
      </c>
      <c r="K48" s="37">
        <f>SUM(K49:K51)</f>
        <v>23826.351999999999</v>
      </c>
      <c r="L48" s="268"/>
    </row>
    <row r="49" spans="2:12" x14ac:dyDescent="0.25">
      <c r="B49" s="277" t="s">
        <v>54</v>
      </c>
      <c r="C49" s="317">
        <v>10000</v>
      </c>
      <c r="D49" s="71" t="s">
        <v>55</v>
      </c>
      <c r="E49" s="319">
        <v>0.48</v>
      </c>
      <c r="F49" s="319">
        <v>0.6</v>
      </c>
      <c r="G49" s="320">
        <v>0.72</v>
      </c>
      <c r="H49" s="32"/>
      <c r="I49" s="38">
        <f>E49*$C49</f>
        <v>4800</v>
      </c>
      <c r="J49" s="38">
        <f>F49*$C49</f>
        <v>6000</v>
      </c>
      <c r="K49" s="38">
        <f>G49*$C49</f>
        <v>7200</v>
      </c>
      <c r="L49" s="268"/>
    </row>
    <row r="50" spans="2:12" x14ac:dyDescent="0.25">
      <c r="B50" s="277" t="s">
        <v>56</v>
      </c>
      <c r="C50" s="210">
        <f>Pop_all/25000</f>
        <v>4.0658799999999999</v>
      </c>
      <c r="D50" s="318">
        <v>10</v>
      </c>
      <c r="E50" s="321">
        <v>30</v>
      </c>
      <c r="F50" s="321">
        <v>35</v>
      </c>
      <c r="G50" s="322">
        <v>40</v>
      </c>
      <c r="H50" s="32"/>
      <c r="I50" s="39">
        <f>E50*$C50*$D50</f>
        <v>1219.7639999999999</v>
      </c>
      <c r="J50" s="39">
        <f>F50*$C50*$D50</f>
        <v>1423.058</v>
      </c>
      <c r="K50" s="39">
        <f>G50*$C50*$D50</f>
        <v>1626.3519999999999</v>
      </c>
      <c r="L50" s="268"/>
    </row>
    <row r="51" spans="2:12" x14ac:dyDescent="0.25">
      <c r="B51" s="277" t="s">
        <v>31</v>
      </c>
      <c r="C51" s="309">
        <v>2</v>
      </c>
      <c r="D51" s="72" t="s">
        <v>55</v>
      </c>
      <c r="E51" s="323">
        <v>2500</v>
      </c>
      <c r="F51" s="323">
        <v>5000</v>
      </c>
      <c r="G51" s="324">
        <v>7500</v>
      </c>
      <c r="H51" s="32"/>
      <c r="I51" s="40">
        <f>E51*$C51</f>
        <v>5000</v>
      </c>
      <c r="J51" s="40">
        <f>F51*$C51</f>
        <v>10000</v>
      </c>
      <c r="K51" s="40">
        <f>G51*$C51</f>
        <v>15000</v>
      </c>
      <c r="L51" s="268"/>
    </row>
    <row r="52" spans="2:12" x14ac:dyDescent="0.25">
      <c r="B52" s="277"/>
      <c r="C52" s="36"/>
      <c r="D52" s="19"/>
      <c r="E52" s="36"/>
      <c r="F52" s="36"/>
      <c r="G52" s="36"/>
      <c r="H52" s="32"/>
      <c r="I52" s="36"/>
      <c r="J52" s="36"/>
      <c r="K52" s="36"/>
      <c r="L52" s="268"/>
    </row>
    <row r="53" spans="2:12" x14ac:dyDescent="0.25">
      <c r="B53" s="270" t="s">
        <v>101</v>
      </c>
      <c r="C53" s="36"/>
      <c r="D53" s="19"/>
      <c r="E53" s="36"/>
      <c r="F53" s="36"/>
      <c r="G53" s="36"/>
      <c r="H53" s="32"/>
      <c r="I53" s="37">
        <f>SUM(I54:I62)</f>
        <v>11057.894736842105</v>
      </c>
      <c r="J53" s="37">
        <f>SUM(J54:J62)</f>
        <v>16239.473684210527</v>
      </c>
      <c r="K53" s="37">
        <f>SUM(K54:K62)</f>
        <v>21631.57894736842</v>
      </c>
      <c r="L53" s="268"/>
    </row>
    <row r="54" spans="2:12" x14ac:dyDescent="0.25">
      <c r="B54" s="277" t="s">
        <v>57</v>
      </c>
      <c r="C54" s="74">
        <f>C11/6</f>
        <v>0</v>
      </c>
      <c r="D54" s="71" t="s">
        <v>55</v>
      </c>
      <c r="E54" s="319">
        <v>10</v>
      </c>
      <c r="F54" s="319">
        <v>20</v>
      </c>
      <c r="G54" s="320">
        <v>40</v>
      </c>
      <c r="H54" s="32"/>
      <c r="I54" s="33">
        <f>E54*$C54</f>
        <v>0</v>
      </c>
      <c r="J54" s="33">
        <f>F54*$C54</f>
        <v>0</v>
      </c>
      <c r="K54" s="33">
        <f>G54*$C54</f>
        <v>0</v>
      </c>
      <c r="L54" s="268"/>
    </row>
    <row r="55" spans="2:12" x14ac:dyDescent="0.25">
      <c r="B55" s="277" t="s">
        <v>58</v>
      </c>
      <c r="C55" s="75">
        <f>SUM(C11:F14)/2</f>
        <v>105.26315789473685</v>
      </c>
      <c r="D55" s="73" t="s">
        <v>55</v>
      </c>
      <c r="E55" s="321">
        <v>6</v>
      </c>
      <c r="F55" s="321">
        <v>10</v>
      </c>
      <c r="G55" s="322">
        <v>15</v>
      </c>
      <c r="H55" s="32"/>
      <c r="I55" s="34">
        <f>E55*$C55</f>
        <v>631.57894736842104</v>
      </c>
      <c r="J55" s="34">
        <f>F55*$C55</f>
        <v>1052.6315789473686</v>
      </c>
      <c r="K55" s="34">
        <f t="shared" ref="J55:K62" si="4">G55*$C55</f>
        <v>1578.9473684210527</v>
      </c>
      <c r="L55" s="268"/>
    </row>
    <row r="56" spans="2:12" x14ac:dyDescent="0.25">
      <c r="B56" s="277" t="s">
        <v>59</v>
      </c>
      <c r="C56" s="75">
        <f>C13/2</f>
        <v>0</v>
      </c>
      <c r="D56" s="73" t="s">
        <v>55</v>
      </c>
      <c r="E56" s="321">
        <v>20</v>
      </c>
      <c r="F56" s="321">
        <v>40</v>
      </c>
      <c r="G56" s="322">
        <v>60</v>
      </c>
      <c r="H56" s="32"/>
      <c r="I56" s="34">
        <f>E56*$C56</f>
        <v>0</v>
      </c>
      <c r="J56" s="34">
        <f t="shared" si="4"/>
        <v>0</v>
      </c>
      <c r="K56" s="34">
        <f t="shared" si="4"/>
        <v>0</v>
      </c>
      <c r="L56" s="268"/>
    </row>
    <row r="57" spans="2:12" x14ac:dyDescent="0.25">
      <c r="B57" s="277" t="s">
        <v>205</v>
      </c>
      <c r="C57" s="75">
        <f>C13</f>
        <v>0</v>
      </c>
      <c r="D57" s="73" t="s">
        <v>55</v>
      </c>
      <c r="E57" s="321">
        <v>40</v>
      </c>
      <c r="F57" s="321">
        <v>60</v>
      </c>
      <c r="G57" s="322">
        <v>80</v>
      </c>
      <c r="H57" s="32"/>
      <c r="I57" s="34">
        <f>E57*$C$57</f>
        <v>0</v>
      </c>
      <c r="J57" s="34">
        <f t="shared" ref="J57:K57" si="5">F57*$C$57</f>
        <v>0</v>
      </c>
      <c r="K57" s="34">
        <f t="shared" si="5"/>
        <v>0</v>
      </c>
      <c r="L57" s="268"/>
    </row>
    <row r="58" spans="2:12" x14ac:dyDescent="0.25">
      <c r="B58" s="277" t="s">
        <v>60</v>
      </c>
      <c r="C58" s="75">
        <f>SUM(C11:F14)/2</f>
        <v>105.26315789473685</v>
      </c>
      <c r="D58" s="73" t="s">
        <v>55</v>
      </c>
      <c r="E58" s="321">
        <v>5</v>
      </c>
      <c r="F58" s="321">
        <v>7</v>
      </c>
      <c r="G58" s="322">
        <v>10</v>
      </c>
      <c r="H58" s="32"/>
      <c r="I58" s="34">
        <f>E58*$C58</f>
        <v>526.31578947368428</v>
      </c>
      <c r="J58" s="34">
        <f t="shared" si="4"/>
        <v>736.84210526315792</v>
      </c>
      <c r="K58" s="34">
        <f t="shared" si="4"/>
        <v>1052.6315789473686</v>
      </c>
      <c r="L58" s="268"/>
    </row>
    <row r="59" spans="2:12" x14ac:dyDescent="0.25">
      <c r="B59" s="277" t="s">
        <v>102</v>
      </c>
      <c r="C59" s="325">
        <v>1</v>
      </c>
      <c r="D59" s="326">
        <v>365</v>
      </c>
      <c r="E59" s="321">
        <v>20</v>
      </c>
      <c r="F59" s="321">
        <v>30</v>
      </c>
      <c r="G59" s="322">
        <v>40</v>
      </c>
      <c r="H59" s="32"/>
      <c r="I59" s="34">
        <f>$C$59*$D$59*E59</f>
        <v>7300</v>
      </c>
      <c r="J59" s="34">
        <f>$C$59*$D$59*F59</f>
        <v>10950</v>
      </c>
      <c r="K59" s="34">
        <f>$C$59*$D$59*G59</f>
        <v>14600</v>
      </c>
      <c r="L59" s="268"/>
    </row>
    <row r="60" spans="2:12" x14ac:dyDescent="0.25">
      <c r="B60" s="277" t="s">
        <v>209</v>
      </c>
      <c r="C60" s="75" t="s">
        <v>55</v>
      </c>
      <c r="D60" s="209">
        <f>('VACCINATION CALCULATOR'!N4+'VACCINATION CALCULATOR'!N5)/2000</f>
        <v>10</v>
      </c>
      <c r="E60" s="321">
        <v>60</v>
      </c>
      <c r="F60" s="321">
        <v>100</v>
      </c>
      <c r="G60" s="322">
        <v>140</v>
      </c>
      <c r="H60" s="32"/>
      <c r="I60" s="34">
        <f>E60*$D$60</f>
        <v>600</v>
      </c>
      <c r="J60" s="34">
        <f>F60*$D$60</f>
        <v>1000</v>
      </c>
      <c r="K60" s="34">
        <f t="shared" ref="K60" si="6">G60*$D$60</f>
        <v>1400</v>
      </c>
      <c r="L60" s="268"/>
    </row>
    <row r="61" spans="2:12" x14ac:dyDescent="0.25">
      <c r="B61" s="277" t="s">
        <v>212</v>
      </c>
      <c r="C61" s="75" t="s">
        <v>55</v>
      </c>
      <c r="D61" s="209">
        <f>'VACCINATION CALCULATOR'!N6/500</f>
        <v>0</v>
      </c>
      <c r="E61" s="321">
        <v>60</v>
      </c>
      <c r="F61" s="321">
        <v>100</v>
      </c>
      <c r="G61" s="322">
        <v>140</v>
      </c>
      <c r="H61" s="32"/>
      <c r="I61" s="34">
        <f>E61*$D$61</f>
        <v>0</v>
      </c>
      <c r="J61" s="34">
        <f t="shared" ref="J61:K61" si="7">F61*$D$61</f>
        <v>0</v>
      </c>
      <c r="K61" s="34">
        <f t="shared" si="7"/>
        <v>0</v>
      </c>
      <c r="L61" s="268"/>
    </row>
    <row r="62" spans="2:12" x14ac:dyDescent="0.25">
      <c r="B62" s="277" t="s">
        <v>61</v>
      </c>
      <c r="C62" s="327">
        <v>1</v>
      </c>
      <c r="D62" s="72" t="s">
        <v>55</v>
      </c>
      <c r="E62" s="323">
        <v>2000</v>
      </c>
      <c r="F62" s="323">
        <v>2500</v>
      </c>
      <c r="G62" s="324">
        <v>3000</v>
      </c>
      <c r="H62" s="32"/>
      <c r="I62" s="35">
        <f>E62*$C62</f>
        <v>2000</v>
      </c>
      <c r="J62" s="35">
        <f t="shared" si="4"/>
        <v>2500</v>
      </c>
      <c r="K62" s="35">
        <f t="shared" si="4"/>
        <v>3000</v>
      </c>
      <c r="L62" s="268"/>
    </row>
    <row r="63" spans="2:12" ht="7.9" customHeight="1" x14ac:dyDescent="0.25">
      <c r="B63" s="277"/>
      <c r="C63" s="36"/>
      <c r="D63" s="36"/>
      <c r="E63" s="36"/>
      <c r="F63" s="36"/>
      <c r="G63" s="36"/>
      <c r="H63" s="32"/>
      <c r="I63" s="36"/>
      <c r="J63" s="36"/>
      <c r="K63" s="36"/>
      <c r="L63" s="268"/>
    </row>
    <row r="64" spans="2:12" x14ac:dyDescent="0.25">
      <c r="B64" s="270" t="s">
        <v>62</v>
      </c>
      <c r="C64" s="32"/>
      <c r="D64" s="32"/>
      <c r="E64" s="32"/>
      <c r="F64" s="32"/>
      <c r="G64" s="32"/>
      <c r="H64" s="32"/>
      <c r="I64" s="37">
        <f>I30+I41+I48+I53</f>
        <v>41377.216492631575</v>
      </c>
      <c r="J64" s="37">
        <f>J30+J41+J48+J53</f>
        <v>68883.000322105276</v>
      </c>
      <c r="K64" s="37">
        <f>K30+K41+K48+K53</f>
        <v>89300.536926315806</v>
      </c>
      <c r="L64" s="268"/>
    </row>
    <row r="65" spans="2:12" ht="10.15" customHeight="1" x14ac:dyDescent="0.25">
      <c r="B65" s="270"/>
      <c r="C65" s="32"/>
      <c r="D65" s="32"/>
      <c r="E65" s="32"/>
      <c r="F65" s="32"/>
      <c r="G65" s="32"/>
      <c r="H65" s="32"/>
      <c r="I65" s="32"/>
      <c r="J65" s="32"/>
      <c r="K65" s="32"/>
      <c r="L65" s="268"/>
    </row>
    <row r="66" spans="2:12" ht="9" customHeight="1" x14ac:dyDescent="0.25">
      <c r="B66" s="281"/>
      <c r="C66" s="41"/>
      <c r="D66" s="41"/>
      <c r="E66" s="41"/>
      <c r="F66" s="41"/>
      <c r="G66" s="41"/>
      <c r="H66" s="41"/>
      <c r="I66" s="41"/>
      <c r="J66" s="41"/>
      <c r="K66" s="41"/>
      <c r="L66" s="268"/>
    </row>
    <row r="67" spans="2:12" x14ac:dyDescent="0.25">
      <c r="B67" s="270" t="s">
        <v>63</v>
      </c>
      <c r="C67" s="32"/>
      <c r="D67" s="32"/>
      <c r="E67" s="32"/>
      <c r="F67" s="32"/>
      <c r="G67" s="32"/>
      <c r="H67" s="32"/>
      <c r="I67" s="42">
        <f>SUM(I69:I73)</f>
        <v>102200</v>
      </c>
      <c r="J67" s="42">
        <f>SUM(J69:J73)</f>
        <v>137020</v>
      </c>
      <c r="K67" s="42">
        <f>SUM(K69:K73)</f>
        <v>172600</v>
      </c>
      <c r="L67" s="268"/>
    </row>
    <row r="68" spans="2:12" x14ac:dyDescent="0.25">
      <c r="B68" s="277" t="s">
        <v>64</v>
      </c>
      <c r="C68" s="76"/>
      <c r="D68" s="77"/>
      <c r="E68" s="77"/>
      <c r="F68" s="77"/>
      <c r="G68" s="78"/>
      <c r="H68" s="32"/>
      <c r="I68" s="80">
        <f>'VACCINATION CALCULATOR'!N19</f>
        <v>0</v>
      </c>
      <c r="J68" s="81">
        <f>'VACCINATION CALCULATOR'!M19</f>
        <v>0</v>
      </c>
      <c r="K68" s="81">
        <f>'VACCINATION CALCULATOR'!O19</f>
        <v>7.7177181305320697E-2</v>
      </c>
      <c r="L68" s="268"/>
    </row>
    <row r="69" spans="2:12" x14ac:dyDescent="0.25">
      <c r="B69" s="282" t="s">
        <v>107</v>
      </c>
      <c r="C69" s="70">
        <f>'VACCINATION CALCULATOR'!C14+'VACCINATION CALCULATOR'!C15+'VACCINATION CALCULATOR'!C16</f>
        <v>20000</v>
      </c>
      <c r="D69" s="73" t="s">
        <v>55</v>
      </c>
      <c r="E69" s="328">
        <v>0.3</v>
      </c>
      <c r="F69" s="322">
        <v>0.4</v>
      </c>
      <c r="G69" s="322">
        <v>0.5</v>
      </c>
      <c r="H69" s="32"/>
      <c r="I69" s="43">
        <f>(E69*$C$69)</f>
        <v>6000</v>
      </c>
      <c r="J69" s="43">
        <f>(F69*$C$69)</f>
        <v>8000</v>
      </c>
      <c r="K69" s="43">
        <f>(G69*$C$69)</f>
        <v>10000</v>
      </c>
      <c r="L69" s="268"/>
    </row>
    <row r="70" spans="2:12" x14ac:dyDescent="0.25">
      <c r="B70" s="282" t="s">
        <v>108</v>
      </c>
      <c r="C70" s="70">
        <f>ORV_Procured</f>
        <v>60000</v>
      </c>
      <c r="D70" s="73" t="s">
        <v>55</v>
      </c>
      <c r="E70" s="321">
        <v>1.5</v>
      </c>
      <c r="F70" s="322">
        <v>2</v>
      </c>
      <c r="G70" s="322">
        <v>2.5</v>
      </c>
      <c r="H70" s="32"/>
      <c r="I70" s="43">
        <f>(E70*$C$70)</f>
        <v>90000</v>
      </c>
      <c r="J70" s="43">
        <f>(F70*$C$70)</f>
        <v>120000</v>
      </c>
      <c r="K70" s="43">
        <f>(G70*$C$70)</f>
        <v>150000</v>
      </c>
      <c r="L70" s="268"/>
    </row>
    <row r="71" spans="2:12" x14ac:dyDescent="0.25">
      <c r="B71" s="277" t="s">
        <v>65</v>
      </c>
      <c r="C71" s="70">
        <f>C69</f>
        <v>20000</v>
      </c>
      <c r="D71" s="73" t="s">
        <v>55</v>
      </c>
      <c r="E71" s="321">
        <v>0.11</v>
      </c>
      <c r="F71" s="322">
        <v>0.13100000000000001</v>
      </c>
      <c r="G71" s="322">
        <v>0.15</v>
      </c>
      <c r="H71" s="32"/>
      <c r="I71" s="43">
        <f>E71*$C71</f>
        <v>2200</v>
      </c>
      <c r="J71" s="43">
        <f t="shared" ref="J71:K73" si="8">F71*$C71</f>
        <v>2620</v>
      </c>
      <c r="K71" s="43">
        <f t="shared" si="8"/>
        <v>3000</v>
      </c>
      <c r="L71" s="268"/>
    </row>
    <row r="72" spans="2:12" x14ac:dyDescent="0.25">
      <c r="B72" s="277" t="s">
        <v>66</v>
      </c>
      <c r="C72" s="70">
        <f>I20</f>
        <v>80000</v>
      </c>
      <c r="D72" s="73" t="s">
        <v>55</v>
      </c>
      <c r="E72" s="321">
        <v>0.03</v>
      </c>
      <c r="F72" s="322">
        <v>0.05</v>
      </c>
      <c r="G72" s="322">
        <v>0.08</v>
      </c>
      <c r="H72" s="32"/>
      <c r="I72" s="43">
        <f>E72*$C72</f>
        <v>2400</v>
      </c>
      <c r="J72" s="43">
        <f t="shared" si="8"/>
        <v>4000</v>
      </c>
      <c r="K72" s="43">
        <f t="shared" si="8"/>
        <v>6400</v>
      </c>
      <c r="L72" s="268"/>
    </row>
    <row r="73" spans="2:12" ht="16.899999999999999" customHeight="1" x14ac:dyDescent="0.25">
      <c r="B73" s="277" t="s">
        <v>67</v>
      </c>
      <c r="C73" s="79">
        <f>I20</f>
        <v>80000</v>
      </c>
      <c r="D73" s="72" t="s">
        <v>55</v>
      </c>
      <c r="E73" s="323">
        <v>0.02</v>
      </c>
      <c r="F73" s="324">
        <v>0.03</v>
      </c>
      <c r="G73" s="324">
        <v>0.04</v>
      </c>
      <c r="H73" s="32"/>
      <c r="I73" s="44">
        <f>E73*$C73</f>
        <v>1600</v>
      </c>
      <c r="J73" s="44">
        <f t="shared" si="8"/>
        <v>2400</v>
      </c>
      <c r="K73" s="44">
        <f t="shared" si="8"/>
        <v>3200</v>
      </c>
      <c r="L73" s="268"/>
    </row>
    <row r="74" spans="2:12" x14ac:dyDescent="0.25">
      <c r="B74" s="277"/>
      <c r="C74" s="36"/>
      <c r="D74" s="36"/>
      <c r="E74" s="36"/>
      <c r="F74" s="36"/>
      <c r="G74" s="36"/>
      <c r="H74" s="32"/>
      <c r="I74" s="36"/>
      <c r="J74" s="36"/>
      <c r="K74" s="36"/>
      <c r="L74" s="268"/>
    </row>
    <row r="75" spans="2:12" x14ac:dyDescent="0.25">
      <c r="B75" s="270" t="s">
        <v>68</v>
      </c>
      <c r="C75" s="36"/>
      <c r="D75" s="36"/>
      <c r="E75" s="36"/>
      <c r="F75" s="36"/>
      <c r="G75" s="36"/>
      <c r="H75" s="32"/>
      <c r="I75" s="42">
        <f>SUM(I69:I73)</f>
        <v>102200</v>
      </c>
      <c r="J75" s="42">
        <f>SUM(J69:J73)</f>
        <v>137020</v>
      </c>
      <c r="K75" s="42">
        <f>SUM(K69:K73)</f>
        <v>172600</v>
      </c>
      <c r="L75" s="268"/>
    </row>
    <row r="76" spans="2:12" x14ac:dyDescent="0.25">
      <c r="B76" s="270"/>
      <c r="C76" s="36"/>
      <c r="D76" s="36"/>
      <c r="E76" s="36"/>
      <c r="F76" s="36"/>
      <c r="G76" s="36"/>
      <c r="H76" s="36"/>
      <c r="I76" s="36"/>
      <c r="J76" s="36"/>
      <c r="K76" s="36"/>
      <c r="L76" s="268"/>
    </row>
    <row r="77" spans="2:12" x14ac:dyDescent="0.25">
      <c r="B77" s="270" t="s">
        <v>69</v>
      </c>
      <c r="C77" s="36"/>
      <c r="D77" s="36"/>
      <c r="E77" s="36"/>
      <c r="F77" s="36"/>
      <c r="G77" s="36"/>
      <c r="H77" s="32"/>
      <c r="I77" s="45">
        <f>I75+I64</f>
        <v>143577.21649263159</v>
      </c>
      <c r="J77" s="45">
        <f>J75+J64</f>
        <v>205903.00032210528</v>
      </c>
      <c r="K77" s="45">
        <f>K75+K64</f>
        <v>261900.53692631581</v>
      </c>
      <c r="L77" s="268"/>
    </row>
    <row r="78" spans="2:12" x14ac:dyDescent="0.25">
      <c r="B78" s="270" t="s">
        <v>70</v>
      </c>
      <c r="C78" s="36"/>
      <c r="D78" s="36"/>
      <c r="E78" s="36"/>
      <c r="F78" s="36"/>
      <c r="G78" s="36"/>
      <c r="H78" s="32"/>
      <c r="I78" s="46">
        <f>I77/$I20</f>
        <v>1.7947152061578948</v>
      </c>
      <c r="J78" s="46">
        <f>J77/$I20</f>
        <v>2.5737875040263161</v>
      </c>
      <c r="K78" s="46">
        <f>K77/$I20</f>
        <v>3.2737567115789474</v>
      </c>
      <c r="L78" s="268"/>
    </row>
    <row r="79" spans="2:12" ht="15.75" thickBot="1" x14ac:dyDescent="0.3">
      <c r="B79" s="283"/>
      <c r="C79" s="284"/>
      <c r="D79" s="284"/>
      <c r="E79" s="284"/>
      <c r="F79" s="284"/>
      <c r="G79" s="284"/>
      <c r="H79" s="285"/>
      <c r="I79" s="284"/>
      <c r="J79" s="284"/>
      <c r="K79" s="284"/>
      <c r="L79" s="286"/>
    </row>
    <row r="80" spans="2:12" x14ac:dyDescent="0.25">
      <c r="B80" s="20" t="s">
        <v>71</v>
      </c>
      <c r="C80" s="47"/>
      <c r="D80" s="48"/>
      <c r="E80" s="48"/>
      <c r="F80" s="52"/>
      <c r="G80" s="52"/>
      <c r="H80" s="53"/>
      <c r="I80" s="52"/>
      <c r="J80" s="52"/>
      <c r="K80" s="52"/>
    </row>
    <row r="81" spans="1:12" x14ac:dyDescent="0.25">
      <c r="B81" s="199" t="s">
        <v>72</v>
      </c>
      <c r="C81" s="199"/>
      <c r="D81" s="199"/>
      <c r="E81" s="52"/>
      <c r="F81" s="52"/>
      <c r="G81" s="52"/>
      <c r="H81" s="53"/>
      <c r="I81" s="52"/>
      <c r="J81" s="52"/>
      <c r="K81" s="52"/>
    </row>
    <row r="82" spans="1:12" x14ac:dyDescent="0.25">
      <c r="B82" s="200" t="s">
        <v>73</v>
      </c>
      <c r="C82" s="200" t="s">
        <v>74</v>
      </c>
      <c r="D82" s="200" t="s">
        <v>75</v>
      </c>
      <c r="E82" s="52"/>
      <c r="F82" s="52"/>
      <c r="G82" s="52"/>
      <c r="H82" s="53"/>
      <c r="I82" s="52"/>
      <c r="J82" s="52"/>
      <c r="K82" s="52"/>
    </row>
    <row r="83" spans="1:12" x14ac:dyDescent="0.25">
      <c r="B83" s="22" t="s">
        <v>76</v>
      </c>
      <c r="C83" s="54" t="s">
        <v>77</v>
      </c>
      <c r="D83" s="55">
        <v>2.38</v>
      </c>
      <c r="E83" s="52"/>
      <c r="F83" s="52"/>
      <c r="G83" s="52"/>
      <c r="H83" s="53"/>
      <c r="I83" s="52"/>
      <c r="J83" s="52"/>
      <c r="K83" s="52"/>
    </row>
    <row r="84" spans="1:12" x14ac:dyDescent="0.25">
      <c r="B84" s="22" t="s">
        <v>78</v>
      </c>
      <c r="C84" s="54" t="s">
        <v>79</v>
      </c>
      <c r="D84" s="55">
        <v>2.39</v>
      </c>
      <c r="E84" s="52"/>
      <c r="F84" s="52"/>
      <c r="G84" s="52"/>
      <c r="H84" s="53"/>
      <c r="I84" s="52"/>
      <c r="J84" s="52"/>
      <c r="K84" s="52"/>
    </row>
    <row r="85" spans="1:12" x14ac:dyDescent="0.25">
      <c r="B85" s="22" t="s">
        <v>80</v>
      </c>
      <c r="C85" s="54" t="s">
        <v>81</v>
      </c>
      <c r="D85" s="55">
        <v>1.6</v>
      </c>
      <c r="E85" s="52"/>
      <c r="F85" s="52"/>
      <c r="G85" s="52"/>
      <c r="H85" s="53"/>
      <c r="I85" s="52"/>
      <c r="J85" s="52"/>
      <c r="K85" s="52"/>
    </row>
    <row r="86" spans="1:12" x14ac:dyDescent="0.25">
      <c r="B86" s="22" t="s">
        <v>82</v>
      </c>
      <c r="C86" s="54" t="s">
        <v>83</v>
      </c>
      <c r="D86" s="55">
        <v>8.67</v>
      </c>
      <c r="E86" s="52"/>
      <c r="F86" s="52"/>
      <c r="G86" s="52"/>
      <c r="H86" s="53"/>
      <c r="I86" s="52"/>
      <c r="J86" s="52"/>
      <c r="K86" s="52"/>
    </row>
    <row r="87" spans="1:12" x14ac:dyDescent="0.25">
      <c r="B87" s="22" t="s">
        <v>84</v>
      </c>
      <c r="C87" s="54" t="s">
        <v>85</v>
      </c>
      <c r="D87" s="55">
        <v>1.76</v>
      </c>
      <c r="E87" s="52"/>
      <c r="F87" s="52"/>
      <c r="G87" s="52"/>
      <c r="H87" s="53"/>
      <c r="I87" s="52"/>
      <c r="J87" s="52"/>
      <c r="K87" s="52"/>
    </row>
    <row r="88" spans="1:12" x14ac:dyDescent="0.25">
      <c r="B88" s="23" t="s">
        <v>86</v>
      </c>
      <c r="C88" s="56" t="s">
        <v>87</v>
      </c>
      <c r="D88" s="57">
        <v>1.93</v>
      </c>
      <c r="E88" s="52"/>
      <c r="F88" s="52"/>
      <c r="G88" s="52"/>
      <c r="H88" s="53"/>
      <c r="I88" s="52"/>
      <c r="J88" s="52"/>
      <c r="K88" s="52"/>
    </row>
    <row r="89" spans="1:12" x14ac:dyDescent="0.25">
      <c r="B89" s="24" t="s">
        <v>71</v>
      </c>
      <c r="C89" s="21"/>
      <c r="D89" s="21"/>
      <c r="E89" s="52"/>
      <c r="F89" s="52"/>
      <c r="G89" s="52"/>
      <c r="H89" s="53"/>
      <c r="I89" s="52"/>
      <c r="J89" s="52"/>
      <c r="K89" s="52"/>
    </row>
    <row r="90" spans="1:12" x14ac:dyDescent="0.25">
      <c r="B90" s="21" t="s">
        <v>88</v>
      </c>
      <c r="C90" s="21"/>
      <c r="D90" s="21"/>
      <c r="E90" s="52"/>
      <c r="F90" s="52"/>
      <c r="G90" s="52"/>
      <c r="H90" s="53"/>
      <c r="I90" s="52"/>
      <c r="J90" s="52"/>
      <c r="K90" s="52"/>
    </row>
    <row r="91" spans="1:12" x14ac:dyDescent="0.25">
      <c r="B91" s="21"/>
      <c r="C91" s="21"/>
      <c r="D91" s="21"/>
      <c r="E91" s="52"/>
      <c r="F91" s="52"/>
      <c r="G91" s="52"/>
      <c r="H91" s="53"/>
      <c r="I91" s="52"/>
      <c r="J91" s="52"/>
      <c r="K91" s="52"/>
    </row>
    <row r="92" spans="1:12" s="59" customFormat="1" x14ac:dyDescent="0.25">
      <c r="A92" s="62"/>
      <c r="B92" s="58" t="s">
        <v>106</v>
      </c>
      <c r="C92" s="52"/>
      <c r="D92" s="52"/>
      <c r="E92" s="52"/>
      <c r="F92" s="52"/>
      <c r="G92" s="52"/>
      <c r="H92" s="53"/>
      <c r="I92" s="52"/>
      <c r="J92" s="52"/>
      <c r="K92" s="52"/>
      <c r="L92" s="61"/>
    </row>
    <row r="93" spans="1:12" s="59" customFormat="1" ht="12.75" x14ac:dyDescent="0.25">
      <c r="A93" s="62"/>
      <c r="B93" s="21" t="s">
        <v>89</v>
      </c>
      <c r="C93" s="62"/>
      <c r="D93" s="62"/>
      <c r="E93" s="62"/>
      <c r="F93" s="62"/>
      <c r="G93" s="62"/>
      <c r="H93" s="62"/>
      <c r="I93" s="62"/>
      <c r="J93" s="62"/>
      <c r="K93" s="62"/>
      <c r="L93" s="62"/>
    </row>
    <row r="94" spans="1:12" s="59" customFormat="1" ht="12.75" x14ac:dyDescent="0.25">
      <c r="A94" s="62"/>
      <c r="B94" s="21" t="s">
        <v>90</v>
      </c>
      <c r="C94" s="62"/>
      <c r="D94" s="62"/>
      <c r="E94" s="62"/>
      <c r="F94" s="62"/>
      <c r="G94" s="62"/>
      <c r="H94" s="62"/>
      <c r="I94" s="62"/>
      <c r="J94" s="62"/>
      <c r="K94" s="62"/>
      <c r="L94" s="62"/>
    </row>
    <row r="95" spans="1:12" s="59" customFormat="1" ht="12.75" x14ac:dyDescent="0.25">
      <c r="A95" s="62"/>
      <c r="B95" s="21" t="s">
        <v>91</v>
      </c>
      <c r="C95" s="62"/>
      <c r="D95" s="62"/>
      <c r="E95" s="62"/>
      <c r="F95" s="62"/>
      <c r="G95" s="62"/>
      <c r="H95" s="62"/>
      <c r="I95" s="62"/>
      <c r="J95" s="62"/>
      <c r="K95" s="62"/>
      <c r="L95" s="62"/>
    </row>
    <row r="96" spans="1:12" s="59" customFormat="1" ht="12.75" x14ac:dyDescent="0.25">
      <c r="A96" s="62"/>
      <c r="B96" s="21" t="s">
        <v>92</v>
      </c>
      <c r="C96" s="62"/>
      <c r="D96" s="62"/>
      <c r="E96" s="62"/>
      <c r="F96" s="62"/>
      <c r="G96" s="62"/>
      <c r="H96" s="62"/>
      <c r="I96" s="62"/>
      <c r="J96" s="62"/>
      <c r="K96" s="62"/>
      <c r="L96" s="62"/>
    </row>
    <row r="97" spans="1:12" s="59" customFormat="1" ht="12.75" x14ac:dyDescent="0.25">
      <c r="A97" s="62"/>
      <c r="B97" s="21" t="s">
        <v>93</v>
      </c>
      <c r="C97" s="62"/>
      <c r="D97" s="62"/>
      <c r="E97" s="62"/>
      <c r="F97" s="62"/>
      <c r="G97" s="62"/>
      <c r="H97" s="62"/>
      <c r="I97" s="62"/>
      <c r="J97" s="62"/>
      <c r="K97" s="62"/>
      <c r="L97" s="62"/>
    </row>
    <row r="98" spans="1:12" s="59" customFormat="1" ht="12.75" x14ac:dyDescent="0.25">
      <c r="A98" s="62"/>
      <c r="B98" s="21" t="s">
        <v>94</v>
      </c>
      <c r="C98" s="62"/>
      <c r="D98" s="62"/>
      <c r="E98" s="62"/>
      <c r="F98" s="62"/>
      <c r="G98" s="62"/>
      <c r="H98" s="62"/>
      <c r="I98" s="62"/>
      <c r="J98" s="62"/>
      <c r="K98" s="62"/>
      <c r="L98" s="62"/>
    </row>
    <row r="99" spans="1:12" s="61" customFormat="1" x14ac:dyDescent="0.25">
      <c r="B99" s="21" t="s">
        <v>98</v>
      </c>
      <c r="C99" s="21"/>
      <c r="D99" s="21"/>
      <c r="E99" s="21"/>
      <c r="F99" s="21"/>
      <c r="G99" s="21"/>
      <c r="H99" s="21"/>
      <c r="I99" s="21"/>
      <c r="J99" s="21"/>
      <c r="K99" s="21"/>
      <c r="L99" s="62"/>
    </row>
    <row r="100" spans="1:12" x14ac:dyDescent="0.25">
      <c r="B100" s="61"/>
      <c r="C100" s="61"/>
      <c r="D100" s="61"/>
      <c r="E100" s="61"/>
      <c r="F100" s="61"/>
      <c r="G100" s="61"/>
      <c r="H100" s="61"/>
      <c r="I100" s="61"/>
      <c r="J100" s="61"/>
      <c r="K100" s="61"/>
    </row>
  </sheetData>
  <sheetProtection selectLockedCells="1"/>
  <mergeCells count="4">
    <mergeCell ref="I20:K20"/>
    <mergeCell ref="J9:K9"/>
    <mergeCell ref="J4:K4"/>
    <mergeCell ref="J2:K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130"/>
  <sheetViews>
    <sheetView showGridLines="0" topLeftCell="A13" zoomScale="70" zoomScaleNormal="70" workbookViewId="0">
      <selection activeCell="R47" sqref="R47"/>
    </sheetView>
  </sheetViews>
  <sheetFormatPr defaultRowHeight="15" x14ac:dyDescent="0.25"/>
  <cols>
    <col min="1" max="1" width="2.28515625" customWidth="1"/>
    <col min="2" max="2" width="10" customWidth="1"/>
    <col min="3" max="5" width="11.7109375" bestFit="1" customWidth="1"/>
    <col min="6" max="6" width="10.5703125" customWidth="1"/>
    <col min="7" max="9" width="11.7109375" bestFit="1" customWidth="1"/>
    <col min="10" max="11" width="10.5703125" bestFit="1" customWidth="1"/>
    <col min="12" max="13" width="11.7109375" bestFit="1" customWidth="1"/>
    <col min="14" max="14" width="15" customWidth="1"/>
    <col min="15" max="15" width="11.28515625" bestFit="1" customWidth="1"/>
    <col min="16" max="16" width="10" customWidth="1"/>
    <col min="17" max="17" width="19.28515625" customWidth="1"/>
    <col min="18" max="18" width="13.42578125" customWidth="1"/>
    <col min="19" max="19" width="14.28515625" customWidth="1"/>
    <col min="20" max="26" width="12.7109375" customWidth="1"/>
    <col min="27" max="27" width="20.42578125" customWidth="1"/>
    <col min="32" max="32" width="11.7109375" bestFit="1" customWidth="1"/>
  </cols>
  <sheetData>
    <row r="1" spans="2:21" ht="21" x14ac:dyDescent="0.35">
      <c r="B1" s="192" t="s">
        <v>144</v>
      </c>
    </row>
    <row r="2" spans="2:21" ht="10.15" customHeight="1" x14ac:dyDescent="0.3">
      <c r="B2" s="127"/>
    </row>
    <row r="3" spans="2:21" ht="18.75" x14ac:dyDescent="0.3">
      <c r="B3" s="185" t="s">
        <v>172</v>
      </c>
    </row>
    <row r="4" spans="2:21" x14ac:dyDescent="0.25">
      <c r="B4" s="97" t="s">
        <v>146</v>
      </c>
      <c r="O4" s="97" t="s">
        <v>163</v>
      </c>
      <c r="Q4">
        <f>'VACCINATION CALCULATOR'!C29</f>
        <v>5</v>
      </c>
      <c r="S4" s="97" t="s">
        <v>166</v>
      </c>
    </row>
    <row r="5" spans="2:21" x14ac:dyDescent="0.25">
      <c r="B5" s="31" t="s">
        <v>4</v>
      </c>
      <c r="C5" s="134"/>
      <c r="D5" s="134"/>
      <c r="E5" s="595" t="s">
        <v>141</v>
      </c>
      <c r="F5" s="595"/>
      <c r="G5" s="595"/>
      <c r="H5" s="595"/>
      <c r="J5" s="182" t="s">
        <v>142</v>
      </c>
      <c r="K5" s="183" t="s">
        <v>145</v>
      </c>
      <c r="L5" s="171" t="s">
        <v>162</v>
      </c>
      <c r="M5" s="171" t="s">
        <v>143</v>
      </c>
      <c r="O5" s="182" t="s">
        <v>161</v>
      </c>
      <c r="P5" s="182" t="s">
        <v>164</v>
      </c>
      <c r="Q5" s="182" t="s">
        <v>165</v>
      </c>
      <c r="S5" s="182" t="s">
        <v>170</v>
      </c>
      <c r="T5" s="182" t="s">
        <v>171</v>
      </c>
      <c r="U5" s="182" t="s">
        <v>35</v>
      </c>
    </row>
    <row r="6" spans="2:21" x14ac:dyDescent="0.25">
      <c r="B6" s="132"/>
      <c r="C6" s="132"/>
      <c r="D6" s="132"/>
      <c r="E6" s="129" t="s">
        <v>0</v>
      </c>
      <c r="F6" s="129" t="s">
        <v>1</v>
      </c>
      <c r="G6" s="129" t="s">
        <v>2</v>
      </c>
      <c r="H6" s="129" t="s">
        <v>3</v>
      </c>
      <c r="J6" s="135">
        <v>0</v>
      </c>
      <c r="K6" s="137">
        <v>0.05</v>
      </c>
      <c r="L6" s="136">
        <v>0</v>
      </c>
      <c r="M6" s="136">
        <v>0.1</v>
      </c>
      <c r="O6" s="128">
        <v>1</v>
      </c>
      <c r="P6" s="128">
        <v>1</v>
      </c>
      <c r="Q6" s="128">
        <v>0.15</v>
      </c>
      <c r="S6" s="186" t="s">
        <v>201</v>
      </c>
      <c r="T6" s="136">
        <v>0</v>
      </c>
      <c r="U6" s="136">
        <f>0.7/4</f>
        <v>0.17499999999999999</v>
      </c>
    </row>
    <row r="7" spans="2:21" x14ac:dyDescent="0.25">
      <c r="B7" s="131" t="s">
        <v>5</v>
      </c>
      <c r="C7" s="132"/>
      <c r="D7" s="132"/>
      <c r="E7" s="138">
        <f>IF('VACCINATION CALCULATOR'!C25&lt;0,"only + numbers",IF('VACCINATION CALCULATOR'!C25&lt;Calculations!$M$6,Calculations!$J$6,IF('VACCINATION CALCULATOR'!C25&lt;Calculations!$M$7,Calculations!$J$7,IF('VACCINATION CALCULATOR'!C25&lt;Calculations!$M$8,Calculations!$J$8,IF('VACCINATION CALCULATOR'!C25&lt;Calculations!$M$9,Calculations!$J$9,IF('VACCINATION CALCULATOR'!C25&lt;Calculations!$M$10,Calculations!$J$10,IF('VACCINATION CALCULATOR'!C25&lt;=Calculations!$M$11,Calculations!$J$11,"Error")))))))</f>
        <v>5</v>
      </c>
      <c r="F7" s="138">
        <f>IF('VACCINATION CALCULATOR'!D25&lt;0,"only + numbers",IF('VACCINATION CALCULATOR'!D25&lt;Calculations!$M$6,Calculations!$J$6,IF('VACCINATION CALCULATOR'!D25&lt;Calculations!$M$7,Calculations!$J$7,IF('VACCINATION CALCULATOR'!D25&lt;Calculations!$M$8,Calculations!$J$8,IF('VACCINATION CALCULATOR'!D25&lt;Calculations!$M$9,Calculations!$J$9,IF('VACCINATION CALCULATOR'!D25&lt;Calculations!$M$10,Calculations!$J$10,IF('VACCINATION CALCULATOR'!D25&lt;=Calculations!$M$11,Calculations!$J$11,"Error")))))))</f>
        <v>5</v>
      </c>
      <c r="G7" s="138">
        <f>IF('VACCINATION CALCULATOR'!E25&lt;0,"only + numbers",IF('VACCINATION CALCULATOR'!E25&lt;Calculations!$M$6,Calculations!$J$6,IF('VACCINATION CALCULATOR'!E25&lt;Calculations!$M$7,Calculations!$J$7,IF('VACCINATION CALCULATOR'!E25&lt;Calculations!$M$8,Calculations!$J$8,IF('VACCINATION CALCULATOR'!E25&lt;Calculations!$M$9,Calculations!$J$9,IF('VACCINATION CALCULATOR'!E25&lt;Calculations!$M$10,Calculations!$J$10,IF('VACCINATION CALCULATOR'!E25&lt;=Calculations!$M$11,Calculations!$J$11,"Error")))))))</f>
        <v>0</v>
      </c>
      <c r="H7" s="138">
        <f>IF('VACCINATION CALCULATOR'!F25&lt;0,"only + numbers",IF('VACCINATION CALCULATOR'!F25&lt;Calculations!$M$6,Calculations!$J$6,IF('VACCINATION CALCULATOR'!F25&lt;Calculations!$M$7,Calculations!$J$7,IF('VACCINATION CALCULATOR'!F25&lt;Calculations!$M$8,Calculations!$J$8,IF('VACCINATION CALCULATOR'!F25&lt;Calculations!$M$9,Calculations!$J$9,IF('VACCINATION CALCULATOR'!F25&lt;Calculations!$M$10,Calculations!$J$10,IF('VACCINATION CALCULATOR'!F25&lt;=Calculations!$M$11,Calculations!$J$11,"Error")))))))</f>
        <v>0</v>
      </c>
      <c r="J7" s="135">
        <v>1</v>
      </c>
      <c r="K7" s="137">
        <v>0.2</v>
      </c>
      <c r="L7" s="136">
        <v>0.1</v>
      </c>
      <c r="M7" s="136">
        <v>0.2999</v>
      </c>
      <c r="O7" s="128">
        <v>2</v>
      </c>
      <c r="P7" s="128">
        <v>1</v>
      </c>
      <c r="Q7" s="128">
        <v>0.15</v>
      </c>
      <c r="S7" s="186" t="s">
        <v>204</v>
      </c>
      <c r="T7" s="136">
        <f>0.7/4</f>
        <v>0.17499999999999999</v>
      </c>
      <c r="U7" s="136">
        <v>0.35</v>
      </c>
    </row>
    <row r="8" spans="2:21" x14ac:dyDescent="0.25">
      <c r="B8" s="131" t="s">
        <v>6</v>
      </c>
      <c r="C8" s="132"/>
      <c r="D8" s="132"/>
      <c r="E8" s="138">
        <f>IF('VACCINATION CALCULATOR'!C26&lt;0,"only + numbers",IF('VACCINATION CALCULATOR'!C26&lt;Calculations!$M$6,Calculations!$J$6,IF('VACCINATION CALCULATOR'!C26&lt;Calculations!$M$7,Calculations!$J$7,IF('VACCINATION CALCULATOR'!C26&lt;Calculations!$M$8,Calculations!$J$8,IF('VACCINATION CALCULATOR'!C26&lt;Calculations!$M$9,Calculations!$J$9,IF('VACCINATION CALCULATOR'!C26&lt;Calculations!$M$10,Calculations!$J$10,IF('VACCINATION CALCULATOR'!C26&lt;=Calculations!$M$11,Calculations!$J$11,"Error")))))))</f>
        <v>4</v>
      </c>
      <c r="F8" s="138">
        <f>IF('VACCINATION CALCULATOR'!D26&lt;0,"only + numbers",IF('VACCINATION CALCULATOR'!D26&lt;Calculations!$M$6,Calculations!$J$6,IF('VACCINATION CALCULATOR'!D26&lt;Calculations!$M$7,Calculations!$J$7,IF('VACCINATION CALCULATOR'!D26&lt;Calculations!$M$8,Calculations!$J$8,IF('VACCINATION CALCULATOR'!D26&lt;Calculations!$M$9,Calculations!$J$9,IF('VACCINATION CALCULATOR'!D26&lt;Calculations!$M$10,Calculations!$J$10,IF('VACCINATION CALCULATOR'!D26&lt;=Calculations!$M$11,Calculations!$J$11,"Error")))))))</f>
        <v>4</v>
      </c>
      <c r="G8" s="138">
        <f>IF('VACCINATION CALCULATOR'!E26&lt;0,"only + numbers",IF('VACCINATION CALCULATOR'!E26&lt;Calculations!$M$6,Calculations!$J$6,IF('VACCINATION CALCULATOR'!E26&lt;Calculations!$M$7,Calculations!$J$7,IF('VACCINATION CALCULATOR'!E26&lt;Calculations!$M$8,Calculations!$J$8,IF('VACCINATION CALCULATOR'!E26&lt;Calculations!$M$9,Calculations!$J$9,IF('VACCINATION CALCULATOR'!E26&lt;Calculations!$M$10,Calculations!$J$10,IF('VACCINATION CALCULATOR'!E26&lt;=Calculations!$M$11,Calculations!$J$11,"Error")))))))</f>
        <v>4</v>
      </c>
      <c r="H8" s="138">
        <f>IF('VACCINATION CALCULATOR'!F26&lt;0,"only + numbers",IF('VACCINATION CALCULATOR'!F26&lt;Calculations!$M$6,Calculations!$J$6,IF('VACCINATION CALCULATOR'!F26&lt;Calculations!$M$7,Calculations!$J$7,IF('VACCINATION CALCULATOR'!F26&lt;Calculations!$M$8,Calculations!$J$8,IF('VACCINATION CALCULATOR'!F26&lt;Calculations!$M$9,Calculations!$J$9,IF('VACCINATION CALCULATOR'!F26&lt;Calculations!$M$10,Calculations!$J$10,IF('VACCINATION CALCULATOR'!F26&lt;=Calculations!$M$11,Calculations!$J$11,"Error")))))))</f>
        <v>5</v>
      </c>
      <c r="J8" s="135">
        <v>2</v>
      </c>
      <c r="K8" s="137">
        <v>0.4</v>
      </c>
      <c r="L8" s="136">
        <v>0.3</v>
      </c>
      <c r="M8" s="136">
        <v>0.49990000000000001</v>
      </c>
      <c r="O8" s="128">
        <v>3</v>
      </c>
      <c r="P8" s="128">
        <v>2</v>
      </c>
      <c r="Q8" s="128">
        <v>0.12</v>
      </c>
      <c r="S8" s="186" t="s">
        <v>226</v>
      </c>
      <c r="T8" s="207">
        <v>0.35</v>
      </c>
      <c r="U8" s="207">
        <v>0.7</v>
      </c>
    </row>
    <row r="9" spans="2:21" x14ac:dyDescent="0.25">
      <c r="B9" s="131" t="s">
        <v>7</v>
      </c>
      <c r="C9" s="132"/>
      <c r="D9" s="132"/>
      <c r="E9" s="138">
        <f>IF('VACCINATION CALCULATOR'!C27&lt;0,"only + numbers",IF('VACCINATION CALCULATOR'!C27&lt;Calculations!$M$6,Calculations!$J$6,IF('VACCINATION CALCULATOR'!C27&lt;Calculations!$M$7,Calculations!$J$7,IF('VACCINATION CALCULATOR'!C27&lt;Calculations!$M$8,Calculations!$J$8,IF('VACCINATION CALCULATOR'!C27&lt;Calculations!$M$9,Calculations!$J$9,IF('VACCINATION CALCULATOR'!C27&lt;Calculations!$M$10,Calculations!$J$10,IF('VACCINATION CALCULATOR'!C27&lt;=Calculations!$M$11,Calculations!$J$11,"Error")))))))</f>
        <v>0</v>
      </c>
      <c r="F9" s="138">
        <f>IF('VACCINATION CALCULATOR'!D27&lt;0,"only + numbers",IF('VACCINATION CALCULATOR'!D27&lt;Calculations!$M$6,Calculations!$J$6,IF('VACCINATION CALCULATOR'!D27&lt;Calculations!$M$7,Calculations!$J$7,IF('VACCINATION CALCULATOR'!D27&lt;Calculations!$M$8,Calculations!$J$8,IF('VACCINATION CALCULATOR'!D27&lt;Calculations!$M$9,Calculations!$J$9,IF('VACCINATION CALCULATOR'!D27&lt;Calculations!$M$10,Calculations!$J$10,IF('VACCINATION CALCULATOR'!D27&lt;=Calculations!$M$11,Calculations!$J$11,"Error")))))))</f>
        <v>1</v>
      </c>
      <c r="G9" s="138">
        <f>IF('VACCINATION CALCULATOR'!E27&lt;0,"only + numbers",IF('VACCINATION CALCULATOR'!E27&lt;Calculations!$M$6,Calculations!$J$6,IF('VACCINATION CALCULATOR'!E27&lt;Calculations!$M$7,Calculations!$J$7,IF('VACCINATION CALCULATOR'!E27&lt;Calculations!$M$8,Calculations!$J$8,IF('VACCINATION CALCULATOR'!E27&lt;Calculations!$M$9,Calculations!$J$9,IF('VACCINATION CALCULATOR'!E27&lt;Calculations!$M$10,Calculations!$J$10,IF('VACCINATION CALCULATOR'!E27&lt;=Calculations!$M$11,Calculations!$J$11,"Error")))))))</f>
        <v>3</v>
      </c>
      <c r="H9" s="138">
        <f>IF('VACCINATION CALCULATOR'!F27&lt;0,"only + numbers",IF('VACCINATION CALCULATOR'!F27&lt;Calculations!$M$6,Calculations!$J$6,IF('VACCINATION CALCULATOR'!F27&lt;Calculations!$M$7,Calculations!$J$7,IF('VACCINATION CALCULATOR'!F27&lt;Calculations!$M$8,Calculations!$J$8,IF('VACCINATION CALCULATOR'!F27&lt;Calculations!$M$9,Calculations!$J$9,IF('VACCINATION CALCULATOR'!F27&lt;Calculations!$M$10,Calculations!$J$10,IF('VACCINATION CALCULATOR'!F27&lt;=Calculations!$M$11,Calculations!$J$11,"Error")))))))</f>
        <v>4</v>
      </c>
      <c r="J9" s="135">
        <v>3</v>
      </c>
      <c r="K9" s="137">
        <v>0.6</v>
      </c>
      <c r="L9" s="136">
        <v>0.5</v>
      </c>
      <c r="M9" s="136">
        <v>0.69989999999999997</v>
      </c>
      <c r="O9" s="128">
        <v>4</v>
      </c>
      <c r="P9" s="128">
        <v>2</v>
      </c>
      <c r="Q9" s="128">
        <v>0.12</v>
      </c>
      <c r="S9" s="186" t="s">
        <v>174</v>
      </c>
      <c r="T9" s="136">
        <v>0.7</v>
      </c>
      <c r="U9" s="136">
        <v>1</v>
      </c>
    </row>
    <row r="10" spans="2:21" x14ac:dyDescent="0.25">
      <c r="B10" s="156"/>
      <c r="C10" s="156"/>
      <c r="D10" s="156"/>
      <c r="E10" s="156"/>
      <c r="F10" s="156"/>
      <c r="G10" s="156"/>
      <c r="H10" s="156"/>
      <c r="J10" s="135">
        <v>4</v>
      </c>
      <c r="K10" s="137">
        <v>0.8</v>
      </c>
      <c r="L10" s="136">
        <v>0.7</v>
      </c>
      <c r="M10" s="136">
        <v>0.89990000000000003</v>
      </c>
      <c r="O10" s="128">
        <v>5</v>
      </c>
      <c r="P10" s="128">
        <v>2</v>
      </c>
      <c r="Q10" s="128">
        <v>0.12</v>
      </c>
      <c r="S10" s="188" t="s">
        <v>170</v>
      </c>
      <c r="T10" s="189"/>
      <c r="U10" s="189">
        <f>'VACCINATION CALCULATOR'!C32</f>
        <v>0.7</v>
      </c>
    </row>
    <row r="11" spans="2:21" x14ac:dyDescent="0.25">
      <c r="B11" s="596" t="s">
        <v>148</v>
      </c>
      <c r="C11" s="596"/>
      <c r="D11" s="596"/>
      <c r="E11" s="596"/>
      <c r="F11" s="596"/>
      <c r="G11" s="596"/>
      <c r="H11" s="596"/>
      <c r="J11" s="157">
        <v>5</v>
      </c>
      <c r="K11" s="158">
        <v>0.95</v>
      </c>
      <c r="L11" s="159">
        <v>0.9</v>
      </c>
      <c r="M11" s="159">
        <v>1</v>
      </c>
      <c r="O11" s="128">
        <v>6</v>
      </c>
      <c r="P11" s="128">
        <v>3</v>
      </c>
      <c r="Q11" s="128">
        <v>0.08</v>
      </c>
      <c r="S11" s="186" t="s">
        <v>175</v>
      </c>
      <c r="T11" s="186"/>
      <c r="U11" s="186" t="str">
        <f>IF(U10&lt;0, "Error",IF(U10&gt;1, "error", IF(U10&lt;U6,"Phase I", IF(U10&lt;U7, "Phase II a", IF(U10&lt;U8,"Phase II b", IF(U10&lt;=U9,"Phase III"))))))</f>
        <v>Phase III</v>
      </c>
    </row>
    <row r="12" spans="2:21" x14ac:dyDescent="0.25">
      <c r="B12" s="597"/>
      <c r="C12" s="597"/>
      <c r="D12" s="597"/>
      <c r="E12" s="597"/>
      <c r="F12" s="597"/>
      <c r="G12" s="597"/>
      <c r="H12" s="597"/>
      <c r="O12" s="128">
        <v>7</v>
      </c>
      <c r="P12" s="128">
        <v>3</v>
      </c>
      <c r="Q12" s="128">
        <v>0.08</v>
      </c>
      <c r="S12" s="187" t="s">
        <v>176</v>
      </c>
      <c r="T12" s="187"/>
      <c r="U12" s="187">
        <f>IF(U10&lt;0, "Error",IF(U10&gt;1, "error", IF(U10&lt;U6,1, IF(U10&lt;U7, 2, IF(U10&lt;U8,3, IF(U10&lt;=U9,4))))))</f>
        <v>4</v>
      </c>
    </row>
    <row r="13" spans="2:21" x14ac:dyDescent="0.25">
      <c r="B13" s="97" t="s">
        <v>136</v>
      </c>
      <c r="C13" s="12"/>
      <c r="D13" s="12"/>
      <c r="E13" s="12"/>
      <c r="F13" s="12"/>
      <c r="O13" s="128">
        <v>8</v>
      </c>
      <c r="P13" s="128">
        <v>3</v>
      </c>
      <c r="Q13" s="128">
        <v>0.08</v>
      </c>
    </row>
    <row r="14" spans="2:21" x14ac:dyDescent="0.25">
      <c r="B14" s="180"/>
      <c r="C14" s="180"/>
      <c r="D14" s="181" t="s">
        <v>1</v>
      </c>
      <c r="E14" s="181" t="s">
        <v>0</v>
      </c>
      <c r="F14" s="181" t="s">
        <v>2</v>
      </c>
      <c r="G14" s="181" t="s">
        <v>3</v>
      </c>
      <c r="O14" s="128">
        <v>9</v>
      </c>
      <c r="P14" s="128">
        <v>4</v>
      </c>
      <c r="Q14" s="128">
        <v>0.05</v>
      </c>
    </row>
    <row r="15" spans="2:21" x14ac:dyDescent="0.25">
      <c r="B15" s="131" t="s">
        <v>5</v>
      </c>
      <c r="C15" s="131"/>
      <c r="D15" s="130">
        <v>1</v>
      </c>
      <c r="E15" s="130">
        <v>1</v>
      </c>
      <c r="F15" s="130">
        <v>3</v>
      </c>
      <c r="G15" s="130">
        <v>3</v>
      </c>
      <c r="O15" s="184">
        <v>10</v>
      </c>
      <c r="P15" s="184">
        <v>4</v>
      </c>
      <c r="Q15" s="184">
        <v>0.05</v>
      </c>
    </row>
    <row r="16" spans="2:21" x14ac:dyDescent="0.25">
      <c r="B16" s="131" t="s">
        <v>6</v>
      </c>
      <c r="C16" s="131"/>
      <c r="D16" s="130">
        <v>2</v>
      </c>
      <c r="E16" s="130">
        <v>2</v>
      </c>
      <c r="F16" s="130">
        <v>1</v>
      </c>
      <c r="G16" s="130">
        <v>2</v>
      </c>
    </row>
    <row r="17" spans="2:27" x14ac:dyDescent="0.25">
      <c r="B17" s="161" t="s">
        <v>7</v>
      </c>
      <c r="C17" s="161"/>
      <c r="D17" s="160">
        <v>3</v>
      </c>
      <c r="E17" s="160">
        <v>3</v>
      </c>
      <c r="F17" s="160">
        <v>2</v>
      </c>
      <c r="G17" s="160">
        <v>1</v>
      </c>
    </row>
    <row r="18" spans="2:27" s="9" customFormat="1" x14ac:dyDescent="0.25">
      <c r="B18" s="119"/>
      <c r="C18" s="119"/>
      <c r="D18" s="119"/>
      <c r="E18" s="119"/>
      <c r="F18" s="119"/>
    </row>
    <row r="19" spans="2:27" ht="18.75" x14ac:dyDescent="0.3">
      <c r="B19" s="185" t="s">
        <v>173</v>
      </c>
      <c r="C19" s="11"/>
      <c r="D19" s="11"/>
      <c r="E19" s="11"/>
      <c r="F19" s="11"/>
    </row>
    <row r="20" spans="2:27" ht="6.6" customHeight="1" x14ac:dyDescent="0.3">
      <c r="B20" s="185"/>
      <c r="C20" s="11"/>
      <c r="D20" s="11"/>
      <c r="E20" s="11"/>
      <c r="F20" s="11"/>
    </row>
    <row r="21" spans="2:27" x14ac:dyDescent="0.25">
      <c r="B21" s="97" t="s">
        <v>9</v>
      </c>
      <c r="Q21" s="97" t="s">
        <v>155</v>
      </c>
    </row>
    <row r="22" spans="2:27" x14ac:dyDescent="0.25">
      <c r="B22" s="154"/>
      <c r="C22" s="594" t="s">
        <v>5</v>
      </c>
      <c r="D22" s="594"/>
      <c r="E22" s="594"/>
      <c r="F22" s="594"/>
      <c r="G22" s="594" t="s">
        <v>6</v>
      </c>
      <c r="H22" s="594"/>
      <c r="I22" s="594"/>
      <c r="J22" s="594"/>
      <c r="K22" s="594" t="s">
        <v>7</v>
      </c>
      <c r="L22" s="594"/>
      <c r="M22" s="594"/>
      <c r="N22" s="594"/>
      <c r="Q22" s="165"/>
      <c r="R22" s="594" t="s">
        <v>9</v>
      </c>
      <c r="S22" s="594"/>
      <c r="T22" s="594"/>
      <c r="U22" s="594"/>
      <c r="V22" s="594" t="s">
        <v>156</v>
      </c>
      <c r="W22" s="594"/>
      <c r="X22" s="594"/>
      <c r="Y22" s="594"/>
      <c r="Z22" s="154"/>
      <c r="AA22" s="172" t="s">
        <v>248</v>
      </c>
    </row>
    <row r="23" spans="2:27" x14ac:dyDescent="0.25">
      <c r="B23" s="155"/>
      <c r="C23" s="139" t="s">
        <v>0</v>
      </c>
      <c r="D23" s="139" t="s">
        <v>1</v>
      </c>
      <c r="E23" s="139" t="s">
        <v>2</v>
      </c>
      <c r="F23" s="139" t="s">
        <v>3</v>
      </c>
      <c r="G23" s="139" t="s">
        <v>0</v>
      </c>
      <c r="H23" s="139" t="s">
        <v>1</v>
      </c>
      <c r="I23" s="139" t="s">
        <v>2</v>
      </c>
      <c r="J23" s="139" t="s">
        <v>3</v>
      </c>
      <c r="K23" s="139" t="s">
        <v>0</v>
      </c>
      <c r="L23" s="139" t="s">
        <v>1</v>
      </c>
      <c r="M23" s="139" t="s">
        <v>2</v>
      </c>
      <c r="N23" s="139" t="s">
        <v>3</v>
      </c>
      <c r="Q23" s="162"/>
      <c r="R23" s="139" t="s">
        <v>0</v>
      </c>
      <c r="S23" s="139" t="s">
        <v>1</v>
      </c>
      <c r="T23" s="139" t="s">
        <v>2</v>
      </c>
      <c r="U23" s="139" t="s">
        <v>3</v>
      </c>
      <c r="V23" s="139" t="s">
        <v>0</v>
      </c>
      <c r="W23" s="139" t="s">
        <v>1</v>
      </c>
      <c r="X23" s="139" t="s">
        <v>2</v>
      </c>
      <c r="Y23" s="139" t="s">
        <v>3</v>
      </c>
      <c r="Z23" s="139" t="s">
        <v>151</v>
      </c>
      <c r="AA23" s="243" t="s">
        <v>250</v>
      </c>
    </row>
    <row r="24" spans="2:27" x14ac:dyDescent="0.25">
      <c r="C24" s="142">
        <f>IF(E7=0,('VACCINATION CALCULATOR'!$C$5*K6),IF(E7=1,('VACCINATION CALCULATOR'!$C$5*K7),IF(E7=2,('VACCINATION CALCULATOR'!$C$5*K8),IF(E7=3,('VACCINATION CALCULATOR'!$C$5*K9),IF(E7=4,('VACCINATION CALCULATOR'!$C$5*K10),IF(E7=5,('VACCINATION CALCULATOR'!$C$5*K11),"na"))))))</f>
        <v>19312.93</v>
      </c>
      <c r="D24" s="142">
        <f>IF(F7=0,('VACCINATION CALCULATOR'!$C$5*K6),IF(F7=1,('VACCINATION CALCULATOR'!$C$5*K7),IF(F7=2,('VACCINATION CALCULATOR'!$C$5*K8),IF(F7=3,('VACCINATION CALCULATOR'!$C$5*K9),IF(F7=4,('VACCINATION CALCULATOR'!$C$5*K10),IF(F7=5,('VACCINATION CALCULATOR'!$C$5*K11),"na"))))))</f>
        <v>19312.93</v>
      </c>
      <c r="E24" s="142">
        <f>IF(G7=0,('VACCINATION CALCULATOR'!$C$5*K6),IF(G7=1,('VACCINATION CALCULATOR'!$C$5*K7),IF(G7=2,('VACCINATION CALCULATOR'!$C$5*K8),IF(G7=3,('VACCINATION CALCULATOR'!$C$5*K9),IF(G7=4,('VACCINATION CALCULATOR'!$C$5*K10),IF(G7=5,('VACCINATION CALCULATOR'!$C$5*K11),"na"))))))</f>
        <v>1016.4700000000001</v>
      </c>
      <c r="F24" s="143">
        <f>IF(H7=0,('VACCINATION CALCULATOR'!$C$5*K6),IF(H7=1,('VACCINATION CALCULATOR'!$C$5*K7),IF(H7=2,('VACCINATION CALCULATOR'!$C$5*K8),IF(H7=3,('VACCINATION CALCULATOR'!$C$5*K9),IF(H7=4,('VACCINATION CALCULATOR'!$C$5*K10),IF(H7=5,('VACCINATION CALCULATOR'!$C$5*K11),"na"))))))</f>
        <v>1016.4700000000001</v>
      </c>
      <c r="G24" s="141">
        <f>IF(E8=0,('VACCINATION CALCULATOR'!$C$6*K6),IF(E8=1,('VACCINATION CALCULATOR'!$C$6*K7),IF(E8=2,('VACCINATION CALCULATOR'!$C$6*K8),IF(E8=3,('VACCINATION CALCULATOR'!$C$6*K9),IF(E8=4,('VACCINATION CALCULATOR'!$C$6*K10),IF(E8=5,('VACCINATION CALCULATOR'!$C$6*K11),"na"))))))</f>
        <v>20329.400000000001</v>
      </c>
      <c r="H24" s="142">
        <f>IF(F8=0,('VACCINATION CALCULATOR'!$C$6*K6),IF(F8=1,('VACCINATION CALCULATOR'!$C$6*K7),IF(F8=2,('VACCINATION CALCULATOR'!$C$6*K8),IF(F8=3,('VACCINATION CALCULATOR'!$C$6*K9),IF(F8=4,('VACCINATION CALCULATOR'!$C$6*K10),IF(F8=5,('VACCINATION CALCULATOR'!$C$6*K11),"na"))))))</f>
        <v>20329.400000000001</v>
      </c>
      <c r="I24" s="142">
        <f>IF(G8=0,('VACCINATION CALCULATOR'!$C$6*K6),IF(G8=1,('VACCINATION CALCULATOR'!$C$6*K7),IF(G8=2,('VACCINATION CALCULATOR'!$C$6*K8),IF(G8=3,('VACCINATION CALCULATOR'!$C$6*K9),IF(G8=4,('VACCINATION CALCULATOR'!$C$6*K10),IF(G8=5,('VACCINATION CALCULATOR'!$C$6*K11),"na"))))))</f>
        <v>20329.400000000001</v>
      </c>
      <c r="J24" s="143">
        <f>IF(H8=0,('VACCINATION CALCULATOR'!$C$6*K6),IF(H8=1,('VACCINATION CALCULATOR'!$C$6*K7),IF(H8=2,('VACCINATION CALCULATOR'!$C$6*K8),IF(H8=3,('VACCINATION CALCULATOR'!$C$6*K9),IF(H8=4,('VACCINATION CALCULATOR'!$C$6*K10),IF(H8=5,('VACCINATION CALCULATOR'!$C$6*K11),"na"))))))</f>
        <v>24141.162499999999</v>
      </c>
      <c r="K24" s="140">
        <f>IF(E9=0,('VACCINATION CALCULATOR'!$C$7*K6),IF(E9=1,('VACCINATION CALCULATOR'!$C$7*K7),IF(E9=2,('VACCINATION CALCULATOR'!$C$7*K8),IF(E9=3,('VACCINATION CALCULATOR'!$C$7*K9),IF(E9=4,('VACCINATION CALCULATOR'!$C$7*K10),IF(E9=5,('VACCINATION CALCULATOR'!$C$7*K11),"na"))))))</f>
        <v>2795.2925000000005</v>
      </c>
      <c r="L24" s="140">
        <f>IF(F9=0,('VACCINATION CALCULATOR'!$C$7*K6),IF(F9=1,('VACCINATION CALCULATOR'!$C$7*K7),IF(F9=2,('VACCINATION CALCULATOR'!$C$7*K8),IF(F9=3,('VACCINATION CALCULATOR'!$C$7*K9),IF(VH10=4,('VACCINATION CALCULATOR'!$C$7*K10),IF(F9=5,('VACCINATION CALCULATOR'!$C$7*K11),"na"))))))</f>
        <v>11181.170000000002</v>
      </c>
      <c r="M24" s="140">
        <f>IF(G9=0,('VACCINATION CALCULATOR'!$C$7*K6),IF(G9=1,('VACCINATION CALCULATOR'!$C$7*K7),IF(G9=2,('VACCINATION CALCULATOR'!$C$7*K8),IF(G9=3,('VACCINATION CALCULATOR'!$C$7*K9),IF(G9=4,('VACCINATION CALCULATOR'!$C$7*K10),IF(G9=5,('VACCINATION CALCULATOR'!$C$7*K11),"na"))))))</f>
        <v>33543.51</v>
      </c>
      <c r="N24" s="140">
        <f>IF(H9=0,('VACCINATION CALCULATOR'!$C$7*K6),IF(H9=1,('VACCINATION CALCULATOR'!$C$7*K7),IF(H9=2,('VACCINATION CALCULATOR'!$C$7*K8),IF(H9=3,('VACCINATION CALCULATOR'!$C$7*K9),IF(H9=4,('VACCINATION CALCULATOR'!$C$7*K10),IF(H9=5,('VACCINATION CALCULATOR'!$C$7*K11),"na"))))))</f>
        <v>44724.680000000008</v>
      </c>
      <c r="Q24" s="133" t="s">
        <v>5</v>
      </c>
      <c r="R24" s="163">
        <f>C24</f>
        <v>19312.93</v>
      </c>
      <c r="S24" s="163">
        <f>D24</f>
        <v>19312.93</v>
      </c>
      <c r="T24" s="163">
        <f>E24</f>
        <v>1016.4700000000001</v>
      </c>
      <c r="U24" s="163">
        <f>F24</f>
        <v>1016.4700000000001</v>
      </c>
      <c r="V24" s="163">
        <f>SMALL(S33:T33,1)</f>
        <v>0</v>
      </c>
      <c r="W24" s="163">
        <f>SMALL(U33:V33,1)</f>
        <v>19312.93</v>
      </c>
      <c r="X24" s="163">
        <f>SMALL(W35:X35,1)</f>
        <v>0</v>
      </c>
      <c r="Y24" s="163">
        <f>SMALL(Y35:Z35,1)</f>
        <v>0</v>
      </c>
      <c r="Z24" s="163">
        <f>SUM(V24:Y24)</f>
        <v>19312.93</v>
      </c>
      <c r="AA24">
        <f>V24*'VACCINATION CALCULATOR'!C20+Calculations!W24*'VACCINATION CALCULATOR'!C20+Calculations!X24*'VACCINATION CALCULATOR'!C20+Calculations!Y24*'VACCINATION CALCULATOR'!C21</f>
        <v>19312.93</v>
      </c>
    </row>
    <row r="25" spans="2:27" x14ac:dyDescent="0.25">
      <c r="C25" s="144">
        <f>((SQRT(100))*(VLOOKUP($Q$4,$O$6:$Q$15,3)*Pop_C)/3.92)</f>
        <v>6223.2857142857147</v>
      </c>
      <c r="D25" s="144">
        <f>((SQRT(100))*(VLOOKUP($Q$4,$O$6:$Q$15,3)*Pop_C)/3.92)</f>
        <v>6223.2857142857147</v>
      </c>
      <c r="E25" s="144">
        <f>((SQRT(100))*(VLOOKUP($Q$4,$O$6:$Q$15,3)*Pop_C)/3.92)</f>
        <v>6223.2857142857147</v>
      </c>
      <c r="F25" s="144">
        <f>((SQRT(100))*(VLOOKUP($Q$4,$O$6:$Q$15,3)*Pop_C)/3.92)</f>
        <v>6223.2857142857147</v>
      </c>
      <c r="G25" s="145">
        <f>((SQRT(100))*(VLOOKUP($Q$4,$O$6:$Q$15,3)*Pop_SC)/3.92)</f>
        <v>7779.1071428571422</v>
      </c>
      <c r="H25" s="144">
        <f>((SQRT(100))*(VLOOKUP($Q$4,$O$6:$Q$15,3)*Pop_SC)/3.92)</f>
        <v>7779.1071428571422</v>
      </c>
      <c r="I25" s="144">
        <f>((SQRT(100))*(VLOOKUP($Q$4,$O$6:$Q$15,3)*Pop_SC)/3.92)</f>
        <v>7779.1071428571422</v>
      </c>
      <c r="J25" s="144">
        <f>((SQRT(100))*(VLOOKUP($Q$4,$O$6:$Q$15,3)*Pop_SC)/3.92)</f>
        <v>7779.1071428571422</v>
      </c>
      <c r="K25" s="145">
        <f>((SQRT(100))*(VLOOKUP($Q$4,$O$6:$Q$15,3)*Pop_NC)/3.92)</f>
        <v>17114.035714285717</v>
      </c>
      <c r="L25" s="144">
        <f>((SQRT(100))*(VLOOKUP($Q$4,$O$6:$Q$15,3)*Pop_NC)/3.92)</f>
        <v>17114.035714285717</v>
      </c>
      <c r="M25" s="144">
        <f>((SQRT(100))*(VLOOKUP($Q$4,$O$6:$Q$15,3)*Pop_NC)/3.92)</f>
        <v>17114.035714285717</v>
      </c>
      <c r="N25" s="144">
        <f>((SQRT(100))*(VLOOKUP($Q$4,$O$6:$Q$15,3)*Pop_NC)/3.92)</f>
        <v>17114.035714285717</v>
      </c>
      <c r="Q25" s="133" t="s">
        <v>6</v>
      </c>
      <c r="R25" s="163">
        <f>G24</f>
        <v>20329.400000000001</v>
      </c>
      <c r="S25" s="163">
        <f>H24</f>
        <v>20329.400000000001</v>
      </c>
      <c r="T25" s="163">
        <f>I24</f>
        <v>20329.400000000001</v>
      </c>
      <c r="U25" s="163">
        <f>J24</f>
        <v>24141.162499999999</v>
      </c>
      <c r="V25" s="163">
        <f>SMALL(S34:T34,1)</f>
        <v>0</v>
      </c>
      <c r="W25" s="163">
        <f>SMALL(U34:V34,1)</f>
        <v>687.06999999999971</v>
      </c>
      <c r="X25" s="163">
        <f>SMALL(W33:X33,1)</f>
        <v>0</v>
      </c>
      <c r="Y25" s="163">
        <f>SMALL(Y34:Z34,1)</f>
        <v>15275.319999999992</v>
      </c>
      <c r="Z25" s="163">
        <f>SUM(V25:Y25)</f>
        <v>15962.389999999992</v>
      </c>
      <c r="AA25">
        <f>V25*'VACCINATION CALCULATOR'!C20+Calculations!W25*'VACCINATION CALCULATOR'!C20+Calculations!X25*'VACCINATION CALCULATOR'!C20+Calculations!Y25*'VACCINATION CALCULATOR'!C21</f>
        <v>12907.325999999994</v>
      </c>
    </row>
    <row r="26" spans="2:27" x14ac:dyDescent="0.25">
      <c r="B26" s="97" t="s">
        <v>34</v>
      </c>
      <c r="C26" s="146">
        <f ca="1">AVERAGE(C29:C130)</f>
        <v>18741.851244167676</v>
      </c>
      <c r="D26" s="146">
        <f t="shared" ref="D26:N26" ca="1" si="0">AVERAGE(D29:D130)</f>
        <v>19006.025700973834</v>
      </c>
      <c r="E26" s="146" t="e">
        <f t="shared" ca="1" si="0"/>
        <v>#DIV/0!</v>
      </c>
      <c r="F26" s="146" t="e">
        <f t="shared" ca="1" si="0"/>
        <v>#DIV/0!</v>
      </c>
      <c r="G26" s="147">
        <f t="shared" ca="1" si="0"/>
        <v>19768.422908662615</v>
      </c>
      <c r="H26" s="146">
        <f t="shared" ca="1" si="0"/>
        <v>19811.426774715164</v>
      </c>
      <c r="I26" s="146">
        <f t="shared" ca="1" si="0"/>
        <v>20267.434693006344</v>
      </c>
      <c r="J26" s="148">
        <f t="shared" ca="1" si="0"/>
        <v>23414.031576927548</v>
      </c>
      <c r="K26" s="146" t="e">
        <f t="shared" ca="1" si="0"/>
        <v>#DIV/0!</v>
      </c>
      <c r="L26" s="146">
        <f t="shared" ca="1" si="0"/>
        <v>8638.0244160163275</v>
      </c>
      <c r="M26" s="146">
        <f t="shared" ca="1" si="0"/>
        <v>34596.20230292881</v>
      </c>
      <c r="N26" s="146">
        <f t="shared" ca="1" si="0"/>
        <v>44814.475797324398</v>
      </c>
      <c r="Q26" s="168" t="s">
        <v>7</v>
      </c>
      <c r="R26" s="164">
        <f>K24</f>
        <v>2795.2925000000005</v>
      </c>
      <c r="S26" s="164">
        <f>L24</f>
        <v>11181.170000000002</v>
      </c>
      <c r="T26" s="164">
        <f>M24</f>
        <v>33543.51</v>
      </c>
      <c r="U26" s="164">
        <f>N24</f>
        <v>44724.680000000008</v>
      </c>
      <c r="V26" s="164">
        <f>SMALL(S35:T35,1)</f>
        <v>0</v>
      </c>
      <c r="W26" s="164">
        <f>SMALL(U35:V35,1)</f>
        <v>0</v>
      </c>
      <c r="X26" s="164">
        <f>SMALL(W34:X34,1)</f>
        <v>0</v>
      </c>
      <c r="Y26" s="164">
        <f>SMALL(Y33:Z33,1)</f>
        <v>44724.680000000008</v>
      </c>
      <c r="Z26" s="164">
        <f>SUM(V26:Y26)</f>
        <v>44724.680000000008</v>
      </c>
      <c r="AA26">
        <f>V26*'VACCINATION CALCULATOR'!C20+Calculations!W26*'VACCINATION CALCULATOR'!C20+Calculations!X26*'VACCINATION CALCULATOR'!C20+Calculations!Y26*'VACCINATION CALCULATOR'!C21</f>
        <v>35779.744000000006</v>
      </c>
    </row>
    <row r="27" spans="2:27" x14ac:dyDescent="0.25">
      <c r="B27" s="97" t="s">
        <v>147</v>
      </c>
      <c r="C27" s="144">
        <f ca="1">STDEV(C30:C130)</f>
        <v>1433.2371526133638</v>
      </c>
      <c r="D27" s="144">
        <f t="shared" ref="D27:N27" ca="1" si="1">STDEV(D30:D130)</f>
        <v>1357.7091467615276</v>
      </c>
      <c r="E27" s="144" t="e">
        <f t="shared" ca="1" si="1"/>
        <v>#DIV/0!</v>
      </c>
      <c r="F27" s="144" t="e">
        <f t="shared" ca="1" si="1"/>
        <v>#DIV/0!</v>
      </c>
      <c r="G27" s="145">
        <f t="shared" ca="1" si="1"/>
        <v>3576.6014663529777</v>
      </c>
      <c r="H27" s="144">
        <f t="shared" ca="1" si="1"/>
        <v>3520.7132921966568</v>
      </c>
      <c r="I27" s="144">
        <f t="shared" ca="1" si="1"/>
        <v>3467.1619559920691</v>
      </c>
      <c r="J27" s="149">
        <f t="shared" ca="1" si="1"/>
        <v>2130.185403830998</v>
      </c>
      <c r="K27" s="144" t="e">
        <f t="shared" ca="1" si="1"/>
        <v>#DIV/0!</v>
      </c>
      <c r="L27" s="144">
        <f t="shared" ca="1" si="1"/>
        <v>5271.8741455110594</v>
      </c>
      <c r="M27" s="144">
        <f t="shared" ca="1" si="1"/>
        <v>11319.92151413831</v>
      </c>
      <c r="N27" s="144">
        <f t="shared" ca="1" si="1"/>
        <v>7994.7568680945942</v>
      </c>
      <c r="Q27" s="169" t="s">
        <v>149</v>
      </c>
      <c r="R27" s="166"/>
      <c r="S27" s="166"/>
      <c r="T27" s="166"/>
      <c r="U27" s="166"/>
      <c r="V27" s="167">
        <f t="shared" ref="V27:AA27" si="2">SUM(V24:V26)</f>
        <v>0</v>
      </c>
      <c r="W27" s="167">
        <f t="shared" si="2"/>
        <v>20000</v>
      </c>
      <c r="X27" s="167">
        <f t="shared" si="2"/>
        <v>0</v>
      </c>
      <c r="Y27" s="167">
        <f t="shared" si="2"/>
        <v>60000</v>
      </c>
      <c r="Z27" s="167">
        <f t="shared" si="2"/>
        <v>80000</v>
      </c>
      <c r="AA27" s="167">
        <f t="shared" si="2"/>
        <v>68000</v>
      </c>
    </row>
    <row r="28" spans="2:27" x14ac:dyDescent="0.25">
      <c r="C28" s="144"/>
      <c r="D28" s="144"/>
      <c r="E28" s="144"/>
      <c r="F28" s="144"/>
      <c r="G28" s="145"/>
      <c r="H28" s="144"/>
      <c r="I28" s="144"/>
      <c r="J28" s="149"/>
      <c r="K28" s="144"/>
      <c r="L28" s="144"/>
      <c r="M28" s="144"/>
      <c r="N28" s="144"/>
      <c r="O28" s="11"/>
      <c r="Q28" s="168" t="s">
        <v>150</v>
      </c>
      <c r="R28" s="9"/>
      <c r="S28" s="9"/>
      <c r="T28" s="9"/>
      <c r="U28" s="9"/>
      <c r="V28" s="9" t="e">
        <f>Vax_CP/CP_Procured</f>
        <v>#DIV/0!</v>
      </c>
      <c r="W28" s="9">
        <f>Vax_DD/DD_Procured</f>
        <v>1</v>
      </c>
      <c r="X28" s="9" t="e">
        <f>Vax_CVR/CVR_Procured</f>
        <v>#DIV/0!</v>
      </c>
      <c r="Y28" s="9">
        <f>Vax_ORV/ORV_Procured</f>
        <v>1</v>
      </c>
      <c r="Z28" s="9"/>
    </row>
    <row r="29" spans="2:27" x14ac:dyDescent="0.25">
      <c r="B29" s="153"/>
      <c r="C29" s="150" t="s">
        <v>1</v>
      </c>
      <c r="D29" s="150" t="s">
        <v>0</v>
      </c>
      <c r="E29" s="150" t="s">
        <v>2</v>
      </c>
      <c r="F29" s="150" t="s">
        <v>3</v>
      </c>
      <c r="G29" s="151" t="s">
        <v>1</v>
      </c>
      <c r="H29" s="150" t="s">
        <v>0</v>
      </c>
      <c r="I29" s="150" t="s">
        <v>2</v>
      </c>
      <c r="J29" s="152" t="s">
        <v>3</v>
      </c>
      <c r="K29" s="150" t="s">
        <v>1</v>
      </c>
      <c r="L29" s="150" t="s">
        <v>0</v>
      </c>
      <c r="M29" s="150" t="s">
        <v>2</v>
      </c>
      <c r="N29" s="150" t="s">
        <v>3</v>
      </c>
    </row>
    <row r="30" spans="2:27" x14ac:dyDescent="0.25">
      <c r="C30"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30"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17623.925615902033</v>
      </c>
      <c r="E30"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0"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0"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21378.291547566914</v>
      </c>
      <c r="H30"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23193.520828204571</v>
      </c>
      <c r="I30"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20879.629633496599</v>
      </c>
      <c r="J30"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19123.624346814227</v>
      </c>
      <c r="K30"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0"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11579.814970711872</v>
      </c>
      <c r="M30"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43268.315627516662</v>
      </c>
      <c r="N30"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44267.146604204157</v>
      </c>
      <c r="Q30" s="97" t="s">
        <v>157</v>
      </c>
    </row>
    <row r="31" spans="2:27" x14ac:dyDescent="0.25">
      <c r="C31"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31"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31"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1"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1"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17359.192214533479</v>
      </c>
      <c r="H31"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25411.75</v>
      </c>
      <c r="I31"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20565.341288943655</v>
      </c>
      <c r="J31"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31"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1"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6689.767548577357</v>
      </c>
      <c r="M31"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30089.521340695566</v>
      </c>
      <c r="N31"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23004.338056777899</v>
      </c>
      <c r="Q31" s="170"/>
      <c r="R31" s="170"/>
      <c r="S31" s="594" t="s">
        <v>0</v>
      </c>
      <c r="T31" s="594"/>
      <c r="U31" s="594" t="s">
        <v>1</v>
      </c>
      <c r="V31" s="594"/>
      <c r="W31" s="594" t="s">
        <v>2</v>
      </c>
      <c r="X31" s="594"/>
      <c r="Y31" s="594" t="s">
        <v>3</v>
      </c>
      <c r="Z31" s="594"/>
    </row>
    <row r="32" spans="2:27" x14ac:dyDescent="0.25">
      <c r="C32"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17618.27417130442</v>
      </c>
      <c r="D32"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19541.68139017736</v>
      </c>
      <c r="E32"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2"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2"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25247.600910832651</v>
      </c>
      <c r="H32"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22653.630320412234</v>
      </c>
      <c r="I32"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21580.669199203749</v>
      </c>
      <c r="J32"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20934.247495008174</v>
      </c>
      <c r="K32"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2"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14250.209342098977</v>
      </c>
      <c r="M32"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35030.969426980999</v>
      </c>
      <c r="N32"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42101.35503732389</v>
      </c>
      <c r="Q32" s="162" t="s">
        <v>153</v>
      </c>
      <c r="R32" s="171" t="s">
        <v>152</v>
      </c>
      <c r="S32" s="139" t="s">
        <v>154</v>
      </c>
      <c r="T32" s="139" t="s">
        <v>9</v>
      </c>
      <c r="U32" s="139" t="s">
        <v>154</v>
      </c>
      <c r="V32" s="139" t="s">
        <v>9</v>
      </c>
      <c r="W32" s="139" t="s">
        <v>154</v>
      </c>
      <c r="X32" s="139" t="s">
        <v>9</v>
      </c>
      <c r="Y32" s="139" t="s">
        <v>154</v>
      </c>
      <c r="Z32" s="139" t="s">
        <v>9</v>
      </c>
    </row>
    <row r="33" spans="3:26" x14ac:dyDescent="0.25">
      <c r="C33"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33"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33"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3"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3"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20903.145637715646</v>
      </c>
      <c r="H33"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25411.75</v>
      </c>
      <c r="I33"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21697.790774106448</v>
      </c>
      <c r="J33"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33"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3"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7988.0312649580428</v>
      </c>
      <c r="M33"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41008.068325453096</v>
      </c>
      <c r="N33"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45824.117433227431</v>
      </c>
      <c r="Q33" s="133" t="s">
        <v>5</v>
      </c>
      <c r="R33" s="8">
        <v>1</v>
      </c>
      <c r="S33" s="163">
        <f>CP_Procured</f>
        <v>0</v>
      </c>
      <c r="T33" s="163">
        <f>R24</f>
        <v>19312.93</v>
      </c>
      <c r="U33" s="163">
        <f>DD_Procured</f>
        <v>20000</v>
      </c>
      <c r="V33" s="163">
        <f>MAX(0,(S24-V24))</f>
        <v>19312.93</v>
      </c>
      <c r="W33" s="163">
        <f>CVR_Procured</f>
        <v>0</v>
      </c>
      <c r="X33" s="163">
        <f>MAX(0,(T25-SUM(V25:W25)))</f>
        <v>19642.330000000002</v>
      </c>
      <c r="Y33" s="163">
        <f>ORV_Procured</f>
        <v>60000</v>
      </c>
      <c r="Z33" s="163">
        <f>MAX(0,(U26-SUM(V26:X26)))</f>
        <v>44724.680000000008</v>
      </c>
    </row>
    <row r="34" spans="3:26" x14ac:dyDescent="0.25">
      <c r="C34"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18929.86763766611</v>
      </c>
      <c r="D34"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17254.167516627593</v>
      </c>
      <c r="E34"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4"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4"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21897.533939924582</v>
      </c>
      <c r="H34"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15370.516548364967</v>
      </c>
      <c r="I34"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20960.169837693469</v>
      </c>
      <c r="J34"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22105.372048799312</v>
      </c>
      <c r="K34"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4"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15902.347570899932</v>
      </c>
      <c r="M34"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36036.508770249937</v>
      </c>
      <c r="N34"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53213.959805840008</v>
      </c>
      <c r="Q34" s="133" t="s">
        <v>6</v>
      </c>
      <c r="R34" s="8">
        <v>2</v>
      </c>
      <c r="S34" s="163">
        <f>S33-V24</f>
        <v>0</v>
      </c>
      <c r="T34" s="163">
        <f>R25</f>
        <v>20329.400000000001</v>
      </c>
      <c r="U34" s="163">
        <f>U33-W24</f>
        <v>687.06999999999971</v>
      </c>
      <c r="V34" s="163">
        <f>MAX(0,(S25-V25))</f>
        <v>20329.400000000001</v>
      </c>
      <c r="W34" s="163">
        <f>W33-X25</f>
        <v>0</v>
      </c>
      <c r="X34" s="163">
        <f>MAX(0,(T26-SUM(V26:W26)))</f>
        <v>33543.51</v>
      </c>
      <c r="Y34" s="163">
        <f>Y33-Y26</f>
        <v>15275.319999999992</v>
      </c>
      <c r="Z34" s="163">
        <f>MAX(0,(U25-SUM(V25:X25)))</f>
        <v>23454.092499999999</v>
      </c>
    </row>
    <row r="35" spans="3:26" x14ac:dyDescent="0.25">
      <c r="C35"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19829.671446893408</v>
      </c>
      <c r="D35"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18226.813349365246</v>
      </c>
      <c r="E35"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5"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5"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17873.640970488024</v>
      </c>
      <c r="H35"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17495.581333152055</v>
      </c>
      <c r="I35"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22629.242290368617</v>
      </c>
      <c r="J35"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23347.821734113535</v>
      </c>
      <c r="K35"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5"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11300.571841613524</v>
      </c>
      <c r="M35"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41596.630307410836</v>
      </c>
      <c r="N35"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40297.02591308632</v>
      </c>
      <c r="Q35" s="168" t="s">
        <v>7</v>
      </c>
      <c r="R35" s="9">
        <v>3</v>
      </c>
      <c r="S35" s="164">
        <f>S34-V25</f>
        <v>0</v>
      </c>
      <c r="T35" s="164">
        <f>R26</f>
        <v>2795.2925000000005</v>
      </c>
      <c r="U35" s="164">
        <f>U34-W25</f>
        <v>0</v>
      </c>
      <c r="V35" s="164">
        <f>MAX(0,(S26-V26))</f>
        <v>11181.170000000002</v>
      </c>
      <c r="W35" s="164">
        <f>W34-X26</f>
        <v>0</v>
      </c>
      <c r="X35" s="164">
        <f>MAX(0,(T24-SUM(V24:W24)))</f>
        <v>0</v>
      </c>
      <c r="Y35" s="164">
        <f>Y34-Y25</f>
        <v>0</v>
      </c>
      <c r="Z35" s="164">
        <f>MAX(0,(U24-SUM(V24:X24)))</f>
        <v>0</v>
      </c>
    </row>
    <row r="36" spans="3:26" x14ac:dyDescent="0.25">
      <c r="C36"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16712.182512292977</v>
      </c>
      <c r="D36"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20024.429996378065</v>
      </c>
      <c r="E36"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6"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6"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22772.495816873525</v>
      </c>
      <c r="H36"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17264.508594213206</v>
      </c>
      <c r="I36"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22208.716204478413</v>
      </c>
      <c r="J36"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25367.492643513553</v>
      </c>
      <c r="K36"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6"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17393.205820484178</v>
      </c>
      <c r="M36"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30961.582396522099</v>
      </c>
      <c r="N36"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53996.21437182618</v>
      </c>
      <c r="Q36" s="8"/>
      <c r="R36" s="8"/>
      <c r="S36" s="8"/>
      <c r="T36" s="8"/>
      <c r="U36" s="8"/>
      <c r="V36" s="8"/>
      <c r="W36" s="8"/>
      <c r="X36" s="8"/>
      <c r="Y36" s="8"/>
      <c r="Z36" s="8"/>
    </row>
    <row r="37" spans="3:26" x14ac:dyDescent="0.25">
      <c r="C37"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37"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17629.815697639351</v>
      </c>
      <c r="E37"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7"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7"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21777.036841059868</v>
      </c>
      <c r="H37"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23247.275975818</v>
      </c>
      <c r="I37"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23725.698234488689</v>
      </c>
      <c r="J37"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22161.689867647143</v>
      </c>
      <c r="K37"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7"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0</v>
      </c>
      <c r="M37"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39857.813807798004</v>
      </c>
      <c r="N37"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31315.932018718267</v>
      </c>
      <c r="Q37" s="97" t="s">
        <v>202</v>
      </c>
    </row>
    <row r="38" spans="3:26" x14ac:dyDescent="0.25">
      <c r="C38"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18492.413967089982</v>
      </c>
      <c r="D38"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17414.002124737963</v>
      </c>
      <c r="E38"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8"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8"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20313.42880209965</v>
      </c>
      <c r="H38"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21991.792215001758</v>
      </c>
      <c r="I38"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23159.509111991538</v>
      </c>
      <c r="J38"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21174.602809485972</v>
      </c>
      <c r="K38"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8"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1647.8289823397038</v>
      </c>
      <c r="M38"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23413.490367257004</v>
      </c>
      <c r="N38"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42701.941931107824</v>
      </c>
      <c r="Q38" s="172" t="s">
        <v>12</v>
      </c>
      <c r="R38" s="172" t="s">
        <v>14</v>
      </c>
      <c r="S38" s="172" t="s">
        <v>17</v>
      </c>
      <c r="T38" s="172" t="s">
        <v>13</v>
      </c>
      <c r="U38" s="172" t="s">
        <v>17</v>
      </c>
      <c r="V38" s="172" t="s">
        <v>15</v>
      </c>
      <c r="W38" s="172" t="s">
        <v>17</v>
      </c>
      <c r="X38" s="172" t="s">
        <v>16</v>
      </c>
      <c r="Y38" s="172" t="s">
        <v>17</v>
      </c>
      <c r="Z38" s="172" t="s">
        <v>18</v>
      </c>
    </row>
    <row r="39" spans="3:26" x14ac:dyDescent="0.25">
      <c r="C39"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39"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15074.874167687312</v>
      </c>
      <c r="E39"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9"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9"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18750.656816776616</v>
      </c>
      <c r="H39"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20911.112870850255</v>
      </c>
      <c r="I39"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23053.256595949228</v>
      </c>
      <c r="J39"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23333.777350395198</v>
      </c>
      <c r="K39"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9"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13049.98033936367</v>
      </c>
      <c r="M39"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50280.733669553352</v>
      </c>
      <c r="N39"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51867.951424058956</v>
      </c>
      <c r="Q39" s="133" t="s">
        <v>5</v>
      </c>
      <c r="R39" s="175">
        <f>IF(SUM(V24:Y24)=0,0,V24/SUM(V24:Y24))</f>
        <v>0</v>
      </c>
      <c r="S39" s="176">
        <f>R39*D25</f>
        <v>0</v>
      </c>
      <c r="T39" s="175">
        <f>IF(SUM(V24:Y24)=0,0,W24/SUM(V24:Y24))</f>
        <v>1</v>
      </c>
      <c r="U39" s="176">
        <f>T39*C25</f>
        <v>6223.2857142857147</v>
      </c>
      <c r="V39" s="175">
        <f>IF(SUM(V24:Y24)=0,0,X24/SUM(V24:Y24))</f>
        <v>0</v>
      </c>
      <c r="W39" s="176">
        <f>V39*E25</f>
        <v>0</v>
      </c>
      <c r="X39" s="175">
        <f>IF(SUM(V24:Y24)=0,0,Y24/SUM(V24:Y24))</f>
        <v>0</v>
      </c>
      <c r="Y39" s="176">
        <f>X39*F25</f>
        <v>0</v>
      </c>
      <c r="Z39" s="176">
        <f>SUM(S39,U39,W39,Y39)</f>
        <v>6223.2857142857147</v>
      </c>
    </row>
    <row r="40" spans="3:26" x14ac:dyDescent="0.25">
      <c r="C40"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18567.662647278768</v>
      </c>
      <c r="D40"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16101.60523045019</v>
      </c>
      <c r="E40"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0"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0"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19558.778644341961</v>
      </c>
      <c r="H40"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17760.804864250527</v>
      </c>
      <c r="I40"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21603.557456580307</v>
      </c>
      <c r="J40"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19341.782512181682</v>
      </c>
      <c r="K40"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0"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5953.964698162722</v>
      </c>
      <c r="M40"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32401.180658540696</v>
      </c>
      <c r="N40"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52631.02831077615</v>
      </c>
      <c r="Q40" s="133" t="s">
        <v>6</v>
      </c>
      <c r="R40" s="175">
        <f>IF(SUM(V25:Y25)=0,0,V25/SUM(V25:Y25))</f>
        <v>0</v>
      </c>
      <c r="S40" s="176">
        <f>R40*H25</f>
        <v>0</v>
      </c>
      <c r="T40" s="175">
        <f>IF(SUM(V25:Y25)=0,0,W25/SUM(V25:Y25))</f>
        <v>4.3043053076638277E-2</v>
      </c>
      <c r="U40" s="176">
        <f>T40*G25</f>
        <v>334.83652163885591</v>
      </c>
      <c r="V40" s="175">
        <f>IF(SUM(V25:Y25)=0,0,X25/SUM(V25:Y25))</f>
        <v>0</v>
      </c>
      <c r="W40" s="176">
        <f>V40*I25</f>
        <v>0</v>
      </c>
      <c r="X40" s="175">
        <f>IF(SUM(V25:Y25)=0,0,Y25/SUM(V25:Y25))</f>
        <v>0.95695694692336175</v>
      </c>
      <c r="Y40" s="176">
        <f>X40*J25</f>
        <v>7444.2706212182866</v>
      </c>
      <c r="Z40" s="176">
        <f>SUM(S40,U40,W40,Y40)</f>
        <v>7779.1071428571422</v>
      </c>
    </row>
    <row r="41" spans="3:26" x14ac:dyDescent="0.25">
      <c r="C41"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18098.370591295883</v>
      </c>
      <c r="D41"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16914.575206217392</v>
      </c>
      <c r="E41"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1"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1"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19578.464482888437</v>
      </c>
      <c r="H41"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17880.112479232077</v>
      </c>
      <c r="I41"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16534.58130174072</v>
      </c>
      <c r="J41"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24863.708487029009</v>
      </c>
      <c r="K41"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1"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0</v>
      </c>
      <c r="M41"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35531.5059836363</v>
      </c>
      <c r="N41"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44432.755597214702</v>
      </c>
      <c r="Q41" s="133" t="s">
        <v>7</v>
      </c>
      <c r="R41" s="175">
        <f>IF(SUM(V26:Y26)=0,0,V26/SUM(V26:Y26))</f>
        <v>0</v>
      </c>
      <c r="S41" s="176">
        <f>R41*L25</f>
        <v>0</v>
      </c>
      <c r="T41" s="175">
        <f>IF(SUM(V26:Y26)=0,0,W26/SUM(V26:Y26))</f>
        <v>0</v>
      </c>
      <c r="U41" s="176">
        <f>T41*K25</f>
        <v>0</v>
      </c>
      <c r="V41" s="175">
        <f>IF(SUM(V26:Y26)=0,0,X26/SUM(V26:Y26))</f>
        <v>0</v>
      </c>
      <c r="W41" s="176">
        <f>V41*M25</f>
        <v>0</v>
      </c>
      <c r="X41" s="175">
        <f>IF(SUM(V26:Y26)=0,0,Y26/SUM(V26:Y26))</f>
        <v>1</v>
      </c>
      <c r="Y41" s="176">
        <f>X41*N25</f>
        <v>17114.035714285717</v>
      </c>
      <c r="Z41" s="176">
        <f>SUM(S41,U41,W41,Y41)</f>
        <v>17114.035714285717</v>
      </c>
    </row>
    <row r="42" spans="3:26" x14ac:dyDescent="0.25">
      <c r="C42"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18726.928232059996</v>
      </c>
      <c r="D42"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19334.559897232011</v>
      </c>
      <c r="E42"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2"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2"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20108.877998716864</v>
      </c>
      <c r="H42"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18809.50852278297</v>
      </c>
      <c r="I42"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21756.827987735247</v>
      </c>
      <c r="J42"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23161.371023099637</v>
      </c>
      <c r="K42"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2"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4034.2328685261109</v>
      </c>
      <c r="M42"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45722.755353755718</v>
      </c>
      <c r="N42"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41036.686787496597</v>
      </c>
      <c r="Q42" s="8" t="s">
        <v>27</v>
      </c>
      <c r="R42" s="175"/>
      <c r="S42" s="176">
        <f>SUM(S39:S41)</f>
        <v>0</v>
      </c>
      <c r="T42" s="175"/>
      <c r="U42" s="176">
        <f>SUM(U39:U41)</f>
        <v>6558.1222359245703</v>
      </c>
      <c r="V42" s="175"/>
      <c r="W42" s="176">
        <f>SUM(W39:W41)</f>
        <v>0</v>
      </c>
      <c r="X42" s="175"/>
      <c r="Y42" s="176">
        <f>SUM(Y39:Y41)</f>
        <v>24558.306335504003</v>
      </c>
      <c r="Z42" s="176">
        <f>SUM(S42,U42,W42,Y42)</f>
        <v>31116.428571428572</v>
      </c>
    </row>
    <row r="43" spans="3:26" x14ac:dyDescent="0.25">
      <c r="C43"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18208.199402389859</v>
      </c>
      <c r="D43"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43"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3"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3"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24664.840856974904</v>
      </c>
      <c r="H43"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19081.071188602898</v>
      </c>
      <c r="I43"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21622.54945366726</v>
      </c>
      <c r="J43"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20536.956352423753</v>
      </c>
      <c r="K43"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3"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10481.155396627426</v>
      </c>
      <c r="M43"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26625.513395305083</v>
      </c>
      <c r="N43"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55905.850000000006</v>
      </c>
      <c r="Q43" s="9" t="s">
        <v>182</v>
      </c>
      <c r="R43" s="206"/>
      <c r="S43" s="177">
        <f>SUM(S40:S41)</f>
        <v>0</v>
      </c>
      <c r="T43" s="206"/>
      <c r="U43" s="177">
        <f>SUM(U40:U41)</f>
        <v>334.83652163885591</v>
      </c>
      <c r="V43" s="206"/>
      <c r="W43" s="177">
        <f>SUM(W40:W41)</f>
        <v>0</v>
      </c>
      <c r="X43" s="206"/>
      <c r="Y43" s="177">
        <f>SUM(Y40:Y41)</f>
        <v>24558.306335504003</v>
      </c>
      <c r="Z43" s="177">
        <f>SUM(S43,U43,W43,Y43)</f>
        <v>24893.142857142859</v>
      </c>
    </row>
    <row r="44" spans="3:26" x14ac:dyDescent="0.25">
      <c r="C44"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19312.922069528919</v>
      </c>
      <c r="D44"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18551.22409860884</v>
      </c>
      <c r="E44"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4"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4"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14596.257979132472</v>
      </c>
      <c r="H44"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22740.601723255651</v>
      </c>
      <c r="I44"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19793.549530233155</v>
      </c>
      <c r="J44"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21717.405079472552</v>
      </c>
      <c r="K44"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4"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4856.5893647816356</v>
      </c>
      <c r="M44"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33174.636207984535</v>
      </c>
      <c r="N44"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42495.441339976132</v>
      </c>
    </row>
    <row r="45" spans="3:26" x14ac:dyDescent="0.25">
      <c r="C45"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17891.42818850316</v>
      </c>
      <c r="D45"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17228.880354418601</v>
      </c>
      <c r="E45"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5"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5"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18518.036155093963</v>
      </c>
      <c r="H45"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19961.492531137385</v>
      </c>
      <c r="I45"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19223.576034597754</v>
      </c>
      <c r="J45"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45"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5"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11717.963391213185</v>
      </c>
      <c r="M45"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19951.453010244961</v>
      </c>
      <c r="N45"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39988.844168315074</v>
      </c>
      <c r="Q45" s="97" t="s">
        <v>203</v>
      </c>
    </row>
    <row r="46" spans="3:26" x14ac:dyDescent="0.25">
      <c r="C46"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19937.322659335077</v>
      </c>
      <c r="D46"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46"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6"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6"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14186.659771173956</v>
      </c>
      <c r="H46"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21436.250931605959</v>
      </c>
      <c r="I46"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16272.94223122019</v>
      </c>
      <c r="J46"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19420.190368331718</v>
      </c>
      <c r="K46"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6"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17648.067593264695</v>
      </c>
      <c r="M46"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41030.751766843001</v>
      </c>
      <c r="N46"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41758.99214053138</v>
      </c>
      <c r="Q46" s="172"/>
      <c r="R46" s="172" t="s">
        <v>158</v>
      </c>
      <c r="S46" s="172" t="s">
        <v>10</v>
      </c>
      <c r="T46" s="172" t="s">
        <v>11</v>
      </c>
      <c r="U46" s="172" t="s">
        <v>159</v>
      </c>
    </row>
    <row r="47" spans="3:26" x14ac:dyDescent="0.25">
      <c r="C47"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18002.47499951144</v>
      </c>
      <c r="D47"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47"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7"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7"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13316.951179659744</v>
      </c>
      <c r="H47"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13968.428017723991</v>
      </c>
      <c r="I47"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19114.443043185813</v>
      </c>
      <c r="J47"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20789.238605815284</v>
      </c>
      <c r="K47"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7"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15230.483163897514</v>
      </c>
      <c r="M47"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38198.242728506477</v>
      </c>
      <c r="N47"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45550.319709575953</v>
      </c>
      <c r="Q47" s="133" t="s">
        <v>5</v>
      </c>
      <c r="R47" s="176">
        <f>IF(Z39=0,0,_xlfn.CONFIDENCE.T(0.05,Z39,100))</f>
        <v>1234.8349008851294</v>
      </c>
      <c r="S47" s="173">
        <f>MAX(0,((SUM(V24:Y24)-(R47))/Pop_C))</f>
        <v>0.8892586647473546</v>
      </c>
      <c r="T47" s="173">
        <f>MIN(1,(SUM(V24:Y24)+(R47))/Pop_C)</f>
        <v>1</v>
      </c>
      <c r="U47" s="173">
        <f>'VACCINATION CALCULATOR'!M10-S47</f>
        <v>6.0741335252645356E-2</v>
      </c>
    </row>
    <row r="48" spans="3:26" x14ac:dyDescent="0.25">
      <c r="C48"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19270.100694566823</v>
      </c>
      <c r="D48"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18452.155112381486</v>
      </c>
      <c r="E48"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8"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8"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10117.129348434042</v>
      </c>
      <c r="H48"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17809.872829993961</v>
      </c>
      <c r="I48"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25411.75</v>
      </c>
      <c r="J48"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18830.505353795452</v>
      </c>
      <c r="K48"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8"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8594.1522319655614</v>
      </c>
      <c r="M48"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43343.921044490336</v>
      </c>
      <c r="N48"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46542.037296806244</v>
      </c>
      <c r="Q48" s="133" t="s">
        <v>6</v>
      </c>
      <c r="R48" s="176">
        <f>IF(Z40=0,0,_xlfn.CONFIDENCE.T(0.05,Z40,100))</f>
        <v>1543.5436261064117</v>
      </c>
      <c r="S48" s="173">
        <f>MAX(0,((SUM(V25:Y25)-(R48))/Pop_SC))</f>
        <v>0.5674086347415499</v>
      </c>
      <c r="T48" s="173">
        <f>MIN(1,(SUM(V25:Y25)+(R48))/Pop_SC)</f>
        <v>0.68889130524684072</v>
      </c>
      <c r="U48" s="173">
        <f>'VACCINATION CALCULATOR'!M11-S48</f>
        <v>6.0741335252645356E-2</v>
      </c>
    </row>
    <row r="49" spans="3:25" x14ac:dyDescent="0.25">
      <c r="C49"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18523.828044499831</v>
      </c>
      <c r="D49"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49"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9"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9"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17951.955705696018</v>
      </c>
      <c r="H49"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21635.29054530762</v>
      </c>
      <c r="I49"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16393.752406618689</v>
      </c>
      <c r="J49"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24119.680845981682</v>
      </c>
      <c r="K49"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9"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5802.7584245206608</v>
      </c>
      <c r="M49"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44644.485549838086</v>
      </c>
      <c r="N49"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36318.814389146741</v>
      </c>
      <c r="Q49" s="133" t="s">
        <v>7</v>
      </c>
      <c r="R49" s="176">
        <f>IF(Z41=0,0,_xlfn.CONFIDENCE.T(0.05,Z41,100))</f>
        <v>3395.7959774341066</v>
      </c>
      <c r="S49" s="173">
        <f>MAX(0,((SUM(V26:Y26)-(R49))/Pop_NC))</f>
        <v>0.73925866474735469</v>
      </c>
      <c r="T49" s="173">
        <f>MIN(1,(SUM(V26:Y26)+(R49))/Pop_NC)</f>
        <v>0.86074133525264551</v>
      </c>
      <c r="U49" s="173">
        <f>'VACCINATION CALCULATOR'!M12-S49</f>
        <v>6.0741335252645356E-2</v>
      </c>
    </row>
    <row r="50" spans="3:25" x14ac:dyDescent="0.25">
      <c r="C50"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18235.121159131253</v>
      </c>
      <c r="D50"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19428.216166318725</v>
      </c>
      <c r="E50"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0"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0"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16063.964670849784</v>
      </c>
      <c r="H50"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10747.319592185593</v>
      </c>
      <c r="I50"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13894.210514140634</v>
      </c>
      <c r="J50"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50"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0"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11329.294222814096</v>
      </c>
      <c r="M50"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54014.17268777141</v>
      </c>
      <c r="N50"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51513.941869633243</v>
      </c>
      <c r="Q50" s="8" t="s">
        <v>27</v>
      </c>
      <c r="R50" s="176">
        <f>IF(Z42=0,0,_xlfn.CONFIDENCE.T(0.05,Z42,100))</f>
        <v>6174.1745044256477</v>
      </c>
      <c r="S50" s="173">
        <f>MAX(0,((SUM(V24:Y26)-R50)/Pop_all))</f>
        <v>0.72629615724590346</v>
      </c>
      <c r="T50" s="173">
        <f>MIN(1,(SUM(V24:Y26)+R50)/Pop_all)</f>
        <v>0.8477788277511944</v>
      </c>
      <c r="U50" s="173">
        <f>'VACCINATION CALCULATOR'!M15-S50</f>
        <v>6.0741335252645468E-2</v>
      </c>
    </row>
    <row r="51" spans="3:25" x14ac:dyDescent="0.25">
      <c r="C51"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51"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18640.263820019725</v>
      </c>
      <c r="E51"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1"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1"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16243.032695206428</v>
      </c>
      <c r="H51"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23349.559200241936</v>
      </c>
      <c r="I51"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23238.932515511213</v>
      </c>
      <c r="J51"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51"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1"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10328.138229514303</v>
      </c>
      <c r="M51"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15606.660887727336</v>
      </c>
      <c r="N51"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42848.885687342263</v>
      </c>
      <c r="Q51" s="9" t="s">
        <v>182</v>
      </c>
      <c r="R51" s="176">
        <f>IF(Z43=0,0,_xlfn.CONFIDENCE.T(0.05,Z43,100))</f>
        <v>4939.3396035405176</v>
      </c>
      <c r="S51" s="174">
        <f>MAX(0,((SUM(V25:Y26)-R51)/(Pop_SC+Pop_NC)))</f>
        <v>0.68555553037054073</v>
      </c>
      <c r="T51" s="174">
        <f>MIN(1,(SUM(V25:Y26)+R51)/(Pop_SC+Pop_NC))</f>
        <v>0.80703820087583156</v>
      </c>
      <c r="U51" s="174">
        <f>'VACCINATION CALCULATOR'!M16-S51</f>
        <v>6.0741335252645356E-2</v>
      </c>
    </row>
    <row r="52" spans="3:25" x14ac:dyDescent="0.25">
      <c r="C52"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19988.884389665327</v>
      </c>
      <c r="D52"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52"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2"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2"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15229.676816230271</v>
      </c>
      <c r="H52"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21372.173985582805</v>
      </c>
      <c r="I52"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14502.496362234795</v>
      </c>
      <c r="J52"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52"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2"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9248.8207286037523</v>
      </c>
      <c r="M52"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54608.42668597553</v>
      </c>
      <c r="N52"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45311.076247829944</v>
      </c>
    </row>
    <row r="53" spans="3:25" x14ac:dyDescent="0.25">
      <c r="C53"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18348.852994537967</v>
      </c>
      <c r="D53"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19010.128845292704</v>
      </c>
      <c r="E53"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3"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3"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20891.263884345804</v>
      </c>
      <c r="H53"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15746.105855237061</v>
      </c>
      <c r="I53"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15552.990481769828</v>
      </c>
      <c r="J53"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21206.855655088719</v>
      </c>
      <c r="K53"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3"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4798.0179568665499</v>
      </c>
      <c r="M53"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29133.217325467973</v>
      </c>
      <c r="N53"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49707.394859768006</v>
      </c>
      <c r="Q53" s="97" t="s">
        <v>19</v>
      </c>
    </row>
    <row r="54" spans="3:25" x14ac:dyDescent="0.25">
      <c r="C54"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19926.476179593723</v>
      </c>
      <c r="D54"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18731.951161450404</v>
      </c>
      <c r="E54"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4"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4"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17568.612806116183</v>
      </c>
      <c r="H54"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15726.436892247912</v>
      </c>
      <c r="I54"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21672.517728844708</v>
      </c>
      <c r="J54"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54"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4"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13188.680918144926</v>
      </c>
      <c r="M54"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47145.953256649198</v>
      </c>
      <c r="N54"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55659.545619080622</v>
      </c>
      <c r="Q54" s="172"/>
      <c r="R54" s="172" t="s">
        <v>20</v>
      </c>
      <c r="S54" s="172" t="s">
        <v>160</v>
      </c>
      <c r="T54" s="172" t="s">
        <v>23</v>
      </c>
      <c r="U54" s="172" t="s">
        <v>24</v>
      </c>
      <c r="V54" s="172" t="s">
        <v>25</v>
      </c>
      <c r="W54" s="172" t="s">
        <v>26</v>
      </c>
      <c r="X54" s="172" t="s">
        <v>21</v>
      </c>
      <c r="Y54" s="172" t="s">
        <v>22</v>
      </c>
    </row>
    <row r="55" spans="3:25" x14ac:dyDescent="0.25">
      <c r="C55"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17487.841685655367</v>
      </c>
      <c r="D55"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55"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5"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5"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21670.492055492748</v>
      </c>
      <c r="H55"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18958.89474306328</v>
      </c>
      <c r="I55"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21906.546893623254</v>
      </c>
      <c r="J55"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55"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5"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7876.7663959965921</v>
      </c>
      <c r="M55"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55905.850000000006</v>
      </c>
      <c r="N55"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25862.948158019492</v>
      </c>
      <c r="Q55" s="133" t="s">
        <v>5</v>
      </c>
      <c r="R55" s="8">
        <f>Pop_C</f>
        <v>20329.400000000001</v>
      </c>
      <c r="S55" s="8">
        <f>Pop_C*$U$12</f>
        <v>81317.600000000006</v>
      </c>
      <c r="T55" s="178">
        <f>V24/S55</f>
        <v>0</v>
      </c>
      <c r="U55" s="178">
        <f>(SUM(V24:W24)/S55)</f>
        <v>0.23749999999999999</v>
      </c>
      <c r="V55" s="178">
        <f>((SUM(V24:X24)/S55))</f>
        <v>0.23749999999999999</v>
      </c>
      <c r="W55" s="178">
        <f>((SUM(V24:Y24)/S55))</f>
        <v>0.23749999999999999</v>
      </c>
      <c r="X55" s="10">
        <f>SUM(V24:Y24)-S55</f>
        <v>-62004.670000000006</v>
      </c>
      <c r="Y55" s="175">
        <f>X55/Vax_C</f>
        <v>-3.2105263157894739</v>
      </c>
    </row>
    <row r="56" spans="3:25" x14ac:dyDescent="0.25">
      <c r="C56"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56"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56"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6"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6"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19719.271813249423</v>
      </c>
      <c r="H56"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19196.234896287548</v>
      </c>
      <c r="I56"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15887.858827508706</v>
      </c>
      <c r="J56"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56"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6"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4622.5326458797363</v>
      </c>
      <c r="M56"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30656.530190022309</v>
      </c>
      <c r="N56"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51438.412452589342</v>
      </c>
      <c r="Q56" s="133" t="s">
        <v>6</v>
      </c>
      <c r="R56" s="8">
        <f>Pop_SC</f>
        <v>25411.75</v>
      </c>
      <c r="S56" s="8">
        <f>Pop_SC*$U$12</f>
        <v>101647</v>
      </c>
      <c r="T56" s="178">
        <f>(V25/S56)</f>
        <v>0</v>
      </c>
      <c r="U56" s="178">
        <f>(SUM(V25:W25)/S56)</f>
        <v>6.7593731246372224E-3</v>
      </c>
      <c r="V56" s="178">
        <f>((SUM(V25:X25)/S56))</f>
        <v>6.7593731246372224E-3</v>
      </c>
      <c r="W56" s="178">
        <f>((SUM(V25:Y25)/S56))</f>
        <v>0.15703749249854881</v>
      </c>
      <c r="X56" s="10">
        <f>SUM(V25:Y25)-S56</f>
        <v>-85684.610000000015</v>
      </c>
      <c r="Y56" s="175">
        <f>X56/Vax_C</f>
        <v>-4.4366447763234271</v>
      </c>
    </row>
    <row r="57" spans="3:25" x14ac:dyDescent="0.25">
      <c r="C57"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18950.041185779599</v>
      </c>
      <c r="D57"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19269.816133807908</v>
      </c>
      <c r="E57"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7"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7"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15410.798864570226</v>
      </c>
      <c r="H57"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25024.225647371008</v>
      </c>
      <c r="I57"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19096.417619741962</v>
      </c>
      <c r="J57"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22763.385173384009</v>
      </c>
      <c r="K57"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7"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18463.463838382631</v>
      </c>
      <c r="M57"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17536.678725553997</v>
      </c>
      <c r="N57"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42896.364289419405</v>
      </c>
      <c r="Q57" s="133" t="s">
        <v>7</v>
      </c>
      <c r="R57" s="8">
        <f>Pop_NC</f>
        <v>55905.850000000006</v>
      </c>
      <c r="S57" s="8">
        <f>Pop_NC*$U$12</f>
        <v>223623.40000000002</v>
      </c>
      <c r="T57" s="178">
        <f>(V26/S57)</f>
        <v>0</v>
      </c>
      <c r="U57" s="178">
        <f>((SUM(V26:W26)/S57))</f>
        <v>0</v>
      </c>
      <c r="V57" s="178">
        <f>((SUM(V26:X26)/S57))</f>
        <v>0</v>
      </c>
      <c r="W57" s="178">
        <f>((SUM(V26:Y26)/S57))</f>
        <v>0.2</v>
      </c>
      <c r="X57" s="10">
        <f>SUM(V26:Y26)-S57</f>
        <v>-178898.72000000003</v>
      </c>
      <c r="Y57" s="175">
        <f>X57/Vax_C</f>
        <v>-9.2631578947368443</v>
      </c>
    </row>
    <row r="58" spans="3:25" x14ac:dyDescent="0.25">
      <c r="C58"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17289.166835713051</v>
      </c>
      <c r="D58"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16208.448967836319</v>
      </c>
      <c r="E58"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8"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8"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20972.785990516673</v>
      </c>
      <c r="H58"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22386.122952170048</v>
      </c>
      <c r="I58"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18816.29198147836</v>
      </c>
      <c r="J58"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58"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8"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0</v>
      </c>
      <c r="M58"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33929.121698496085</v>
      </c>
      <c r="N58"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51035.939564487715</v>
      </c>
      <c r="Q58" s="9" t="s">
        <v>27</v>
      </c>
      <c r="R58" s="9">
        <f>Pop_all</f>
        <v>101647</v>
      </c>
      <c r="S58" s="9">
        <f>Pop_all*$U$12</f>
        <v>406588</v>
      </c>
      <c r="T58" s="179">
        <f>(SUM(V24:V26)/S58)</f>
        <v>0</v>
      </c>
      <c r="U58" s="179">
        <f>(SUM(V24:W26)/S58)</f>
        <v>4.9189843281159308E-2</v>
      </c>
      <c r="V58" s="179">
        <f>(SUM(V24:X26)/S58)</f>
        <v>4.9189843281159308E-2</v>
      </c>
      <c r="W58" s="179">
        <f>(SUM(V24:Y26)/S58)</f>
        <v>0.19675937312463723</v>
      </c>
      <c r="X58" s="9"/>
      <c r="Y58" s="9"/>
    </row>
    <row r="59" spans="3:25" x14ac:dyDescent="0.25">
      <c r="C59"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18898.318856450249</v>
      </c>
      <c r="D59"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19523.025678763279</v>
      </c>
      <c r="E59"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9"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9"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19824.734636160312</v>
      </c>
      <c r="H59"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16953.553345338729</v>
      </c>
      <c r="I59"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17557.996568825292</v>
      </c>
      <c r="J59"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25064.54790865607</v>
      </c>
      <c r="K59"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9"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7438.4189085671424</v>
      </c>
      <c r="M59"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27406.538520644772</v>
      </c>
      <c r="N59"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46239.497569903935</v>
      </c>
    </row>
    <row r="60" spans="3:25" x14ac:dyDescent="0.25">
      <c r="C60"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18542.549756996723</v>
      </c>
      <c r="D60"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15940.764694979061</v>
      </c>
      <c r="E60"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0"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0"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25411.75</v>
      </c>
      <c r="H60"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22828.372988692259</v>
      </c>
      <c r="I60"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18981.119797384636</v>
      </c>
      <c r="J60"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60"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0"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15898.041564976425</v>
      </c>
      <c r="M60"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25434.055692897375</v>
      </c>
      <c r="N60"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55905.850000000006</v>
      </c>
      <c r="Q60" s="133" t="s">
        <v>249</v>
      </c>
    </row>
    <row r="61" spans="3:25" x14ac:dyDescent="0.25">
      <c r="C61"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18046.141515036114</v>
      </c>
      <c r="D61"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61"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1"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1"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17113.38248008466</v>
      </c>
      <c r="H61"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24169.388044020121</v>
      </c>
      <c r="I61"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25411.75</v>
      </c>
      <c r="J61"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61"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1"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3827.5018930720798</v>
      </c>
      <c r="M61"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39390.341171810367</v>
      </c>
      <c r="N61"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35146.874582977725</v>
      </c>
    </row>
    <row r="62" spans="3:25" x14ac:dyDescent="0.25">
      <c r="C62"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17335.33610768108</v>
      </c>
      <c r="D62"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20112.767488332312</v>
      </c>
      <c r="E62"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2"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2"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23258.94491657395</v>
      </c>
      <c r="H62"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25411.75</v>
      </c>
      <c r="I62"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21837.824081014121</v>
      </c>
      <c r="J62"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22029.863359717772</v>
      </c>
      <c r="K62"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2"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0</v>
      </c>
      <c r="M62"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29682.594303924485</v>
      </c>
      <c r="N62"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50701.056830616377</v>
      </c>
    </row>
    <row r="63" spans="3:25" x14ac:dyDescent="0.25">
      <c r="C63"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15130.353510328001</v>
      </c>
      <c r="D63"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63"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3"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3"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14090.698663106794</v>
      </c>
      <c r="H63"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18804.096790670304</v>
      </c>
      <c r="I63"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21565.846967975864</v>
      </c>
      <c r="J63"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63"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3"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1850.8801991460668</v>
      </c>
      <c r="M63"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22963.465854802547</v>
      </c>
      <c r="N63"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39806.375560152243</v>
      </c>
    </row>
    <row r="64" spans="3:25" x14ac:dyDescent="0.25">
      <c r="C64"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16800.75323007636</v>
      </c>
      <c r="D64"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64"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4"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4"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21243.970795430578</v>
      </c>
      <c r="H64"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17291.099827772749</v>
      </c>
      <c r="I64"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12446.548965905822</v>
      </c>
      <c r="J64"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24149.151882052603</v>
      </c>
      <c r="K64"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4"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7599.7980787119213</v>
      </c>
      <c r="M64"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43823.420720384711</v>
      </c>
      <c r="N64"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48463.444019027207</v>
      </c>
    </row>
    <row r="65" spans="3:17" x14ac:dyDescent="0.25">
      <c r="C65"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18055.83287255474</v>
      </c>
      <c r="D65"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19383.218649022754</v>
      </c>
      <c r="E65"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5"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5"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16206.25477546412</v>
      </c>
      <c r="H65"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20639.711238527656</v>
      </c>
      <c r="I65"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21349.809643186563</v>
      </c>
      <c r="J65"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23466.651592496801</v>
      </c>
      <c r="K65"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5"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18219.419731826321</v>
      </c>
      <c r="M65"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33518.521062045242</v>
      </c>
      <c r="N65"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46195.755691903636</v>
      </c>
    </row>
    <row r="66" spans="3:17" x14ac:dyDescent="0.25">
      <c r="C66"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17773.797435131171</v>
      </c>
      <c r="D66"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17931.850978573148</v>
      </c>
      <c r="E66"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6"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6"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17857.254130106241</v>
      </c>
      <c r="H66"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12527.472752906911</v>
      </c>
      <c r="I66"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11337.848809740861</v>
      </c>
      <c r="J66"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20050.183613605375</v>
      </c>
      <c r="K66"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6"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12784.329340480481</v>
      </c>
      <c r="M66"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46887.910578424664</v>
      </c>
      <c r="N66"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34117.608725391874</v>
      </c>
    </row>
    <row r="67" spans="3:17" x14ac:dyDescent="0.25">
      <c r="C67"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16415.582536602535</v>
      </c>
      <c r="D67"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18889.071092327878</v>
      </c>
      <c r="E67"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7"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7"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16953.823502875704</v>
      </c>
      <c r="H67"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13153.296241330965</v>
      </c>
      <c r="I67"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17123.507247278856</v>
      </c>
      <c r="J67"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21162.949932901069</v>
      </c>
      <c r="K67"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7"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17748.915198346276</v>
      </c>
      <c r="M67"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53182.335457847345</v>
      </c>
      <c r="N67"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55905.850000000006</v>
      </c>
    </row>
    <row r="68" spans="3:17" x14ac:dyDescent="0.25">
      <c r="C68"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18362.301359880053</v>
      </c>
      <c r="D68"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19881.026722040755</v>
      </c>
      <c r="E68"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8"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8"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20358.302138552142</v>
      </c>
      <c r="H68"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16751.204481603701</v>
      </c>
      <c r="I68"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19144.608939754024</v>
      </c>
      <c r="J68"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24256.781524902039</v>
      </c>
      <c r="K68"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8"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0</v>
      </c>
      <c r="M68"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31615.470022652909</v>
      </c>
      <c r="N68"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39076.126783578366</v>
      </c>
    </row>
    <row r="69" spans="3:17" x14ac:dyDescent="0.25">
      <c r="C69"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19638.162321844182</v>
      </c>
      <c r="D69"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19154.909269151831</v>
      </c>
      <c r="E69"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9"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9"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19531.40502331694</v>
      </c>
      <c r="H69"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15156.290312201392</v>
      </c>
      <c r="I69"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21682.735488254635</v>
      </c>
      <c r="J69"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22499.407282777396</v>
      </c>
      <c r="K69"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9"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4889.2635859341863</v>
      </c>
      <c r="M69"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3320.3149974396038</v>
      </c>
      <c r="N69"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46968.058893501402</v>
      </c>
    </row>
    <row r="70" spans="3:17" x14ac:dyDescent="0.25">
      <c r="C70"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70"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18957.943596719499</v>
      </c>
      <c r="E70"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0"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0"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21677.321862950186</v>
      </c>
      <c r="H70"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20140.282026291934</v>
      </c>
      <c r="I70"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25411.75</v>
      </c>
      <c r="J70"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24450.757463065205</v>
      </c>
      <c r="K70"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0"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8148.517132310405</v>
      </c>
      <c r="M70"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19914.01937916032</v>
      </c>
      <c r="N70"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55905.850000000006</v>
      </c>
    </row>
    <row r="71" spans="3:17" x14ac:dyDescent="0.25">
      <c r="C71"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19478.204860805152</v>
      </c>
      <c r="D71"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18926.067088554406</v>
      </c>
      <c r="E71"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1"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1"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15891.093376310268</v>
      </c>
      <c r="H71"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18995.315795992788</v>
      </c>
      <c r="I71"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13558.178815285468</v>
      </c>
      <c r="J71"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24426.332114829955</v>
      </c>
      <c r="K71"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1"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5493.9697227470797</v>
      </c>
      <c r="M71"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47843.980024151948</v>
      </c>
      <c r="N71"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50563.450830985748</v>
      </c>
    </row>
    <row r="72" spans="3:17" x14ac:dyDescent="0.25">
      <c r="C72"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18298.9511196936</v>
      </c>
      <c r="D72"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17155.375546965643</v>
      </c>
      <c r="E72"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2"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2"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17103.627586578721</v>
      </c>
      <c r="H72"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25411.75</v>
      </c>
      <c r="I72"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17198.316160917977</v>
      </c>
      <c r="J72"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22962.442113023877</v>
      </c>
      <c r="K72"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2"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4960.2896679787555</v>
      </c>
      <c r="M72"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32459.58062109055</v>
      </c>
      <c r="N72"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55905.850000000006</v>
      </c>
      <c r="Q72" s="208"/>
    </row>
    <row r="73" spans="3:17" x14ac:dyDescent="0.25">
      <c r="C73"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19679.751550292036</v>
      </c>
      <c r="D73"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19077.912098184315</v>
      </c>
      <c r="E73"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3"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3"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23859.367616281361</v>
      </c>
      <c r="H73"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17719.34272340023</v>
      </c>
      <c r="I73"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20945.348149719455</v>
      </c>
      <c r="J73"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18963.136572425035</v>
      </c>
      <c r="K73"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3"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5117.1870877176561</v>
      </c>
      <c r="M73"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30733.625544081435</v>
      </c>
      <c r="N73"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45877.362070806972</v>
      </c>
    </row>
    <row r="74" spans="3:17" x14ac:dyDescent="0.25">
      <c r="C74"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19851.81113976087</v>
      </c>
      <c r="D74"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74"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4"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4"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21445.468202072843</v>
      </c>
      <c r="H74"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17295.038135847604</v>
      </c>
      <c r="I74"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21868.673306014771</v>
      </c>
      <c r="J74"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20768.744856454054</v>
      </c>
      <c r="K74"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4"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4403.1709481633079</v>
      </c>
      <c r="M74"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28141.129449684369</v>
      </c>
      <c r="N74"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42462.430397710028</v>
      </c>
    </row>
    <row r="75" spans="3:17" x14ac:dyDescent="0.25">
      <c r="C75"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75"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75"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5"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5"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22667.471756398445</v>
      </c>
      <c r="H75"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12624.81462127982</v>
      </c>
      <c r="I75"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23058.1388666688</v>
      </c>
      <c r="J75"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75"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5"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0</v>
      </c>
      <c r="M75"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30334.381992281877</v>
      </c>
      <c r="N75"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35970.856144135789</v>
      </c>
    </row>
    <row r="76" spans="3:17" x14ac:dyDescent="0.25">
      <c r="C76"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18994.281448689613</v>
      </c>
      <c r="D76"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18815.891326395977</v>
      </c>
      <c r="E76"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6"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6"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19161.327391566581</v>
      </c>
      <c r="H76"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17463.797526473307</v>
      </c>
      <c r="I76"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18362.126584727066</v>
      </c>
      <c r="J76"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15790.941702463715</v>
      </c>
      <c r="K76"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6"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6989.5780252930936</v>
      </c>
      <c r="M76"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38728.715960131412</v>
      </c>
      <c r="N76"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55905.850000000006</v>
      </c>
    </row>
    <row r="77" spans="3:17" x14ac:dyDescent="0.25">
      <c r="C77"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77"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77"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7"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7"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17643.139472315492</v>
      </c>
      <c r="H77"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25411.75</v>
      </c>
      <c r="I77"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13377.053944488332</v>
      </c>
      <c r="J77"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22602.610619360592</v>
      </c>
      <c r="K77"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7"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14137.885972813741</v>
      </c>
      <c r="M77"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48445.887867085577</v>
      </c>
      <c r="N77"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22306.093300724791</v>
      </c>
    </row>
    <row r="78" spans="3:17" x14ac:dyDescent="0.25">
      <c r="C78"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16809.421856671845</v>
      </c>
      <c r="D78"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78"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8"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8"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25411.75</v>
      </c>
      <c r="H78"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24049.170739448153</v>
      </c>
      <c r="I78"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25411.75</v>
      </c>
      <c r="J78"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22848.549093048146</v>
      </c>
      <c r="K78"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8"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18466.608077012093</v>
      </c>
      <c r="M78"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33530.790968863752</v>
      </c>
      <c r="N78"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26089.393431397952</v>
      </c>
    </row>
    <row r="79" spans="3:17" x14ac:dyDescent="0.25">
      <c r="C79"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79"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18911.542577694847</v>
      </c>
      <c r="E79"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9"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9"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18013.912687684402</v>
      </c>
      <c r="H79"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23627.786287975032</v>
      </c>
      <c r="I79"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21689.030303808569</v>
      </c>
      <c r="J79"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24066.016232780406</v>
      </c>
      <c r="K79"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9"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1915.8412985322175</v>
      </c>
      <c r="M79"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30344.544556840752</v>
      </c>
      <c r="N79"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48396.877816247244</v>
      </c>
    </row>
    <row r="80" spans="3:17" x14ac:dyDescent="0.25">
      <c r="C80"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80"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18754.384202604695</v>
      </c>
      <c r="E80"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0"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0"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25411.75</v>
      </c>
      <c r="H80"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20741.670379594183</v>
      </c>
      <c r="I80"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17674.567389558339</v>
      </c>
      <c r="J80"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22390.114177613017</v>
      </c>
      <c r="K80"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0"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4907.6619581247696</v>
      </c>
      <c r="M80"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43548.804212141702</v>
      </c>
      <c r="N80"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42136.030035673306</v>
      </c>
    </row>
    <row r="81" spans="3:14" x14ac:dyDescent="0.25">
      <c r="C81"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81"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81"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1"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1"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22028.714057696798</v>
      </c>
      <c r="H81"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20106.03938661961</v>
      </c>
      <c r="I81"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24280.871981736051</v>
      </c>
      <c r="J81"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20611.378516894489</v>
      </c>
      <c r="K81"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1"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17873.907281573032</v>
      </c>
      <c r="M81"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44834.532839370564</v>
      </c>
      <c r="N81"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46957.275831210391</v>
      </c>
    </row>
    <row r="82" spans="3:14" x14ac:dyDescent="0.25">
      <c r="C82"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16420.825606192819</v>
      </c>
      <c r="D82"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82"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2"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2"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14747.716293173618</v>
      </c>
      <c r="H82"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17612.637691391927</v>
      </c>
      <c r="I82"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17710.007411384326</v>
      </c>
      <c r="J82"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82"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2"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5856.5730827638399</v>
      </c>
      <c r="M82"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44086.674599974416</v>
      </c>
      <c r="N82"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47087.454280889608</v>
      </c>
    </row>
    <row r="83" spans="3:14" x14ac:dyDescent="0.25">
      <c r="C83"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19959.451679722642</v>
      </c>
      <c r="D83"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17006.945250136738</v>
      </c>
      <c r="E83"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3"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3"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21014.587958652348</v>
      </c>
      <c r="H83"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23744.921895754167</v>
      </c>
      <c r="I83"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19265.34714345539</v>
      </c>
      <c r="J83"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83"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3"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8381.9961856505106</v>
      </c>
      <c r="M83"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43203.155639138691</v>
      </c>
      <c r="N83"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45165.763812613746</v>
      </c>
    </row>
    <row r="84" spans="3:14" x14ac:dyDescent="0.25">
      <c r="C84"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17330.098862761446</v>
      </c>
      <c r="D84"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17425.298856569145</v>
      </c>
      <c r="E84"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4"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4"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16549.792954213623</v>
      </c>
      <c r="H84"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17072.96178626662</v>
      </c>
      <c r="I84"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23234.294194902919</v>
      </c>
      <c r="J84"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84"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4"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10314.991052636791</v>
      </c>
      <c r="M84"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24526.111144937197</v>
      </c>
      <c r="N84"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34750.697996838506</v>
      </c>
    </row>
    <row r="85" spans="3:14" x14ac:dyDescent="0.25">
      <c r="C85"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17890.682344764111</v>
      </c>
      <c r="D85"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19390.357433056935</v>
      </c>
      <c r="E85"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5"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5"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20711.257921293694</v>
      </c>
      <c r="H85"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16185.212339363716</v>
      </c>
      <c r="I85"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20802.989931790849</v>
      </c>
      <c r="J85"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24079.193022951251</v>
      </c>
      <c r="K85"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5"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9177.7631640792843</v>
      </c>
      <c r="M85"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22811.230627775312</v>
      </c>
      <c r="N85"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55905.850000000006</v>
      </c>
    </row>
    <row r="86" spans="3:14" x14ac:dyDescent="0.25">
      <c r="C86"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17826.30489772329</v>
      </c>
      <c r="D86"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18551.862580013727</v>
      </c>
      <c r="E86"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6"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6"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15408.895874333484</v>
      </c>
      <c r="H86"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20595.395532659364</v>
      </c>
      <c r="I86"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19947.176702678596</v>
      </c>
      <c r="J86"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86"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6"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2233.6245763223833</v>
      </c>
      <c r="M86"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21686.118902470454</v>
      </c>
      <c r="N86"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41700.798483049439</v>
      </c>
    </row>
    <row r="87" spans="3:14" x14ac:dyDescent="0.25">
      <c r="C87"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87"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17462.186318044409</v>
      </c>
      <c r="E87"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7"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7"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22687.670068860585</v>
      </c>
      <c r="H87"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21378.878425509389</v>
      </c>
      <c r="I87"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15064.97289481213</v>
      </c>
      <c r="J87"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22049.760443962139</v>
      </c>
      <c r="K87"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7"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10646.266714192318</v>
      </c>
      <c r="M87"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22162.696584149617</v>
      </c>
      <c r="N87"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39184.899302927719</v>
      </c>
    </row>
    <row r="88" spans="3:14" x14ac:dyDescent="0.25">
      <c r="C88"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88"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15278.665723885561</v>
      </c>
      <c r="E88"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8"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8"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12763.709123945928</v>
      </c>
      <c r="H88"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16229.556911682643</v>
      </c>
      <c r="I88"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16859.749757990532</v>
      </c>
      <c r="J88"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24065.603047642515</v>
      </c>
      <c r="K88"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8"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16730.187152685299</v>
      </c>
      <c r="M88"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19837.252681732447</v>
      </c>
      <c r="N88"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50847.688451447808</v>
      </c>
    </row>
    <row r="89" spans="3:14" x14ac:dyDescent="0.25">
      <c r="C89"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15679.771211995507</v>
      </c>
      <c r="D89"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19724.504123967257</v>
      </c>
      <c r="E89"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9"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9"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18434.425613205938</v>
      </c>
      <c r="H89"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24593.208527233885</v>
      </c>
      <c r="I89"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19233.238175555776</v>
      </c>
      <c r="J89"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89"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9"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13120.137254334644</v>
      </c>
      <c r="M89"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31329.972418195131</v>
      </c>
      <c r="N89"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55905.850000000006</v>
      </c>
    </row>
    <row r="90" spans="3:14" x14ac:dyDescent="0.25">
      <c r="C90"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20285.637540276817</v>
      </c>
      <c r="D90"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20259.019720601173</v>
      </c>
      <c r="E90"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0"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0"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23170.348615189665</v>
      </c>
      <c r="H90"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18111.568766885466</v>
      </c>
      <c r="I90"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19346.089119626871</v>
      </c>
      <c r="J90"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22530.626123223421</v>
      </c>
      <c r="K90"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0"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8555.5995520131055</v>
      </c>
      <c r="M90"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32010.51271515288</v>
      </c>
      <c r="N90"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46268.135164082407</v>
      </c>
    </row>
    <row r="91" spans="3:14" x14ac:dyDescent="0.25">
      <c r="C91"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17189.117314992545</v>
      </c>
      <c r="D91"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17853.109177889033</v>
      </c>
      <c r="E91"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1"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1"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19427.960243255409</v>
      </c>
      <c r="H91"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17241.998676177147</v>
      </c>
      <c r="I91"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25411.75</v>
      </c>
      <c r="J91"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24580.327949501512</v>
      </c>
      <c r="K91"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1"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10461.92395959963</v>
      </c>
      <c r="M91"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34036.373985126884</v>
      </c>
      <c r="N91"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41723.379571155245</v>
      </c>
    </row>
    <row r="92" spans="3:14" x14ac:dyDescent="0.25">
      <c r="C92"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19325.52620952564</v>
      </c>
      <c r="D92"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18531.222851608767</v>
      </c>
      <c r="E92"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2"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2"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21470.60841709856</v>
      </c>
      <c r="H92"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14356.936496855789</v>
      </c>
      <c r="I92"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18026.089456568483</v>
      </c>
      <c r="J92"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92"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2"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3380.8153570621212</v>
      </c>
      <c r="M92"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30084.41319558509</v>
      </c>
      <c r="N92"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40802.891928262623</v>
      </c>
    </row>
    <row r="93" spans="3:14" x14ac:dyDescent="0.25">
      <c r="C93"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93"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20063.214579793363</v>
      </c>
      <c r="E93"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3"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3"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19831.328472352157</v>
      </c>
      <c r="H93"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21210.240199472693</v>
      </c>
      <c r="I93"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24373.867125990924</v>
      </c>
      <c r="J93"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24772.81540090964</v>
      </c>
      <c r="K93"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3"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0</v>
      </c>
      <c r="M93"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19817.988195151611</v>
      </c>
      <c r="N93"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50746.185054665759</v>
      </c>
    </row>
    <row r="94" spans="3:14" x14ac:dyDescent="0.25">
      <c r="C94"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14891.085038230074</v>
      </c>
      <c r="D94"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19526.585476722907</v>
      </c>
      <c r="E94"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4"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4"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23599.856985630478</v>
      </c>
      <c r="H94"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17744.562676275164</v>
      </c>
      <c r="I94"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17989.743234960075</v>
      </c>
      <c r="J94"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94"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4"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4942.1735541602839</v>
      </c>
      <c r="M94"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41238.731106857987</v>
      </c>
      <c r="N94"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55905.850000000006</v>
      </c>
    </row>
    <row r="95" spans="3:14" x14ac:dyDescent="0.25">
      <c r="C95"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18843.18303630592</v>
      </c>
      <c r="D95"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95"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5"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5"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19941.114828035094</v>
      </c>
      <c r="H95"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16815.646201852815</v>
      </c>
      <c r="I95"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20972.344694238727</v>
      </c>
      <c r="J95"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22929.260973131048</v>
      </c>
      <c r="K95"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5"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9738.0164186628663</v>
      </c>
      <c r="M95"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44829.083796917461</v>
      </c>
      <c r="N95"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34677.656696151585</v>
      </c>
    </row>
    <row r="96" spans="3:14" x14ac:dyDescent="0.25">
      <c r="C96"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96"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96"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6"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6"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24589.260201291945</v>
      </c>
      <c r="H96"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23502.728260860575</v>
      </c>
      <c r="I96"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25411.75</v>
      </c>
      <c r="J96"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96"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6"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5464.6441698291801</v>
      </c>
      <c r="M96"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40911.632071649859</v>
      </c>
      <c r="N96"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42345.001047200261</v>
      </c>
    </row>
    <row r="97" spans="3:14" x14ac:dyDescent="0.25">
      <c r="C97"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19560.922685243673</v>
      </c>
      <c r="D97"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18835.088042203985</v>
      </c>
      <c r="E97"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7"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7"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19551.985943046224</v>
      </c>
      <c r="H97"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14285.180414590268</v>
      </c>
      <c r="I97"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25411.75</v>
      </c>
      <c r="J97"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21373.872405481408</v>
      </c>
      <c r="K97"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7"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9436.3707240726162</v>
      </c>
      <c r="M97"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9778.4287859851975</v>
      </c>
      <c r="N97"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48344.476006084653</v>
      </c>
    </row>
    <row r="98" spans="3:14" x14ac:dyDescent="0.25">
      <c r="C98"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98"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16717.805357028163</v>
      </c>
      <c r="E98"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8"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8"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15926.203395918719</v>
      </c>
      <c r="H98"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21054.384177739092</v>
      </c>
      <c r="I98"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19524.756405507032</v>
      </c>
      <c r="J98"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24474.642861499975</v>
      </c>
      <c r="K98"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8"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18905.149827449539</v>
      </c>
      <c r="M98"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50419.843137753225</v>
      </c>
      <c r="N98"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52323.023829990321</v>
      </c>
    </row>
    <row r="99" spans="3:14" x14ac:dyDescent="0.25">
      <c r="C99"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19648.176322954823</v>
      </c>
      <c r="D99"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19735.016465755758</v>
      </c>
      <c r="E99"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9"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9"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19685.343437222331</v>
      </c>
      <c r="H99"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18908.58360959695</v>
      </c>
      <c r="I99"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16883.243187973905</v>
      </c>
      <c r="J99"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99"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9"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14016.901448279721</v>
      </c>
      <c r="M99"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27661.244708166214</v>
      </c>
      <c r="N99"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55905.850000000006</v>
      </c>
    </row>
    <row r="100" spans="3:14" x14ac:dyDescent="0.25">
      <c r="C100"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100"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17156.539741368892</v>
      </c>
      <c r="E100"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0"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0"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24078.112081513194</v>
      </c>
      <c r="H100"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23929.331923851103</v>
      </c>
      <c r="I100"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21862.739755974548</v>
      </c>
      <c r="J100"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23568.456641697812</v>
      </c>
      <c r="K100"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0"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1764.0255731493819</v>
      </c>
      <c r="M100"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17309.565267958631</v>
      </c>
      <c r="N100"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48034.171537509181</v>
      </c>
    </row>
    <row r="101" spans="3:14" x14ac:dyDescent="0.25">
      <c r="C101"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17724.340048496219</v>
      </c>
      <c r="D101"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101"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1"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1"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16400.06980721913</v>
      </c>
      <c r="H101"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17291.810430490514</v>
      </c>
      <c r="I101"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23257.718254872176</v>
      </c>
      <c r="J101"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23012.766216479053</v>
      </c>
      <c r="K101"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1"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7060.7744714138898</v>
      </c>
      <c r="M101"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29445.210479001522</v>
      </c>
      <c r="N101"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52984.28038445719</v>
      </c>
    </row>
    <row r="102" spans="3:14" x14ac:dyDescent="0.25">
      <c r="C102"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18951.462353638286</v>
      </c>
      <c r="D102"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18229.751652633899</v>
      </c>
      <c r="E102"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2"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2"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22795.456755431282</v>
      </c>
      <c r="H102"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21649.181348182228</v>
      </c>
      <c r="I102"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19006.066473286239</v>
      </c>
      <c r="J102"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22168.252997693206</v>
      </c>
      <c r="K102"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2"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12983.952864401994</v>
      </c>
      <c r="M102"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55184.449971311165</v>
      </c>
      <c r="N102"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36111.222094840974</v>
      </c>
    </row>
    <row r="103" spans="3:14" x14ac:dyDescent="0.25">
      <c r="C103"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20079.674381540935</v>
      </c>
      <c r="D103"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103"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3"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3"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16603.930749397121</v>
      </c>
      <c r="H103"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24170.892562238714</v>
      </c>
      <c r="I103"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25411.75</v>
      </c>
      <c r="J103"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25137.280621216043</v>
      </c>
      <c r="K103"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3"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10477.647324260854</v>
      </c>
      <c r="M103"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45212.166161962967</v>
      </c>
      <c r="N103"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38256.712413277062</v>
      </c>
    </row>
    <row r="104" spans="3:14" x14ac:dyDescent="0.25">
      <c r="C104"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17713.442763458588</v>
      </c>
      <c r="D104"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18985.985394861676</v>
      </c>
      <c r="E104"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4"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4"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24328.841517971181</v>
      </c>
      <c r="H104"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17929.645996527204</v>
      </c>
      <c r="I104"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22596.769272714082</v>
      </c>
      <c r="J104"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21452.318308963648</v>
      </c>
      <c r="K104"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4"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6767.5916220568142</v>
      </c>
      <c r="M104"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35216.591910623887</v>
      </c>
      <c r="N104"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54275.158384913113</v>
      </c>
    </row>
    <row r="105" spans="3:14" x14ac:dyDescent="0.25">
      <c r="C105"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16155.187723181927</v>
      </c>
      <c r="D105"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18899.172552397413</v>
      </c>
      <c r="E105"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5"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5"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21054.38761410796</v>
      </c>
      <c r="H105"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21184.999313573848</v>
      </c>
      <c r="I105"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18699.580444541996</v>
      </c>
      <c r="J105"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105"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5"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6450.6411094875639</v>
      </c>
      <c r="M105"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38476.057262628099</v>
      </c>
      <c r="N105"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50220.134221559703</v>
      </c>
    </row>
    <row r="106" spans="3:14" x14ac:dyDescent="0.25">
      <c r="C106"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106"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106"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6"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6"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19479.667789891708</v>
      </c>
      <c r="H106"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25411.75</v>
      </c>
      <c r="I106"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19209.71430215464</v>
      </c>
      <c r="J106"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106"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6"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6735.4089081980319</v>
      </c>
      <c r="M106"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29412.333154608757</v>
      </c>
      <c r="N106"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39056.422156690358</v>
      </c>
    </row>
    <row r="107" spans="3:14" x14ac:dyDescent="0.25">
      <c r="C107"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107"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19025.571954110212</v>
      </c>
      <c r="E107"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7"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7"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19619.610912800439</v>
      </c>
      <c r="H107"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19554.846132709794</v>
      </c>
      <c r="I107"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19360.506331825614</v>
      </c>
      <c r="J107"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18254.791015125345</v>
      </c>
      <c r="K107"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7"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5229.0728644251258</v>
      </c>
      <c r="M107"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25585.49241114367</v>
      </c>
      <c r="N107"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40956.871735493434</v>
      </c>
    </row>
    <row r="108" spans="3:14" x14ac:dyDescent="0.25">
      <c r="C108"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108"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108"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8"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8"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18129.769923681248</v>
      </c>
      <c r="H108"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16834.252541395352</v>
      </c>
      <c r="I108"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21604.651809187435</v>
      </c>
      <c r="J108"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108"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8"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9025.656031180406</v>
      </c>
      <c r="M108"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44247.458956528462</v>
      </c>
      <c r="N108"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40043.075451768469</v>
      </c>
    </row>
    <row r="109" spans="3:14" x14ac:dyDescent="0.25">
      <c r="C109"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19338.432027328432</v>
      </c>
      <c r="D109"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19813.777316276439</v>
      </c>
      <c r="E109"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9"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9"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16524.746556349415</v>
      </c>
      <c r="H109"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24808.128226910667</v>
      </c>
      <c r="I109"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21456.307697291704</v>
      </c>
      <c r="J109"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24109.119519326261</v>
      </c>
      <c r="K109"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9"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5890.7234950382654</v>
      </c>
      <c r="M109"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27197.845722808972</v>
      </c>
      <c r="N109"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33980.377680335769</v>
      </c>
    </row>
    <row r="110" spans="3:14" x14ac:dyDescent="0.25">
      <c r="C110"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19332.843170720618</v>
      </c>
      <c r="D110"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18279.954584676114</v>
      </c>
      <c r="E110"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0"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0"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21887.104616025645</v>
      </c>
      <c r="H110"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21245.671561443367</v>
      </c>
      <c r="I110"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18690.976551901324</v>
      </c>
      <c r="J110"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24234.642962296741</v>
      </c>
      <c r="K110"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0"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3858.4182327324024</v>
      </c>
      <c r="M110"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46546.086299450362</v>
      </c>
      <c r="N110"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26517.173554862577</v>
      </c>
    </row>
    <row r="111" spans="3:14" x14ac:dyDescent="0.25">
      <c r="C111"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16203.910637491697</v>
      </c>
      <c r="D111"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111"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1"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1"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25411.75</v>
      </c>
      <c r="H111"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13706.265492920742</v>
      </c>
      <c r="I111"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21238.870541316624</v>
      </c>
      <c r="J111"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111"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1"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18339.931441234854</v>
      </c>
      <c r="M111"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44369.062395381901</v>
      </c>
      <c r="N111"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46430.945130221378</v>
      </c>
    </row>
    <row r="112" spans="3:14" x14ac:dyDescent="0.25">
      <c r="C112"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16318.943529564058</v>
      </c>
      <c r="D112"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112"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2"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2"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20035.480515398758</v>
      </c>
      <c r="H112"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24937.486913614674</v>
      </c>
      <c r="I112"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14551.57090328272</v>
      </c>
      <c r="J112"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112"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2"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10993.420662266079</v>
      </c>
      <c r="M112"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54720.383244025856</v>
      </c>
      <c r="N112"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42839.661991688416</v>
      </c>
    </row>
    <row r="113" spans="3:14" x14ac:dyDescent="0.25">
      <c r="C113"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16391.588340625291</v>
      </c>
      <c r="D113"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113"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3"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3"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24498.035895263794</v>
      </c>
      <c r="H113"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24110.28340095255</v>
      </c>
      <c r="I113"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22525.422567839512</v>
      </c>
      <c r="J113"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24224.37856514614</v>
      </c>
      <c r="K113"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3"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9768.7440428992486</v>
      </c>
      <c r="M113"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12170.065353006061</v>
      </c>
      <c r="N113"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48850.849546854588</v>
      </c>
    </row>
    <row r="114" spans="3:14" x14ac:dyDescent="0.25">
      <c r="C114"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114"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19230.346551919927</v>
      </c>
      <c r="E114"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4"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4"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24104.38882312904</v>
      </c>
      <c r="H114"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20412.16931569681</v>
      </c>
      <c r="I114"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25411.75</v>
      </c>
      <c r="J114"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24315.419632160967</v>
      </c>
      <c r="K114"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4"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3439.4692752804399</v>
      </c>
      <c r="M114"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28461.040191992397</v>
      </c>
      <c r="N114"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49479.552815901705</v>
      </c>
    </row>
    <row r="115" spans="3:14" x14ac:dyDescent="0.25">
      <c r="C115"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17184.700821719463</v>
      </c>
      <c r="D115"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16925.702705211097</v>
      </c>
      <c r="E115"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5"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5"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15886.823566314188</v>
      </c>
      <c r="H115"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20601.757988530691</v>
      </c>
      <c r="I115"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25411.75</v>
      </c>
      <c r="J115"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25363.528354723105</v>
      </c>
      <c r="K115"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5"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8041.4591507706964</v>
      </c>
      <c r="M115"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41187.531495045623</v>
      </c>
      <c r="N115"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49535.884463970266</v>
      </c>
    </row>
    <row r="116" spans="3:14" x14ac:dyDescent="0.25">
      <c r="C116"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17571.57662919764</v>
      </c>
      <c r="D116"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18368.943316182165</v>
      </c>
      <c r="E116"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6"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6"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19618.024012206093</v>
      </c>
      <c r="H116"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16673.410050919323</v>
      </c>
      <c r="I116"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22033.823288459593</v>
      </c>
      <c r="J116"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22516.328381105533</v>
      </c>
      <c r="K116"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6"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6880.3789444215035</v>
      </c>
      <c r="M116"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32872.043385116151</v>
      </c>
      <c r="N116"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48026.096985396798</v>
      </c>
    </row>
    <row r="117" spans="3:14" x14ac:dyDescent="0.25">
      <c r="C117"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17177.015304591165</v>
      </c>
      <c r="D117"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117"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7"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7"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22070.410178621394</v>
      </c>
      <c r="H117"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23837.823606761238</v>
      </c>
      <c r="I117"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25411.75</v>
      </c>
      <c r="J117"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24667.456785254442</v>
      </c>
      <c r="K117"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7"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13121.017329259052</v>
      </c>
      <c r="M117"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10742.40566595179</v>
      </c>
      <c r="N117"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55905.850000000006</v>
      </c>
    </row>
    <row r="118" spans="3:14" x14ac:dyDescent="0.25">
      <c r="C118"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17574.49913770983</v>
      </c>
      <c r="D118"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118"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8"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8"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25411.75</v>
      </c>
      <c r="H118"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22241.202758437277</v>
      </c>
      <c r="I118"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22956.73295800955</v>
      </c>
      <c r="J118"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118"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8"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2215.7460070072107</v>
      </c>
      <c r="M118"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55431.695573054552</v>
      </c>
      <c r="N118"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39049.091149478278</v>
      </c>
    </row>
    <row r="119" spans="3:14" x14ac:dyDescent="0.25">
      <c r="C119"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20283.219390656956</v>
      </c>
      <c r="D119"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18419.665382875621</v>
      </c>
      <c r="E119"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9"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9"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25411.75</v>
      </c>
      <c r="H119"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20143.129979829475</v>
      </c>
      <c r="I119"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12312.582960667991</v>
      </c>
      <c r="J119"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22752.923876190966</v>
      </c>
      <c r="K119"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9"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13365.964377145227</v>
      </c>
      <c r="M119"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26644.462491565999</v>
      </c>
      <c r="N119"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46113.207564615877</v>
      </c>
    </row>
    <row r="120" spans="3:14" x14ac:dyDescent="0.25">
      <c r="C120"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15870.975662020879</v>
      </c>
      <c r="D120"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120"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0"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0"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22434.339070930662</v>
      </c>
      <c r="H120"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21196.880236691879</v>
      </c>
      <c r="I120"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13897.300854808043</v>
      </c>
      <c r="J120"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24536.08238574224</v>
      </c>
      <c r="K120"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0"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8563.8731600043084</v>
      </c>
      <c r="M120"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34618.980758436606</v>
      </c>
      <c r="N120"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41712.883421626029</v>
      </c>
    </row>
    <row r="121" spans="3:14" x14ac:dyDescent="0.25">
      <c r="C121"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17257.521720387122</v>
      </c>
      <c r="D121"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18413.903314283762</v>
      </c>
      <c r="E121"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1"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1"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10081.173618085561</v>
      </c>
      <c r="H121"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23273.61347871106</v>
      </c>
      <c r="I121"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16836.49502778133</v>
      </c>
      <c r="J121"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25284.318244722472</v>
      </c>
      <c r="K121"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1"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4486.8226347807695</v>
      </c>
      <c r="M121"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33520.232314275483</v>
      </c>
      <c r="N121"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41390.137966458329</v>
      </c>
    </row>
    <row r="122" spans="3:14" x14ac:dyDescent="0.25">
      <c r="C122"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122"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17889.687780534667</v>
      </c>
      <c r="E122"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2"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2"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16583.885657838822</v>
      </c>
      <c r="H122"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21677.367710516999</v>
      </c>
      <c r="I122"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20132.682914213045</v>
      </c>
      <c r="J122"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23646.328158553973</v>
      </c>
      <c r="K122"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2"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11197.828863846444</v>
      </c>
      <c r="M122"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38333.078221139258</v>
      </c>
      <c r="N122"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46118.409102408863</v>
      </c>
    </row>
    <row r="123" spans="3:14" x14ac:dyDescent="0.25">
      <c r="C123"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19159.262580295966</v>
      </c>
      <c r="D123"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20039.043719518628</v>
      </c>
      <c r="E123"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3"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3"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25281.640926434928</v>
      </c>
      <c r="H123"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21924.035439525127</v>
      </c>
      <c r="I123"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25411.75</v>
      </c>
      <c r="J123"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23241.4718668389</v>
      </c>
      <c r="K123"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3"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14933.930702805204</v>
      </c>
      <c r="M123"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19802.530600456932</v>
      </c>
      <c r="N123"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30993.260709029633</v>
      </c>
    </row>
    <row r="124" spans="3:14" x14ac:dyDescent="0.25">
      <c r="C124"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19287.151929479427</v>
      </c>
      <c r="D124"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16607.898439576362</v>
      </c>
      <c r="E124"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4"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4"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21696.171570278399</v>
      </c>
      <c r="H124"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19183.098866484161</v>
      </c>
      <c r="I124"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18281.507759843924</v>
      </c>
      <c r="J124"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22099.67610728016</v>
      </c>
      <c r="K124"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4"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8873.3898021721379</v>
      </c>
      <c r="M124"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31707.918640972533</v>
      </c>
      <c r="N124"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38147.095291684425</v>
      </c>
    </row>
    <row r="125" spans="3:14" x14ac:dyDescent="0.25">
      <c r="C125"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19956.252734152571</v>
      </c>
      <c r="D125"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18811.394914982448</v>
      </c>
      <c r="E125"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5"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5"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17041.980728623523</v>
      </c>
      <c r="H125"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20040.850215262057</v>
      </c>
      <c r="I125"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25411.75</v>
      </c>
      <c r="J125"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19384.60690293138</v>
      </c>
      <c r="K125"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5"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8728.1716764899811</v>
      </c>
      <c r="M125"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19869.201077570346</v>
      </c>
      <c r="N125"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50521.770042984426</v>
      </c>
    </row>
    <row r="126" spans="3:14" x14ac:dyDescent="0.25">
      <c r="C126"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19019.117359351723</v>
      </c>
      <c r="D126"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126"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6"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6"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18820.365783579498</v>
      </c>
      <c r="H126"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21138.228738006404</v>
      </c>
      <c r="I126"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23939.380105063698</v>
      </c>
      <c r="J126"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126"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6"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16844.87640923783</v>
      </c>
      <c r="M126"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26742.362738731048</v>
      </c>
      <c r="N126"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54115.390235224004</v>
      </c>
    </row>
    <row r="127" spans="3:14" x14ac:dyDescent="0.25">
      <c r="C127"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18738.038221525789</v>
      </c>
      <c r="D127"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19229.596015667761</v>
      </c>
      <c r="E127"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7"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7"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24561.591174510813</v>
      </c>
      <c r="H127"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15531.800062695773</v>
      </c>
      <c r="I127"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20483.109789812708</v>
      </c>
      <c r="J127"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20689.584324758118</v>
      </c>
      <c r="K127"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7"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1137.9351763804082</v>
      </c>
      <c r="M127"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45531.267003636247</v>
      </c>
      <c r="N127"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55905.850000000006</v>
      </c>
    </row>
    <row r="128" spans="3:14" x14ac:dyDescent="0.25">
      <c r="C128"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19136.066206067098</v>
      </c>
      <c r="D128"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16442.779337342654</v>
      </c>
      <c r="E128"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8"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8"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13312.296262024534</v>
      </c>
      <c r="H128"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14737.82318163562</v>
      </c>
      <c r="I128"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21375.709718403625</v>
      </c>
      <c r="J128"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20925.646131568796</v>
      </c>
      <c r="K128"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8"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18715.661135143419</v>
      </c>
      <c r="M128"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40981.538115802308</v>
      </c>
      <c r="N128"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44471.352250080992</v>
      </c>
    </row>
    <row r="129" spans="2:14" x14ac:dyDescent="0.25">
      <c r="B129" s="8"/>
      <c r="C129" s="142">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19021.603060112964</v>
      </c>
      <c r="D129" s="142">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129" s="142"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9" s="142"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9"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23098.128444162478</v>
      </c>
      <c r="H129"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14944.428729145351</v>
      </c>
      <c r="I129"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21625.481561054421</v>
      </c>
      <c r="J129"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129" s="142"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9" s="142">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5108.6406035062864</v>
      </c>
      <c r="M129" s="142">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33555.216436156137</v>
      </c>
      <c r="N129" s="142">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44201.02595366988</v>
      </c>
    </row>
    <row r="130" spans="2:14" x14ac:dyDescent="0.25">
      <c r="B130" s="9"/>
      <c r="C130" s="144">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18264.184004145125</v>
      </c>
      <c r="D130" s="144">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19859.913303801713</v>
      </c>
      <c r="E130" s="144"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30" s="144"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30" s="145">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24030.622588327271</v>
      </c>
      <c r="H130" s="144">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22172.395722118985</v>
      </c>
      <c r="I130" s="144">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17104.325158498887</v>
      </c>
      <c r="J130" s="149">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23751.190730156151</v>
      </c>
      <c r="K130" s="144"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30" s="144">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3428.1325093223145</v>
      </c>
      <c r="M130" s="144">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51901.042004742732</v>
      </c>
      <c r="N130" s="144">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33897.610067277717</v>
      </c>
    </row>
  </sheetData>
  <mergeCells count="11">
    <mergeCell ref="S31:T31"/>
    <mergeCell ref="U31:V31"/>
    <mergeCell ref="W31:X31"/>
    <mergeCell ref="Y31:Z31"/>
    <mergeCell ref="E5:H5"/>
    <mergeCell ref="R22:U22"/>
    <mergeCell ref="V22:Y22"/>
    <mergeCell ref="C22:F22"/>
    <mergeCell ref="G22:J22"/>
    <mergeCell ref="K22:N22"/>
    <mergeCell ref="B11:H12"/>
  </mergeCells>
  <conditionalFormatting sqref="T55:W58">
    <cfRule type="cellIs" dxfId="3" priority="1" operator="between">
      <formula>1</formula>
      <formula>1.11</formula>
    </cfRule>
    <cfRule type="cellIs" dxfId="2" priority="2" operator="greaterThan">
      <formula>1.11</formula>
    </cfRule>
    <cfRule type="cellIs" dxfId="1" priority="3" operator="between">
      <formula>0.91</formula>
      <formula>1.11</formula>
    </cfRule>
    <cfRule type="cellIs" dxfId="0" priority="4" operator="lessThan">
      <formula>0.9</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zoomScale="85" zoomScaleNormal="85" workbookViewId="0">
      <selection activeCell="B35" sqref="B35"/>
    </sheetView>
  </sheetViews>
  <sheetFormatPr defaultRowHeight="15" x14ac:dyDescent="0.25"/>
  <cols>
    <col min="1" max="1" width="29" customWidth="1"/>
    <col min="2" max="2" width="11.5703125" bestFit="1" customWidth="1"/>
    <col min="13" max="13" width="31.42578125" customWidth="1"/>
    <col min="18" max="18" width="14.42578125" customWidth="1"/>
  </cols>
  <sheetData>
    <row r="1" spans="1:24" ht="15.75" thickBot="1" x14ac:dyDescent="0.3">
      <c r="A1" s="598"/>
      <c r="B1" s="598"/>
      <c r="C1" s="598"/>
      <c r="D1" s="598"/>
      <c r="E1" s="598"/>
      <c r="F1" s="598"/>
      <c r="G1" s="598"/>
      <c r="H1" s="598"/>
      <c r="I1" s="598"/>
      <c r="J1" s="598"/>
      <c r="K1" s="598"/>
      <c r="L1" s="598"/>
      <c r="M1" s="598"/>
      <c r="N1" s="598"/>
      <c r="O1" s="598"/>
      <c r="P1" s="598"/>
      <c r="Q1" s="598"/>
      <c r="R1" s="598"/>
      <c r="S1" s="598"/>
      <c r="T1" s="598"/>
      <c r="U1" s="598"/>
      <c r="V1" s="598"/>
      <c r="W1" s="598"/>
      <c r="X1" s="598"/>
    </row>
    <row r="2" spans="1:24" ht="18.75" x14ac:dyDescent="0.3">
      <c r="A2" s="646" t="s">
        <v>273</v>
      </c>
      <c r="B2" s="647"/>
      <c r="C2" s="647"/>
      <c r="D2" s="647"/>
      <c r="E2" s="648"/>
      <c r="F2" s="608"/>
      <c r="G2" s="598"/>
      <c r="H2" s="598"/>
      <c r="I2" s="598"/>
      <c r="J2" s="598"/>
      <c r="K2" s="598"/>
      <c r="L2" s="609"/>
      <c r="M2" s="646" t="s">
        <v>288</v>
      </c>
      <c r="N2" s="647"/>
      <c r="O2" s="647"/>
      <c r="P2" s="647"/>
      <c r="Q2" s="648"/>
      <c r="R2" s="384"/>
      <c r="S2" s="598"/>
      <c r="T2" s="598"/>
      <c r="U2" s="598"/>
      <c r="V2" s="598"/>
      <c r="W2" s="598"/>
      <c r="X2" s="598"/>
    </row>
    <row r="3" spans="1:24" x14ac:dyDescent="0.25">
      <c r="A3" s="640" t="s">
        <v>274</v>
      </c>
      <c r="B3" s="641"/>
      <c r="C3" s="641"/>
      <c r="D3" s="641"/>
      <c r="E3" s="642"/>
      <c r="F3" s="608"/>
      <c r="G3" s="598"/>
      <c r="H3" s="598"/>
      <c r="I3" s="598"/>
      <c r="J3" s="598"/>
      <c r="K3" s="598"/>
      <c r="L3" s="609"/>
      <c r="M3" s="640" t="s">
        <v>274</v>
      </c>
      <c r="N3" s="641"/>
      <c r="O3" s="641"/>
      <c r="P3" s="641"/>
      <c r="Q3" s="642"/>
      <c r="R3" s="384"/>
      <c r="S3" s="598"/>
      <c r="T3" s="598"/>
      <c r="U3" s="598"/>
      <c r="V3" s="598"/>
      <c r="W3" s="598"/>
      <c r="X3" s="598"/>
    </row>
    <row r="4" spans="1:24" x14ac:dyDescent="0.25">
      <c r="A4" s="370" t="s">
        <v>276</v>
      </c>
      <c r="B4" s="649">
        <v>30000</v>
      </c>
      <c r="C4" s="649"/>
      <c r="D4" s="649"/>
      <c r="E4" s="626"/>
      <c r="F4" s="608"/>
      <c r="G4" s="598"/>
      <c r="H4" s="598"/>
      <c r="I4" s="598"/>
      <c r="J4" s="598"/>
      <c r="K4" s="598"/>
      <c r="L4" s="609"/>
      <c r="M4" s="370" t="s">
        <v>276</v>
      </c>
      <c r="N4" s="649">
        <v>30000</v>
      </c>
      <c r="O4" s="649"/>
      <c r="P4" s="649"/>
      <c r="Q4" s="626"/>
      <c r="R4" s="384"/>
      <c r="S4" s="598"/>
      <c r="T4" s="598"/>
      <c r="U4" s="598"/>
      <c r="V4" s="598"/>
      <c r="W4" s="598"/>
      <c r="X4" s="598"/>
    </row>
    <row r="5" spans="1:24" x14ac:dyDescent="0.25">
      <c r="A5" s="370" t="s">
        <v>275</v>
      </c>
      <c r="B5" s="661">
        <v>0.28000000000000003</v>
      </c>
      <c r="C5" s="661"/>
      <c r="D5" s="661"/>
      <c r="E5" s="626"/>
      <c r="F5" s="608"/>
      <c r="G5" s="598"/>
      <c r="H5" s="598"/>
      <c r="I5" s="598"/>
      <c r="J5" s="598"/>
      <c r="K5" s="598"/>
      <c r="L5" s="609"/>
      <c r="M5" s="370" t="s">
        <v>275</v>
      </c>
      <c r="N5" s="650">
        <v>0.37</v>
      </c>
      <c r="O5" s="650"/>
      <c r="P5" s="650"/>
      <c r="Q5" s="626"/>
      <c r="R5" s="384"/>
      <c r="S5" s="598"/>
      <c r="T5" s="598"/>
      <c r="U5" s="598"/>
      <c r="V5" s="598"/>
      <c r="W5" s="598"/>
      <c r="X5" s="598"/>
    </row>
    <row r="6" spans="1:24" x14ac:dyDescent="0.25">
      <c r="A6" s="370" t="s">
        <v>6</v>
      </c>
      <c r="B6" s="661">
        <v>0.48</v>
      </c>
      <c r="C6" s="661"/>
      <c r="D6" s="661"/>
      <c r="E6" s="626"/>
      <c r="F6" s="608"/>
      <c r="G6" s="598"/>
      <c r="H6" s="598"/>
      <c r="I6" s="598"/>
      <c r="J6" s="598"/>
      <c r="K6" s="598"/>
      <c r="L6" s="609"/>
      <c r="M6" s="370" t="s">
        <v>6</v>
      </c>
      <c r="N6" s="650">
        <v>0.42</v>
      </c>
      <c r="O6" s="650"/>
      <c r="P6" s="650"/>
      <c r="Q6" s="626"/>
      <c r="R6" s="384"/>
      <c r="S6" s="598"/>
      <c r="T6" s="598"/>
      <c r="U6" s="598"/>
      <c r="V6" s="598"/>
      <c r="W6" s="598"/>
      <c r="X6" s="598"/>
    </row>
    <row r="7" spans="1:24" x14ac:dyDescent="0.25">
      <c r="A7" s="370" t="s">
        <v>7</v>
      </c>
      <c r="B7" s="661">
        <v>0.24</v>
      </c>
      <c r="C7" s="661"/>
      <c r="D7" s="661"/>
      <c r="E7" s="626"/>
      <c r="F7" s="608"/>
      <c r="G7" s="598"/>
      <c r="H7" s="598"/>
      <c r="I7" s="598"/>
      <c r="J7" s="598"/>
      <c r="K7" s="598"/>
      <c r="L7" s="609"/>
      <c r="M7" s="370" t="s">
        <v>7</v>
      </c>
      <c r="N7" s="650">
        <v>0.21</v>
      </c>
      <c r="O7" s="650"/>
      <c r="P7" s="650"/>
      <c r="Q7" s="626"/>
      <c r="R7" s="384"/>
      <c r="S7" s="598"/>
      <c r="T7" s="598"/>
      <c r="U7" s="598"/>
      <c r="V7" s="598"/>
      <c r="W7" s="598"/>
      <c r="X7" s="598"/>
    </row>
    <row r="8" spans="1:24" ht="6" customHeight="1" thickBot="1" x14ac:dyDescent="0.3">
      <c r="A8" s="624"/>
      <c r="B8" s="625"/>
      <c r="C8" s="625"/>
      <c r="D8" s="625"/>
      <c r="E8" s="626"/>
      <c r="F8" s="608"/>
      <c r="G8" s="598"/>
      <c r="H8" s="598"/>
      <c r="I8" s="598"/>
      <c r="J8" s="598"/>
      <c r="K8" s="598"/>
      <c r="L8" s="609"/>
      <c r="M8" s="624"/>
      <c r="N8" s="625"/>
      <c r="O8" s="625"/>
      <c r="P8" s="625"/>
      <c r="Q8" s="626"/>
      <c r="R8" s="384"/>
      <c r="S8" s="598"/>
      <c r="T8" s="598"/>
      <c r="U8" s="598"/>
      <c r="V8" s="598"/>
      <c r="W8" s="598"/>
      <c r="X8" s="598"/>
    </row>
    <row r="9" spans="1:24" x14ac:dyDescent="0.25">
      <c r="A9" s="640" t="s">
        <v>258</v>
      </c>
      <c r="B9" s="641"/>
      <c r="C9" s="641"/>
      <c r="D9" s="641"/>
      <c r="E9" s="642"/>
      <c r="F9" s="610"/>
      <c r="G9" s="599" t="s">
        <v>287</v>
      </c>
      <c r="H9" s="600"/>
      <c r="I9" s="600"/>
      <c r="J9" s="600"/>
      <c r="K9" s="601"/>
      <c r="L9" s="610"/>
      <c r="M9" s="640" t="s">
        <v>258</v>
      </c>
      <c r="N9" s="641"/>
      <c r="O9" s="641"/>
      <c r="P9" s="641"/>
      <c r="Q9" s="642"/>
      <c r="R9" s="384"/>
      <c r="S9" s="599" t="s">
        <v>289</v>
      </c>
      <c r="T9" s="600"/>
      <c r="U9" s="600"/>
      <c r="V9" s="600"/>
      <c r="W9" s="601"/>
      <c r="X9" s="608"/>
    </row>
    <row r="10" spans="1:24" x14ac:dyDescent="0.25">
      <c r="A10" s="371" t="s">
        <v>280</v>
      </c>
      <c r="B10" s="651">
        <v>24000</v>
      </c>
      <c r="C10" s="651"/>
      <c r="D10" s="651"/>
      <c r="E10" s="626"/>
      <c r="F10" s="610"/>
      <c r="G10" s="602"/>
      <c r="H10" s="603"/>
      <c r="I10" s="603"/>
      <c r="J10" s="603"/>
      <c r="K10" s="604"/>
      <c r="L10" s="610"/>
      <c r="M10" s="371" t="s">
        <v>280</v>
      </c>
      <c r="N10" s="651">
        <v>24000</v>
      </c>
      <c r="O10" s="651"/>
      <c r="P10" s="651"/>
      <c r="Q10" s="626"/>
      <c r="R10" s="384"/>
      <c r="S10" s="602"/>
      <c r="T10" s="603"/>
      <c r="U10" s="603"/>
      <c r="V10" s="603"/>
      <c r="W10" s="604"/>
      <c r="X10" s="608"/>
    </row>
    <row r="11" spans="1:24" x14ac:dyDescent="0.25">
      <c r="A11" s="370" t="s">
        <v>281</v>
      </c>
      <c r="B11" s="652">
        <v>0</v>
      </c>
      <c r="C11" s="652"/>
      <c r="D11" s="652"/>
      <c r="E11" s="626"/>
      <c r="F11" s="610"/>
      <c r="G11" s="602"/>
      <c r="H11" s="603"/>
      <c r="I11" s="603"/>
      <c r="J11" s="603"/>
      <c r="K11" s="604"/>
      <c r="L11" s="610"/>
      <c r="M11" s="370" t="s">
        <v>281</v>
      </c>
      <c r="N11" s="652">
        <v>0</v>
      </c>
      <c r="O11" s="652"/>
      <c r="P11" s="652"/>
      <c r="Q11" s="626"/>
      <c r="R11" s="384"/>
      <c r="S11" s="602"/>
      <c r="T11" s="603"/>
      <c r="U11" s="603"/>
      <c r="V11" s="603"/>
      <c r="W11" s="604"/>
      <c r="X11" s="608"/>
    </row>
    <row r="12" spans="1:24" ht="6" customHeight="1" x14ac:dyDescent="0.25">
      <c r="A12" s="624"/>
      <c r="B12" s="625"/>
      <c r="C12" s="625"/>
      <c r="D12" s="625"/>
      <c r="E12" s="626"/>
      <c r="F12" s="610"/>
      <c r="G12" s="602"/>
      <c r="H12" s="603"/>
      <c r="I12" s="603"/>
      <c r="J12" s="603"/>
      <c r="K12" s="604"/>
      <c r="L12" s="610"/>
      <c r="M12" s="624"/>
      <c r="N12" s="625"/>
      <c r="O12" s="625"/>
      <c r="P12" s="625"/>
      <c r="Q12" s="626"/>
      <c r="R12" s="384"/>
      <c r="S12" s="602"/>
      <c r="T12" s="603"/>
      <c r="U12" s="603"/>
      <c r="V12" s="603"/>
      <c r="W12" s="604"/>
      <c r="X12" s="608"/>
    </row>
    <row r="13" spans="1:24" x14ac:dyDescent="0.25">
      <c r="A13" s="640" t="s">
        <v>268</v>
      </c>
      <c r="B13" s="641"/>
      <c r="C13" s="641"/>
      <c r="D13" s="641"/>
      <c r="E13" s="642"/>
      <c r="F13" s="610"/>
      <c r="G13" s="602"/>
      <c r="H13" s="603"/>
      <c r="I13" s="603"/>
      <c r="J13" s="603"/>
      <c r="K13" s="604"/>
      <c r="L13" s="610"/>
      <c r="M13" s="640" t="s">
        <v>268</v>
      </c>
      <c r="N13" s="641"/>
      <c r="O13" s="641"/>
      <c r="P13" s="641"/>
      <c r="Q13" s="642"/>
      <c r="R13" s="384"/>
      <c r="S13" s="602"/>
      <c r="T13" s="603"/>
      <c r="U13" s="603"/>
      <c r="V13" s="603"/>
      <c r="W13" s="604"/>
      <c r="X13" s="608"/>
    </row>
    <row r="14" spans="1:24" x14ac:dyDescent="0.25">
      <c r="A14" s="372" t="s">
        <v>0</v>
      </c>
      <c r="B14" s="643">
        <f>(B11+B10)*E14</f>
        <v>24000</v>
      </c>
      <c r="C14" s="643"/>
      <c r="D14" s="643"/>
      <c r="E14" s="381">
        <v>1</v>
      </c>
      <c r="F14" s="610"/>
      <c r="G14" s="602"/>
      <c r="H14" s="603"/>
      <c r="I14" s="603"/>
      <c r="J14" s="603"/>
      <c r="K14" s="604"/>
      <c r="L14" s="610"/>
      <c r="M14" s="372" t="s">
        <v>0</v>
      </c>
      <c r="N14" s="643">
        <f>(N11+N10)*Q14</f>
        <v>24000</v>
      </c>
      <c r="O14" s="643"/>
      <c r="P14" s="643"/>
      <c r="Q14" s="381">
        <v>1</v>
      </c>
      <c r="R14" s="384"/>
      <c r="S14" s="602"/>
      <c r="T14" s="603"/>
      <c r="U14" s="603"/>
      <c r="V14" s="603"/>
      <c r="W14" s="604"/>
      <c r="X14" s="608"/>
    </row>
    <row r="15" spans="1:24" x14ac:dyDescent="0.25">
      <c r="A15" s="372" t="s">
        <v>1</v>
      </c>
      <c r="B15" s="643">
        <f>(B11+B10)*E15</f>
        <v>0</v>
      </c>
      <c r="C15" s="643"/>
      <c r="D15" s="643"/>
      <c r="E15" s="381">
        <v>0</v>
      </c>
      <c r="F15" s="610"/>
      <c r="G15" s="602"/>
      <c r="H15" s="603"/>
      <c r="I15" s="603"/>
      <c r="J15" s="603"/>
      <c r="K15" s="604"/>
      <c r="L15" s="610"/>
      <c r="M15" s="372" t="s">
        <v>1</v>
      </c>
      <c r="N15" s="643">
        <f>(N11+N10)*Q15</f>
        <v>0</v>
      </c>
      <c r="O15" s="643"/>
      <c r="P15" s="643"/>
      <c r="Q15" s="381">
        <v>0</v>
      </c>
      <c r="R15" s="384"/>
      <c r="S15" s="602"/>
      <c r="T15" s="603"/>
      <c r="U15" s="603"/>
      <c r="V15" s="603"/>
      <c r="W15" s="604"/>
      <c r="X15" s="608"/>
    </row>
    <row r="16" spans="1:24" x14ac:dyDescent="0.25">
      <c r="A16" s="372" t="s">
        <v>2</v>
      </c>
      <c r="B16" s="643">
        <f>(B10+B11)*E16</f>
        <v>0</v>
      </c>
      <c r="C16" s="643"/>
      <c r="D16" s="643"/>
      <c r="E16" s="381">
        <v>0</v>
      </c>
      <c r="F16" s="610"/>
      <c r="G16" s="602"/>
      <c r="H16" s="603"/>
      <c r="I16" s="603"/>
      <c r="J16" s="603"/>
      <c r="K16" s="604"/>
      <c r="L16" s="610"/>
      <c r="M16" s="372" t="s">
        <v>2</v>
      </c>
      <c r="N16" s="643">
        <f>(N10+N11)*Q16</f>
        <v>0</v>
      </c>
      <c r="O16" s="643"/>
      <c r="P16" s="643"/>
      <c r="Q16" s="381">
        <v>0</v>
      </c>
      <c r="R16" s="384"/>
      <c r="S16" s="602"/>
      <c r="T16" s="603"/>
      <c r="U16" s="603"/>
      <c r="V16" s="603"/>
      <c r="W16" s="604"/>
      <c r="X16" s="608"/>
    </row>
    <row r="17" spans="1:24" x14ac:dyDescent="0.25">
      <c r="A17" s="372" t="s">
        <v>3</v>
      </c>
      <c r="B17" s="643">
        <f>B11</f>
        <v>0</v>
      </c>
      <c r="C17" s="643"/>
      <c r="D17" s="643"/>
      <c r="E17" s="382">
        <f>ORV_Procured/(B10+B11)</f>
        <v>2.5</v>
      </c>
      <c r="F17" s="610"/>
      <c r="G17" s="602"/>
      <c r="H17" s="603"/>
      <c r="I17" s="603"/>
      <c r="J17" s="603"/>
      <c r="K17" s="604"/>
      <c r="L17" s="610"/>
      <c r="M17" s="372" t="s">
        <v>3</v>
      </c>
      <c r="N17" s="643">
        <f>N11</f>
        <v>0</v>
      </c>
      <c r="O17" s="643"/>
      <c r="P17" s="643"/>
      <c r="Q17" s="382">
        <f>ORV_Procured/(N10+N11)</f>
        <v>2.5</v>
      </c>
      <c r="R17" s="384"/>
      <c r="S17" s="602"/>
      <c r="T17" s="603"/>
      <c r="U17" s="603"/>
      <c r="V17" s="603"/>
      <c r="W17" s="604"/>
      <c r="X17" s="608"/>
    </row>
    <row r="18" spans="1:24" ht="6" customHeight="1" x14ac:dyDescent="0.25">
      <c r="A18" s="624"/>
      <c r="B18" s="625"/>
      <c r="C18" s="625"/>
      <c r="D18" s="625"/>
      <c r="E18" s="626"/>
      <c r="F18" s="610"/>
      <c r="G18" s="602"/>
      <c r="H18" s="603"/>
      <c r="I18" s="603"/>
      <c r="J18" s="603"/>
      <c r="K18" s="604"/>
      <c r="L18" s="610"/>
      <c r="M18" s="624"/>
      <c r="N18" s="625"/>
      <c r="O18" s="625"/>
      <c r="P18" s="625"/>
      <c r="Q18" s="626"/>
      <c r="R18" s="384"/>
      <c r="S18" s="602"/>
      <c r="T18" s="603"/>
      <c r="U18" s="603"/>
      <c r="V18" s="603"/>
      <c r="W18" s="604"/>
      <c r="X18" s="608"/>
    </row>
    <row r="19" spans="1:24" x14ac:dyDescent="0.25">
      <c r="A19" s="640" t="s">
        <v>259</v>
      </c>
      <c r="B19" s="641"/>
      <c r="C19" s="641"/>
      <c r="D19" s="641"/>
      <c r="E19" s="642"/>
      <c r="F19" s="610"/>
      <c r="G19" s="602"/>
      <c r="H19" s="603"/>
      <c r="I19" s="603"/>
      <c r="J19" s="603"/>
      <c r="K19" s="604"/>
      <c r="L19" s="610"/>
      <c r="M19" s="640" t="s">
        <v>259</v>
      </c>
      <c r="N19" s="641"/>
      <c r="O19" s="641"/>
      <c r="P19" s="641"/>
      <c r="Q19" s="642"/>
      <c r="R19" s="384"/>
      <c r="S19" s="602"/>
      <c r="T19" s="603"/>
      <c r="U19" s="603"/>
      <c r="V19" s="603"/>
      <c r="W19" s="604"/>
      <c r="X19" s="608"/>
    </row>
    <row r="20" spans="1:24" x14ac:dyDescent="0.25">
      <c r="A20" s="373" t="s">
        <v>280</v>
      </c>
      <c r="B20" s="644">
        <v>1</v>
      </c>
      <c r="C20" s="644"/>
      <c r="D20" s="644"/>
      <c r="E20" s="645"/>
      <c r="F20" s="610"/>
      <c r="G20" s="602"/>
      <c r="H20" s="603"/>
      <c r="I20" s="603"/>
      <c r="J20" s="603"/>
      <c r="K20" s="604"/>
      <c r="L20" s="610"/>
      <c r="M20" s="373" t="s">
        <v>280</v>
      </c>
      <c r="N20" s="644">
        <v>1</v>
      </c>
      <c r="O20" s="644"/>
      <c r="P20" s="644"/>
      <c r="Q20" s="645"/>
      <c r="R20" s="384"/>
      <c r="S20" s="602"/>
      <c r="T20" s="603"/>
      <c r="U20" s="603"/>
      <c r="V20" s="603"/>
      <c r="W20" s="604"/>
      <c r="X20" s="608"/>
    </row>
    <row r="21" spans="1:24" x14ac:dyDescent="0.25">
      <c r="A21" s="373" t="s">
        <v>281</v>
      </c>
      <c r="B21" s="644">
        <v>1</v>
      </c>
      <c r="C21" s="644"/>
      <c r="D21" s="644"/>
      <c r="E21" s="645"/>
      <c r="F21" s="610"/>
      <c r="G21" s="602"/>
      <c r="H21" s="603"/>
      <c r="I21" s="603"/>
      <c r="J21" s="603"/>
      <c r="K21" s="604"/>
      <c r="L21" s="610"/>
      <c r="M21" s="373" t="s">
        <v>281</v>
      </c>
      <c r="N21" s="644">
        <v>1</v>
      </c>
      <c r="O21" s="644"/>
      <c r="P21" s="644"/>
      <c r="Q21" s="645"/>
      <c r="R21" s="384"/>
      <c r="S21" s="602"/>
      <c r="T21" s="603"/>
      <c r="U21" s="603"/>
      <c r="V21" s="603"/>
      <c r="W21" s="604"/>
      <c r="X21" s="608"/>
    </row>
    <row r="22" spans="1:24" ht="6" customHeight="1" x14ac:dyDescent="0.25">
      <c r="A22" s="624"/>
      <c r="B22" s="625"/>
      <c r="C22" s="625"/>
      <c r="D22" s="625"/>
      <c r="E22" s="626"/>
      <c r="F22" s="610"/>
      <c r="G22" s="602"/>
      <c r="H22" s="603"/>
      <c r="I22" s="603"/>
      <c r="J22" s="603"/>
      <c r="K22" s="604"/>
      <c r="L22" s="610"/>
      <c r="M22" s="624"/>
      <c r="N22" s="625"/>
      <c r="O22" s="625"/>
      <c r="P22" s="625"/>
      <c r="Q22" s="626"/>
      <c r="R22" s="384"/>
      <c r="S22" s="602"/>
      <c r="T22" s="603"/>
      <c r="U22" s="603"/>
      <c r="V22" s="603"/>
      <c r="W22" s="604"/>
      <c r="X22" s="608"/>
    </row>
    <row r="23" spans="1:24" ht="15.75" thickBot="1" x14ac:dyDescent="0.3">
      <c r="A23" s="621" t="s">
        <v>282</v>
      </c>
      <c r="B23" s="622"/>
      <c r="C23" s="622"/>
      <c r="D23" s="622"/>
      <c r="E23" s="623"/>
      <c r="F23" s="610"/>
      <c r="G23" s="602"/>
      <c r="H23" s="603"/>
      <c r="I23" s="603"/>
      <c r="J23" s="603"/>
      <c r="K23" s="604"/>
      <c r="L23" s="610"/>
      <c r="M23" s="621" t="s">
        <v>282</v>
      </c>
      <c r="N23" s="622"/>
      <c r="O23" s="622"/>
      <c r="P23" s="622"/>
      <c r="Q23" s="623"/>
      <c r="R23" s="384"/>
      <c r="S23" s="602"/>
      <c r="T23" s="603"/>
      <c r="U23" s="603"/>
      <c r="V23" s="603"/>
      <c r="W23" s="604"/>
      <c r="X23" s="608"/>
    </row>
    <row r="24" spans="1:24" ht="15.75" thickBot="1" x14ac:dyDescent="0.3">
      <c r="A24" s="374" t="s">
        <v>239</v>
      </c>
      <c r="B24" s="366" t="s">
        <v>216</v>
      </c>
      <c r="C24" s="204" t="s">
        <v>217</v>
      </c>
      <c r="D24" s="204" t="s">
        <v>2</v>
      </c>
      <c r="E24" s="205" t="s">
        <v>3</v>
      </c>
      <c r="F24" s="610"/>
      <c r="G24" s="602"/>
      <c r="H24" s="603"/>
      <c r="I24" s="603"/>
      <c r="J24" s="603"/>
      <c r="K24" s="604"/>
      <c r="L24" s="610"/>
      <c r="M24" s="374" t="s">
        <v>239</v>
      </c>
      <c r="N24" s="366" t="s">
        <v>216</v>
      </c>
      <c r="O24" s="204" t="s">
        <v>217</v>
      </c>
      <c r="P24" s="204" t="s">
        <v>2</v>
      </c>
      <c r="Q24" s="205" t="s">
        <v>3</v>
      </c>
      <c r="R24" s="384"/>
      <c r="S24" s="602"/>
      <c r="T24" s="603"/>
      <c r="U24" s="603"/>
      <c r="V24" s="603"/>
      <c r="W24" s="604"/>
      <c r="X24" s="608"/>
    </row>
    <row r="25" spans="1:24" x14ac:dyDescent="0.25">
      <c r="A25" s="375" t="s">
        <v>5</v>
      </c>
      <c r="B25" s="367">
        <v>0.8</v>
      </c>
      <c r="C25" s="349">
        <v>0.8</v>
      </c>
      <c r="D25" s="349">
        <v>0.05</v>
      </c>
      <c r="E25" s="350">
        <v>0.05</v>
      </c>
      <c r="F25" s="610"/>
      <c r="G25" s="602"/>
      <c r="H25" s="603"/>
      <c r="I25" s="603"/>
      <c r="J25" s="603"/>
      <c r="K25" s="604"/>
      <c r="L25" s="610"/>
      <c r="M25" s="375" t="s">
        <v>5</v>
      </c>
      <c r="N25" s="367">
        <v>0.8</v>
      </c>
      <c r="O25" s="349">
        <v>0.8</v>
      </c>
      <c r="P25" s="349">
        <v>0.05</v>
      </c>
      <c r="Q25" s="350">
        <v>0.05</v>
      </c>
      <c r="R25" s="384"/>
      <c r="S25" s="602"/>
      <c r="T25" s="603"/>
      <c r="U25" s="603"/>
      <c r="V25" s="603"/>
      <c r="W25" s="604"/>
      <c r="X25" s="608"/>
    </row>
    <row r="26" spans="1:24" x14ac:dyDescent="0.25">
      <c r="A26" s="375" t="s">
        <v>6</v>
      </c>
      <c r="B26" s="368">
        <v>0.6</v>
      </c>
      <c r="C26" s="351">
        <v>0.6</v>
      </c>
      <c r="D26" s="351">
        <v>0.8</v>
      </c>
      <c r="E26" s="352">
        <v>0.8</v>
      </c>
      <c r="F26" s="610"/>
      <c r="G26" s="602"/>
      <c r="H26" s="603"/>
      <c r="I26" s="603"/>
      <c r="J26" s="603"/>
      <c r="K26" s="604"/>
      <c r="L26" s="610"/>
      <c r="M26" s="375" t="s">
        <v>6</v>
      </c>
      <c r="N26" s="368">
        <v>0.6</v>
      </c>
      <c r="O26" s="351">
        <v>0.6</v>
      </c>
      <c r="P26" s="351">
        <v>0.8</v>
      </c>
      <c r="Q26" s="352">
        <v>0.8</v>
      </c>
      <c r="R26" s="384"/>
      <c r="S26" s="602"/>
      <c r="T26" s="603"/>
      <c r="U26" s="603"/>
      <c r="V26" s="603"/>
      <c r="W26" s="604"/>
      <c r="X26" s="608"/>
    </row>
    <row r="27" spans="1:24" ht="15.75" thickBot="1" x14ac:dyDescent="0.3">
      <c r="A27" s="375" t="s">
        <v>7</v>
      </c>
      <c r="B27" s="369">
        <v>0.05</v>
      </c>
      <c r="C27" s="353">
        <v>0.05</v>
      </c>
      <c r="D27" s="353">
        <v>0.6</v>
      </c>
      <c r="E27" s="354">
        <v>0.8</v>
      </c>
      <c r="F27" s="610"/>
      <c r="G27" s="602"/>
      <c r="H27" s="603"/>
      <c r="I27" s="603"/>
      <c r="J27" s="603"/>
      <c r="K27" s="604"/>
      <c r="L27" s="610"/>
      <c r="M27" s="375" t="s">
        <v>7</v>
      </c>
      <c r="N27" s="369">
        <v>0.05</v>
      </c>
      <c r="O27" s="353">
        <v>0.05</v>
      </c>
      <c r="P27" s="353">
        <v>0.6</v>
      </c>
      <c r="Q27" s="354">
        <v>0.8</v>
      </c>
      <c r="R27" s="384"/>
      <c r="S27" s="602"/>
      <c r="T27" s="603"/>
      <c r="U27" s="603"/>
      <c r="V27" s="603"/>
      <c r="W27" s="604"/>
      <c r="X27" s="608"/>
    </row>
    <row r="28" spans="1:24" ht="6" customHeight="1" x14ac:dyDescent="0.25">
      <c r="A28" s="624"/>
      <c r="B28" s="625"/>
      <c r="C28" s="625"/>
      <c r="D28" s="625"/>
      <c r="E28" s="626"/>
      <c r="F28" s="610"/>
      <c r="G28" s="602"/>
      <c r="H28" s="603"/>
      <c r="I28" s="603"/>
      <c r="J28" s="603"/>
      <c r="K28" s="604"/>
      <c r="L28" s="610"/>
      <c r="M28" s="624"/>
      <c r="N28" s="625"/>
      <c r="O28" s="625"/>
      <c r="P28" s="625"/>
      <c r="Q28" s="626"/>
      <c r="R28" s="384"/>
      <c r="S28" s="602"/>
      <c r="T28" s="603"/>
      <c r="U28" s="603"/>
      <c r="V28" s="603"/>
      <c r="W28" s="604"/>
      <c r="X28" s="608"/>
    </row>
    <row r="29" spans="1:24" ht="15.75" x14ac:dyDescent="0.25">
      <c r="A29" s="627" t="s">
        <v>244</v>
      </c>
      <c r="B29" s="628"/>
      <c r="C29" s="628"/>
      <c r="D29" s="628"/>
      <c r="E29" s="629"/>
      <c r="F29" s="610"/>
      <c r="G29" s="602"/>
      <c r="H29" s="603"/>
      <c r="I29" s="603"/>
      <c r="J29" s="603"/>
      <c r="K29" s="604"/>
      <c r="L29" s="610"/>
      <c r="M29" s="627" t="s">
        <v>244</v>
      </c>
      <c r="N29" s="628"/>
      <c r="O29" s="628"/>
      <c r="P29" s="628"/>
      <c r="Q29" s="629"/>
      <c r="R29" s="384"/>
      <c r="S29" s="602"/>
      <c r="T29" s="603"/>
      <c r="U29" s="603"/>
      <c r="V29" s="603"/>
      <c r="W29" s="604"/>
      <c r="X29" s="608"/>
    </row>
    <row r="30" spans="1:24" ht="15.75" x14ac:dyDescent="0.25">
      <c r="A30" s="376" t="s">
        <v>283</v>
      </c>
      <c r="B30" s="334">
        <v>60</v>
      </c>
      <c r="C30" s="630"/>
      <c r="D30" s="625"/>
      <c r="E30" s="626"/>
      <c r="F30" s="610"/>
      <c r="G30" s="602"/>
      <c r="H30" s="603"/>
      <c r="I30" s="603"/>
      <c r="J30" s="603"/>
      <c r="K30" s="604"/>
      <c r="L30" s="610"/>
      <c r="M30" s="376" t="s">
        <v>283</v>
      </c>
      <c r="N30" s="334">
        <v>60</v>
      </c>
      <c r="O30" s="630"/>
      <c r="P30" s="625"/>
      <c r="Q30" s="626"/>
      <c r="R30" s="384"/>
      <c r="S30" s="602"/>
      <c r="T30" s="603"/>
      <c r="U30" s="603"/>
      <c r="V30" s="603"/>
      <c r="W30" s="604"/>
      <c r="X30" s="608"/>
    </row>
    <row r="31" spans="1:24" ht="6" customHeight="1" x14ac:dyDescent="0.25">
      <c r="A31" s="624"/>
      <c r="B31" s="625"/>
      <c r="C31" s="625"/>
      <c r="D31" s="625"/>
      <c r="E31" s="626"/>
      <c r="F31" s="610"/>
      <c r="G31" s="602"/>
      <c r="H31" s="603"/>
      <c r="I31" s="603"/>
      <c r="J31" s="603"/>
      <c r="K31" s="604"/>
      <c r="L31" s="610"/>
      <c r="M31" s="624"/>
      <c r="N31" s="625"/>
      <c r="O31" s="625"/>
      <c r="P31" s="625"/>
      <c r="Q31" s="626"/>
      <c r="R31" s="384"/>
      <c r="S31" s="602"/>
      <c r="T31" s="603"/>
      <c r="U31" s="603"/>
      <c r="V31" s="603"/>
      <c r="W31" s="604"/>
      <c r="X31" s="608"/>
    </row>
    <row r="32" spans="1:24" ht="15.75" x14ac:dyDescent="0.25">
      <c r="A32" s="627" t="s">
        <v>245</v>
      </c>
      <c r="B32" s="628"/>
      <c r="C32" s="628"/>
      <c r="D32" s="628"/>
      <c r="E32" s="629"/>
      <c r="F32" s="610"/>
      <c r="G32" s="602"/>
      <c r="H32" s="603"/>
      <c r="I32" s="603"/>
      <c r="J32" s="603"/>
      <c r="K32" s="604"/>
      <c r="L32" s="610"/>
      <c r="M32" s="627" t="s">
        <v>245</v>
      </c>
      <c r="N32" s="628"/>
      <c r="O32" s="628"/>
      <c r="P32" s="628"/>
      <c r="Q32" s="629"/>
      <c r="R32" s="384"/>
      <c r="S32" s="602"/>
      <c r="T32" s="603"/>
      <c r="U32" s="603"/>
      <c r="V32" s="603"/>
      <c r="W32" s="604"/>
      <c r="X32" s="608"/>
    </row>
    <row r="33" spans="1:24" ht="16.5" thickBot="1" x14ac:dyDescent="0.3">
      <c r="A33" s="377" t="s">
        <v>0</v>
      </c>
      <c r="B33" s="334">
        <v>30</v>
      </c>
      <c r="C33" s="630"/>
      <c r="D33" s="625"/>
      <c r="E33" s="626"/>
      <c r="F33" s="610"/>
      <c r="G33" s="605"/>
      <c r="H33" s="606"/>
      <c r="I33" s="606"/>
      <c r="J33" s="606"/>
      <c r="K33" s="607"/>
      <c r="L33" s="610"/>
      <c r="M33" s="377" t="s">
        <v>0</v>
      </c>
      <c r="N33" s="334">
        <v>30</v>
      </c>
      <c r="O33" s="630"/>
      <c r="P33" s="625"/>
      <c r="Q33" s="626"/>
      <c r="R33" s="384"/>
      <c r="S33" s="605"/>
      <c r="T33" s="606"/>
      <c r="U33" s="606"/>
      <c r="V33" s="606"/>
      <c r="W33" s="607"/>
      <c r="X33" s="608"/>
    </row>
    <row r="34" spans="1:24" ht="15.75" x14ac:dyDescent="0.25">
      <c r="A34" s="377" t="s">
        <v>1</v>
      </c>
      <c r="B34" s="334">
        <v>30</v>
      </c>
      <c r="C34" s="630"/>
      <c r="D34" s="625"/>
      <c r="E34" s="626"/>
      <c r="F34" s="608"/>
      <c r="G34" s="598"/>
      <c r="H34" s="598"/>
      <c r="I34" s="598"/>
      <c r="J34" s="598"/>
      <c r="K34" s="598"/>
      <c r="L34" s="609"/>
      <c r="M34" s="377" t="s">
        <v>1</v>
      </c>
      <c r="N34" s="334">
        <v>30</v>
      </c>
      <c r="O34" s="630"/>
      <c r="P34" s="625"/>
      <c r="Q34" s="626"/>
      <c r="R34" s="384"/>
      <c r="S34" s="598"/>
      <c r="T34" s="598"/>
      <c r="U34" s="598"/>
      <c r="V34" s="598"/>
      <c r="W34" s="598"/>
      <c r="X34" s="598"/>
    </row>
    <row r="35" spans="1:24" ht="15.75" x14ac:dyDescent="0.25">
      <c r="A35" s="377" t="s">
        <v>2</v>
      </c>
      <c r="B35" s="334">
        <v>30</v>
      </c>
      <c r="C35" s="630"/>
      <c r="D35" s="625"/>
      <c r="E35" s="626"/>
      <c r="F35" s="608"/>
      <c r="G35" s="598"/>
      <c r="H35" s="598"/>
      <c r="I35" s="598"/>
      <c r="J35" s="598"/>
      <c r="K35" s="598"/>
      <c r="L35" s="609"/>
      <c r="M35" s="377" t="s">
        <v>2</v>
      </c>
      <c r="N35" s="334">
        <v>30</v>
      </c>
      <c r="O35" s="630"/>
      <c r="P35" s="625"/>
      <c r="Q35" s="626"/>
      <c r="R35" s="384"/>
      <c r="S35" s="598"/>
      <c r="T35" s="598"/>
      <c r="U35" s="598"/>
      <c r="V35" s="598"/>
      <c r="W35" s="598"/>
      <c r="X35" s="598"/>
    </row>
    <row r="36" spans="1:24" ht="16.5" thickBot="1" x14ac:dyDescent="0.3">
      <c r="A36" s="378" t="s">
        <v>3</v>
      </c>
      <c r="B36" s="379">
        <v>50</v>
      </c>
      <c r="C36" s="631"/>
      <c r="D36" s="632"/>
      <c r="E36" s="633"/>
      <c r="F36" s="608"/>
      <c r="G36" s="598"/>
      <c r="H36" s="598"/>
      <c r="I36" s="598"/>
      <c r="J36" s="598"/>
      <c r="K36" s="598"/>
      <c r="L36" s="609"/>
      <c r="M36" s="378" t="s">
        <v>3</v>
      </c>
      <c r="N36" s="379">
        <v>50</v>
      </c>
      <c r="O36" s="631"/>
      <c r="P36" s="632"/>
      <c r="Q36" s="633"/>
      <c r="R36" s="384"/>
      <c r="S36" s="598"/>
      <c r="T36" s="598"/>
      <c r="U36" s="598"/>
      <c r="V36" s="598"/>
      <c r="W36" s="598"/>
      <c r="X36" s="598"/>
    </row>
    <row r="37" spans="1:24" ht="19.5" thickBot="1" x14ac:dyDescent="0.35">
      <c r="A37" s="634" t="s">
        <v>301</v>
      </c>
      <c r="B37" s="635"/>
      <c r="C37" s="635"/>
      <c r="D37" s="635"/>
      <c r="E37" s="635"/>
      <c r="F37" s="608"/>
      <c r="G37" s="598"/>
      <c r="H37" s="598"/>
      <c r="I37" s="598"/>
      <c r="J37" s="598"/>
      <c r="K37" s="598"/>
      <c r="L37" s="609"/>
      <c r="M37" s="634" t="s">
        <v>302</v>
      </c>
      <c r="N37" s="635"/>
      <c r="O37" s="635"/>
      <c r="P37" s="635"/>
      <c r="Q37" s="635"/>
      <c r="R37" s="397" t="s">
        <v>300</v>
      </c>
      <c r="S37" s="598"/>
      <c r="T37" s="598"/>
      <c r="U37" s="598"/>
      <c r="V37" s="598"/>
      <c r="W37" s="598"/>
      <c r="X37" s="598"/>
    </row>
    <row r="38" spans="1:24" ht="18.75" customHeight="1" x14ac:dyDescent="0.3">
      <c r="A38" s="636" t="s">
        <v>284</v>
      </c>
      <c r="B38" s="637"/>
      <c r="C38" s="637"/>
      <c r="D38" s="659">
        <v>0.35</v>
      </c>
      <c r="E38" s="660"/>
      <c r="F38" s="608"/>
      <c r="G38" s="598"/>
      <c r="H38" s="598"/>
      <c r="I38" s="598"/>
      <c r="J38" s="598"/>
      <c r="K38" s="598"/>
      <c r="L38" s="609"/>
      <c r="M38" s="636" t="s">
        <v>284</v>
      </c>
      <c r="N38" s="637"/>
      <c r="O38" s="637"/>
      <c r="P38" s="638">
        <v>0.3</v>
      </c>
      <c r="Q38" s="639"/>
      <c r="R38" s="396">
        <f>P38-D38</f>
        <v>-4.9999999999999989E-2</v>
      </c>
      <c r="S38" s="598"/>
      <c r="T38" s="598"/>
      <c r="U38" s="598"/>
      <c r="V38" s="598"/>
      <c r="W38" s="598"/>
      <c r="X38" s="598"/>
    </row>
    <row r="39" spans="1:24" ht="18.75" customHeight="1" x14ac:dyDescent="0.3">
      <c r="A39" s="611" t="s">
        <v>285</v>
      </c>
      <c r="B39" s="612"/>
      <c r="C39" s="612"/>
      <c r="D39" s="657">
        <v>0.52</v>
      </c>
      <c r="E39" s="658"/>
      <c r="F39" s="608"/>
      <c r="G39" s="598"/>
      <c r="H39" s="598"/>
      <c r="I39" s="598"/>
      <c r="J39" s="598"/>
      <c r="K39" s="598"/>
      <c r="L39" s="609"/>
      <c r="M39" s="611" t="s">
        <v>285</v>
      </c>
      <c r="N39" s="612"/>
      <c r="O39" s="612"/>
      <c r="P39" s="613">
        <v>0.56000000000000005</v>
      </c>
      <c r="Q39" s="614"/>
      <c r="R39" s="396">
        <f t="shared" ref="R39:R40" si="0">P39-D39</f>
        <v>4.0000000000000036E-2</v>
      </c>
      <c r="S39" s="598"/>
      <c r="T39" s="598"/>
      <c r="U39" s="598"/>
      <c r="V39" s="598"/>
      <c r="W39" s="598"/>
      <c r="X39" s="598"/>
    </row>
    <row r="40" spans="1:24" ht="31.5" customHeight="1" x14ac:dyDescent="0.3">
      <c r="A40" s="611" t="s">
        <v>286</v>
      </c>
      <c r="B40" s="612"/>
      <c r="C40" s="612"/>
      <c r="D40" s="657">
        <v>0.42</v>
      </c>
      <c r="E40" s="658"/>
      <c r="F40" s="608"/>
      <c r="G40" s="598"/>
      <c r="H40" s="598"/>
      <c r="I40" s="598"/>
      <c r="J40" s="598"/>
      <c r="K40" s="598"/>
      <c r="L40" s="609"/>
      <c r="M40" s="611" t="s">
        <v>286</v>
      </c>
      <c r="N40" s="612"/>
      <c r="O40" s="612"/>
      <c r="P40" s="613">
        <v>0.42</v>
      </c>
      <c r="Q40" s="614"/>
      <c r="R40" s="396">
        <f t="shared" si="0"/>
        <v>0</v>
      </c>
      <c r="S40" s="598"/>
      <c r="T40" s="598"/>
      <c r="U40" s="598"/>
      <c r="V40" s="598"/>
      <c r="W40" s="598"/>
      <c r="X40" s="598"/>
    </row>
    <row r="41" spans="1:24" ht="18.75" customHeight="1" x14ac:dyDescent="0.3">
      <c r="A41" s="611" t="s">
        <v>100</v>
      </c>
      <c r="B41" s="612"/>
      <c r="C41" s="612"/>
      <c r="D41" s="655">
        <v>4.17</v>
      </c>
      <c r="E41" s="656"/>
      <c r="F41" s="608"/>
      <c r="G41" s="598"/>
      <c r="H41" s="598"/>
      <c r="I41" s="598"/>
      <c r="J41" s="598"/>
      <c r="K41" s="598"/>
      <c r="L41" s="609"/>
      <c r="M41" s="611" t="s">
        <v>100</v>
      </c>
      <c r="N41" s="612"/>
      <c r="O41" s="612"/>
      <c r="P41" s="615">
        <v>5.73</v>
      </c>
      <c r="Q41" s="616"/>
      <c r="R41" s="398">
        <f>(P41-D41)/D41</f>
        <v>0.37410071942446055</v>
      </c>
      <c r="S41" s="598"/>
      <c r="T41" s="598"/>
      <c r="U41" s="598"/>
      <c r="V41" s="598"/>
      <c r="W41" s="598"/>
      <c r="X41" s="598"/>
    </row>
    <row r="42" spans="1:24" ht="19.5" customHeight="1" thickBot="1" x14ac:dyDescent="0.35">
      <c r="A42" s="617" t="s">
        <v>99</v>
      </c>
      <c r="B42" s="618"/>
      <c r="C42" s="618"/>
      <c r="D42" s="653">
        <v>65625</v>
      </c>
      <c r="E42" s="654"/>
      <c r="F42" s="608"/>
      <c r="G42" s="598"/>
      <c r="H42" s="598"/>
      <c r="I42" s="598"/>
      <c r="J42" s="598"/>
      <c r="K42" s="598"/>
      <c r="L42" s="609"/>
      <c r="M42" s="617" t="s">
        <v>99</v>
      </c>
      <c r="N42" s="618"/>
      <c r="O42" s="618"/>
      <c r="P42" s="619">
        <v>96076</v>
      </c>
      <c r="Q42" s="620"/>
      <c r="R42" s="399">
        <f>(P42-D42)/D42</f>
        <v>0.46401523809523809</v>
      </c>
      <c r="S42" s="598"/>
      <c r="T42" s="598"/>
      <c r="U42" s="598"/>
      <c r="V42" s="598"/>
      <c r="W42" s="598"/>
      <c r="X42" s="598"/>
    </row>
    <row r="43" spans="1:24" x14ac:dyDescent="0.25">
      <c r="A43" s="598"/>
      <c r="B43" s="598"/>
      <c r="C43" s="598"/>
      <c r="D43" s="598"/>
      <c r="E43" s="598"/>
      <c r="F43" s="598"/>
      <c r="G43" s="598"/>
      <c r="H43" s="598"/>
      <c r="I43" s="598"/>
      <c r="J43" s="598"/>
      <c r="K43" s="598"/>
      <c r="L43" s="598"/>
      <c r="M43" s="598"/>
      <c r="N43" s="598"/>
      <c r="O43" s="598"/>
      <c r="P43" s="598"/>
      <c r="Q43" s="598"/>
      <c r="R43" s="384"/>
      <c r="S43" s="598"/>
      <c r="T43" s="598"/>
      <c r="U43" s="598"/>
      <c r="V43" s="598"/>
      <c r="W43" s="598"/>
      <c r="X43" s="598"/>
    </row>
    <row r="44" spans="1:24" x14ac:dyDescent="0.25">
      <c r="A44" s="598"/>
      <c r="B44" s="598"/>
      <c r="C44" s="598"/>
      <c r="D44" s="598"/>
      <c r="E44" s="598"/>
      <c r="F44" s="598"/>
      <c r="G44" s="598"/>
      <c r="H44" s="598"/>
      <c r="I44" s="598"/>
      <c r="J44" s="598"/>
      <c r="K44" s="598"/>
      <c r="L44" s="598"/>
      <c r="M44" s="598"/>
      <c r="N44" s="598"/>
      <c r="O44" s="598"/>
      <c r="P44" s="598"/>
      <c r="Q44" s="598"/>
      <c r="R44" s="384"/>
      <c r="S44" s="598"/>
      <c r="T44" s="598"/>
      <c r="U44" s="598"/>
      <c r="V44" s="598"/>
      <c r="W44" s="598"/>
      <c r="X44" s="598"/>
    </row>
    <row r="45" spans="1:24" x14ac:dyDescent="0.25">
      <c r="A45" s="598"/>
      <c r="B45" s="598"/>
      <c r="C45" s="598"/>
      <c r="D45" s="598"/>
      <c r="E45" s="598"/>
      <c r="F45" s="598"/>
      <c r="G45" s="598"/>
      <c r="H45" s="598"/>
      <c r="I45" s="598"/>
      <c r="J45" s="598"/>
      <c r="K45" s="598"/>
      <c r="L45" s="598"/>
      <c r="M45" s="598"/>
      <c r="N45" s="598"/>
      <c r="O45" s="598"/>
      <c r="P45" s="598"/>
      <c r="Q45" s="598"/>
      <c r="R45" s="384"/>
      <c r="S45" s="598"/>
      <c r="T45" s="598"/>
      <c r="U45" s="598"/>
      <c r="V45" s="598"/>
      <c r="W45" s="598"/>
      <c r="X45" s="598"/>
    </row>
  </sheetData>
  <mergeCells count="95">
    <mergeCell ref="B7:D7"/>
    <mergeCell ref="E4:E7"/>
    <mergeCell ref="E10:E11"/>
    <mergeCell ref="A3:E3"/>
    <mergeCell ref="A2:E2"/>
    <mergeCell ref="A9:E9"/>
    <mergeCell ref="B6:D6"/>
    <mergeCell ref="B5:D5"/>
    <mergeCell ref="B4:D4"/>
    <mergeCell ref="A8:E8"/>
    <mergeCell ref="G9:K33"/>
    <mergeCell ref="B16:D16"/>
    <mergeCell ref="B17:D17"/>
    <mergeCell ref="A13:E13"/>
    <mergeCell ref="B11:D11"/>
    <mergeCell ref="B10:D10"/>
    <mergeCell ref="B14:D14"/>
    <mergeCell ref="B15:D15"/>
    <mergeCell ref="A28:E28"/>
    <mergeCell ref="A18:E18"/>
    <mergeCell ref="A12:E12"/>
    <mergeCell ref="A23:E23"/>
    <mergeCell ref="A22:E22"/>
    <mergeCell ref="A19:E19"/>
    <mergeCell ref="B20:D20"/>
    <mergeCell ref="B21:D21"/>
    <mergeCell ref="E20:E21"/>
    <mergeCell ref="A29:E29"/>
    <mergeCell ref="A32:E32"/>
    <mergeCell ref="C33:E36"/>
    <mergeCell ref="A31:E31"/>
    <mergeCell ref="C30:E30"/>
    <mergeCell ref="A37:E37"/>
    <mergeCell ref="A42:C42"/>
    <mergeCell ref="A41:C41"/>
    <mergeCell ref="A40:C40"/>
    <mergeCell ref="A39:C39"/>
    <mergeCell ref="A38:C38"/>
    <mergeCell ref="D42:E42"/>
    <mergeCell ref="D41:E41"/>
    <mergeCell ref="D40:E40"/>
    <mergeCell ref="D39:E39"/>
    <mergeCell ref="D38:E38"/>
    <mergeCell ref="M12:Q12"/>
    <mergeCell ref="M2:Q2"/>
    <mergeCell ref="M3:Q3"/>
    <mergeCell ref="N4:P4"/>
    <mergeCell ref="Q4:Q7"/>
    <mergeCell ref="N5:P5"/>
    <mergeCell ref="N6:P6"/>
    <mergeCell ref="N7:P7"/>
    <mergeCell ref="M8:Q8"/>
    <mergeCell ref="M9:Q9"/>
    <mergeCell ref="N10:P10"/>
    <mergeCell ref="Q10:Q11"/>
    <mergeCell ref="N11:P11"/>
    <mergeCell ref="M22:Q22"/>
    <mergeCell ref="M13:Q13"/>
    <mergeCell ref="N14:P14"/>
    <mergeCell ref="N15:P15"/>
    <mergeCell ref="N16:P16"/>
    <mergeCell ref="N17:P17"/>
    <mergeCell ref="M18:Q18"/>
    <mergeCell ref="M19:Q19"/>
    <mergeCell ref="N20:P20"/>
    <mergeCell ref="Q20:Q21"/>
    <mergeCell ref="N21:P21"/>
    <mergeCell ref="M39:O39"/>
    <mergeCell ref="P39:Q39"/>
    <mergeCell ref="M23:Q23"/>
    <mergeCell ref="M28:Q28"/>
    <mergeCell ref="M29:Q29"/>
    <mergeCell ref="O30:Q30"/>
    <mergeCell ref="M31:Q31"/>
    <mergeCell ref="M32:Q32"/>
    <mergeCell ref="O33:Q36"/>
    <mergeCell ref="M37:Q37"/>
    <mergeCell ref="M38:O38"/>
    <mergeCell ref="P38:Q38"/>
    <mergeCell ref="A1:R1"/>
    <mergeCell ref="S9:W33"/>
    <mergeCell ref="S1:X8"/>
    <mergeCell ref="S34:X45"/>
    <mergeCell ref="X9:X33"/>
    <mergeCell ref="F34:L42"/>
    <mergeCell ref="F2:L8"/>
    <mergeCell ref="F9:F33"/>
    <mergeCell ref="L9:L33"/>
    <mergeCell ref="A43:Q45"/>
    <mergeCell ref="M40:O40"/>
    <mergeCell ref="P40:Q40"/>
    <mergeCell ref="M41:O41"/>
    <mergeCell ref="P41:Q41"/>
    <mergeCell ref="M42:O42"/>
    <mergeCell ref="P42:Q4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zoomScale="85" zoomScaleNormal="85" workbookViewId="0">
      <selection activeCell="Y40" sqref="Y40"/>
    </sheetView>
  </sheetViews>
  <sheetFormatPr defaultRowHeight="15" x14ac:dyDescent="0.25"/>
  <cols>
    <col min="1" max="1" width="29" customWidth="1"/>
    <col min="2" max="2" width="11.5703125" bestFit="1" customWidth="1"/>
    <col min="13" max="13" width="31.42578125" customWidth="1"/>
    <col min="18" max="18" width="14.140625" customWidth="1"/>
  </cols>
  <sheetData>
    <row r="1" spans="1:24" ht="15.75" thickBot="1" x14ac:dyDescent="0.3">
      <c r="A1" s="598"/>
      <c r="B1" s="598"/>
      <c r="C1" s="598"/>
      <c r="D1" s="598"/>
      <c r="E1" s="598"/>
      <c r="F1" s="598"/>
      <c r="G1" s="598"/>
      <c r="H1" s="598"/>
      <c r="I1" s="598"/>
      <c r="J1" s="598"/>
      <c r="K1" s="598"/>
      <c r="L1" s="598"/>
      <c r="M1" s="598"/>
      <c r="N1" s="598"/>
      <c r="O1" s="598"/>
      <c r="P1" s="598"/>
      <c r="Q1" s="598"/>
      <c r="R1" s="598"/>
      <c r="S1" s="598"/>
      <c r="T1" s="598"/>
      <c r="U1" s="598"/>
      <c r="V1" s="598"/>
      <c r="W1" s="598"/>
      <c r="X1" s="598"/>
    </row>
    <row r="2" spans="1:24" ht="18.75" x14ac:dyDescent="0.3">
      <c r="A2" s="646" t="s">
        <v>273</v>
      </c>
      <c r="B2" s="647"/>
      <c r="C2" s="647"/>
      <c r="D2" s="647"/>
      <c r="E2" s="648"/>
      <c r="F2" s="608"/>
      <c r="G2" s="598"/>
      <c r="H2" s="598"/>
      <c r="I2" s="598"/>
      <c r="J2" s="598"/>
      <c r="K2" s="598"/>
      <c r="L2" s="609"/>
      <c r="M2" s="646" t="s">
        <v>307</v>
      </c>
      <c r="N2" s="647"/>
      <c r="O2" s="647"/>
      <c r="P2" s="647"/>
      <c r="Q2" s="648"/>
      <c r="R2" s="384"/>
      <c r="S2" s="598"/>
      <c r="T2" s="598"/>
      <c r="U2" s="598"/>
      <c r="V2" s="598"/>
      <c r="W2" s="598"/>
      <c r="X2" s="598"/>
    </row>
    <row r="3" spans="1:24" x14ac:dyDescent="0.25">
      <c r="A3" s="640" t="s">
        <v>274</v>
      </c>
      <c r="B3" s="641"/>
      <c r="C3" s="641"/>
      <c r="D3" s="641"/>
      <c r="E3" s="642"/>
      <c r="F3" s="608"/>
      <c r="G3" s="598"/>
      <c r="H3" s="598"/>
      <c r="I3" s="598"/>
      <c r="J3" s="598"/>
      <c r="K3" s="598"/>
      <c r="L3" s="609"/>
      <c r="M3" s="640" t="s">
        <v>274</v>
      </c>
      <c r="N3" s="641"/>
      <c r="O3" s="641"/>
      <c r="P3" s="641"/>
      <c r="Q3" s="642"/>
      <c r="R3" s="384"/>
      <c r="S3" s="598"/>
      <c r="T3" s="598"/>
      <c r="U3" s="598"/>
      <c r="V3" s="598"/>
      <c r="W3" s="598"/>
      <c r="X3" s="598"/>
    </row>
    <row r="4" spans="1:24" x14ac:dyDescent="0.25">
      <c r="A4" s="370" t="s">
        <v>276</v>
      </c>
      <c r="B4" s="649">
        <v>30000</v>
      </c>
      <c r="C4" s="649"/>
      <c r="D4" s="649"/>
      <c r="E4" s="626"/>
      <c r="F4" s="608"/>
      <c r="G4" s="598"/>
      <c r="H4" s="598"/>
      <c r="I4" s="598"/>
      <c r="J4" s="598"/>
      <c r="K4" s="598"/>
      <c r="L4" s="609"/>
      <c r="M4" s="370" t="s">
        <v>276</v>
      </c>
      <c r="N4" s="649">
        <v>30000</v>
      </c>
      <c r="O4" s="649"/>
      <c r="P4" s="649"/>
      <c r="Q4" s="626"/>
      <c r="R4" s="384"/>
      <c r="S4" s="598"/>
      <c r="T4" s="598"/>
      <c r="U4" s="598"/>
      <c r="V4" s="598"/>
      <c r="W4" s="598"/>
      <c r="X4" s="598"/>
    </row>
    <row r="5" spans="1:24" x14ac:dyDescent="0.25">
      <c r="A5" s="370" t="s">
        <v>275</v>
      </c>
      <c r="B5" s="661">
        <v>0.28000000000000003</v>
      </c>
      <c r="C5" s="661"/>
      <c r="D5" s="661"/>
      <c r="E5" s="626"/>
      <c r="F5" s="608"/>
      <c r="G5" s="598"/>
      <c r="H5" s="598"/>
      <c r="I5" s="598"/>
      <c r="J5" s="598"/>
      <c r="K5" s="598"/>
      <c r="L5" s="609"/>
      <c r="M5" s="370" t="s">
        <v>275</v>
      </c>
      <c r="N5" s="663">
        <v>0.28000000000000003</v>
      </c>
      <c r="O5" s="663"/>
      <c r="P5" s="663"/>
      <c r="Q5" s="626"/>
      <c r="R5" s="384"/>
      <c r="S5" s="598"/>
      <c r="T5" s="598"/>
      <c r="U5" s="598"/>
      <c r="V5" s="598"/>
      <c r="W5" s="598"/>
      <c r="X5" s="598"/>
    </row>
    <row r="6" spans="1:24" x14ac:dyDescent="0.25">
      <c r="A6" s="370" t="s">
        <v>6</v>
      </c>
      <c r="B6" s="661">
        <v>0.48</v>
      </c>
      <c r="C6" s="661"/>
      <c r="D6" s="661"/>
      <c r="E6" s="626"/>
      <c r="F6" s="608"/>
      <c r="G6" s="598"/>
      <c r="H6" s="598"/>
      <c r="I6" s="598"/>
      <c r="J6" s="598"/>
      <c r="K6" s="598"/>
      <c r="L6" s="609"/>
      <c r="M6" s="370" t="s">
        <v>6</v>
      </c>
      <c r="N6" s="663">
        <v>0.48</v>
      </c>
      <c r="O6" s="663"/>
      <c r="P6" s="663"/>
      <c r="Q6" s="626"/>
      <c r="R6" s="384"/>
      <c r="S6" s="598"/>
      <c r="T6" s="598"/>
      <c r="U6" s="598"/>
      <c r="V6" s="598"/>
      <c r="W6" s="598"/>
      <c r="X6" s="598"/>
    </row>
    <row r="7" spans="1:24" x14ac:dyDescent="0.25">
      <c r="A7" s="370" t="s">
        <v>7</v>
      </c>
      <c r="B7" s="661">
        <v>0.24</v>
      </c>
      <c r="C7" s="661"/>
      <c r="D7" s="661"/>
      <c r="E7" s="626"/>
      <c r="F7" s="608"/>
      <c r="G7" s="598"/>
      <c r="H7" s="598"/>
      <c r="I7" s="598"/>
      <c r="J7" s="598"/>
      <c r="K7" s="598"/>
      <c r="L7" s="609"/>
      <c r="M7" s="370" t="s">
        <v>7</v>
      </c>
      <c r="N7" s="663">
        <v>0.24</v>
      </c>
      <c r="O7" s="663"/>
      <c r="P7" s="663"/>
      <c r="Q7" s="626"/>
      <c r="R7" s="384"/>
      <c r="S7" s="598"/>
      <c r="T7" s="598"/>
      <c r="U7" s="598"/>
      <c r="V7" s="598"/>
      <c r="W7" s="598"/>
      <c r="X7" s="598"/>
    </row>
    <row r="8" spans="1:24" ht="6" customHeight="1" thickBot="1" x14ac:dyDescent="0.3">
      <c r="A8" s="624"/>
      <c r="B8" s="625"/>
      <c r="C8" s="625"/>
      <c r="D8" s="625"/>
      <c r="E8" s="626"/>
      <c r="F8" s="608"/>
      <c r="G8" s="598"/>
      <c r="H8" s="598"/>
      <c r="I8" s="598"/>
      <c r="J8" s="598"/>
      <c r="K8" s="598"/>
      <c r="L8" s="609"/>
      <c r="M8" s="624"/>
      <c r="N8" s="625"/>
      <c r="O8" s="625"/>
      <c r="P8" s="625"/>
      <c r="Q8" s="626"/>
      <c r="R8" s="384"/>
      <c r="S8" s="598"/>
      <c r="T8" s="598"/>
      <c r="U8" s="598"/>
      <c r="V8" s="598"/>
      <c r="W8" s="598"/>
      <c r="X8" s="598"/>
    </row>
    <row r="9" spans="1:24" x14ac:dyDescent="0.25">
      <c r="A9" s="640" t="s">
        <v>258</v>
      </c>
      <c r="B9" s="641"/>
      <c r="C9" s="641"/>
      <c r="D9" s="641"/>
      <c r="E9" s="642"/>
      <c r="F9" s="610"/>
      <c r="G9" s="599" t="s">
        <v>291</v>
      </c>
      <c r="H9" s="600"/>
      <c r="I9" s="600"/>
      <c r="J9" s="600"/>
      <c r="K9" s="601"/>
      <c r="L9" s="610"/>
      <c r="M9" s="640" t="s">
        <v>258</v>
      </c>
      <c r="N9" s="641"/>
      <c r="O9" s="641"/>
      <c r="P9" s="641"/>
      <c r="Q9" s="642"/>
      <c r="R9" s="384"/>
      <c r="S9" s="599" t="s">
        <v>290</v>
      </c>
      <c r="T9" s="600"/>
      <c r="U9" s="600"/>
      <c r="V9" s="600"/>
      <c r="W9" s="601"/>
      <c r="X9" s="608"/>
    </row>
    <row r="10" spans="1:24" x14ac:dyDescent="0.25">
      <c r="A10" s="371" t="s">
        <v>280</v>
      </c>
      <c r="B10" s="651">
        <v>24000</v>
      </c>
      <c r="C10" s="651"/>
      <c r="D10" s="651"/>
      <c r="E10" s="626"/>
      <c r="F10" s="610"/>
      <c r="G10" s="602"/>
      <c r="H10" s="603"/>
      <c r="I10" s="603"/>
      <c r="J10" s="603"/>
      <c r="K10" s="604"/>
      <c r="L10" s="610"/>
      <c r="M10" s="371" t="s">
        <v>280</v>
      </c>
      <c r="N10" s="662">
        <v>29000</v>
      </c>
      <c r="O10" s="662"/>
      <c r="P10" s="662"/>
      <c r="Q10" s="626"/>
      <c r="R10" s="384"/>
      <c r="S10" s="602"/>
      <c r="T10" s="603"/>
      <c r="U10" s="603"/>
      <c r="V10" s="603"/>
      <c r="W10" s="604"/>
      <c r="X10" s="608"/>
    </row>
    <row r="11" spans="1:24" x14ac:dyDescent="0.25">
      <c r="A11" s="370" t="s">
        <v>281</v>
      </c>
      <c r="B11" s="652">
        <v>0</v>
      </c>
      <c r="C11" s="652"/>
      <c r="D11" s="652"/>
      <c r="E11" s="626"/>
      <c r="F11" s="610"/>
      <c r="G11" s="602"/>
      <c r="H11" s="603"/>
      <c r="I11" s="603"/>
      <c r="J11" s="603"/>
      <c r="K11" s="604"/>
      <c r="L11" s="610"/>
      <c r="M11" s="370" t="s">
        <v>281</v>
      </c>
      <c r="N11" s="652">
        <v>0</v>
      </c>
      <c r="O11" s="652"/>
      <c r="P11" s="652"/>
      <c r="Q11" s="626"/>
      <c r="R11" s="384"/>
      <c r="S11" s="602"/>
      <c r="T11" s="603"/>
      <c r="U11" s="603"/>
      <c r="V11" s="603"/>
      <c r="W11" s="604"/>
      <c r="X11" s="608"/>
    </row>
    <row r="12" spans="1:24" ht="6" customHeight="1" x14ac:dyDescent="0.25">
      <c r="A12" s="624"/>
      <c r="B12" s="625"/>
      <c r="C12" s="625"/>
      <c r="D12" s="625"/>
      <c r="E12" s="626"/>
      <c r="F12" s="610"/>
      <c r="G12" s="602"/>
      <c r="H12" s="603"/>
      <c r="I12" s="603"/>
      <c r="J12" s="603"/>
      <c r="K12" s="604"/>
      <c r="L12" s="610"/>
      <c r="M12" s="624"/>
      <c r="N12" s="625"/>
      <c r="O12" s="625"/>
      <c r="P12" s="625"/>
      <c r="Q12" s="626"/>
      <c r="R12" s="384"/>
      <c r="S12" s="602"/>
      <c r="T12" s="603"/>
      <c r="U12" s="603"/>
      <c r="V12" s="603"/>
      <c r="W12" s="604"/>
      <c r="X12" s="608"/>
    </row>
    <row r="13" spans="1:24" x14ac:dyDescent="0.25">
      <c r="A13" s="640" t="s">
        <v>268</v>
      </c>
      <c r="B13" s="641"/>
      <c r="C13" s="641"/>
      <c r="D13" s="641"/>
      <c r="E13" s="642"/>
      <c r="F13" s="610"/>
      <c r="G13" s="602"/>
      <c r="H13" s="603"/>
      <c r="I13" s="603"/>
      <c r="J13" s="603"/>
      <c r="K13" s="604"/>
      <c r="L13" s="610"/>
      <c r="M13" s="640" t="s">
        <v>268</v>
      </c>
      <c r="N13" s="641"/>
      <c r="O13" s="641"/>
      <c r="P13" s="641"/>
      <c r="Q13" s="642"/>
      <c r="R13" s="384"/>
      <c r="S13" s="602"/>
      <c r="T13" s="603"/>
      <c r="U13" s="603"/>
      <c r="V13" s="603"/>
      <c r="W13" s="604"/>
      <c r="X13" s="608"/>
    </row>
    <row r="14" spans="1:24" x14ac:dyDescent="0.25">
      <c r="A14" s="372" t="s">
        <v>0</v>
      </c>
      <c r="B14" s="643">
        <f>(B11+B10)*E14</f>
        <v>24000</v>
      </c>
      <c r="C14" s="643"/>
      <c r="D14" s="643"/>
      <c r="E14" s="381">
        <v>1</v>
      </c>
      <c r="F14" s="610"/>
      <c r="G14" s="602"/>
      <c r="H14" s="603"/>
      <c r="I14" s="603"/>
      <c r="J14" s="603"/>
      <c r="K14" s="604"/>
      <c r="L14" s="610"/>
      <c r="M14" s="372" t="s">
        <v>0</v>
      </c>
      <c r="N14" s="643">
        <f>(N11+N10)*Q14</f>
        <v>29000</v>
      </c>
      <c r="O14" s="643"/>
      <c r="P14" s="643"/>
      <c r="Q14" s="381">
        <v>1</v>
      </c>
      <c r="R14" s="384"/>
      <c r="S14" s="602"/>
      <c r="T14" s="603"/>
      <c r="U14" s="603"/>
      <c r="V14" s="603"/>
      <c r="W14" s="604"/>
      <c r="X14" s="608"/>
    </row>
    <row r="15" spans="1:24" x14ac:dyDescent="0.25">
      <c r="A15" s="372" t="s">
        <v>1</v>
      </c>
      <c r="B15" s="643">
        <f>(B11+B10)*E15</f>
        <v>0</v>
      </c>
      <c r="C15" s="643"/>
      <c r="D15" s="643"/>
      <c r="E15" s="381">
        <v>0</v>
      </c>
      <c r="F15" s="610"/>
      <c r="G15" s="602"/>
      <c r="H15" s="603"/>
      <c r="I15" s="603"/>
      <c r="J15" s="603"/>
      <c r="K15" s="604"/>
      <c r="L15" s="610"/>
      <c r="M15" s="372" t="s">
        <v>1</v>
      </c>
      <c r="N15" s="643">
        <f>(N11+N10)*Q15</f>
        <v>0</v>
      </c>
      <c r="O15" s="643"/>
      <c r="P15" s="643"/>
      <c r="Q15" s="381">
        <v>0</v>
      </c>
      <c r="R15" s="384"/>
      <c r="S15" s="602"/>
      <c r="T15" s="603"/>
      <c r="U15" s="603"/>
      <c r="V15" s="603"/>
      <c r="W15" s="604"/>
      <c r="X15" s="608"/>
    </row>
    <row r="16" spans="1:24" x14ac:dyDescent="0.25">
      <c r="A16" s="372" t="s">
        <v>2</v>
      </c>
      <c r="B16" s="643">
        <f>(B10+B11)*E16</f>
        <v>0</v>
      </c>
      <c r="C16" s="643"/>
      <c r="D16" s="643"/>
      <c r="E16" s="381">
        <v>0</v>
      </c>
      <c r="F16" s="610"/>
      <c r="G16" s="602"/>
      <c r="H16" s="603"/>
      <c r="I16" s="603"/>
      <c r="J16" s="603"/>
      <c r="K16" s="604"/>
      <c r="L16" s="610"/>
      <c r="M16" s="372" t="s">
        <v>2</v>
      </c>
      <c r="N16" s="643">
        <f>(N10+N11)*Q16</f>
        <v>0</v>
      </c>
      <c r="O16" s="643"/>
      <c r="P16" s="643"/>
      <c r="Q16" s="381">
        <v>0</v>
      </c>
      <c r="R16" s="384"/>
      <c r="S16" s="602"/>
      <c r="T16" s="603"/>
      <c r="U16" s="603"/>
      <c r="V16" s="603"/>
      <c r="W16" s="604"/>
      <c r="X16" s="608"/>
    </row>
    <row r="17" spans="1:24" x14ac:dyDescent="0.25">
      <c r="A17" s="372" t="s">
        <v>3</v>
      </c>
      <c r="B17" s="643">
        <f>B11</f>
        <v>0</v>
      </c>
      <c r="C17" s="643"/>
      <c r="D17" s="643"/>
      <c r="E17" s="382">
        <f>ORV_Procured/(B10+B11)</f>
        <v>2.5</v>
      </c>
      <c r="F17" s="610"/>
      <c r="G17" s="602"/>
      <c r="H17" s="603"/>
      <c r="I17" s="603"/>
      <c r="J17" s="603"/>
      <c r="K17" s="604"/>
      <c r="L17" s="610"/>
      <c r="M17" s="372" t="s">
        <v>3</v>
      </c>
      <c r="N17" s="643">
        <f>N11</f>
        <v>0</v>
      </c>
      <c r="O17" s="643"/>
      <c r="P17" s="643"/>
      <c r="Q17" s="382">
        <f>ORV_Procured/(N10+N11)</f>
        <v>2.0689655172413794</v>
      </c>
      <c r="R17" s="384"/>
      <c r="S17" s="602"/>
      <c r="T17" s="603"/>
      <c r="U17" s="603"/>
      <c r="V17" s="603"/>
      <c r="W17" s="604"/>
      <c r="X17" s="608"/>
    </row>
    <row r="18" spans="1:24" ht="6" customHeight="1" x14ac:dyDescent="0.25">
      <c r="A18" s="624"/>
      <c r="B18" s="625"/>
      <c r="C18" s="625"/>
      <c r="D18" s="625"/>
      <c r="E18" s="626"/>
      <c r="F18" s="610"/>
      <c r="G18" s="602"/>
      <c r="H18" s="603"/>
      <c r="I18" s="603"/>
      <c r="J18" s="603"/>
      <c r="K18" s="604"/>
      <c r="L18" s="610"/>
      <c r="M18" s="624"/>
      <c r="N18" s="625"/>
      <c r="O18" s="625"/>
      <c r="P18" s="625"/>
      <c r="Q18" s="626"/>
      <c r="R18" s="384"/>
      <c r="S18" s="602"/>
      <c r="T18" s="603"/>
      <c r="U18" s="603"/>
      <c r="V18" s="603"/>
      <c r="W18" s="604"/>
      <c r="X18" s="608"/>
    </row>
    <row r="19" spans="1:24" x14ac:dyDescent="0.25">
      <c r="A19" s="640" t="s">
        <v>259</v>
      </c>
      <c r="B19" s="641"/>
      <c r="C19" s="641"/>
      <c r="D19" s="641"/>
      <c r="E19" s="642"/>
      <c r="F19" s="610"/>
      <c r="G19" s="602"/>
      <c r="H19" s="603"/>
      <c r="I19" s="603"/>
      <c r="J19" s="603"/>
      <c r="K19" s="604"/>
      <c r="L19" s="610"/>
      <c r="M19" s="640" t="s">
        <v>259</v>
      </c>
      <c r="N19" s="641"/>
      <c r="O19" s="641"/>
      <c r="P19" s="641"/>
      <c r="Q19" s="642"/>
      <c r="R19" s="384"/>
      <c r="S19" s="602"/>
      <c r="T19" s="603"/>
      <c r="U19" s="603"/>
      <c r="V19" s="603"/>
      <c r="W19" s="604"/>
      <c r="X19" s="608"/>
    </row>
    <row r="20" spans="1:24" x14ac:dyDescent="0.25">
      <c r="A20" s="373" t="s">
        <v>280</v>
      </c>
      <c r="B20" s="644">
        <v>1</v>
      </c>
      <c r="C20" s="644"/>
      <c r="D20" s="644"/>
      <c r="E20" s="645"/>
      <c r="F20" s="610"/>
      <c r="G20" s="602"/>
      <c r="H20" s="603"/>
      <c r="I20" s="603"/>
      <c r="J20" s="603"/>
      <c r="K20" s="604"/>
      <c r="L20" s="610"/>
      <c r="M20" s="373" t="s">
        <v>280</v>
      </c>
      <c r="N20" s="644">
        <v>1</v>
      </c>
      <c r="O20" s="644"/>
      <c r="P20" s="644"/>
      <c r="Q20" s="645"/>
      <c r="R20" s="384"/>
      <c r="S20" s="602"/>
      <c r="T20" s="603"/>
      <c r="U20" s="603"/>
      <c r="V20" s="603"/>
      <c r="W20" s="604"/>
      <c r="X20" s="608"/>
    </row>
    <row r="21" spans="1:24" x14ac:dyDescent="0.25">
      <c r="A21" s="373" t="s">
        <v>281</v>
      </c>
      <c r="B21" s="644">
        <v>1</v>
      </c>
      <c r="C21" s="644"/>
      <c r="D21" s="644"/>
      <c r="E21" s="645"/>
      <c r="F21" s="610"/>
      <c r="G21" s="602"/>
      <c r="H21" s="603"/>
      <c r="I21" s="603"/>
      <c r="J21" s="603"/>
      <c r="K21" s="604"/>
      <c r="L21" s="610"/>
      <c r="M21" s="373" t="s">
        <v>281</v>
      </c>
      <c r="N21" s="644">
        <v>1</v>
      </c>
      <c r="O21" s="644"/>
      <c r="P21" s="644"/>
      <c r="Q21" s="645"/>
      <c r="R21" s="384"/>
      <c r="S21" s="602"/>
      <c r="T21" s="603"/>
      <c r="U21" s="603"/>
      <c r="V21" s="603"/>
      <c r="W21" s="604"/>
      <c r="X21" s="608"/>
    </row>
    <row r="22" spans="1:24" ht="6" customHeight="1" x14ac:dyDescent="0.25">
      <c r="A22" s="624"/>
      <c r="B22" s="625"/>
      <c r="C22" s="625"/>
      <c r="D22" s="625"/>
      <c r="E22" s="626"/>
      <c r="F22" s="610"/>
      <c r="G22" s="602"/>
      <c r="H22" s="603"/>
      <c r="I22" s="603"/>
      <c r="J22" s="603"/>
      <c r="K22" s="604"/>
      <c r="L22" s="610"/>
      <c r="M22" s="624"/>
      <c r="N22" s="625"/>
      <c r="O22" s="625"/>
      <c r="P22" s="625"/>
      <c r="Q22" s="626"/>
      <c r="R22" s="384"/>
      <c r="S22" s="602"/>
      <c r="T22" s="603"/>
      <c r="U22" s="603"/>
      <c r="V22" s="603"/>
      <c r="W22" s="604"/>
      <c r="X22" s="608"/>
    </row>
    <row r="23" spans="1:24" ht="15.75" thickBot="1" x14ac:dyDescent="0.3">
      <c r="A23" s="621" t="s">
        <v>282</v>
      </c>
      <c r="B23" s="622"/>
      <c r="C23" s="622"/>
      <c r="D23" s="622"/>
      <c r="E23" s="623"/>
      <c r="F23" s="610"/>
      <c r="G23" s="602"/>
      <c r="H23" s="603"/>
      <c r="I23" s="603"/>
      <c r="J23" s="603"/>
      <c r="K23" s="604"/>
      <c r="L23" s="610"/>
      <c r="M23" s="621" t="s">
        <v>282</v>
      </c>
      <c r="N23" s="622"/>
      <c r="O23" s="622"/>
      <c r="P23" s="622"/>
      <c r="Q23" s="623"/>
      <c r="R23" s="384"/>
      <c r="S23" s="602"/>
      <c r="T23" s="603"/>
      <c r="U23" s="603"/>
      <c r="V23" s="603"/>
      <c r="W23" s="604"/>
      <c r="X23" s="608"/>
    </row>
    <row r="24" spans="1:24" ht="15.75" thickBot="1" x14ac:dyDescent="0.3">
      <c r="A24" s="374" t="s">
        <v>239</v>
      </c>
      <c r="B24" s="366" t="s">
        <v>216</v>
      </c>
      <c r="C24" s="204" t="s">
        <v>217</v>
      </c>
      <c r="D24" s="204" t="s">
        <v>2</v>
      </c>
      <c r="E24" s="205" t="s">
        <v>3</v>
      </c>
      <c r="F24" s="610"/>
      <c r="G24" s="602"/>
      <c r="H24" s="603"/>
      <c r="I24" s="603"/>
      <c r="J24" s="603"/>
      <c r="K24" s="604"/>
      <c r="L24" s="610"/>
      <c r="M24" s="374" t="s">
        <v>239</v>
      </c>
      <c r="N24" s="366" t="s">
        <v>216</v>
      </c>
      <c r="O24" s="204" t="s">
        <v>217</v>
      </c>
      <c r="P24" s="204" t="s">
        <v>2</v>
      </c>
      <c r="Q24" s="205" t="s">
        <v>3</v>
      </c>
      <c r="R24" s="384"/>
      <c r="S24" s="602"/>
      <c r="T24" s="603"/>
      <c r="U24" s="603"/>
      <c r="V24" s="603"/>
      <c r="W24" s="604"/>
      <c r="X24" s="608"/>
    </row>
    <row r="25" spans="1:24" x14ac:dyDescent="0.25">
      <c r="A25" s="375" t="s">
        <v>5</v>
      </c>
      <c r="B25" s="367">
        <v>0.8</v>
      </c>
      <c r="C25" s="349">
        <v>0.8</v>
      </c>
      <c r="D25" s="349">
        <v>0.05</v>
      </c>
      <c r="E25" s="350">
        <v>0.05</v>
      </c>
      <c r="F25" s="610"/>
      <c r="G25" s="602"/>
      <c r="H25" s="603"/>
      <c r="I25" s="603"/>
      <c r="J25" s="603"/>
      <c r="K25" s="604"/>
      <c r="L25" s="610"/>
      <c r="M25" s="375" t="s">
        <v>5</v>
      </c>
      <c r="N25" s="367">
        <v>0.8</v>
      </c>
      <c r="O25" s="349">
        <v>0.8</v>
      </c>
      <c r="P25" s="349">
        <v>0.05</v>
      </c>
      <c r="Q25" s="350">
        <v>0.05</v>
      </c>
      <c r="R25" s="384"/>
      <c r="S25" s="602"/>
      <c r="T25" s="603"/>
      <c r="U25" s="603"/>
      <c r="V25" s="603"/>
      <c r="W25" s="604"/>
      <c r="X25" s="608"/>
    </row>
    <row r="26" spans="1:24" x14ac:dyDescent="0.25">
      <c r="A26" s="375" t="s">
        <v>6</v>
      </c>
      <c r="B26" s="368">
        <v>0.6</v>
      </c>
      <c r="C26" s="351">
        <v>0.6</v>
      </c>
      <c r="D26" s="351">
        <v>0.8</v>
      </c>
      <c r="E26" s="352">
        <v>0.8</v>
      </c>
      <c r="F26" s="610"/>
      <c r="G26" s="602"/>
      <c r="H26" s="603"/>
      <c r="I26" s="603"/>
      <c r="J26" s="603"/>
      <c r="K26" s="604"/>
      <c r="L26" s="610"/>
      <c r="M26" s="375" t="s">
        <v>6</v>
      </c>
      <c r="N26" s="368">
        <v>0.6</v>
      </c>
      <c r="O26" s="351">
        <v>0.6</v>
      </c>
      <c r="P26" s="351">
        <v>0.8</v>
      </c>
      <c r="Q26" s="352">
        <v>0.8</v>
      </c>
      <c r="R26" s="384"/>
      <c r="S26" s="602"/>
      <c r="T26" s="603"/>
      <c r="U26" s="603"/>
      <c r="V26" s="603"/>
      <c r="W26" s="604"/>
      <c r="X26" s="608"/>
    </row>
    <row r="27" spans="1:24" ht="15.75" thickBot="1" x14ac:dyDescent="0.3">
      <c r="A27" s="375" t="s">
        <v>7</v>
      </c>
      <c r="B27" s="369">
        <v>0.05</v>
      </c>
      <c r="C27" s="353">
        <v>0.05</v>
      </c>
      <c r="D27" s="353">
        <v>0.6</v>
      </c>
      <c r="E27" s="354">
        <v>0.8</v>
      </c>
      <c r="F27" s="610"/>
      <c r="G27" s="602"/>
      <c r="H27" s="603"/>
      <c r="I27" s="603"/>
      <c r="J27" s="603"/>
      <c r="K27" s="604"/>
      <c r="L27" s="610"/>
      <c r="M27" s="375" t="s">
        <v>7</v>
      </c>
      <c r="N27" s="369">
        <v>0.05</v>
      </c>
      <c r="O27" s="353">
        <v>0.05</v>
      </c>
      <c r="P27" s="353">
        <v>0.6</v>
      </c>
      <c r="Q27" s="354">
        <v>0.8</v>
      </c>
      <c r="R27" s="384"/>
      <c r="S27" s="602"/>
      <c r="T27" s="603"/>
      <c r="U27" s="603"/>
      <c r="V27" s="603"/>
      <c r="W27" s="604"/>
      <c r="X27" s="608"/>
    </row>
    <row r="28" spans="1:24" ht="6" customHeight="1" x14ac:dyDescent="0.25">
      <c r="A28" s="624"/>
      <c r="B28" s="625"/>
      <c r="C28" s="625"/>
      <c r="D28" s="625"/>
      <c r="E28" s="626"/>
      <c r="F28" s="610"/>
      <c r="G28" s="602"/>
      <c r="H28" s="603"/>
      <c r="I28" s="603"/>
      <c r="J28" s="603"/>
      <c r="K28" s="604"/>
      <c r="L28" s="610"/>
      <c r="M28" s="624"/>
      <c r="N28" s="625"/>
      <c r="O28" s="625"/>
      <c r="P28" s="625"/>
      <c r="Q28" s="626"/>
      <c r="R28" s="384"/>
      <c r="S28" s="602"/>
      <c r="T28" s="603"/>
      <c r="U28" s="603"/>
      <c r="V28" s="603"/>
      <c r="W28" s="604"/>
      <c r="X28" s="608"/>
    </row>
    <row r="29" spans="1:24" ht="15.75" x14ac:dyDescent="0.25">
      <c r="A29" s="627" t="s">
        <v>244</v>
      </c>
      <c r="B29" s="628"/>
      <c r="C29" s="628"/>
      <c r="D29" s="628"/>
      <c r="E29" s="629"/>
      <c r="F29" s="610"/>
      <c r="G29" s="602"/>
      <c r="H29" s="603"/>
      <c r="I29" s="603"/>
      <c r="J29" s="603"/>
      <c r="K29" s="604"/>
      <c r="L29" s="610"/>
      <c r="M29" s="627" t="s">
        <v>244</v>
      </c>
      <c r="N29" s="628"/>
      <c r="O29" s="628"/>
      <c r="P29" s="628"/>
      <c r="Q29" s="629"/>
      <c r="R29" s="384"/>
      <c r="S29" s="602"/>
      <c r="T29" s="603"/>
      <c r="U29" s="603"/>
      <c r="V29" s="603"/>
      <c r="W29" s="604"/>
      <c r="X29" s="608"/>
    </row>
    <row r="30" spans="1:24" ht="15.75" x14ac:dyDescent="0.25">
      <c r="A30" s="376" t="s">
        <v>283</v>
      </c>
      <c r="B30" s="334">
        <v>60</v>
      </c>
      <c r="C30" s="630"/>
      <c r="D30" s="625"/>
      <c r="E30" s="626"/>
      <c r="F30" s="610"/>
      <c r="G30" s="602"/>
      <c r="H30" s="603"/>
      <c r="I30" s="603"/>
      <c r="J30" s="603"/>
      <c r="K30" s="604"/>
      <c r="L30" s="610"/>
      <c r="M30" s="376" t="s">
        <v>283</v>
      </c>
      <c r="N30" s="334">
        <v>60</v>
      </c>
      <c r="O30" s="630"/>
      <c r="P30" s="625"/>
      <c r="Q30" s="626"/>
      <c r="R30" s="384"/>
      <c r="S30" s="602"/>
      <c r="T30" s="603"/>
      <c r="U30" s="603"/>
      <c r="V30" s="603"/>
      <c r="W30" s="604"/>
      <c r="X30" s="608"/>
    </row>
    <row r="31" spans="1:24" ht="6" customHeight="1" x14ac:dyDescent="0.25">
      <c r="A31" s="624"/>
      <c r="B31" s="625"/>
      <c r="C31" s="625"/>
      <c r="D31" s="625"/>
      <c r="E31" s="626"/>
      <c r="F31" s="610"/>
      <c r="G31" s="602"/>
      <c r="H31" s="603"/>
      <c r="I31" s="603"/>
      <c r="J31" s="603"/>
      <c r="K31" s="604"/>
      <c r="L31" s="610"/>
      <c r="M31" s="624"/>
      <c r="N31" s="625"/>
      <c r="O31" s="625"/>
      <c r="P31" s="625"/>
      <c r="Q31" s="626"/>
      <c r="R31" s="384"/>
      <c r="S31" s="602"/>
      <c r="T31" s="603"/>
      <c r="U31" s="603"/>
      <c r="V31" s="603"/>
      <c r="W31" s="604"/>
      <c r="X31" s="608"/>
    </row>
    <row r="32" spans="1:24" ht="15.75" x14ac:dyDescent="0.25">
      <c r="A32" s="627" t="s">
        <v>245</v>
      </c>
      <c r="B32" s="628"/>
      <c r="C32" s="628"/>
      <c r="D32" s="628"/>
      <c r="E32" s="629"/>
      <c r="F32" s="610"/>
      <c r="G32" s="602"/>
      <c r="H32" s="603"/>
      <c r="I32" s="603"/>
      <c r="J32" s="603"/>
      <c r="K32" s="604"/>
      <c r="L32" s="610"/>
      <c r="M32" s="627" t="s">
        <v>245</v>
      </c>
      <c r="N32" s="628"/>
      <c r="O32" s="628"/>
      <c r="P32" s="628"/>
      <c r="Q32" s="629"/>
      <c r="R32" s="384"/>
      <c r="S32" s="602"/>
      <c r="T32" s="603"/>
      <c r="U32" s="603"/>
      <c r="V32" s="603"/>
      <c r="W32" s="604"/>
      <c r="X32" s="608"/>
    </row>
    <row r="33" spans="1:24" ht="16.5" thickBot="1" x14ac:dyDescent="0.3">
      <c r="A33" s="377" t="s">
        <v>0</v>
      </c>
      <c r="B33" s="334">
        <v>30</v>
      </c>
      <c r="C33" s="630"/>
      <c r="D33" s="625"/>
      <c r="E33" s="626"/>
      <c r="F33" s="610"/>
      <c r="G33" s="605"/>
      <c r="H33" s="606"/>
      <c r="I33" s="606"/>
      <c r="J33" s="606"/>
      <c r="K33" s="607"/>
      <c r="L33" s="610"/>
      <c r="M33" s="377" t="s">
        <v>0</v>
      </c>
      <c r="N33" s="334">
        <v>30</v>
      </c>
      <c r="O33" s="630"/>
      <c r="P33" s="625"/>
      <c r="Q33" s="626"/>
      <c r="R33" s="384"/>
      <c r="S33" s="605"/>
      <c r="T33" s="606"/>
      <c r="U33" s="606"/>
      <c r="V33" s="606"/>
      <c r="W33" s="607"/>
      <c r="X33" s="608"/>
    </row>
    <row r="34" spans="1:24" ht="15.75" x14ac:dyDescent="0.25">
      <c r="A34" s="377" t="s">
        <v>1</v>
      </c>
      <c r="B34" s="334">
        <v>30</v>
      </c>
      <c r="C34" s="630"/>
      <c r="D34" s="625"/>
      <c r="E34" s="626"/>
      <c r="F34" s="608"/>
      <c r="G34" s="598"/>
      <c r="H34" s="598"/>
      <c r="I34" s="598"/>
      <c r="J34" s="598"/>
      <c r="K34" s="598"/>
      <c r="L34" s="609"/>
      <c r="M34" s="377" t="s">
        <v>1</v>
      </c>
      <c r="N34" s="334">
        <v>30</v>
      </c>
      <c r="O34" s="630"/>
      <c r="P34" s="625"/>
      <c r="Q34" s="626"/>
      <c r="R34" s="384"/>
      <c r="S34" s="598"/>
      <c r="T34" s="598"/>
      <c r="U34" s="598"/>
      <c r="V34" s="598"/>
      <c r="W34" s="598"/>
      <c r="X34" s="598"/>
    </row>
    <row r="35" spans="1:24" ht="15.75" x14ac:dyDescent="0.25">
      <c r="A35" s="377" t="s">
        <v>2</v>
      </c>
      <c r="B35" s="334">
        <v>30</v>
      </c>
      <c r="C35" s="630"/>
      <c r="D35" s="625"/>
      <c r="E35" s="626"/>
      <c r="F35" s="608"/>
      <c r="G35" s="598"/>
      <c r="H35" s="598"/>
      <c r="I35" s="598"/>
      <c r="J35" s="598"/>
      <c r="K35" s="598"/>
      <c r="L35" s="609"/>
      <c r="M35" s="377" t="s">
        <v>2</v>
      </c>
      <c r="N35" s="334">
        <v>30</v>
      </c>
      <c r="O35" s="630"/>
      <c r="P35" s="625"/>
      <c r="Q35" s="626"/>
      <c r="R35" s="384"/>
      <c r="S35" s="598"/>
      <c r="T35" s="598"/>
      <c r="U35" s="598"/>
      <c r="V35" s="598"/>
      <c r="W35" s="598"/>
      <c r="X35" s="598"/>
    </row>
    <row r="36" spans="1:24" ht="16.5" thickBot="1" x14ac:dyDescent="0.3">
      <c r="A36" s="378" t="s">
        <v>3</v>
      </c>
      <c r="B36" s="379">
        <v>50</v>
      </c>
      <c r="C36" s="631"/>
      <c r="D36" s="632"/>
      <c r="E36" s="633"/>
      <c r="F36" s="608"/>
      <c r="G36" s="598"/>
      <c r="H36" s="598"/>
      <c r="I36" s="598"/>
      <c r="J36" s="598"/>
      <c r="K36" s="598"/>
      <c r="L36" s="609"/>
      <c r="M36" s="378" t="s">
        <v>3</v>
      </c>
      <c r="N36" s="379">
        <v>50</v>
      </c>
      <c r="O36" s="631"/>
      <c r="P36" s="632"/>
      <c r="Q36" s="633"/>
      <c r="R36" s="384"/>
      <c r="S36" s="598"/>
      <c r="T36" s="598"/>
      <c r="U36" s="598"/>
      <c r="V36" s="598"/>
      <c r="W36" s="598"/>
      <c r="X36" s="598"/>
    </row>
    <row r="37" spans="1:24" ht="19.5" thickBot="1" x14ac:dyDescent="0.35">
      <c r="A37" s="634" t="s">
        <v>301</v>
      </c>
      <c r="B37" s="635"/>
      <c r="C37" s="635"/>
      <c r="D37" s="635"/>
      <c r="E37" s="635"/>
      <c r="F37" s="608"/>
      <c r="G37" s="598"/>
      <c r="H37" s="598"/>
      <c r="I37" s="598"/>
      <c r="J37" s="598"/>
      <c r="K37" s="598"/>
      <c r="L37" s="609"/>
      <c r="M37" s="634" t="s">
        <v>302</v>
      </c>
      <c r="N37" s="635"/>
      <c r="O37" s="635"/>
      <c r="P37" s="635"/>
      <c r="Q37" s="635"/>
      <c r="R37" s="397" t="s">
        <v>300</v>
      </c>
      <c r="S37" s="598"/>
      <c r="T37" s="598"/>
      <c r="U37" s="598"/>
      <c r="V37" s="598"/>
      <c r="W37" s="598"/>
      <c r="X37" s="598"/>
    </row>
    <row r="38" spans="1:24" ht="18.75" customHeight="1" x14ac:dyDescent="0.3">
      <c r="A38" s="636" t="s">
        <v>284</v>
      </c>
      <c r="B38" s="637"/>
      <c r="C38" s="637"/>
      <c r="D38" s="659">
        <v>0.35</v>
      </c>
      <c r="E38" s="660"/>
      <c r="F38" s="608"/>
      <c r="G38" s="598"/>
      <c r="H38" s="598"/>
      <c r="I38" s="598"/>
      <c r="J38" s="598"/>
      <c r="K38" s="598"/>
      <c r="L38" s="609"/>
      <c r="M38" s="636" t="s">
        <v>284</v>
      </c>
      <c r="N38" s="637"/>
      <c r="O38" s="637"/>
      <c r="P38" s="659">
        <v>0.46</v>
      </c>
      <c r="Q38" s="660"/>
      <c r="R38" s="396">
        <f>P38-D38</f>
        <v>0.11000000000000004</v>
      </c>
      <c r="S38" s="598"/>
      <c r="T38" s="598"/>
      <c r="U38" s="598"/>
      <c r="V38" s="598"/>
      <c r="W38" s="598"/>
      <c r="X38" s="598"/>
    </row>
    <row r="39" spans="1:24" ht="18.75" customHeight="1" x14ac:dyDescent="0.3">
      <c r="A39" s="611" t="s">
        <v>285</v>
      </c>
      <c r="B39" s="612"/>
      <c r="C39" s="612"/>
      <c r="D39" s="657">
        <v>0.52</v>
      </c>
      <c r="E39" s="658"/>
      <c r="F39" s="608"/>
      <c r="G39" s="598"/>
      <c r="H39" s="598"/>
      <c r="I39" s="598"/>
      <c r="J39" s="598"/>
      <c r="K39" s="598"/>
      <c r="L39" s="609"/>
      <c r="M39" s="611" t="s">
        <v>285</v>
      </c>
      <c r="N39" s="612"/>
      <c r="O39" s="612"/>
      <c r="P39" s="657">
        <v>0.52</v>
      </c>
      <c r="Q39" s="658"/>
      <c r="R39" s="396">
        <f t="shared" ref="R39:R40" si="0">P39-D39</f>
        <v>0</v>
      </c>
      <c r="S39" s="598"/>
      <c r="T39" s="598"/>
      <c r="U39" s="598"/>
      <c r="V39" s="598"/>
      <c r="W39" s="598"/>
      <c r="X39" s="598"/>
    </row>
    <row r="40" spans="1:24" ht="31.5" customHeight="1" x14ac:dyDescent="0.3">
      <c r="A40" s="611" t="s">
        <v>286</v>
      </c>
      <c r="B40" s="612"/>
      <c r="C40" s="612"/>
      <c r="D40" s="657">
        <v>0.42</v>
      </c>
      <c r="E40" s="658"/>
      <c r="F40" s="608"/>
      <c r="G40" s="598"/>
      <c r="H40" s="598"/>
      <c r="I40" s="598"/>
      <c r="J40" s="598"/>
      <c r="K40" s="598"/>
      <c r="L40" s="609"/>
      <c r="M40" s="611" t="s">
        <v>286</v>
      </c>
      <c r="N40" s="612"/>
      <c r="O40" s="612"/>
      <c r="P40" s="657">
        <v>0.42</v>
      </c>
      <c r="Q40" s="658"/>
      <c r="R40" s="396">
        <f t="shared" si="0"/>
        <v>0</v>
      </c>
      <c r="S40" s="598"/>
      <c r="T40" s="598"/>
      <c r="U40" s="598"/>
      <c r="V40" s="598"/>
      <c r="W40" s="598"/>
      <c r="X40" s="598"/>
    </row>
    <row r="41" spans="1:24" ht="18.75" customHeight="1" x14ac:dyDescent="0.3">
      <c r="A41" s="611" t="s">
        <v>100</v>
      </c>
      <c r="B41" s="612"/>
      <c r="C41" s="612"/>
      <c r="D41" s="655">
        <v>4.17</v>
      </c>
      <c r="E41" s="656"/>
      <c r="F41" s="608"/>
      <c r="G41" s="598"/>
      <c r="H41" s="598"/>
      <c r="I41" s="598"/>
      <c r="J41" s="598"/>
      <c r="K41" s="598"/>
      <c r="L41" s="609"/>
      <c r="M41" s="611" t="s">
        <v>100</v>
      </c>
      <c r="N41" s="612"/>
      <c r="O41" s="612"/>
      <c r="P41" s="655">
        <v>4.34</v>
      </c>
      <c r="Q41" s="656"/>
      <c r="R41" s="398">
        <f>(P41-D41)/D41</f>
        <v>4.0767386091127081E-2</v>
      </c>
      <c r="S41" s="598"/>
      <c r="T41" s="598"/>
      <c r="U41" s="598"/>
      <c r="V41" s="598"/>
      <c r="W41" s="598"/>
      <c r="X41" s="598"/>
    </row>
    <row r="42" spans="1:24" ht="19.5" customHeight="1" thickBot="1" x14ac:dyDescent="0.35">
      <c r="A42" s="617" t="s">
        <v>99</v>
      </c>
      <c r="B42" s="618"/>
      <c r="C42" s="618"/>
      <c r="D42" s="653">
        <v>65625</v>
      </c>
      <c r="E42" s="654"/>
      <c r="F42" s="608"/>
      <c r="G42" s="598"/>
      <c r="H42" s="598"/>
      <c r="I42" s="598"/>
      <c r="J42" s="598"/>
      <c r="K42" s="598"/>
      <c r="L42" s="609"/>
      <c r="M42" s="617" t="s">
        <v>99</v>
      </c>
      <c r="N42" s="618"/>
      <c r="O42" s="618"/>
      <c r="P42" s="653">
        <v>96076</v>
      </c>
      <c r="Q42" s="654"/>
      <c r="R42" s="399">
        <f>(P42-D42)/D42</f>
        <v>0.46401523809523809</v>
      </c>
      <c r="S42" s="598"/>
      <c r="T42" s="598"/>
      <c r="U42" s="598"/>
      <c r="V42" s="598"/>
      <c r="W42" s="598"/>
      <c r="X42" s="598"/>
    </row>
    <row r="43" spans="1:24" x14ac:dyDescent="0.25">
      <c r="A43" s="598"/>
      <c r="B43" s="598"/>
      <c r="C43" s="598"/>
      <c r="D43" s="598"/>
      <c r="E43" s="598"/>
      <c r="F43" s="598"/>
      <c r="G43" s="598"/>
      <c r="H43" s="598"/>
      <c r="I43" s="598"/>
      <c r="J43" s="598"/>
      <c r="K43" s="598"/>
      <c r="L43" s="598"/>
      <c r="M43" s="598"/>
      <c r="N43" s="598"/>
      <c r="O43" s="598"/>
      <c r="P43" s="598"/>
      <c r="Q43" s="598"/>
      <c r="R43" s="384"/>
      <c r="S43" s="598"/>
      <c r="T43" s="598"/>
      <c r="U43" s="598"/>
      <c r="V43" s="598"/>
      <c r="W43" s="598"/>
      <c r="X43" s="598"/>
    </row>
    <row r="44" spans="1:24" x14ac:dyDescent="0.25">
      <c r="A44" s="598"/>
      <c r="B44" s="598"/>
      <c r="C44" s="598"/>
      <c r="D44" s="598"/>
      <c r="E44" s="598"/>
      <c r="F44" s="598"/>
      <c r="G44" s="598"/>
      <c r="H44" s="598"/>
      <c r="I44" s="598"/>
      <c r="J44" s="598"/>
      <c r="K44" s="598"/>
      <c r="L44" s="598"/>
      <c r="M44" s="598"/>
      <c r="N44" s="598"/>
      <c r="O44" s="598"/>
      <c r="P44" s="598"/>
      <c r="Q44" s="598"/>
      <c r="R44" s="384"/>
      <c r="S44" s="598"/>
      <c r="T44" s="598"/>
      <c r="U44" s="598"/>
      <c r="V44" s="598"/>
      <c r="W44" s="598"/>
      <c r="X44" s="598"/>
    </row>
    <row r="45" spans="1:24" x14ac:dyDescent="0.25">
      <c r="A45" s="598"/>
      <c r="B45" s="598"/>
      <c r="C45" s="598"/>
      <c r="D45" s="598"/>
      <c r="E45" s="598"/>
      <c r="F45" s="598"/>
      <c r="G45" s="598"/>
      <c r="H45" s="598"/>
      <c r="I45" s="598"/>
      <c r="J45" s="598"/>
      <c r="K45" s="598"/>
      <c r="L45" s="598"/>
      <c r="M45" s="598"/>
      <c r="N45" s="598"/>
      <c r="O45" s="598"/>
      <c r="P45" s="598"/>
      <c r="Q45" s="598"/>
      <c r="R45" s="384"/>
      <c r="S45" s="598"/>
      <c r="T45" s="598"/>
      <c r="U45" s="598"/>
      <c r="V45" s="598"/>
      <c r="W45" s="598"/>
      <c r="X45" s="598"/>
    </row>
  </sheetData>
  <mergeCells count="95">
    <mergeCell ref="A1:R1"/>
    <mergeCell ref="S1:X8"/>
    <mergeCell ref="A2:E2"/>
    <mergeCell ref="F2:L8"/>
    <mergeCell ref="M2:Q2"/>
    <mergeCell ref="A3:E3"/>
    <mergeCell ref="M3:Q3"/>
    <mergeCell ref="B4:D4"/>
    <mergeCell ref="E4:E7"/>
    <mergeCell ref="N4:P4"/>
    <mergeCell ref="Q4:Q7"/>
    <mergeCell ref="B5:D5"/>
    <mergeCell ref="N5:P5"/>
    <mergeCell ref="B6:D6"/>
    <mergeCell ref="N6:P6"/>
    <mergeCell ref="B7:D7"/>
    <mergeCell ref="N7:P7"/>
    <mergeCell ref="A8:E8"/>
    <mergeCell ref="M8:Q8"/>
    <mergeCell ref="A9:E9"/>
    <mergeCell ref="F9:F33"/>
    <mergeCell ref="G9:K33"/>
    <mergeCell ref="L9:L33"/>
    <mergeCell ref="M9:Q9"/>
    <mergeCell ref="A13:E13"/>
    <mergeCell ref="M13:Q13"/>
    <mergeCell ref="B14:D14"/>
    <mergeCell ref="B17:D17"/>
    <mergeCell ref="N17:P17"/>
    <mergeCell ref="M18:Q18"/>
    <mergeCell ref="A19:E19"/>
    <mergeCell ref="M19:Q19"/>
    <mergeCell ref="S9:W33"/>
    <mergeCell ref="X9:X33"/>
    <mergeCell ref="B10:D10"/>
    <mergeCell ref="E10:E11"/>
    <mergeCell ref="N10:P10"/>
    <mergeCell ref="Q10:Q11"/>
    <mergeCell ref="B11:D11"/>
    <mergeCell ref="N11:P11"/>
    <mergeCell ref="A12:E12"/>
    <mergeCell ref="M12:Q12"/>
    <mergeCell ref="N14:P14"/>
    <mergeCell ref="B15:D15"/>
    <mergeCell ref="N15:P15"/>
    <mergeCell ref="B16:D16"/>
    <mergeCell ref="N16:P16"/>
    <mergeCell ref="A18:E18"/>
    <mergeCell ref="B20:D20"/>
    <mergeCell ref="E20:E21"/>
    <mergeCell ref="N20:P20"/>
    <mergeCell ref="Q20:Q21"/>
    <mergeCell ref="B21:D21"/>
    <mergeCell ref="N21:P21"/>
    <mergeCell ref="A22:E22"/>
    <mergeCell ref="M22:Q22"/>
    <mergeCell ref="A23:E23"/>
    <mergeCell ref="M23:Q23"/>
    <mergeCell ref="A28:E28"/>
    <mergeCell ref="M28:Q28"/>
    <mergeCell ref="A29:E29"/>
    <mergeCell ref="M29:Q29"/>
    <mergeCell ref="C30:E30"/>
    <mergeCell ref="O30:Q30"/>
    <mergeCell ref="A31:E31"/>
    <mergeCell ref="M31:Q31"/>
    <mergeCell ref="S34:X45"/>
    <mergeCell ref="A37:E37"/>
    <mergeCell ref="M37:Q37"/>
    <mergeCell ref="A38:C38"/>
    <mergeCell ref="D38:E38"/>
    <mergeCell ref="D41:E41"/>
    <mergeCell ref="M41:O41"/>
    <mergeCell ref="P41:Q41"/>
    <mergeCell ref="A42:C42"/>
    <mergeCell ref="D42:E42"/>
    <mergeCell ref="M42:O42"/>
    <mergeCell ref="P42:Q42"/>
    <mergeCell ref="A43:Q45"/>
    <mergeCell ref="A32:E32"/>
    <mergeCell ref="M32:Q32"/>
    <mergeCell ref="C33:E36"/>
    <mergeCell ref="O33:Q36"/>
    <mergeCell ref="F34:L42"/>
    <mergeCell ref="M38:O38"/>
    <mergeCell ref="P38:Q38"/>
    <mergeCell ref="A39:C39"/>
    <mergeCell ref="D39:E39"/>
    <mergeCell ref="M39:O39"/>
    <mergeCell ref="P39:Q39"/>
    <mergeCell ref="A40:C40"/>
    <mergeCell ref="D40:E40"/>
    <mergeCell ref="M40:O40"/>
    <mergeCell ref="P40:Q40"/>
    <mergeCell ref="A41:C4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zoomScale="85" zoomScaleNormal="85" workbookViewId="0">
      <selection activeCell="F2" sqref="F2:L8"/>
    </sheetView>
  </sheetViews>
  <sheetFormatPr defaultRowHeight="15" x14ac:dyDescent="0.25"/>
  <cols>
    <col min="1" max="1" width="29" customWidth="1"/>
    <col min="2" max="2" width="11.5703125" bestFit="1" customWidth="1"/>
    <col min="13" max="13" width="31.42578125" customWidth="1"/>
    <col min="18" max="18" width="12.85546875" customWidth="1"/>
  </cols>
  <sheetData>
    <row r="1" spans="1:24" ht="15.75" thickBot="1" x14ac:dyDescent="0.3">
      <c r="A1" s="598"/>
      <c r="B1" s="598"/>
      <c r="C1" s="598"/>
      <c r="D1" s="598"/>
      <c r="E1" s="598"/>
      <c r="F1" s="598"/>
      <c r="G1" s="598"/>
      <c r="H1" s="598"/>
      <c r="I1" s="598"/>
      <c r="J1" s="598"/>
      <c r="K1" s="598"/>
      <c r="L1" s="598"/>
      <c r="M1" s="598"/>
      <c r="N1" s="598"/>
      <c r="O1" s="598"/>
      <c r="P1" s="598"/>
      <c r="Q1" s="598"/>
      <c r="R1" s="598"/>
      <c r="S1" s="598"/>
      <c r="T1" s="598"/>
      <c r="U1" s="598"/>
      <c r="V1" s="598"/>
      <c r="W1" s="598"/>
      <c r="X1" s="598"/>
    </row>
    <row r="2" spans="1:24" ht="18.75" x14ac:dyDescent="0.3">
      <c r="A2" s="646" t="s">
        <v>273</v>
      </c>
      <c r="B2" s="647"/>
      <c r="C2" s="647"/>
      <c r="D2" s="647"/>
      <c r="E2" s="648"/>
      <c r="F2" s="608"/>
      <c r="G2" s="598"/>
      <c r="H2" s="598"/>
      <c r="I2" s="598"/>
      <c r="J2" s="598"/>
      <c r="K2" s="598"/>
      <c r="L2" s="609"/>
      <c r="M2" s="646" t="s">
        <v>306</v>
      </c>
      <c r="N2" s="647"/>
      <c r="O2" s="647"/>
      <c r="P2" s="647"/>
      <c r="Q2" s="648"/>
      <c r="R2" s="384"/>
      <c r="S2" s="598"/>
      <c r="T2" s="598"/>
      <c r="U2" s="598"/>
      <c r="V2" s="598"/>
      <c r="W2" s="598"/>
      <c r="X2" s="598"/>
    </row>
    <row r="3" spans="1:24" x14ac:dyDescent="0.25">
      <c r="A3" s="640" t="s">
        <v>274</v>
      </c>
      <c r="B3" s="641"/>
      <c r="C3" s="641"/>
      <c r="D3" s="641"/>
      <c r="E3" s="642"/>
      <c r="F3" s="608"/>
      <c r="G3" s="598"/>
      <c r="H3" s="598"/>
      <c r="I3" s="598"/>
      <c r="J3" s="598"/>
      <c r="K3" s="598"/>
      <c r="L3" s="609"/>
      <c r="M3" s="640" t="s">
        <v>274</v>
      </c>
      <c r="N3" s="641"/>
      <c r="O3" s="641"/>
      <c r="P3" s="641"/>
      <c r="Q3" s="642"/>
      <c r="R3" s="384"/>
      <c r="S3" s="598"/>
      <c r="T3" s="598"/>
      <c r="U3" s="598"/>
      <c r="V3" s="598"/>
      <c r="W3" s="598"/>
      <c r="X3" s="598"/>
    </row>
    <row r="4" spans="1:24" x14ac:dyDescent="0.25">
      <c r="A4" s="370" t="s">
        <v>276</v>
      </c>
      <c r="B4" s="649">
        <v>30000</v>
      </c>
      <c r="C4" s="649"/>
      <c r="D4" s="649"/>
      <c r="E4" s="626"/>
      <c r="F4" s="608"/>
      <c r="G4" s="598"/>
      <c r="H4" s="598"/>
      <c r="I4" s="598"/>
      <c r="J4" s="598"/>
      <c r="K4" s="598"/>
      <c r="L4" s="609"/>
      <c r="M4" s="370" t="s">
        <v>276</v>
      </c>
      <c r="N4" s="649">
        <v>30000</v>
      </c>
      <c r="O4" s="649"/>
      <c r="P4" s="649"/>
      <c r="Q4" s="626"/>
      <c r="R4" s="384"/>
      <c r="S4" s="598"/>
      <c r="T4" s="598"/>
      <c r="U4" s="598"/>
      <c r="V4" s="598"/>
      <c r="W4" s="598"/>
      <c r="X4" s="598"/>
    </row>
    <row r="5" spans="1:24" x14ac:dyDescent="0.25">
      <c r="A5" s="370" t="s">
        <v>275</v>
      </c>
      <c r="B5" s="661">
        <v>0.28000000000000003</v>
      </c>
      <c r="C5" s="661"/>
      <c r="D5" s="661"/>
      <c r="E5" s="626"/>
      <c r="F5" s="608"/>
      <c r="G5" s="598"/>
      <c r="H5" s="598"/>
      <c r="I5" s="598"/>
      <c r="J5" s="598"/>
      <c r="K5" s="598"/>
      <c r="L5" s="609"/>
      <c r="M5" s="370" t="s">
        <v>275</v>
      </c>
      <c r="N5" s="663">
        <v>0.28000000000000003</v>
      </c>
      <c r="O5" s="663"/>
      <c r="P5" s="663"/>
      <c r="Q5" s="626"/>
      <c r="R5" s="384"/>
      <c r="S5" s="598"/>
      <c r="T5" s="598"/>
      <c r="U5" s="598"/>
      <c r="V5" s="598"/>
      <c r="W5" s="598"/>
      <c r="X5" s="598"/>
    </row>
    <row r="6" spans="1:24" x14ac:dyDescent="0.25">
      <c r="A6" s="370" t="s">
        <v>6</v>
      </c>
      <c r="B6" s="661">
        <v>0.48</v>
      </c>
      <c r="C6" s="661"/>
      <c r="D6" s="661"/>
      <c r="E6" s="626"/>
      <c r="F6" s="608"/>
      <c r="G6" s="598"/>
      <c r="H6" s="598"/>
      <c r="I6" s="598"/>
      <c r="J6" s="598"/>
      <c r="K6" s="598"/>
      <c r="L6" s="609"/>
      <c r="M6" s="370" t="s">
        <v>6</v>
      </c>
      <c r="N6" s="663">
        <v>0.48</v>
      </c>
      <c r="O6" s="663"/>
      <c r="P6" s="663"/>
      <c r="Q6" s="626"/>
      <c r="R6" s="384"/>
      <c r="S6" s="598"/>
      <c r="T6" s="598"/>
      <c r="U6" s="598"/>
      <c r="V6" s="598"/>
      <c r="W6" s="598"/>
      <c r="X6" s="598"/>
    </row>
    <row r="7" spans="1:24" x14ac:dyDescent="0.25">
      <c r="A7" s="370" t="s">
        <v>7</v>
      </c>
      <c r="B7" s="661">
        <v>0.24</v>
      </c>
      <c r="C7" s="661"/>
      <c r="D7" s="661"/>
      <c r="E7" s="626"/>
      <c r="F7" s="608"/>
      <c r="G7" s="598"/>
      <c r="H7" s="598"/>
      <c r="I7" s="598"/>
      <c r="J7" s="598"/>
      <c r="K7" s="598"/>
      <c r="L7" s="609"/>
      <c r="M7" s="370" t="s">
        <v>7</v>
      </c>
      <c r="N7" s="663">
        <v>0.24</v>
      </c>
      <c r="O7" s="663"/>
      <c r="P7" s="663"/>
      <c r="Q7" s="626"/>
      <c r="R7" s="384"/>
      <c r="S7" s="598"/>
      <c r="T7" s="598"/>
      <c r="U7" s="598"/>
      <c r="V7" s="598"/>
      <c r="W7" s="598"/>
      <c r="X7" s="598"/>
    </row>
    <row r="8" spans="1:24" ht="6" customHeight="1" thickBot="1" x14ac:dyDescent="0.3">
      <c r="A8" s="624"/>
      <c r="B8" s="625"/>
      <c r="C8" s="625"/>
      <c r="D8" s="625"/>
      <c r="E8" s="626"/>
      <c r="F8" s="608"/>
      <c r="G8" s="598"/>
      <c r="H8" s="598"/>
      <c r="I8" s="598"/>
      <c r="J8" s="598"/>
      <c r="K8" s="598"/>
      <c r="L8" s="609"/>
      <c r="M8" s="624"/>
      <c r="N8" s="625"/>
      <c r="O8" s="625"/>
      <c r="P8" s="625"/>
      <c r="Q8" s="626"/>
      <c r="R8" s="384"/>
      <c r="S8" s="598"/>
      <c r="T8" s="598"/>
      <c r="U8" s="598"/>
      <c r="V8" s="598"/>
      <c r="W8" s="598"/>
      <c r="X8" s="598"/>
    </row>
    <row r="9" spans="1:24" x14ac:dyDescent="0.25">
      <c r="A9" s="640" t="s">
        <v>258</v>
      </c>
      <c r="B9" s="641"/>
      <c r="C9" s="641"/>
      <c r="D9" s="641"/>
      <c r="E9" s="642"/>
      <c r="F9" s="610"/>
      <c r="G9" s="599" t="s">
        <v>292</v>
      </c>
      <c r="H9" s="600"/>
      <c r="I9" s="600"/>
      <c r="J9" s="600"/>
      <c r="K9" s="601"/>
      <c r="L9" s="610"/>
      <c r="M9" s="640" t="s">
        <v>258</v>
      </c>
      <c r="N9" s="641"/>
      <c r="O9" s="641"/>
      <c r="P9" s="641"/>
      <c r="Q9" s="642"/>
      <c r="R9" s="384"/>
      <c r="S9" s="599" t="s">
        <v>293</v>
      </c>
      <c r="T9" s="600"/>
      <c r="U9" s="600"/>
      <c r="V9" s="600"/>
      <c r="W9" s="601"/>
      <c r="X9" s="608"/>
    </row>
    <row r="10" spans="1:24" x14ac:dyDescent="0.25">
      <c r="A10" s="371" t="s">
        <v>280</v>
      </c>
      <c r="B10" s="651">
        <v>24000</v>
      </c>
      <c r="C10" s="651"/>
      <c r="D10" s="651"/>
      <c r="E10" s="626"/>
      <c r="F10" s="610"/>
      <c r="G10" s="602"/>
      <c r="H10" s="603"/>
      <c r="I10" s="603"/>
      <c r="J10" s="603"/>
      <c r="K10" s="604"/>
      <c r="L10" s="610"/>
      <c r="M10" s="371" t="s">
        <v>280</v>
      </c>
      <c r="N10" s="651">
        <v>24000</v>
      </c>
      <c r="O10" s="651"/>
      <c r="P10" s="651"/>
      <c r="Q10" s="626"/>
      <c r="R10" s="384"/>
      <c r="S10" s="602"/>
      <c r="T10" s="603"/>
      <c r="U10" s="603"/>
      <c r="V10" s="603"/>
      <c r="W10" s="604"/>
      <c r="X10" s="608"/>
    </row>
    <row r="11" spans="1:24" x14ac:dyDescent="0.25">
      <c r="A11" s="370" t="s">
        <v>281</v>
      </c>
      <c r="B11" s="652">
        <v>0</v>
      </c>
      <c r="C11" s="652"/>
      <c r="D11" s="652"/>
      <c r="E11" s="626"/>
      <c r="F11" s="610"/>
      <c r="G11" s="602"/>
      <c r="H11" s="603"/>
      <c r="I11" s="603"/>
      <c r="J11" s="603"/>
      <c r="K11" s="604"/>
      <c r="L11" s="610"/>
      <c r="M11" s="370" t="s">
        <v>281</v>
      </c>
      <c r="N11" s="652">
        <v>0</v>
      </c>
      <c r="O11" s="652"/>
      <c r="P11" s="652"/>
      <c r="Q11" s="626"/>
      <c r="R11" s="384"/>
      <c r="S11" s="602"/>
      <c r="T11" s="603"/>
      <c r="U11" s="603"/>
      <c r="V11" s="603"/>
      <c r="W11" s="604"/>
      <c r="X11" s="608"/>
    </row>
    <row r="12" spans="1:24" ht="6" customHeight="1" x14ac:dyDescent="0.25">
      <c r="A12" s="624"/>
      <c r="B12" s="625"/>
      <c r="C12" s="625"/>
      <c r="D12" s="625"/>
      <c r="E12" s="626"/>
      <c r="F12" s="610"/>
      <c r="G12" s="602"/>
      <c r="H12" s="603"/>
      <c r="I12" s="603"/>
      <c r="J12" s="603"/>
      <c r="K12" s="604"/>
      <c r="L12" s="610"/>
      <c r="M12" s="624"/>
      <c r="N12" s="625"/>
      <c r="O12" s="625"/>
      <c r="P12" s="625"/>
      <c r="Q12" s="626"/>
      <c r="R12" s="384"/>
      <c r="S12" s="602"/>
      <c r="T12" s="603"/>
      <c r="U12" s="603"/>
      <c r="V12" s="603"/>
      <c r="W12" s="604"/>
      <c r="X12" s="608"/>
    </row>
    <row r="13" spans="1:24" x14ac:dyDescent="0.25">
      <c r="A13" s="640" t="s">
        <v>268</v>
      </c>
      <c r="B13" s="641"/>
      <c r="C13" s="641"/>
      <c r="D13" s="641"/>
      <c r="E13" s="642"/>
      <c r="F13" s="610"/>
      <c r="G13" s="602"/>
      <c r="H13" s="603"/>
      <c r="I13" s="603"/>
      <c r="J13" s="603"/>
      <c r="K13" s="604"/>
      <c r="L13" s="610"/>
      <c r="M13" s="640" t="s">
        <v>268</v>
      </c>
      <c r="N13" s="641"/>
      <c r="O13" s="641"/>
      <c r="P13" s="641"/>
      <c r="Q13" s="642"/>
      <c r="R13" s="384"/>
      <c r="S13" s="602"/>
      <c r="T13" s="603"/>
      <c r="U13" s="603"/>
      <c r="V13" s="603"/>
      <c r="W13" s="604"/>
      <c r="X13" s="608"/>
    </row>
    <row r="14" spans="1:24" x14ac:dyDescent="0.25">
      <c r="A14" s="372" t="s">
        <v>0</v>
      </c>
      <c r="B14" s="643">
        <f>(B11+B10)*E14</f>
        <v>24000</v>
      </c>
      <c r="C14" s="643"/>
      <c r="D14" s="643"/>
      <c r="E14" s="381">
        <v>1</v>
      </c>
      <c r="F14" s="610"/>
      <c r="G14" s="602"/>
      <c r="H14" s="603"/>
      <c r="I14" s="603"/>
      <c r="J14" s="603"/>
      <c r="K14" s="604"/>
      <c r="L14" s="610"/>
      <c r="M14" s="372" t="s">
        <v>0</v>
      </c>
      <c r="N14" s="664">
        <f>(N11+N10)*Q14</f>
        <v>12000</v>
      </c>
      <c r="O14" s="664"/>
      <c r="P14" s="664"/>
      <c r="Q14" s="400">
        <v>0.5</v>
      </c>
      <c r="R14" s="384"/>
      <c r="S14" s="602"/>
      <c r="T14" s="603"/>
      <c r="U14" s="603"/>
      <c r="V14" s="603"/>
      <c r="W14" s="604"/>
      <c r="X14" s="608"/>
    </row>
    <row r="15" spans="1:24" x14ac:dyDescent="0.25">
      <c r="A15" s="372" t="s">
        <v>1</v>
      </c>
      <c r="B15" s="643">
        <f>(B11+B10)*E15</f>
        <v>0</v>
      </c>
      <c r="C15" s="643"/>
      <c r="D15" s="643"/>
      <c r="E15" s="381">
        <v>0</v>
      </c>
      <c r="F15" s="610"/>
      <c r="G15" s="602"/>
      <c r="H15" s="603"/>
      <c r="I15" s="603"/>
      <c r="J15" s="603"/>
      <c r="K15" s="604"/>
      <c r="L15" s="610"/>
      <c r="M15" s="372" t="s">
        <v>1</v>
      </c>
      <c r="N15" s="664">
        <f>(N11+N10)*Q15</f>
        <v>6000</v>
      </c>
      <c r="O15" s="664"/>
      <c r="P15" s="664"/>
      <c r="Q15" s="400">
        <v>0.25</v>
      </c>
      <c r="R15" s="384"/>
      <c r="S15" s="602"/>
      <c r="T15" s="603"/>
      <c r="U15" s="603"/>
      <c r="V15" s="603"/>
      <c r="W15" s="604"/>
      <c r="X15" s="608"/>
    </row>
    <row r="16" spans="1:24" x14ac:dyDescent="0.25">
      <c r="A16" s="372" t="s">
        <v>2</v>
      </c>
      <c r="B16" s="643">
        <f>(B10+B11)*E16</f>
        <v>0</v>
      </c>
      <c r="C16" s="643"/>
      <c r="D16" s="643"/>
      <c r="E16" s="381">
        <v>0</v>
      </c>
      <c r="F16" s="610"/>
      <c r="G16" s="602"/>
      <c r="H16" s="603"/>
      <c r="I16" s="603"/>
      <c r="J16" s="603"/>
      <c r="K16" s="604"/>
      <c r="L16" s="610"/>
      <c r="M16" s="372" t="s">
        <v>2</v>
      </c>
      <c r="N16" s="664">
        <f>(N10+N11)*Q16</f>
        <v>6000</v>
      </c>
      <c r="O16" s="664"/>
      <c r="P16" s="664"/>
      <c r="Q16" s="400">
        <v>0.25</v>
      </c>
      <c r="R16" s="384"/>
      <c r="S16" s="602"/>
      <c r="T16" s="603"/>
      <c r="U16" s="603"/>
      <c r="V16" s="603"/>
      <c r="W16" s="604"/>
      <c r="X16" s="608"/>
    </row>
    <row r="17" spans="1:24" x14ac:dyDescent="0.25">
      <c r="A17" s="372" t="s">
        <v>3</v>
      </c>
      <c r="B17" s="643">
        <f>B11</f>
        <v>0</v>
      </c>
      <c r="C17" s="643"/>
      <c r="D17" s="643"/>
      <c r="E17" s="382">
        <f>ORV_Procured/(B10+B11)</f>
        <v>2.5</v>
      </c>
      <c r="F17" s="610"/>
      <c r="G17" s="602"/>
      <c r="H17" s="603"/>
      <c r="I17" s="603"/>
      <c r="J17" s="603"/>
      <c r="K17" s="604"/>
      <c r="L17" s="610"/>
      <c r="M17" s="372" t="s">
        <v>3</v>
      </c>
      <c r="N17" s="643">
        <f>N11</f>
        <v>0</v>
      </c>
      <c r="O17" s="643"/>
      <c r="P17" s="643"/>
      <c r="Q17" s="382">
        <f>ORV_Procured/(N10+N11)</f>
        <v>2.5</v>
      </c>
      <c r="R17" s="384"/>
      <c r="S17" s="602"/>
      <c r="T17" s="603"/>
      <c r="U17" s="603"/>
      <c r="V17" s="603"/>
      <c r="W17" s="604"/>
      <c r="X17" s="608"/>
    </row>
    <row r="18" spans="1:24" ht="6" customHeight="1" x14ac:dyDescent="0.25">
      <c r="A18" s="624"/>
      <c r="B18" s="625"/>
      <c r="C18" s="625"/>
      <c r="D18" s="625"/>
      <c r="E18" s="626"/>
      <c r="F18" s="610"/>
      <c r="G18" s="602"/>
      <c r="H18" s="603"/>
      <c r="I18" s="603"/>
      <c r="J18" s="603"/>
      <c r="K18" s="604"/>
      <c r="L18" s="610"/>
      <c r="M18" s="624"/>
      <c r="N18" s="625"/>
      <c r="O18" s="625"/>
      <c r="P18" s="625"/>
      <c r="Q18" s="626"/>
      <c r="R18" s="384"/>
      <c r="S18" s="602"/>
      <c r="T18" s="603"/>
      <c r="U18" s="603"/>
      <c r="V18" s="603"/>
      <c r="W18" s="604"/>
      <c r="X18" s="608"/>
    </row>
    <row r="19" spans="1:24" x14ac:dyDescent="0.25">
      <c r="A19" s="640" t="s">
        <v>259</v>
      </c>
      <c r="B19" s="641"/>
      <c r="C19" s="641"/>
      <c r="D19" s="641"/>
      <c r="E19" s="642"/>
      <c r="F19" s="610"/>
      <c r="G19" s="602"/>
      <c r="H19" s="603"/>
      <c r="I19" s="603"/>
      <c r="J19" s="603"/>
      <c r="K19" s="604"/>
      <c r="L19" s="610"/>
      <c r="M19" s="640" t="s">
        <v>259</v>
      </c>
      <c r="N19" s="641"/>
      <c r="O19" s="641"/>
      <c r="P19" s="641"/>
      <c r="Q19" s="642"/>
      <c r="R19" s="384"/>
      <c r="S19" s="602"/>
      <c r="T19" s="603"/>
      <c r="U19" s="603"/>
      <c r="V19" s="603"/>
      <c r="W19" s="604"/>
      <c r="X19" s="608"/>
    </row>
    <row r="20" spans="1:24" x14ac:dyDescent="0.25">
      <c r="A20" s="373" t="s">
        <v>280</v>
      </c>
      <c r="B20" s="644">
        <v>1</v>
      </c>
      <c r="C20" s="644"/>
      <c r="D20" s="644"/>
      <c r="E20" s="645"/>
      <c r="F20" s="610"/>
      <c r="G20" s="602"/>
      <c r="H20" s="603"/>
      <c r="I20" s="603"/>
      <c r="J20" s="603"/>
      <c r="K20" s="604"/>
      <c r="L20" s="610"/>
      <c r="M20" s="373" t="s">
        <v>280</v>
      </c>
      <c r="N20" s="644">
        <v>1</v>
      </c>
      <c r="O20" s="644"/>
      <c r="P20" s="644"/>
      <c r="Q20" s="645"/>
      <c r="R20" s="384"/>
      <c r="S20" s="602"/>
      <c r="T20" s="603"/>
      <c r="U20" s="603"/>
      <c r="V20" s="603"/>
      <c r="W20" s="604"/>
      <c r="X20" s="608"/>
    </row>
    <row r="21" spans="1:24" x14ac:dyDescent="0.25">
      <c r="A21" s="373" t="s">
        <v>281</v>
      </c>
      <c r="B21" s="644">
        <v>1</v>
      </c>
      <c r="C21" s="644"/>
      <c r="D21" s="644"/>
      <c r="E21" s="645"/>
      <c r="F21" s="610"/>
      <c r="G21" s="602"/>
      <c r="H21" s="603"/>
      <c r="I21" s="603"/>
      <c r="J21" s="603"/>
      <c r="K21" s="604"/>
      <c r="L21" s="610"/>
      <c r="M21" s="373" t="s">
        <v>281</v>
      </c>
      <c r="N21" s="644">
        <v>1</v>
      </c>
      <c r="O21" s="644"/>
      <c r="P21" s="644"/>
      <c r="Q21" s="645"/>
      <c r="R21" s="384"/>
      <c r="S21" s="602"/>
      <c r="T21" s="603"/>
      <c r="U21" s="603"/>
      <c r="V21" s="603"/>
      <c r="W21" s="604"/>
      <c r="X21" s="608"/>
    </row>
    <row r="22" spans="1:24" ht="6" customHeight="1" x14ac:dyDescent="0.25">
      <c r="A22" s="624"/>
      <c r="B22" s="625"/>
      <c r="C22" s="625"/>
      <c r="D22" s="625"/>
      <c r="E22" s="626"/>
      <c r="F22" s="610"/>
      <c r="G22" s="602"/>
      <c r="H22" s="603"/>
      <c r="I22" s="603"/>
      <c r="J22" s="603"/>
      <c r="K22" s="604"/>
      <c r="L22" s="610"/>
      <c r="M22" s="624"/>
      <c r="N22" s="625"/>
      <c r="O22" s="625"/>
      <c r="P22" s="625"/>
      <c r="Q22" s="626"/>
      <c r="R22" s="384"/>
      <c r="S22" s="602"/>
      <c r="T22" s="603"/>
      <c r="U22" s="603"/>
      <c r="V22" s="603"/>
      <c r="W22" s="604"/>
      <c r="X22" s="608"/>
    </row>
    <row r="23" spans="1:24" ht="15.75" thickBot="1" x14ac:dyDescent="0.3">
      <c r="A23" s="621" t="s">
        <v>282</v>
      </c>
      <c r="B23" s="622"/>
      <c r="C23" s="622"/>
      <c r="D23" s="622"/>
      <c r="E23" s="623"/>
      <c r="F23" s="610"/>
      <c r="G23" s="602"/>
      <c r="H23" s="603"/>
      <c r="I23" s="603"/>
      <c r="J23" s="603"/>
      <c r="K23" s="604"/>
      <c r="L23" s="610"/>
      <c r="M23" s="621" t="s">
        <v>282</v>
      </c>
      <c r="N23" s="622"/>
      <c r="O23" s="622"/>
      <c r="P23" s="622"/>
      <c r="Q23" s="623"/>
      <c r="R23" s="384"/>
      <c r="S23" s="602"/>
      <c r="T23" s="603"/>
      <c r="U23" s="603"/>
      <c r="V23" s="603"/>
      <c r="W23" s="604"/>
      <c r="X23" s="608"/>
    </row>
    <row r="24" spans="1:24" ht="15.75" thickBot="1" x14ac:dyDescent="0.3">
      <c r="A24" s="374" t="s">
        <v>239</v>
      </c>
      <c r="B24" s="366" t="s">
        <v>216</v>
      </c>
      <c r="C24" s="204" t="s">
        <v>217</v>
      </c>
      <c r="D24" s="204" t="s">
        <v>2</v>
      </c>
      <c r="E24" s="205" t="s">
        <v>3</v>
      </c>
      <c r="F24" s="610"/>
      <c r="G24" s="602"/>
      <c r="H24" s="603"/>
      <c r="I24" s="603"/>
      <c r="J24" s="603"/>
      <c r="K24" s="604"/>
      <c r="L24" s="610"/>
      <c r="M24" s="374" t="s">
        <v>239</v>
      </c>
      <c r="N24" s="366" t="s">
        <v>216</v>
      </c>
      <c r="O24" s="204" t="s">
        <v>217</v>
      </c>
      <c r="P24" s="204" t="s">
        <v>2</v>
      </c>
      <c r="Q24" s="205" t="s">
        <v>3</v>
      </c>
      <c r="R24" s="384"/>
      <c r="S24" s="602"/>
      <c r="T24" s="603"/>
      <c r="U24" s="603"/>
      <c r="V24" s="603"/>
      <c r="W24" s="604"/>
      <c r="X24" s="608"/>
    </row>
    <row r="25" spans="1:24" x14ac:dyDescent="0.25">
      <c r="A25" s="375" t="s">
        <v>5</v>
      </c>
      <c r="B25" s="367">
        <v>0.8</v>
      </c>
      <c r="C25" s="349">
        <v>0.8</v>
      </c>
      <c r="D25" s="349">
        <v>0.05</v>
      </c>
      <c r="E25" s="350">
        <v>0.05</v>
      </c>
      <c r="F25" s="610"/>
      <c r="G25" s="602"/>
      <c r="H25" s="603"/>
      <c r="I25" s="603"/>
      <c r="J25" s="603"/>
      <c r="K25" s="604"/>
      <c r="L25" s="610"/>
      <c r="M25" s="375" t="s">
        <v>5</v>
      </c>
      <c r="N25" s="367">
        <v>0.8</v>
      </c>
      <c r="O25" s="349">
        <v>0.8</v>
      </c>
      <c r="P25" s="349">
        <v>0.05</v>
      </c>
      <c r="Q25" s="350">
        <v>0.05</v>
      </c>
      <c r="R25" s="384"/>
      <c r="S25" s="602"/>
      <c r="T25" s="603"/>
      <c r="U25" s="603"/>
      <c r="V25" s="603"/>
      <c r="W25" s="604"/>
      <c r="X25" s="608"/>
    </row>
    <row r="26" spans="1:24" x14ac:dyDescent="0.25">
      <c r="A26" s="375" t="s">
        <v>6</v>
      </c>
      <c r="B26" s="368">
        <v>0.6</v>
      </c>
      <c r="C26" s="351">
        <v>0.6</v>
      </c>
      <c r="D26" s="351">
        <v>0.8</v>
      </c>
      <c r="E26" s="352">
        <v>0.8</v>
      </c>
      <c r="F26" s="610"/>
      <c r="G26" s="602"/>
      <c r="H26" s="603"/>
      <c r="I26" s="603"/>
      <c r="J26" s="603"/>
      <c r="K26" s="604"/>
      <c r="L26" s="610"/>
      <c r="M26" s="375" t="s">
        <v>6</v>
      </c>
      <c r="N26" s="368">
        <v>0.6</v>
      </c>
      <c r="O26" s="351">
        <v>0.6</v>
      </c>
      <c r="P26" s="351">
        <v>0.8</v>
      </c>
      <c r="Q26" s="352">
        <v>0.8</v>
      </c>
      <c r="R26" s="384"/>
      <c r="S26" s="602"/>
      <c r="T26" s="603"/>
      <c r="U26" s="603"/>
      <c r="V26" s="603"/>
      <c r="W26" s="604"/>
      <c r="X26" s="608"/>
    </row>
    <row r="27" spans="1:24" ht="15.75" thickBot="1" x14ac:dyDescent="0.3">
      <c r="A27" s="375" t="s">
        <v>7</v>
      </c>
      <c r="B27" s="369">
        <v>0.05</v>
      </c>
      <c r="C27" s="353">
        <v>0.05</v>
      </c>
      <c r="D27" s="353">
        <v>0.6</v>
      </c>
      <c r="E27" s="354">
        <v>0.8</v>
      </c>
      <c r="F27" s="610"/>
      <c r="G27" s="602"/>
      <c r="H27" s="603"/>
      <c r="I27" s="603"/>
      <c r="J27" s="603"/>
      <c r="K27" s="604"/>
      <c r="L27" s="610"/>
      <c r="M27" s="375" t="s">
        <v>7</v>
      </c>
      <c r="N27" s="369">
        <v>0.05</v>
      </c>
      <c r="O27" s="353">
        <v>0.05</v>
      </c>
      <c r="P27" s="353">
        <v>0.6</v>
      </c>
      <c r="Q27" s="354">
        <v>0.8</v>
      </c>
      <c r="R27" s="384"/>
      <c r="S27" s="602"/>
      <c r="T27" s="603"/>
      <c r="U27" s="603"/>
      <c r="V27" s="603"/>
      <c r="W27" s="604"/>
      <c r="X27" s="608"/>
    </row>
    <row r="28" spans="1:24" ht="6" customHeight="1" x14ac:dyDescent="0.25">
      <c r="A28" s="624"/>
      <c r="B28" s="625"/>
      <c r="C28" s="625"/>
      <c r="D28" s="625"/>
      <c r="E28" s="626"/>
      <c r="F28" s="610"/>
      <c r="G28" s="602"/>
      <c r="H28" s="603"/>
      <c r="I28" s="603"/>
      <c r="J28" s="603"/>
      <c r="K28" s="604"/>
      <c r="L28" s="610"/>
      <c r="M28" s="624"/>
      <c r="N28" s="625"/>
      <c r="O28" s="625"/>
      <c r="P28" s="625"/>
      <c r="Q28" s="626"/>
      <c r="R28" s="384"/>
      <c r="S28" s="602"/>
      <c r="T28" s="603"/>
      <c r="U28" s="603"/>
      <c r="V28" s="603"/>
      <c r="W28" s="604"/>
      <c r="X28" s="608"/>
    </row>
    <row r="29" spans="1:24" ht="15.75" x14ac:dyDescent="0.25">
      <c r="A29" s="627" t="s">
        <v>244</v>
      </c>
      <c r="B29" s="628"/>
      <c r="C29" s="628"/>
      <c r="D29" s="628"/>
      <c r="E29" s="629"/>
      <c r="F29" s="610"/>
      <c r="G29" s="602"/>
      <c r="H29" s="603"/>
      <c r="I29" s="603"/>
      <c r="J29" s="603"/>
      <c r="K29" s="604"/>
      <c r="L29" s="610"/>
      <c r="M29" s="627" t="s">
        <v>244</v>
      </c>
      <c r="N29" s="628"/>
      <c r="O29" s="628"/>
      <c r="P29" s="628"/>
      <c r="Q29" s="629"/>
      <c r="R29" s="384"/>
      <c r="S29" s="602"/>
      <c r="T29" s="603"/>
      <c r="U29" s="603"/>
      <c r="V29" s="603"/>
      <c r="W29" s="604"/>
      <c r="X29" s="608"/>
    </row>
    <row r="30" spans="1:24" ht="15.75" x14ac:dyDescent="0.25">
      <c r="A30" s="376" t="s">
        <v>283</v>
      </c>
      <c r="B30" s="334">
        <v>60</v>
      </c>
      <c r="C30" s="630"/>
      <c r="D30" s="625"/>
      <c r="E30" s="626"/>
      <c r="F30" s="610"/>
      <c r="G30" s="602"/>
      <c r="H30" s="603"/>
      <c r="I30" s="603"/>
      <c r="J30" s="603"/>
      <c r="K30" s="604"/>
      <c r="L30" s="610"/>
      <c r="M30" s="376" t="s">
        <v>283</v>
      </c>
      <c r="N30" s="334">
        <v>60</v>
      </c>
      <c r="O30" s="630"/>
      <c r="P30" s="625"/>
      <c r="Q30" s="626"/>
      <c r="R30" s="384"/>
      <c r="S30" s="602"/>
      <c r="T30" s="603"/>
      <c r="U30" s="603"/>
      <c r="V30" s="603"/>
      <c r="W30" s="604"/>
      <c r="X30" s="608"/>
    </row>
    <row r="31" spans="1:24" ht="6" customHeight="1" x14ac:dyDescent="0.25">
      <c r="A31" s="624"/>
      <c r="B31" s="625"/>
      <c r="C31" s="625"/>
      <c r="D31" s="625"/>
      <c r="E31" s="626"/>
      <c r="F31" s="610"/>
      <c r="G31" s="602"/>
      <c r="H31" s="603"/>
      <c r="I31" s="603"/>
      <c r="J31" s="603"/>
      <c r="K31" s="604"/>
      <c r="L31" s="610"/>
      <c r="M31" s="624"/>
      <c r="N31" s="625"/>
      <c r="O31" s="625"/>
      <c r="P31" s="625"/>
      <c r="Q31" s="626"/>
      <c r="R31" s="384"/>
      <c r="S31" s="602"/>
      <c r="T31" s="603"/>
      <c r="U31" s="603"/>
      <c r="V31" s="603"/>
      <c r="W31" s="604"/>
      <c r="X31" s="608"/>
    </row>
    <row r="32" spans="1:24" ht="15.75" x14ac:dyDescent="0.25">
      <c r="A32" s="627" t="s">
        <v>245</v>
      </c>
      <c r="B32" s="628"/>
      <c r="C32" s="628"/>
      <c r="D32" s="628"/>
      <c r="E32" s="629"/>
      <c r="F32" s="610"/>
      <c r="G32" s="602"/>
      <c r="H32" s="603"/>
      <c r="I32" s="603"/>
      <c r="J32" s="603"/>
      <c r="K32" s="604"/>
      <c r="L32" s="610"/>
      <c r="M32" s="627" t="s">
        <v>245</v>
      </c>
      <c r="N32" s="628"/>
      <c r="O32" s="628"/>
      <c r="P32" s="628"/>
      <c r="Q32" s="629"/>
      <c r="R32" s="384"/>
      <c r="S32" s="602"/>
      <c r="T32" s="603"/>
      <c r="U32" s="603"/>
      <c r="V32" s="603"/>
      <c r="W32" s="604"/>
      <c r="X32" s="608"/>
    </row>
    <row r="33" spans="1:24" ht="16.5" thickBot="1" x14ac:dyDescent="0.3">
      <c r="A33" s="377" t="s">
        <v>0</v>
      </c>
      <c r="B33" s="334">
        <v>30</v>
      </c>
      <c r="C33" s="630"/>
      <c r="D33" s="625"/>
      <c r="E33" s="626"/>
      <c r="F33" s="610"/>
      <c r="G33" s="605"/>
      <c r="H33" s="606"/>
      <c r="I33" s="606"/>
      <c r="J33" s="606"/>
      <c r="K33" s="607"/>
      <c r="L33" s="610"/>
      <c r="M33" s="377" t="s">
        <v>0</v>
      </c>
      <c r="N33" s="334">
        <v>30</v>
      </c>
      <c r="O33" s="630"/>
      <c r="P33" s="625"/>
      <c r="Q33" s="626"/>
      <c r="R33" s="384"/>
      <c r="S33" s="605"/>
      <c r="T33" s="606"/>
      <c r="U33" s="606"/>
      <c r="V33" s="606"/>
      <c r="W33" s="607"/>
      <c r="X33" s="608"/>
    </row>
    <row r="34" spans="1:24" ht="15.75" x14ac:dyDescent="0.25">
      <c r="A34" s="377" t="s">
        <v>1</v>
      </c>
      <c r="B34" s="334">
        <v>30</v>
      </c>
      <c r="C34" s="630"/>
      <c r="D34" s="625"/>
      <c r="E34" s="626"/>
      <c r="F34" s="608"/>
      <c r="G34" s="598"/>
      <c r="H34" s="598"/>
      <c r="I34" s="598"/>
      <c r="J34" s="598"/>
      <c r="K34" s="598"/>
      <c r="L34" s="609"/>
      <c r="M34" s="377" t="s">
        <v>1</v>
      </c>
      <c r="N34" s="334">
        <v>30</v>
      </c>
      <c r="O34" s="630"/>
      <c r="P34" s="625"/>
      <c r="Q34" s="626"/>
      <c r="R34" s="384"/>
      <c r="S34" s="598"/>
      <c r="T34" s="598"/>
      <c r="U34" s="598"/>
      <c r="V34" s="598"/>
      <c r="W34" s="598"/>
      <c r="X34" s="598"/>
    </row>
    <row r="35" spans="1:24" ht="15.75" x14ac:dyDescent="0.25">
      <c r="A35" s="377" t="s">
        <v>2</v>
      </c>
      <c r="B35" s="334">
        <v>30</v>
      </c>
      <c r="C35" s="630"/>
      <c r="D35" s="625"/>
      <c r="E35" s="626"/>
      <c r="F35" s="608"/>
      <c r="G35" s="598"/>
      <c r="H35" s="598"/>
      <c r="I35" s="598"/>
      <c r="J35" s="598"/>
      <c r="K35" s="598"/>
      <c r="L35" s="609"/>
      <c r="M35" s="377" t="s">
        <v>2</v>
      </c>
      <c r="N35" s="334">
        <v>30</v>
      </c>
      <c r="O35" s="630"/>
      <c r="P35" s="625"/>
      <c r="Q35" s="626"/>
      <c r="R35" s="384"/>
      <c r="S35" s="598"/>
      <c r="T35" s="598"/>
      <c r="U35" s="598"/>
      <c r="V35" s="598"/>
      <c r="W35" s="598"/>
      <c r="X35" s="598"/>
    </row>
    <row r="36" spans="1:24" ht="16.5" thickBot="1" x14ac:dyDescent="0.3">
      <c r="A36" s="378" t="s">
        <v>3</v>
      </c>
      <c r="B36" s="379">
        <v>50</v>
      </c>
      <c r="C36" s="631"/>
      <c r="D36" s="632"/>
      <c r="E36" s="633"/>
      <c r="F36" s="608"/>
      <c r="G36" s="598"/>
      <c r="H36" s="598"/>
      <c r="I36" s="598"/>
      <c r="J36" s="598"/>
      <c r="K36" s="598"/>
      <c r="L36" s="609"/>
      <c r="M36" s="378" t="s">
        <v>3</v>
      </c>
      <c r="N36" s="379">
        <v>50</v>
      </c>
      <c r="O36" s="631"/>
      <c r="P36" s="632"/>
      <c r="Q36" s="633"/>
      <c r="R36" s="384"/>
      <c r="S36" s="598"/>
      <c r="T36" s="598"/>
      <c r="U36" s="598"/>
      <c r="V36" s="598"/>
      <c r="W36" s="598"/>
      <c r="X36" s="598"/>
    </row>
    <row r="37" spans="1:24" ht="19.5" thickBot="1" x14ac:dyDescent="0.35">
      <c r="A37" s="634" t="s">
        <v>301</v>
      </c>
      <c r="B37" s="635"/>
      <c r="C37" s="635"/>
      <c r="D37" s="635"/>
      <c r="E37" s="635"/>
      <c r="F37" s="608"/>
      <c r="G37" s="598"/>
      <c r="H37" s="598"/>
      <c r="I37" s="598"/>
      <c r="J37" s="598"/>
      <c r="K37" s="598"/>
      <c r="L37" s="609"/>
      <c r="M37" s="634" t="s">
        <v>302</v>
      </c>
      <c r="N37" s="635"/>
      <c r="O37" s="635"/>
      <c r="P37" s="635"/>
      <c r="Q37" s="635"/>
      <c r="R37" s="397" t="s">
        <v>300</v>
      </c>
      <c r="S37" s="598"/>
      <c r="T37" s="598"/>
      <c r="U37" s="598"/>
      <c r="V37" s="598"/>
      <c r="W37" s="598"/>
      <c r="X37" s="598"/>
    </row>
    <row r="38" spans="1:24" ht="18.75" customHeight="1" x14ac:dyDescent="0.3">
      <c r="A38" s="636" t="s">
        <v>284</v>
      </c>
      <c r="B38" s="637"/>
      <c r="C38" s="637"/>
      <c r="D38" s="659">
        <v>0.35</v>
      </c>
      <c r="E38" s="660"/>
      <c r="F38" s="608"/>
      <c r="G38" s="598"/>
      <c r="H38" s="598"/>
      <c r="I38" s="598"/>
      <c r="J38" s="598"/>
      <c r="K38" s="598"/>
      <c r="L38" s="609"/>
      <c r="M38" s="636" t="s">
        <v>284</v>
      </c>
      <c r="N38" s="637"/>
      <c r="O38" s="637"/>
      <c r="P38" s="659">
        <v>0.1</v>
      </c>
      <c r="Q38" s="660"/>
      <c r="R38" s="396">
        <f>P38-D38</f>
        <v>-0.24999999999999997</v>
      </c>
      <c r="S38" s="598"/>
      <c r="T38" s="598"/>
      <c r="U38" s="598"/>
      <c r="V38" s="598"/>
      <c r="W38" s="598"/>
      <c r="X38" s="598"/>
    </row>
    <row r="39" spans="1:24" ht="18.75" customHeight="1" x14ac:dyDescent="0.3">
      <c r="A39" s="611" t="s">
        <v>285</v>
      </c>
      <c r="B39" s="612"/>
      <c r="C39" s="612"/>
      <c r="D39" s="657">
        <v>0.52</v>
      </c>
      <c r="E39" s="658"/>
      <c r="F39" s="608"/>
      <c r="G39" s="598"/>
      <c r="H39" s="598"/>
      <c r="I39" s="598"/>
      <c r="J39" s="598"/>
      <c r="K39" s="598"/>
      <c r="L39" s="609"/>
      <c r="M39" s="611" t="s">
        <v>285</v>
      </c>
      <c r="N39" s="612"/>
      <c r="O39" s="612"/>
      <c r="P39" s="657">
        <v>0.72</v>
      </c>
      <c r="Q39" s="658"/>
      <c r="R39" s="396">
        <f t="shared" ref="R39:R40" si="0">P39-D39</f>
        <v>0.19999999999999996</v>
      </c>
      <c r="S39" s="598"/>
      <c r="T39" s="598"/>
      <c r="U39" s="598"/>
      <c r="V39" s="598"/>
      <c r="W39" s="598"/>
      <c r="X39" s="598"/>
    </row>
    <row r="40" spans="1:24" ht="31.5" customHeight="1" x14ac:dyDescent="0.3">
      <c r="A40" s="611" t="s">
        <v>286</v>
      </c>
      <c r="B40" s="612"/>
      <c r="C40" s="612"/>
      <c r="D40" s="657">
        <v>0.42</v>
      </c>
      <c r="E40" s="658"/>
      <c r="F40" s="608"/>
      <c r="G40" s="598"/>
      <c r="H40" s="598"/>
      <c r="I40" s="598"/>
      <c r="J40" s="598"/>
      <c r="K40" s="598"/>
      <c r="L40" s="609"/>
      <c r="M40" s="611" t="s">
        <v>286</v>
      </c>
      <c r="N40" s="612"/>
      <c r="O40" s="612"/>
      <c r="P40" s="657">
        <v>0.69</v>
      </c>
      <c r="Q40" s="658"/>
      <c r="R40" s="396">
        <f t="shared" si="0"/>
        <v>0.26999999999999996</v>
      </c>
      <c r="S40" s="598"/>
      <c r="T40" s="598"/>
      <c r="U40" s="598"/>
      <c r="V40" s="598"/>
      <c r="W40" s="598"/>
      <c r="X40" s="598"/>
    </row>
    <row r="41" spans="1:24" ht="18.75" customHeight="1" x14ac:dyDescent="0.3">
      <c r="A41" s="611" t="s">
        <v>100</v>
      </c>
      <c r="B41" s="612"/>
      <c r="C41" s="612"/>
      <c r="D41" s="655">
        <v>4.17</v>
      </c>
      <c r="E41" s="656"/>
      <c r="F41" s="608"/>
      <c r="G41" s="598"/>
      <c r="H41" s="598"/>
      <c r="I41" s="598"/>
      <c r="J41" s="598"/>
      <c r="K41" s="598"/>
      <c r="L41" s="609"/>
      <c r="M41" s="611" t="s">
        <v>100</v>
      </c>
      <c r="N41" s="612"/>
      <c r="O41" s="612"/>
      <c r="P41" s="655">
        <v>3.31</v>
      </c>
      <c r="Q41" s="656"/>
      <c r="R41" s="398">
        <f>(P41-D41)/D41</f>
        <v>-0.20623501199040764</v>
      </c>
      <c r="S41" s="598"/>
      <c r="T41" s="598"/>
      <c r="U41" s="598"/>
      <c r="V41" s="598"/>
      <c r="W41" s="598"/>
      <c r="X41" s="598"/>
    </row>
    <row r="42" spans="1:24" ht="19.5" customHeight="1" thickBot="1" x14ac:dyDescent="0.35">
      <c r="A42" s="617" t="s">
        <v>99</v>
      </c>
      <c r="B42" s="618"/>
      <c r="C42" s="618"/>
      <c r="D42" s="653">
        <v>65625</v>
      </c>
      <c r="E42" s="654"/>
      <c r="F42" s="608"/>
      <c r="G42" s="598"/>
      <c r="H42" s="598"/>
      <c r="I42" s="598"/>
      <c r="J42" s="598"/>
      <c r="K42" s="598"/>
      <c r="L42" s="609"/>
      <c r="M42" s="617" t="s">
        <v>99</v>
      </c>
      <c r="N42" s="618"/>
      <c r="O42" s="618"/>
      <c r="P42" s="653">
        <v>71897</v>
      </c>
      <c r="Q42" s="654"/>
      <c r="R42" s="399">
        <f>(P42-D42)/D42</f>
        <v>9.557333333333333E-2</v>
      </c>
      <c r="S42" s="598"/>
      <c r="T42" s="598"/>
      <c r="U42" s="598"/>
      <c r="V42" s="598"/>
      <c r="W42" s="598"/>
      <c r="X42" s="598"/>
    </row>
    <row r="43" spans="1:24" x14ac:dyDescent="0.25">
      <c r="A43" s="598"/>
      <c r="B43" s="598"/>
      <c r="C43" s="598"/>
      <c r="D43" s="598"/>
      <c r="E43" s="598"/>
      <c r="F43" s="598"/>
      <c r="G43" s="598"/>
      <c r="H43" s="598"/>
      <c r="I43" s="598"/>
      <c r="J43" s="598"/>
      <c r="K43" s="598"/>
      <c r="L43" s="598"/>
      <c r="M43" s="598"/>
      <c r="N43" s="598"/>
      <c r="O43" s="598"/>
      <c r="P43" s="598"/>
      <c r="Q43" s="598"/>
      <c r="R43" s="384"/>
      <c r="S43" s="598"/>
      <c r="T43" s="598"/>
      <c r="U43" s="598"/>
      <c r="V43" s="598"/>
      <c r="W43" s="598"/>
      <c r="X43" s="598"/>
    </row>
    <row r="44" spans="1:24" x14ac:dyDescent="0.25">
      <c r="A44" s="598"/>
      <c r="B44" s="598"/>
      <c r="C44" s="598"/>
      <c r="D44" s="598"/>
      <c r="E44" s="598"/>
      <c r="F44" s="598"/>
      <c r="G44" s="598"/>
      <c r="H44" s="598"/>
      <c r="I44" s="598"/>
      <c r="J44" s="598"/>
      <c r="K44" s="598"/>
      <c r="L44" s="598"/>
      <c r="M44" s="598"/>
      <c r="N44" s="598"/>
      <c r="O44" s="598"/>
      <c r="P44" s="598"/>
      <c r="Q44" s="598"/>
      <c r="R44" s="384"/>
      <c r="S44" s="598"/>
      <c r="T44" s="598"/>
      <c r="U44" s="598"/>
      <c r="V44" s="598"/>
      <c r="W44" s="598"/>
      <c r="X44" s="598"/>
    </row>
    <row r="45" spans="1:24" x14ac:dyDescent="0.25">
      <c r="A45" s="598"/>
      <c r="B45" s="598"/>
      <c r="C45" s="598"/>
      <c r="D45" s="598"/>
      <c r="E45" s="598"/>
      <c r="F45" s="598"/>
      <c r="G45" s="598"/>
      <c r="H45" s="598"/>
      <c r="I45" s="598"/>
      <c r="J45" s="598"/>
      <c r="K45" s="598"/>
      <c r="L45" s="598"/>
      <c r="M45" s="598"/>
      <c r="N45" s="598"/>
      <c r="O45" s="598"/>
      <c r="P45" s="598"/>
      <c r="Q45" s="598"/>
      <c r="R45" s="384"/>
      <c r="S45" s="598"/>
      <c r="T45" s="598"/>
      <c r="U45" s="598"/>
      <c r="V45" s="598"/>
      <c r="W45" s="598"/>
      <c r="X45" s="598"/>
    </row>
  </sheetData>
  <mergeCells count="95">
    <mergeCell ref="A1:R1"/>
    <mergeCell ref="S1:X8"/>
    <mergeCell ref="A2:E2"/>
    <mergeCell ref="F2:L8"/>
    <mergeCell ref="M2:Q2"/>
    <mergeCell ref="A3:E3"/>
    <mergeCell ref="M3:Q3"/>
    <mergeCell ref="B4:D4"/>
    <mergeCell ref="E4:E7"/>
    <mergeCell ref="N4:P4"/>
    <mergeCell ref="Q4:Q7"/>
    <mergeCell ref="B5:D5"/>
    <mergeCell ref="N5:P5"/>
    <mergeCell ref="B6:D6"/>
    <mergeCell ref="N6:P6"/>
    <mergeCell ref="B7:D7"/>
    <mergeCell ref="N7:P7"/>
    <mergeCell ref="A8:E8"/>
    <mergeCell ref="M8:Q8"/>
    <mergeCell ref="A9:E9"/>
    <mergeCell ref="F9:F33"/>
    <mergeCell ref="G9:K33"/>
    <mergeCell ref="L9:L33"/>
    <mergeCell ref="M9:Q9"/>
    <mergeCell ref="A13:E13"/>
    <mergeCell ref="M13:Q13"/>
    <mergeCell ref="B14:D14"/>
    <mergeCell ref="B17:D17"/>
    <mergeCell ref="N17:P17"/>
    <mergeCell ref="M18:Q18"/>
    <mergeCell ref="A19:E19"/>
    <mergeCell ref="M19:Q19"/>
    <mergeCell ref="S9:W33"/>
    <mergeCell ref="X9:X33"/>
    <mergeCell ref="B10:D10"/>
    <mergeCell ref="E10:E11"/>
    <mergeCell ref="N10:P10"/>
    <mergeCell ref="Q10:Q11"/>
    <mergeCell ref="B11:D11"/>
    <mergeCell ref="N11:P11"/>
    <mergeCell ref="A12:E12"/>
    <mergeCell ref="M12:Q12"/>
    <mergeCell ref="N14:P14"/>
    <mergeCell ref="B15:D15"/>
    <mergeCell ref="N15:P15"/>
    <mergeCell ref="B16:D16"/>
    <mergeCell ref="N16:P16"/>
    <mergeCell ref="A18:E18"/>
    <mergeCell ref="B20:D20"/>
    <mergeCell ref="E20:E21"/>
    <mergeCell ref="N20:P20"/>
    <mergeCell ref="Q20:Q21"/>
    <mergeCell ref="B21:D21"/>
    <mergeCell ref="N21:P21"/>
    <mergeCell ref="A22:E22"/>
    <mergeCell ref="M22:Q22"/>
    <mergeCell ref="A23:E23"/>
    <mergeCell ref="M23:Q23"/>
    <mergeCell ref="A28:E28"/>
    <mergeCell ref="M28:Q28"/>
    <mergeCell ref="A29:E29"/>
    <mergeCell ref="M29:Q29"/>
    <mergeCell ref="C30:E30"/>
    <mergeCell ref="O30:Q30"/>
    <mergeCell ref="A31:E31"/>
    <mergeCell ref="M31:Q31"/>
    <mergeCell ref="S34:X45"/>
    <mergeCell ref="A37:E37"/>
    <mergeCell ref="M37:Q37"/>
    <mergeCell ref="A38:C38"/>
    <mergeCell ref="D38:E38"/>
    <mergeCell ref="D41:E41"/>
    <mergeCell ref="M41:O41"/>
    <mergeCell ref="P41:Q41"/>
    <mergeCell ref="A42:C42"/>
    <mergeCell ref="D42:E42"/>
    <mergeCell ref="M42:O42"/>
    <mergeCell ref="P42:Q42"/>
    <mergeCell ref="A43:Q45"/>
    <mergeCell ref="A32:E32"/>
    <mergeCell ref="M32:Q32"/>
    <mergeCell ref="C33:E36"/>
    <mergeCell ref="O33:Q36"/>
    <mergeCell ref="F34:L42"/>
    <mergeCell ref="M38:O38"/>
    <mergeCell ref="P38:Q38"/>
    <mergeCell ref="A39:C39"/>
    <mergeCell ref="D39:E39"/>
    <mergeCell ref="M39:O39"/>
    <mergeCell ref="P39:Q39"/>
    <mergeCell ref="A40:C40"/>
    <mergeCell ref="D40:E40"/>
    <mergeCell ref="M40:O40"/>
    <mergeCell ref="P40:Q40"/>
    <mergeCell ref="A41:C4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zoomScale="85" zoomScaleNormal="85" workbookViewId="0">
      <selection activeCell="M2" sqref="M2:Q2"/>
    </sheetView>
  </sheetViews>
  <sheetFormatPr defaultRowHeight="15" x14ac:dyDescent="0.25"/>
  <cols>
    <col min="1" max="1" width="29" customWidth="1"/>
    <col min="2" max="2" width="11.5703125" bestFit="1" customWidth="1"/>
    <col min="13" max="13" width="31.42578125" customWidth="1"/>
    <col min="18" max="18" width="16.140625" customWidth="1"/>
  </cols>
  <sheetData>
    <row r="1" spans="1:24" ht="15.75" thickBot="1" x14ac:dyDescent="0.3">
      <c r="A1" s="598"/>
      <c r="B1" s="598"/>
      <c r="C1" s="598"/>
      <c r="D1" s="598"/>
      <c r="E1" s="598"/>
      <c r="F1" s="598"/>
      <c r="G1" s="598"/>
      <c r="H1" s="598"/>
      <c r="I1" s="598"/>
      <c r="J1" s="598"/>
      <c r="K1" s="598"/>
      <c r="L1" s="598"/>
      <c r="M1" s="598"/>
      <c r="N1" s="598"/>
      <c r="O1" s="598"/>
      <c r="P1" s="598"/>
      <c r="Q1" s="598"/>
      <c r="R1" s="598"/>
      <c r="S1" s="598"/>
      <c r="T1" s="598"/>
      <c r="U1" s="598"/>
      <c r="V1" s="598"/>
      <c r="W1" s="598"/>
      <c r="X1" s="598"/>
    </row>
    <row r="2" spans="1:24" ht="18.75" x14ac:dyDescent="0.3">
      <c r="A2" s="646" t="s">
        <v>273</v>
      </c>
      <c r="B2" s="647"/>
      <c r="C2" s="647"/>
      <c r="D2" s="647"/>
      <c r="E2" s="648"/>
      <c r="F2" s="608"/>
      <c r="G2" s="598"/>
      <c r="H2" s="598"/>
      <c r="I2" s="598"/>
      <c r="J2" s="598"/>
      <c r="K2" s="598"/>
      <c r="L2" s="609"/>
      <c r="M2" s="646" t="s">
        <v>305</v>
      </c>
      <c r="N2" s="647"/>
      <c r="O2" s="647"/>
      <c r="P2" s="647"/>
      <c r="Q2" s="648"/>
      <c r="R2" s="384"/>
      <c r="S2" s="598"/>
      <c r="T2" s="598"/>
      <c r="U2" s="598"/>
      <c r="V2" s="598"/>
      <c r="W2" s="598"/>
      <c r="X2" s="598"/>
    </row>
    <row r="3" spans="1:24" x14ac:dyDescent="0.25">
      <c r="A3" s="640" t="s">
        <v>274</v>
      </c>
      <c r="B3" s="641"/>
      <c r="C3" s="641"/>
      <c r="D3" s="641"/>
      <c r="E3" s="642"/>
      <c r="F3" s="608"/>
      <c r="G3" s="598"/>
      <c r="H3" s="598"/>
      <c r="I3" s="598"/>
      <c r="J3" s="598"/>
      <c r="K3" s="598"/>
      <c r="L3" s="609"/>
      <c r="M3" s="640" t="s">
        <v>274</v>
      </c>
      <c r="N3" s="641"/>
      <c r="O3" s="641"/>
      <c r="P3" s="641"/>
      <c r="Q3" s="642"/>
      <c r="R3" s="384"/>
      <c r="S3" s="598"/>
      <c r="T3" s="598"/>
      <c r="U3" s="598"/>
      <c r="V3" s="598"/>
      <c r="W3" s="598"/>
      <c r="X3" s="598"/>
    </row>
    <row r="4" spans="1:24" x14ac:dyDescent="0.25">
      <c r="A4" s="370" t="s">
        <v>276</v>
      </c>
      <c r="B4" s="649">
        <v>30000</v>
      </c>
      <c r="C4" s="649"/>
      <c r="D4" s="649"/>
      <c r="E4" s="626"/>
      <c r="F4" s="608"/>
      <c r="G4" s="598"/>
      <c r="H4" s="598"/>
      <c r="I4" s="598"/>
      <c r="J4" s="598"/>
      <c r="K4" s="598"/>
      <c r="L4" s="609"/>
      <c r="M4" s="370" t="s">
        <v>276</v>
      </c>
      <c r="N4" s="649">
        <v>30000</v>
      </c>
      <c r="O4" s="649"/>
      <c r="P4" s="649"/>
      <c r="Q4" s="626"/>
      <c r="R4" s="384"/>
      <c r="S4" s="598"/>
      <c r="T4" s="598"/>
      <c r="U4" s="598"/>
      <c r="V4" s="598"/>
      <c r="W4" s="598"/>
      <c r="X4" s="598"/>
    </row>
    <row r="5" spans="1:24" x14ac:dyDescent="0.25">
      <c r="A5" s="370" t="s">
        <v>275</v>
      </c>
      <c r="B5" s="661">
        <v>0.28000000000000003</v>
      </c>
      <c r="C5" s="661"/>
      <c r="D5" s="661"/>
      <c r="E5" s="626"/>
      <c r="F5" s="608"/>
      <c r="G5" s="598"/>
      <c r="H5" s="598"/>
      <c r="I5" s="598"/>
      <c r="J5" s="598"/>
      <c r="K5" s="598"/>
      <c r="L5" s="609"/>
      <c r="M5" s="370" t="s">
        <v>275</v>
      </c>
      <c r="N5" s="663">
        <v>0.28000000000000003</v>
      </c>
      <c r="O5" s="663"/>
      <c r="P5" s="663"/>
      <c r="Q5" s="626"/>
      <c r="R5" s="384"/>
      <c r="S5" s="598"/>
      <c r="T5" s="598"/>
      <c r="U5" s="598"/>
      <c r="V5" s="598"/>
      <c r="W5" s="598"/>
      <c r="X5" s="598"/>
    </row>
    <row r="6" spans="1:24" x14ac:dyDescent="0.25">
      <c r="A6" s="370" t="s">
        <v>6</v>
      </c>
      <c r="B6" s="661">
        <v>0.48</v>
      </c>
      <c r="C6" s="661"/>
      <c r="D6" s="661"/>
      <c r="E6" s="626"/>
      <c r="F6" s="608"/>
      <c r="G6" s="598"/>
      <c r="H6" s="598"/>
      <c r="I6" s="598"/>
      <c r="J6" s="598"/>
      <c r="K6" s="598"/>
      <c r="L6" s="609"/>
      <c r="M6" s="370" t="s">
        <v>6</v>
      </c>
      <c r="N6" s="663">
        <v>0.48</v>
      </c>
      <c r="O6" s="663"/>
      <c r="P6" s="663"/>
      <c r="Q6" s="626"/>
      <c r="R6" s="384"/>
      <c r="S6" s="598"/>
      <c r="T6" s="598"/>
      <c r="U6" s="598"/>
      <c r="V6" s="598"/>
      <c r="W6" s="598"/>
      <c r="X6" s="598"/>
    </row>
    <row r="7" spans="1:24" x14ac:dyDescent="0.25">
      <c r="A7" s="370" t="s">
        <v>7</v>
      </c>
      <c r="B7" s="661">
        <v>0.24</v>
      </c>
      <c r="C7" s="661"/>
      <c r="D7" s="661"/>
      <c r="E7" s="626"/>
      <c r="F7" s="608"/>
      <c r="G7" s="598"/>
      <c r="H7" s="598"/>
      <c r="I7" s="598"/>
      <c r="J7" s="598"/>
      <c r="K7" s="598"/>
      <c r="L7" s="609"/>
      <c r="M7" s="370" t="s">
        <v>7</v>
      </c>
      <c r="N7" s="663">
        <v>0.24</v>
      </c>
      <c r="O7" s="663"/>
      <c r="P7" s="663"/>
      <c r="Q7" s="626"/>
      <c r="R7" s="384"/>
      <c r="S7" s="598"/>
      <c r="T7" s="598"/>
      <c r="U7" s="598"/>
      <c r="V7" s="598"/>
      <c r="W7" s="598"/>
      <c r="X7" s="598"/>
    </row>
    <row r="8" spans="1:24" ht="6" customHeight="1" thickBot="1" x14ac:dyDescent="0.3">
      <c r="A8" s="624"/>
      <c r="B8" s="625"/>
      <c r="C8" s="625"/>
      <c r="D8" s="625"/>
      <c r="E8" s="626"/>
      <c r="F8" s="608"/>
      <c r="G8" s="598"/>
      <c r="H8" s="598"/>
      <c r="I8" s="598"/>
      <c r="J8" s="598"/>
      <c r="K8" s="598"/>
      <c r="L8" s="609"/>
      <c r="M8" s="624"/>
      <c r="N8" s="625"/>
      <c r="O8" s="625"/>
      <c r="P8" s="625"/>
      <c r="Q8" s="626"/>
      <c r="R8" s="384"/>
      <c r="S8" s="598"/>
      <c r="T8" s="598"/>
      <c r="U8" s="598"/>
      <c r="V8" s="598"/>
      <c r="W8" s="598"/>
      <c r="X8" s="598"/>
    </row>
    <row r="9" spans="1:24" x14ac:dyDescent="0.25">
      <c r="A9" s="640" t="s">
        <v>258</v>
      </c>
      <c r="B9" s="641"/>
      <c r="C9" s="641"/>
      <c r="D9" s="641"/>
      <c r="E9" s="642"/>
      <c r="F9" s="610"/>
      <c r="G9" s="599" t="s">
        <v>294</v>
      </c>
      <c r="H9" s="600"/>
      <c r="I9" s="600"/>
      <c r="J9" s="600"/>
      <c r="K9" s="601"/>
      <c r="L9" s="610"/>
      <c r="M9" s="640" t="s">
        <v>258</v>
      </c>
      <c r="N9" s="641"/>
      <c r="O9" s="641"/>
      <c r="P9" s="641"/>
      <c r="Q9" s="642"/>
      <c r="R9" s="384"/>
      <c r="S9" s="599" t="s">
        <v>295</v>
      </c>
      <c r="T9" s="600"/>
      <c r="U9" s="600"/>
      <c r="V9" s="600"/>
      <c r="W9" s="601"/>
      <c r="X9" s="608"/>
    </row>
    <row r="10" spans="1:24" x14ac:dyDescent="0.25">
      <c r="A10" s="371" t="s">
        <v>280</v>
      </c>
      <c r="B10" s="651">
        <v>24000</v>
      </c>
      <c r="C10" s="651"/>
      <c r="D10" s="651"/>
      <c r="E10" s="626"/>
      <c r="F10" s="610"/>
      <c r="G10" s="602"/>
      <c r="H10" s="603"/>
      <c r="I10" s="603"/>
      <c r="J10" s="603"/>
      <c r="K10" s="604"/>
      <c r="L10" s="610"/>
      <c r="M10" s="371" t="s">
        <v>280</v>
      </c>
      <c r="N10" s="662">
        <v>20400</v>
      </c>
      <c r="O10" s="662"/>
      <c r="P10" s="662"/>
      <c r="Q10" s="626"/>
      <c r="R10" s="384"/>
      <c r="S10" s="602"/>
      <c r="T10" s="603"/>
      <c r="U10" s="603"/>
      <c r="V10" s="603"/>
      <c r="W10" s="604"/>
      <c r="X10" s="608"/>
    </row>
    <row r="11" spans="1:24" x14ac:dyDescent="0.25">
      <c r="A11" s="370" t="s">
        <v>281</v>
      </c>
      <c r="B11" s="652">
        <v>0</v>
      </c>
      <c r="C11" s="652"/>
      <c r="D11" s="652"/>
      <c r="E11" s="626"/>
      <c r="F11" s="610"/>
      <c r="G11" s="602"/>
      <c r="H11" s="603"/>
      <c r="I11" s="603"/>
      <c r="J11" s="603"/>
      <c r="K11" s="604"/>
      <c r="L11" s="610"/>
      <c r="M11" s="370" t="s">
        <v>281</v>
      </c>
      <c r="N11" s="662">
        <v>3600</v>
      </c>
      <c r="O11" s="662"/>
      <c r="P11" s="662"/>
      <c r="Q11" s="626"/>
      <c r="R11" s="384"/>
      <c r="S11" s="602"/>
      <c r="T11" s="603"/>
      <c r="U11" s="603"/>
      <c r="V11" s="603"/>
      <c r="W11" s="604"/>
      <c r="X11" s="608"/>
    </row>
    <row r="12" spans="1:24" ht="6" customHeight="1" x14ac:dyDescent="0.25">
      <c r="A12" s="624"/>
      <c r="B12" s="625"/>
      <c r="C12" s="625"/>
      <c r="D12" s="625"/>
      <c r="E12" s="626"/>
      <c r="F12" s="610"/>
      <c r="G12" s="602"/>
      <c r="H12" s="603"/>
      <c r="I12" s="603"/>
      <c r="J12" s="603"/>
      <c r="K12" s="604"/>
      <c r="L12" s="610"/>
      <c r="M12" s="624"/>
      <c r="N12" s="625"/>
      <c r="O12" s="625"/>
      <c r="P12" s="625"/>
      <c r="Q12" s="626"/>
      <c r="R12" s="384"/>
      <c r="S12" s="602"/>
      <c r="T12" s="603"/>
      <c r="U12" s="603"/>
      <c r="V12" s="603"/>
      <c r="W12" s="604"/>
      <c r="X12" s="608"/>
    </row>
    <row r="13" spans="1:24" ht="15.75" thickBot="1" x14ac:dyDescent="0.3">
      <c r="A13" s="640" t="s">
        <v>268</v>
      </c>
      <c r="B13" s="641"/>
      <c r="C13" s="641"/>
      <c r="D13" s="641"/>
      <c r="E13" s="642"/>
      <c r="F13" s="610"/>
      <c r="G13" s="602"/>
      <c r="H13" s="603"/>
      <c r="I13" s="603"/>
      <c r="J13" s="603"/>
      <c r="K13" s="604"/>
      <c r="L13" s="610"/>
      <c r="M13" s="640" t="s">
        <v>268</v>
      </c>
      <c r="N13" s="641"/>
      <c r="O13" s="641"/>
      <c r="P13" s="641"/>
      <c r="Q13" s="642"/>
      <c r="R13" s="384"/>
      <c r="S13" s="602"/>
      <c r="T13" s="603"/>
      <c r="U13" s="603"/>
      <c r="V13" s="603"/>
      <c r="W13" s="604"/>
      <c r="X13" s="608"/>
    </row>
    <row r="14" spans="1:24" x14ac:dyDescent="0.25">
      <c r="A14" s="372" t="s">
        <v>0</v>
      </c>
      <c r="B14" s="643">
        <f>(B11+B10)*E14</f>
        <v>24000</v>
      </c>
      <c r="C14" s="643"/>
      <c r="D14" s="643"/>
      <c r="E14" s="381">
        <v>1</v>
      </c>
      <c r="F14" s="610"/>
      <c r="G14" s="602"/>
      <c r="H14" s="603"/>
      <c r="I14" s="603"/>
      <c r="J14" s="603"/>
      <c r="K14" s="604"/>
      <c r="L14" s="610"/>
      <c r="M14" s="372" t="s">
        <v>0</v>
      </c>
      <c r="N14" s="665">
        <f>(N11+N10)*Q14</f>
        <v>12000</v>
      </c>
      <c r="O14" s="666"/>
      <c r="P14" s="667"/>
      <c r="Q14" s="401">
        <v>0.5</v>
      </c>
      <c r="R14" s="384"/>
      <c r="S14" s="602"/>
      <c r="T14" s="603"/>
      <c r="U14" s="603"/>
      <c r="V14" s="603"/>
      <c r="W14" s="604"/>
      <c r="X14" s="608"/>
    </row>
    <row r="15" spans="1:24" x14ac:dyDescent="0.25">
      <c r="A15" s="372" t="s">
        <v>1</v>
      </c>
      <c r="B15" s="643">
        <f>(B11+B10)*E15</f>
        <v>0</v>
      </c>
      <c r="C15" s="643"/>
      <c r="D15" s="643"/>
      <c r="E15" s="381">
        <v>0</v>
      </c>
      <c r="F15" s="610"/>
      <c r="G15" s="602"/>
      <c r="H15" s="603"/>
      <c r="I15" s="603"/>
      <c r="J15" s="603"/>
      <c r="K15" s="604"/>
      <c r="L15" s="610"/>
      <c r="M15" s="372" t="s">
        <v>1</v>
      </c>
      <c r="N15" s="668">
        <f>(N11+N10)*Q15</f>
        <v>2400</v>
      </c>
      <c r="O15" s="669"/>
      <c r="P15" s="670"/>
      <c r="Q15" s="402">
        <v>0.1</v>
      </c>
      <c r="R15" s="384"/>
      <c r="S15" s="602"/>
      <c r="T15" s="603"/>
      <c r="U15" s="603"/>
      <c r="V15" s="603"/>
      <c r="W15" s="604"/>
      <c r="X15" s="608"/>
    </row>
    <row r="16" spans="1:24" x14ac:dyDescent="0.25">
      <c r="A16" s="372" t="s">
        <v>2</v>
      </c>
      <c r="B16" s="643">
        <f>(B10+B11)*E16</f>
        <v>0</v>
      </c>
      <c r="C16" s="643"/>
      <c r="D16" s="643"/>
      <c r="E16" s="381">
        <v>0</v>
      </c>
      <c r="F16" s="610"/>
      <c r="G16" s="602"/>
      <c r="H16" s="603"/>
      <c r="I16" s="603"/>
      <c r="J16" s="603"/>
      <c r="K16" s="604"/>
      <c r="L16" s="610"/>
      <c r="M16" s="372" t="s">
        <v>2</v>
      </c>
      <c r="N16" s="668">
        <f>(N10+N11)*Q16</f>
        <v>6000</v>
      </c>
      <c r="O16" s="669"/>
      <c r="P16" s="670"/>
      <c r="Q16" s="402">
        <v>0.25</v>
      </c>
      <c r="R16" s="384"/>
      <c r="S16" s="602"/>
      <c r="T16" s="603"/>
      <c r="U16" s="603"/>
      <c r="V16" s="603"/>
      <c r="W16" s="604"/>
      <c r="X16" s="608"/>
    </row>
    <row r="17" spans="1:24" ht="15.75" thickBot="1" x14ac:dyDescent="0.3">
      <c r="A17" s="372" t="s">
        <v>3</v>
      </c>
      <c r="B17" s="643">
        <f>B11</f>
        <v>0</v>
      </c>
      <c r="C17" s="643"/>
      <c r="D17" s="643"/>
      <c r="E17" s="382">
        <f>ORV_Procured/(B10+B11)</f>
        <v>2.5</v>
      </c>
      <c r="F17" s="610"/>
      <c r="G17" s="602"/>
      <c r="H17" s="603"/>
      <c r="I17" s="603"/>
      <c r="J17" s="603"/>
      <c r="K17" s="604"/>
      <c r="L17" s="610"/>
      <c r="M17" s="372" t="s">
        <v>3</v>
      </c>
      <c r="N17" s="671">
        <v>3600</v>
      </c>
      <c r="O17" s="672"/>
      <c r="P17" s="673"/>
      <c r="Q17" s="403">
        <f>ORV_Procured/(N10+N11)</f>
        <v>2.5</v>
      </c>
      <c r="R17" s="384"/>
      <c r="S17" s="602"/>
      <c r="T17" s="603"/>
      <c r="U17" s="603"/>
      <c r="V17" s="603"/>
      <c r="W17" s="604"/>
      <c r="X17" s="608"/>
    </row>
    <row r="18" spans="1:24" ht="6" customHeight="1" x14ac:dyDescent="0.25">
      <c r="A18" s="624"/>
      <c r="B18" s="625"/>
      <c r="C18" s="625"/>
      <c r="D18" s="625"/>
      <c r="E18" s="626"/>
      <c r="F18" s="610"/>
      <c r="G18" s="602"/>
      <c r="H18" s="603"/>
      <c r="I18" s="603"/>
      <c r="J18" s="603"/>
      <c r="K18" s="604"/>
      <c r="L18" s="610"/>
      <c r="M18" s="624"/>
      <c r="N18" s="625"/>
      <c r="O18" s="625"/>
      <c r="P18" s="625"/>
      <c r="Q18" s="626"/>
      <c r="R18" s="384"/>
      <c r="S18" s="602"/>
      <c r="T18" s="603"/>
      <c r="U18" s="603"/>
      <c r="V18" s="603"/>
      <c r="W18" s="604"/>
      <c r="X18" s="608"/>
    </row>
    <row r="19" spans="1:24" x14ac:dyDescent="0.25">
      <c r="A19" s="640" t="s">
        <v>259</v>
      </c>
      <c r="B19" s="641"/>
      <c r="C19" s="641"/>
      <c r="D19" s="641"/>
      <c r="E19" s="642"/>
      <c r="F19" s="610"/>
      <c r="G19" s="602"/>
      <c r="H19" s="603"/>
      <c r="I19" s="603"/>
      <c r="J19" s="603"/>
      <c r="K19" s="604"/>
      <c r="L19" s="610"/>
      <c r="M19" s="640" t="s">
        <v>259</v>
      </c>
      <c r="N19" s="641"/>
      <c r="O19" s="641"/>
      <c r="P19" s="641"/>
      <c r="Q19" s="642"/>
      <c r="R19" s="384"/>
      <c r="S19" s="602"/>
      <c r="T19" s="603"/>
      <c r="U19" s="603"/>
      <c r="V19" s="603"/>
      <c r="W19" s="604"/>
      <c r="X19" s="608"/>
    </row>
    <row r="20" spans="1:24" x14ac:dyDescent="0.25">
      <c r="A20" s="373" t="s">
        <v>280</v>
      </c>
      <c r="B20" s="644">
        <v>1</v>
      </c>
      <c r="C20" s="644"/>
      <c r="D20" s="644"/>
      <c r="E20" s="645"/>
      <c r="F20" s="610"/>
      <c r="G20" s="602"/>
      <c r="H20" s="603"/>
      <c r="I20" s="603"/>
      <c r="J20" s="603"/>
      <c r="K20" s="604"/>
      <c r="L20" s="610"/>
      <c r="M20" s="373" t="s">
        <v>280</v>
      </c>
      <c r="N20" s="644">
        <v>1</v>
      </c>
      <c r="O20" s="644"/>
      <c r="P20" s="644"/>
      <c r="Q20" s="645"/>
      <c r="R20" s="384"/>
      <c r="S20" s="602"/>
      <c r="T20" s="603"/>
      <c r="U20" s="603"/>
      <c r="V20" s="603"/>
      <c r="W20" s="604"/>
      <c r="X20" s="608"/>
    </row>
    <row r="21" spans="1:24" x14ac:dyDescent="0.25">
      <c r="A21" s="373" t="s">
        <v>281</v>
      </c>
      <c r="B21" s="644">
        <v>1</v>
      </c>
      <c r="C21" s="644"/>
      <c r="D21" s="644"/>
      <c r="E21" s="645"/>
      <c r="F21" s="610"/>
      <c r="G21" s="602"/>
      <c r="H21" s="603"/>
      <c r="I21" s="603"/>
      <c r="J21" s="603"/>
      <c r="K21" s="604"/>
      <c r="L21" s="610"/>
      <c r="M21" s="373" t="s">
        <v>281</v>
      </c>
      <c r="N21" s="644">
        <v>1</v>
      </c>
      <c r="O21" s="644"/>
      <c r="P21" s="644"/>
      <c r="Q21" s="645"/>
      <c r="R21" s="384"/>
      <c r="S21" s="602"/>
      <c r="T21" s="603"/>
      <c r="U21" s="603"/>
      <c r="V21" s="603"/>
      <c r="W21" s="604"/>
      <c r="X21" s="608"/>
    </row>
    <row r="22" spans="1:24" ht="6" customHeight="1" x14ac:dyDescent="0.25">
      <c r="A22" s="624"/>
      <c r="B22" s="625"/>
      <c r="C22" s="625"/>
      <c r="D22" s="625"/>
      <c r="E22" s="626"/>
      <c r="F22" s="610"/>
      <c r="G22" s="602"/>
      <c r="H22" s="603"/>
      <c r="I22" s="603"/>
      <c r="J22" s="603"/>
      <c r="K22" s="604"/>
      <c r="L22" s="610"/>
      <c r="M22" s="624"/>
      <c r="N22" s="625"/>
      <c r="O22" s="625"/>
      <c r="P22" s="625"/>
      <c r="Q22" s="626"/>
      <c r="R22" s="384"/>
      <c r="S22" s="602"/>
      <c r="T22" s="603"/>
      <c r="U22" s="603"/>
      <c r="V22" s="603"/>
      <c r="W22" s="604"/>
      <c r="X22" s="608"/>
    </row>
    <row r="23" spans="1:24" ht="15.75" thickBot="1" x14ac:dyDescent="0.3">
      <c r="A23" s="621" t="s">
        <v>282</v>
      </c>
      <c r="B23" s="622"/>
      <c r="C23" s="622"/>
      <c r="D23" s="622"/>
      <c r="E23" s="623"/>
      <c r="F23" s="610"/>
      <c r="G23" s="602"/>
      <c r="H23" s="603"/>
      <c r="I23" s="603"/>
      <c r="J23" s="603"/>
      <c r="K23" s="604"/>
      <c r="L23" s="610"/>
      <c r="M23" s="621" t="s">
        <v>282</v>
      </c>
      <c r="N23" s="622"/>
      <c r="O23" s="622"/>
      <c r="P23" s="622"/>
      <c r="Q23" s="623"/>
      <c r="R23" s="384"/>
      <c r="S23" s="602"/>
      <c r="T23" s="603"/>
      <c r="U23" s="603"/>
      <c r="V23" s="603"/>
      <c r="W23" s="604"/>
      <c r="X23" s="608"/>
    </row>
    <row r="24" spans="1:24" ht="15.75" thickBot="1" x14ac:dyDescent="0.3">
      <c r="A24" s="374" t="s">
        <v>239</v>
      </c>
      <c r="B24" s="366" t="s">
        <v>216</v>
      </c>
      <c r="C24" s="204" t="s">
        <v>217</v>
      </c>
      <c r="D24" s="204" t="s">
        <v>2</v>
      </c>
      <c r="E24" s="205" t="s">
        <v>3</v>
      </c>
      <c r="F24" s="610"/>
      <c r="G24" s="602"/>
      <c r="H24" s="603"/>
      <c r="I24" s="603"/>
      <c r="J24" s="603"/>
      <c r="K24" s="604"/>
      <c r="L24" s="610"/>
      <c r="M24" s="374" t="s">
        <v>239</v>
      </c>
      <c r="N24" s="366" t="s">
        <v>216</v>
      </c>
      <c r="O24" s="204" t="s">
        <v>217</v>
      </c>
      <c r="P24" s="204" t="s">
        <v>2</v>
      </c>
      <c r="Q24" s="205" t="s">
        <v>3</v>
      </c>
      <c r="R24" s="384"/>
      <c r="S24" s="602"/>
      <c r="T24" s="603"/>
      <c r="U24" s="603"/>
      <c r="V24" s="603"/>
      <c r="W24" s="604"/>
      <c r="X24" s="608"/>
    </row>
    <row r="25" spans="1:24" x14ac:dyDescent="0.25">
      <c r="A25" s="375" t="s">
        <v>5</v>
      </c>
      <c r="B25" s="367">
        <v>0.8</v>
      </c>
      <c r="C25" s="349">
        <v>0.8</v>
      </c>
      <c r="D25" s="349">
        <v>0.05</v>
      </c>
      <c r="E25" s="350">
        <v>0.05</v>
      </c>
      <c r="F25" s="610"/>
      <c r="G25" s="602"/>
      <c r="H25" s="603"/>
      <c r="I25" s="603"/>
      <c r="J25" s="603"/>
      <c r="K25" s="604"/>
      <c r="L25" s="610"/>
      <c r="M25" s="375" t="s">
        <v>5</v>
      </c>
      <c r="N25" s="367">
        <v>0.8</v>
      </c>
      <c r="O25" s="349">
        <v>0.8</v>
      </c>
      <c r="P25" s="349">
        <v>0.05</v>
      </c>
      <c r="Q25" s="350">
        <v>0.05</v>
      </c>
      <c r="R25" s="384"/>
      <c r="S25" s="602"/>
      <c r="T25" s="603"/>
      <c r="U25" s="603"/>
      <c r="V25" s="603"/>
      <c r="W25" s="604"/>
      <c r="X25" s="608"/>
    </row>
    <row r="26" spans="1:24" x14ac:dyDescent="0.25">
      <c r="A26" s="375" t="s">
        <v>6</v>
      </c>
      <c r="B26" s="368">
        <v>0.6</v>
      </c>
      <c r="C26" s="351">
        <v>0.6</v>
      </c>
      <c r="D26" s="351">
        <v>0.8</v>
      </c>
      <c r="E26" s="352">
        <v>0.8</v>
      </c>
      <c r="F26" s="610"/>
      <c r="G26" s="602"/>
      <c r="H26" s="603"/>
      <c r="I26" s="603"/>
      <c r="J26" s="603"/>
      <c r="K26" s="604"/>
      <c r="L26" s="610"/>
      <c r="M26" s="375" t="s">
        <v>6</v>
      </c>
      <c r="N26" s="368">
        <v>0.6</v>
      </c>
      <c r="O26" s="351">
        <v>0.6</v>
      </c>
      <c r="P26" s="351">
        <v>0.8</v>
      </c>
      <c r="Q26" s="352">
        <v>0.8</v>
      </c>
      <c r="R26" s="384"/>
      <c r="S26" s="602"/>
      <c r="T26" s="603"/>
      <c r="U26" s="603"/>
      <c r="V26" s="603"/>
      <c r="W26" s="604"/>
      <c r="X26" s="608"/>
    </row>
    <row r="27" spans="1:24" ht="15.75" thickBot="1" x14ac:dyDescent="0.3">
      <c r="A27" s="375" t="s">
        <v>7</v>
      </c>
      <c r="B27" s="369">
        <v>0.05</v>
      </c>
      <c r="C27" s="353">
        <v>0.05</v>
      </c>
      <c r="D27" s="353">
        <v>0.6</v>
      </c>
      <c r="E27" s="354">
        <v>0.8</v>
      </c>
      <c r="F27" s="610"/>
      <c r="G27" s="602"/>
      <c r="H27" s="603"/>
      <c r="I27" s="603"/>
      <c r="J27" s="603"/>
      <c r="K27" s="604"/>
      <c r="L27" s="610"/>
      <c r="M27" s="375" t="s">
        <v>7</v>
      </c>
      <c r="N27" s="369">
        <v>0.05</v>
      </c>
      <c r="O27" s="353">
        <v>0.05</v>
      </c>
      <c r="P27" s="353">
        <v>0.6</v>
      </c>
      <c r="Q27" s="354">
        <v>0.8</v>
      </c>
      <c r="R27" s="384"/>
      <c r="S27" s="602"/>
      <c r="T27" s="603"/>
      <c r="U27" s="603"/>
      <c r="V27" s="603"/>
      <c r="W27" s="604"/>
      <c r="X27" s="608"/>
    </row>
    <row r="28" spans="1:24" ht="6" customHeight="1" x14ac:dyDescent="0.25">
      <c r="A28" s="624"/>
      <c r="B28" s="625"/>
      <c r="C28" s="625"/>
      <c r="D28" s="625"/>
      <c r="E28" s="626"/>
      <c r="F28" s="610"/>
      <c r="G28" s="602"/>
      <c r="H28" s="603"/>
      <c r="I28" s="603"/>
      <c r="J28" s="603"/>
      <c r="K28" s="604"/>
      <c r="L28" s="610"/>
      <c r="M28" s="624"/>
      <c r="N28" s="625"/>
      <c r="O28" s="625"/>
      <c r="P28" s="625"/>
      <c r="Q28" s="626"/>
      <c r="R28" s="384"/>
      <c r="S28" s="602"/>
      <c r="T28" s="603"/>
      <c r="U28" s="603"/>
      <c r="V28" s="603"/>
      <c r="W28" s="604"/>
      <c r="X28" s="608"/>
    </row>
    <row r="29" spans="1:24" ht="15.75" x14ac:dyDescent="0.25">
      <c r="A29" s="627" t="s">
        <v>244</v>
      </c>
      <c r="B29" s="628"/>
      <c r="C29" s="628"/>
      <c r="D29" s="628"/>
      <c r="E29" s="629"/>
      <c r="F29" s="610"/>
      <c r="G29" s="602"/>
      <c r="H29" s="603"/>
      <c r="I29" s="603"/>
      <c r="J29" s="603"/>
      <c r="K29" s="604"/>
      <c r="L29" s="610"/>
      <c r="M29" s="627" t="s">
        <v>244</v>
      </c>
      <c r="N29" s="628"/>
      <c r="O29" s="628"/>
      <c r="P29" s="628"/>
      <c r="Q29" s="629"/>
      <c r="R29" s="384"/>
      <c r="S29" s="602"/>
      <c r="T29" s="603"/>
      <c r="U29" s="603"/>
      <c r="V29" s="603"/>
      <c r="W29" s="604"/>
      <c r="X29" s="608"/>
    </row>
    <row r="30" spans="1:24" ht="15.75" x14ac:dyDescent="0.25">
      <c r="A30" s="376" t="s">
        <v>283</v>
      </c>
      <c r="B30" s="334">
        <v>60</v>
      </c>
      <c r="C30" s="630"/>
      <c r="D30" s="625"/>
      <c r="E30" s="626"/>
      <c r="F30" s="610"/>
      <c r="G30" s="602"/>
      <c r="H30" s="603"/>
      <c r="I30" s="603"/>
      <c r="J30" s="603"/>
      <c r="K30" s="604"/>
      <c r="L30" s="610"/>
      <c r="M30" s="376" t="s">
        <v>283</v>
      </c>
      <c r="N30" s="334">
        <v>60</v>
      </c>
      <c r="O30" s="630"/>
      <c r="P30" s="625"/>
      <c r="Q30" s="626"/>
      <c r="R30" s="384"/>
      <c r="S30" s="602"/>
      <c r="T30" s="603"/>
      <c r="U30" s="603"/>
      <c r="V30" s="603"/>
      <c r="W30" s="604"/>
      <c r="X30" s="608"/>
    </row>
    <row r="31" spans="1:24" ht="6" customHeight="1" x14ac:dyDescent="0.25">
      <c r="A31" s="624"/>
      <c r="B31" s="625"/>
      <c r="C31" s="625"/>
      <c r="D31" s="625"/>
      <c r="E31" s="626"/>
      <c r="F31" s="610"/>
      <c r="G31" s="602"/>
      <c r="H31" s="603"/>
      <c r="I31" s="603"/>
      <c r="J31" s="603"/>
      <c r="K31" s="604"/>
      <c r="L31" s="610"/>
      <c r="M31" s="624"/>
      <c r="N31" s="625"/>
      <c r="O31" s="625"/>
      <c r="P31" s="625"/>
      <c r="Q31" s="626"/>
      <c r="R31" s="384"/>
      <c r="S31" s="602"/>
      <c r="T31" s="603"/>
      <c r="U31" s="603"/>
      <c r="V31" s="603"/>
      <c r="W31" s="604"/>
      <c r="X31" s="608"/>
    </row>
    <row r="32" spans="1:24" ht="15.75" x14ac:dyDescent="0.25">
      <c r="A32" s="627" t="s">
        <v>245</v>
      </c>
      <c r="B32" s="628"/>
      <c r="C32" s="628"/>
      <c r="D32" s="628"/>
      <c r="E32" s="629"/>
      <c r="F32" s="610"/>
      <c r="G32" s="602"/>
      <c r="H32" s="603"/>
      <c r="I32" s="603"/>
      <c r="J32" s="603"/>
      <c r="K32" s="604"/>
      <c r="L32" s="610"/>
      <c r="M32" s="627" t="s">
        <v>245</v>
      </c>
      <c r="N32" s="628"/>
      <c r="O32" s="628"/>
      <c r="P32" s="628"/>
      <c r="Q32" s="629"/>
      <c r="R32" s="384"/>
      <c r="S32" s="602"/>
      <c r="T32" s="603"/>
      <c r="U32" s="603"/>
      <c r="V32" s="603"/>
      <c r="W32" s="604"/>
      <c r="X32" s="608"/>
    </row>
    <row r="33" spans="1:24" ht="16.5" thickBot="1" x14ac:dyDescent="0.3">
      <c r="A33" s="377" t="s">
        <v>0</v>
      </c>
      <c r="B33" s="334">
        <v>30</v>
      </c>
      <c r="C33" s="630"/>
      <c r="D33" s="625"/>
      <c r="E33" s="626"/>
      <c r="F33" s="610"/>
      <c r="G33" s="605"/>
      <c r="H33" s="606"/>
      <c r="I33" s="606"/>
      <c r="J33" s="606"/>
      <c r="K33" s="607"/>
      <c r="L33" s="610"/>
      <c r="M33" s="377" t="s">
        <v>0</v>
      </c>
      <c r="N33" s="334">
        <v>30</v>
      </c>
      <c r="O33" s="630"/>
      <c r="P33" s="625"/>
      <c r="Q33" s="626"/>
      <c r="R33" s="384"/>
      <c r="S33" s="605"/>
      <c r="T33" s="606"/>
      <c r="U33" s="606"/>
      <c r="V33" s="606"/>
      <c r="W33" s="607"/>
      <c r="X33" s="608"/>
    </row>
    <row r="34" spans="1:24" ht="15.75" x14ac:dyDescent="0.25">
      <c r="A34" s="377" t="s">
        <v>1</v>
      </c>
      <c r="B34" s="334">
        <v>30</v>
      </c>
      <c r="C34" s="630"/>
      <c r="D34" s="625"/>
      <c r="E34" s="626"/>
      <c r="F34" s="608"/>
      <c r="G34" s="598"/>
      <c r="H34" s="598"/>
      <c r="I34" s="598"/>
      <c r="J34" s="598"/>
      <c r="K34" s="598"/>
      <c r="L34" s="609"/>
      <c r="M34" s="377" t="s">
        <v>1</v>
      </c>
      <c r="N34" s="334">
        <v>30</v>
      </c>
      <c r="O34" s="630"/>
      <c r="P34" s="625"/>
      <c r="Q34" s="626"/>
      <c r="R34" s="384"/>
      <c r="S34" s="598"/>
      <c r="T34" s="598"/>
      <c r="U34" s="598"/>
      <c r="V34" s="598"/>
      <c r="W34" s="598"/>
      <c r="X34" s="598"/>
    </row>
    <row r="35" spans="1:24" ht="15.75" x14ac:dyDescent="0.25">
      <c r="A35" s="377" t="s">
        <v>2</v>
      </c>
      <c r="B35" s="334">
        <v>30</v>
      </c>
      <c r="C35" s="630"/>
      <c r="D35" s="625"/>
      <c r="E35" s="626"/>
      <c r="F35" s="608"/>
      <c r="G35" s="598"/>
      <c r="H35" s="598"/>
      <c r="I35" s="598"/>
      <c r="J35" s="598"/>
      <c r="K35" s="598"/>
      <c r="L35" s="609"/>
      <c r="M35" s="377" t="s">
        <v>2</v>
      </c>
      <c r="N35" s="334">
        <v>30</v>
      </c>
      <c r="O35" s="630"/>
      <c r="P35" s="625"/>
      <c r="Q35" s="626"/>
      <c r="R35" s="384"/>
      <c r="S35" s="598"/>
      <c r="T35" s="598"/>
      <c r="U35" s="598"/>
      <c r="V35" s="598"/>
      <c r="W35" s="598"/>
      <c r="X35" s="598"/>
    </row>
    <row r="36" spans="1:24" ht="16.5" thickBot="1" x14ac:dyDescent="0.3">
      <c r="A36" s="378" t="s">
        <v>3</v>
      </c>
      <c r="B36" s="379">
        <v>50</v>
      </c>
      <c r="C36" s="631"/>
      <c r="D36" s="632"/>
      <c r="E36" s="633"/>
      <c r="F36" s="608"/>
      <c r="G36" s="598"/>
      <c r="H36" s="598"/>
      <c r="I36" s="598"/>
      <c r="J36" s="598"/>
      <c r="K36" s="598"/>
      <c r="L36" s="609"/>
      <c r="M36" s="378" t="s">
        <v>3</v>
      </c>
      <c r="N36" s="379">
        <v>50</v>
      </c>
      <c r="O36" s="631"/>
      <c r="P36" s="632"/>
      <c r="Q36" s="633"/>
      <c r="R36" s="384"/>
      <c r="S36" s="598"/>
      <c r="T36" s="598"/>
      <c r="U36" s="598"/>
      <c r="V36" s="598"/>
      <c r="W36" s="598"/>
      <c r="X36" s="598"/>
    </row>
    <row r="37" spans="1:24" ht="19.5" thickBot="1" x14ac:dyDescent="0.35">
      <c r="A37" s="634" t="s">
        <v>301</v>
      </c>
      <c r="B37" s="635"/>
      <c r="C37" s="635"/>
      <c r="D37" s="635"/>
      <c r="E37" s="635"/>
      <c r="F37" s="608"/>
      <c r="G37" s="598"/>
      <c r="H37" s="598"/>
      <c r="I37" s="598"/>
      <c r="J37" s="598"/>
      <c r="K37" s="598"/>
      <c r="L37" s="609"/>
      <c r="M37" s="634" t="s">
        <v>302</v>
      </c>
      <c r="N37" s="635"/>
      <c r="O37" s="635"/>
      <c r="P37" s="635"/>
      <c r="Q37" s="635"/>
      <c r="R37" s="397" t="s">
        <v>300</v>
      </c>
      <c r="S37" s="598"/>
      <c r="T37" s="598"/>
      <c r="U37" s="598"/>
      <c r="V37" s="598"/>
      <c r="W37" s="598"/>
      <c r="X37" s="598"/>
    </row>
    <row r="38" spans="1:24" ht="18.75" customHeight="1" x14ac:dyDescent="0.3">
      <c r="A38" s="636" t="s">
        <v>284</v>
      </c>
      <c r="B38" s="637"/>
      <c r="C38" s="637"/>
      <c r="D38" s="659">
        <v>0.35</v>
      </c>
      <c r="E38" s="660"/>
      <c r="F38" s="608"/>
      <c r="G38" s="598"/>
      <c r="H38" s="598"/>
      <c r="I38" s="598"/>
      <c r="J38" s="598"/>
      <c r="K38" s="598"/>
      <c r="L38" s="609"/>
      <c r="M38" s="636" t="s">
        <v>284</v>
      </c>
      <c r="N38" s="637"/>
      <c r="O38" s="637"/>
      <c r="P38" s="659">
        <v>0</v>
      </c>
      <c r="Q38" s="660"/>
      <c r="R38" s="396">
        <f>P38-D38</f>
        <v>-0.35</v>
      </c>
      <c r="S38" s="598"/>
      <c r="T38" s="598"/>
      <c r="U38" s="598"/>
      <c r="V38" s="598"/>
      <c r="W38" s="598"/>
      <c r="X38" s="598"/>
    </row>
    <row r="39" spans="1:24" ht="18.75" customHeight="1" x14ac:dyDescent="0.3">
      <c r="A39" s="611" t="s">
        <v>285</v>
      </c>
      <c r="B39" s="612"/>
      <c r="C39" s="612"/>
      <c r="D39" s="657">
        <v>0.52</v>
      </c>
      <c r="E39" s="658"/>
      <c r="F39" s="608"/>
      <c r="G39" s="598"/>
      <c r="H39" s="598"/>
      <c r="I39" s="598"/>
      <c r="J39" s="598"/>
      <c r="K39" s="598"/>
      <c r="L39" s="609"/>
      <c r="M39" s="611" t="s">
        <v>285</v>
      </c>
      <c r="N39" s="612"/>
      <c r="O39" s="612"/>
      <c r="P39" s="657">
        <v>0.8</v>
      </c>
      <c r="Q39" s="658"/>
      <c r="R39" s="396">
        <f t="shared" ref="R39:R40" si="0">P39-D39</f>
        <v>0.28000000000000003</v>
      </c>
      <c r="S39" s="598"/>
      <c r="T39" s="598"/>
      <c r="U39" s="598"/>
      <c r="V39" s="598"/>
      <c r="W39" s="598"/>
      <c r="X39" s="598"/>
    </row>
    <row r="40" spans="1:24" ht="31.5" customHeight="1" x14ac:dyDescent="0.3">
      <c r="A40" s="611" t="s">
        <v>286</v>
      </c>
      <c r="B40" s="612"/>
      <c r="C40" s="612"/>
      <c r="D40" s="657">
        <v>0.42</v>
      </c>
      <c r="E40" s="658"/>
      <c r="F40" s="608"/>
      <c r="G40" s="598"/>
      <c r="H40" s="598"/>
      <c r="I40" s="598"/>
      <c r="J40" s="598"/>
      <c r="K40" s="598"/>
      <c r="L40" s="609"/>
      <c r="M40" s="611" t="s">
        <v>286</v>
      </c>
      <c r="N40" s="612"/>
      <c r="O40" s="612"/>
      <c r="P40" s="657">
        <v>0.8</v>
      </c>
      <c r="Q40" s="658"/>
      <c r="R40" s="396">
        <f t="shared" si="0"/>
        <v>0.38000000000000006</v>
      </c>
      <c r="S40" s="598"/>
      <c r="T40" s="598"/>
      <c r="U40" s="598"/>
      <c r="V40" s="598"/>
      <c r="W40" s="598"/>
      <c r="X40" s="598"/>
    </row>
    <row r="41" spans="1:24" ht="18.75" customHeight="1" x14ac:dyDescent="0.3">
      <c r="A41" s="611" t="s">
        <v>100</v>
      </c>
      <c r="B41" s="612"/>
      <c r="C41" s="612"/>
      <c r="D41" s="655">
        <v>4.17</v>
      </c>
      <c r="E41" s="656"/>
      <c r="F41" s="608"/>
      <c r="G41" s="598"/>
      <c r="H41" s="598"/>
      <c r="I41" s="598"/>
      <c r="J41" s="598"/>
      <c r="K41" s="598"/>
      <c r="L41" s="609"/>
      <c r="M41" s="611" t="s">
        <v>100</v>
      </c>
      <c r="N41" s="612"/>
      <c r="O41" s="612"/>
      <c r="P41" s="655">
        <v>3.2</v>
      </c>
      <c r="Q41" s="656"/>
      <c r="R41" s="398">
        <f>(P41-D41)/D41</f>
        <v>-0.23261390887290162</v>
      </c>
      <c r="S41" s="598"/>
      <c r="T41" s="598"/>
      <c r="U41" s="598"/>
      <c r="V41" s="598"/>
      <c r="W41" s="598"/>
      <c r="X41" s="598"/>
    </row>
    <row r="42" spans="1:24" ht="19.5" customHeight="1" thickBot="1" x14ac:dyDescent="0.35">
      <c r="A42" s="617" t="s">
        <v>99</v>
      </c>
      <c r="B42" s="618"/>
      <c r="C42" s="618"/>
      <c r="D42" s="653">
        <v>65625</v>
      </c>
      <c r="E42" s="654"/>
      <c r="F42" s="608"/>
      <c r="G42" s="598"/>
      <c r="H42" s="598"/>
      <c r="I42" s="598"/>
      <c r="J42" s="598"/>
      <c r="K42" s="598"/>
      <c r="L42" s="609"/>
      <c r="M42" s="617" t="s">
        <v>99</v>
      </c>
      <c r="N42" s="618"/>
      <c r="O42" s="618"/>
      <c r="P42" s="653">
        <v>76807</v>
      </c>
      <c r="Q42" s="654"/>
      <c r="R42" s="399">
        <f>(P42-D42)/D42</f>
        <v>0.17039238095238096</v>
      </c>
      <c r="S42" s="598"/>
      <c r="T42" s="598"/>
      <c r="U42" s="598"/>
      <c r="V42" s="598"/>
      <c r="W42" s="598"/>
      <c r="X42" s="598"/>
    </row>
    <row r="43" spans="1:24" x14ac:dyDescent="0.25">
      <c r="A43" s="598"/>
      <c r="B43" s="598"/>
      <c r="C43" s="598"/>
      <c r="D43" s="598"/>
      <c r="E43" s="598"/>
      <c r="F43" s="598"/>
      <c r="G43" s="598"/>
      <c r="H43" s="598"/>
      <c r="I43" s="598"/>
      <c r="J43" s="598"/>
      <c r="K43" s="598"/>
      <c r="L43" s="598"/>
      <c r="M43" s="598"/>
      <c r="N43" s="598"/>
      <c r="O43" s="598"/>
      <c r="P43" s="598"/>
      <c r="Q43" s="598"/>
      <c r="R43" s="384"/>
      <c r="S43" s="598"/>
      <c r="T43" s="598"/>
      <c r="U43" s="598"/>
      <c r="V43" s="598"/>
      <c r="W43" s="598"/>
      <c r="X43" s="598"/>
    </row>
    <row r="44" spans="1:24" x14ac:dyDescent="0.25">
      <c r="A44" s="598"/>
      <c r="B44" s="598"/>
      <c r="C44" s="598"/>
      <c r="D44" s="598"/>
      <c r="E44" s="598"/>
      <c r="F44" s="598"/>
      <c r="G44" s="598"/>
      <c r="H44" s="598"/>
      <c r="I44" s="598"/>
      <c r="J44" s="598"/>
      <c r="K44" s="598"/>
      <c r="L44" s="598"/>
      <c r="M44" s="598"/>
      <c r="N44" s="598"/>
      <c r="O44" s="598"/>
      <c r="P44" s="598"/>
      <c r="Q44" s="598"/>
      <c r="R44" s="384"/>
      <c r="S44" s="598"/>
      <c r="T44" s="598"/>
      <c r="U44" s="598"/>
      <c r="V44" s="598"/>
      <c r="W44" s="598"/>
      <c r="X44" s="598"/>
    </row>
    <row r="45" spans="1:24" x14ac:dyDescent="0.25">
      <c r="A45" s="598"/>
      <c r="B45" s="598"/>
      <c r="C45" s="598"/>
      <c r="D45" s="598"/>
      <c r="E45" s="598"/>
      <c r="F45" s="598"/>
      <c r="G45" s="598"/>
      <c r="H45" s="598"/>
      <c r="I45" s="598"/>
      <c r="J45" s="598"/>
      <c r="K45" s="598"/>
      <c r="L45" s="598"/>
      <c r="M45" s="598"/>
      <c r="N45" s="598"/>
      <c r="O45" s="598"/>
      <c r="P45" s="598"/>
      <c r="Q45" s="598"/>
      <c r="R45" s="384"/>
      <c r="S45" s="598"/>
      <c r="T45" s="598"/>
      <c r="U45" s="598"/>
      <c r="V45" s="598"/>
      <c r="W45" s="598"/>
      <c r="X45" s="598"/>
    </row>
  </sheetData>
  <mergeCells count="95">
    <mergeCell ref="A1:R1"/>
    <mergeCell ref="S1:X8"/>
    <mergeCell ref="A2:E2"/>
    <mergeCell ref="F2:L8"/>
    <mergeCell ref="M2:Q2"/>
    <mergeCell ref="A3:E3"/>
    <mergeCell ref="M3:Q3"/>
    <mergeCell ref="B4:D4"/>
    <mergeCell ref="E4:E7"/>
    <mergeCell ref="N4:P4"/>
    <mergeCell ref="Q4:Q7"/>
    <mergeCell ref="B5:D5"/>
    <mergeCell ref="N5:P5"/>
    <mergeCell ref="B6:D6"/>
    <mergeCell ref="N6:P6"/>
    <mergeCell ref="B7:D7"/>
    <mergeCell ref="N7:P7"/>
    <mergeCell ref="A8:E8"/>
    <mergeCell ref="M8:Q8"/>
    <mergeCell ref="A9:E9"/>
    <mergeCell ref="F9:F33"/>
    <mergeCell ref="G9:K33"/>
    <mergeCell ref="L9:L33"/>
    <mergeCell ref="M9:Q9"/>
    <mergeCell ref="A13:E13"/>
    <mergeCell ref="M13:Q13"/>
    <mergeCell ref="B14:D14"/>
    <mergeCell ref="B17:D17"/>
    <mergeCell ref="N17:P17"/>
    <mergeCell ref="M18:Q18"/>
    <mergeCell ref="A19:E19"/>
    <mergeCell ref="M19:Q19"/>
    <mergeCell ref="S9:W33"/>
    <mergeCell ref="X9:X33"/>
    <mergeCell ref="B10:D10"/>
    <mergeCell ref="E10:E11"/>
    <mergeCell ref="N10:P10"/>
    <mergeCell ref="Q10:Q11"/>
    <mergeCell ref="B11:D11"/>
    <mergeCell ref="N11:P11"/>
    <mergeCell ref="A12:E12"/>
    <mergeCell ref="M12:Q12"/>
    <mergeCell ref="N14:P14"/>
    <mergeCell ref="B15:D15"/>
    <mergeCell ref="N15:P15"/>
    <mergeCell ref="B16:D16"/>
    <mergeCell ref="N16:P16"/>
    <mergeCell ref="A18:E18"/>
    <mergeCell ref="B20:D20"/>
    <mergeCell ref="E20:E21"/>
    <mergeCell ref="N20:P20"/>
    <mergeCell ref="Q20:Q21"/>
    <mergeCell ref="B21:D21"/>
    <mergeCell ref="N21:P21"/>
    <mergeCell ref="A22:E22"/>
    <mergeCell ref="M22:Q22"/>
    <mergeCell ref="A23:E23"/>
    <mergeCell ref="M23:Q23"/>
    <mergeCell ref="A28:E28"/>
    <mergeCell ref="M28:Q28"/>
    <mergeCell ref="A29:E29"/>
    <mergeCell ref="M29:Q29"/>
    <mergeCell ref="C30:E30"/>
    <mergeCell ref="O30:Q30"/>
    <mergeCell ref="A31:E31"/>
    <mergeCell ref="M31:Q31"/>
    <mergeCell ref="S34:X45"/>
    <mergeCell ref="A37:E37"/>
    <mergeCell ref="M37:Q37"/>
    <mergeCell ref="A38:C38"/>
    <mergeCell ref="D38:E38"/>
    <mergeCell ref="D41:E41"/>
    <mergeCell ref="M41:O41"/>
    <mergeCell ref="P41:Q41"/>
    <mergeCell ref="A42:C42"/>
    <mergeCell ref="D42:E42"/>
    <mergeCell ref="M42:O42"/>
    <mergeCell ref="P42:Q42"/>
    <mergeCell ref="A43:Q45"/>
    <mergeCell ref="A32:E32"/>
    <mergeCell ref="M32:Q32"/>
    <mergeCell ref="C33:E36"/>
    <mergeCell ref="O33:Q36"/>
    <mergeCell ref="F34:L42"/>
    <mergeCell ref="M38:O38"/>
    <mergeCell ref="P38:Q38"/>
    <mergeCell ref="A39:C39"/>
    <mergeCell ref="D39:E39"/>
    <mergeCell ref="M39:O39"/>
    <mergeCell ref="P39:Q39"/>
    <mergeCell ref="A40:C40"/>
    <mergeCell ref="D40:E40"/>
    <mergeCell ref="M40:O40"/>
    <mergeCell ref="P40:Q40"/>
    <mergeCell ref="A41:C4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15</vt:i4>
      </vt:variant>
    </vt:vector>
  </HeadingPairs>
  <TitlesOfParts>
    <vt:vector size="26" baseType="lpstr">
      <vt:lpstr>Title</vt:lpstr>
      <vt:lpstr>Instructions &amp; Definitions</vt:lpstr>
      <vt:lpstr>VACCINATION CALCULATOR</vt:lpstr>
      <vt:lpstr>VACCINATION COSTS</vt:lpstr>
      <vt:lpstr>Calculations</vt:lpstr>
      <vt:lpstr>Scenario 1 Confinement</vt:lpstr>
      <vt:lpstr>Scenario 2 Vax Procurement</vt:lpstr>
      <vt:lpstr>Scenario 3a Vax Strategy</vt:lpstr>
      <vt:lpstr>Scenario 3b Vax Strategy</vt:lpstr>
      <vt:lpstr>Scenario 5 Strategy Effectivene</vt:lpstr>
      <vt:lpstr>Scenario 8 Capacity</vt:lpstr>
      <vt:lpstr>CP_Procured</vt:lpstr>
      <vt:lpstr>CVR_Procured</vt:lpstr>
      <vt:lpstr>DD_Procured</vt:lpstr>
      <vt:lpstr>ORV_Procured</vt:lpstr>
      <vt:lpstr>Pop_all</vt:lpstr>
      <vt:lpstr>Pop_C</vt:lpstr>
      <vt:lpstr>Pop_NC</vt:lpstr>
      <vt:lpstr>Pop_SC</vt:lpstr>
      <vt:lpstr>Vax_C</vt:lpstr>
      <vt:lpstr>Vax_CP</vt:lpstr>
      <vt:lpstr>Vax_CVR</vt:lpstr>
      <vt:lpstr>Vax_DD</vt:lpstr>
      <vt:lpstr>Vax_NC</vt:lpstr>
      <vt:lpstr>Vax_ORV</vt:lpstr>
      <vt:lpstr>Vax_SC</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 User</dc:creator>
  <cp:lastModifiedBy>kcudding</cp:lastModifiedBy>
  <dcterms:created xsi:type="dcterms:W3CDTF">2016-04-01T16:45:27Z</dcterms:created>
  <dcterms:modified xsi:type="dcterms:W3CDTF">2022-06-11T18:50:57Z</dcterms:modified>
</cp:coreProperties>
</file>