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yamasan/Downloads/TMCIT-3rd-Report/powerfactor/data/"/>
    </mc:Choice>
  </mc:AlternateContent>
  <xr:revisionPtr revIDLastSave="0" documentId="13_ncr:1_{1EEBC655-DB95-1D4F-9A7B-AAB3D8FB26BD}" xr6:coauthVersionLast="47" xr6:coauthVersionMax="47" xr10:uidLastSave="{00000000-0000-0000-0000-000000000000}"/>
  <bookViews>
    <workbookView xWindow="1220" yWindow="5220" windowWidth="28500" windowHeight="13400" activeTab="1" xr2:uid="{8DF64DBD-C10C-E242-9CB8-F05A34D65685}"/>
  </bookViews>
  <sheets>
    <sheet name="RL負荷" sheetId="1" r:id="rId1"/>
    <sheet name="RC負荷" sheetId="2" r:id="rId2"/>
    <sheet name="低力率" sheetId="3" r:id="rId3"/>
    <sheet name="器具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17" i="2" s="1"/>
  <c r="N16" i="2"/>
  <c r="N15" i="2"/>
  <c r="N14" i="2"/>
  <c r="N13" i="2"/>
  <c r="R13" i="2" s="1"/>
  <c r="N8" i="2"/>
  <c r="N7" i="2"/>
  <c r="R7" i="2" s="1"/>
  <c r="N6" i="2"/>
  <c r="N5" i="2"/>
  <c r="N4" i="2"/>
  <c r="F26" i="2"/>
  <c r="F25" i="2"/>
  <c r="F24" i="2"/>
  <c r="F23" i="2"/>
  <c r="F22" i="2"/>
  <c r="F17" i="2"/>
  <c r="J17" i="2" s="1"/>
  <c r="F16" i="2"/>
  <c r="F15" i="2"/>
  <c r="F14" i="2"/>
  <c r="J14" i="2" s="1"/>
  <c r="F13" i="2"/>
  <c r="F8" i="2"/>
  <c r="F7" i="2"/>
  <c r="F6" i="2"/>
  <c r="J6" i="2" s="1"/>
  <c r="F5" i="2"/>
  <c r="J5" i="2" s="1"/>
  <c r="F4" i="2"/>
  <c r="J4" i="2" s="1"/>
  <c r="K17" i="1"/>
  <c r="K16" i="1"/>
  <c r="K15" i="1"/>
  <c r="K14" i="1"/>
  <c r="K13" i="1"/>
  <c r="K8" i="1"/>
  <c r="K7" i="1"/>
  <c r="O7" i="1" s="1"/>
  <c r="K6" i="1"/>
  <c r="K5" i="1"/>
  <c r="K4" i="1"/>
  <c r="C26" i="1"/>
  <c r="C25" i="1"/>
  <c r="C24" i="1"/>
  <c r="C23" i="1"/>
  <c r="G23" i="1" s="1"/>
  <c r="C22" i="1"/>
  <c r="C17" i="1"/>
  <c r="C16" i="1"/>
  <c r="C15" i="1"/>
  <c r="G15" i="1" s="1"/>
  <c r="C14" i="1"/>
  <c r="C13" i="1"/>
  <c r="C8" i="1"/>
  <c r="C7" i="1"/>
  <c r="C6" i="1"/>
  <c r="C5" i="1"/>
  <c r="C4" i="1"/>
  <c r="Q8" i="3"/>
  <c r="P8" i="3"/>
  <c r="Q7" i="3"/>
  <c r="P7" i="3"/>
  <c r="Q6" i="3"/>
  <c r="P6" i="3"/>
  <c r="Q5" i="3"/>
  <c r="P5" i="3"/>
  <c r="H8" i="3"/>
  <c r="G8" i="3"/>
  <c r="H7" i="3"/>
  <c r="G7" i="3"/>
  <c r="H6" i="3"/>
  <c r="G6" i="3"/>
  <c r="H5" i="3"/>
  <c r="G5" i="3"/>
  <c r="K26" i="2"/>
  <c r="J26" i="2"/>
  <c r="K25" i="2"/>
  <c r="J25" i="2"/>
  <c r="K24" i="2"/>
  <c r="J24" i="2"/>
  <c r="K23" i="2"/>
  <c r="J23" i="2"/>
  <c r="K22" i="2"/>
  <c r="J22" i="2"/>
  <c r="S17" i="2"/>
  <c r="K17" i="2"/>
  <c r="S16" i="2"/>
  <c r="R16" i="2"/>
  <c r="K16" i="2"/>
  <c r="J16" i="2"/>
  <c r="S15" i="2"/>
  <c r="R15" i="2"/>
  <c r="K15" i="2"/>
  <c r="J15" i="2"/>
  <c r="S14" i="2"/>
  <c r="R14" i="2"/>
  <c r="K14" i="2"/>
  <c r="S13" i="2"/>
  <c r="K13" i="2"/>
  <c r="J13" i="2"/>
  <c r="S8" i="2"/>
  <c r="R8" i="2"/>
  <c r="K8" i="2"/>
  <c r="J8" i="2"/>
  <c r="S7" i="2"/>
  <c r="K7" i="2"/>
  <c r="J7" i="2"/>
  <c r="S6" i="2"/>
  <c r="R6" i="2"/>
  <c r="K6" i="2"/>
  <c r="S5" i="2"/>
  <c r="R5" i="2"/>
  <c r="K5" i="2"/>
  <c r="S4" i="2"/>
  <c r="R4" i="2"/>
  <c r="K4" i="2"/>
  <c r="P14" i="1"/>
  <c r="P15" i="1"/>
  <c r="P16" i="1"/>
  <c r="P17" i="1"/>
  <c r="P13" i="1"/>
  <c r="P5" i="1"/>
  <c r="P6" i="1"/>
  <c r="P7" i="1"/>
  <c r="P8" i="1"/>
  <c r="P4" i="1"/>
  <c r="H23" i="1"/>
  <c r="H24" i="1"/>
  <c r="H25" i="1"/>
  <c r="H26" i="1"/>
  <c r="H22" i="1"/>
  <c r="H14" i="1"/>
  <c r="H15" i="1"/>
  <c r="H16" i="1"/>
  <c r="H17" i="1"/>
  <c r="H13" i="1"/>
  <c r="H5" i="1"/>
  <c r="H6" i="1"/>
  <c r="H7" i="1"/>
  <c r="H8" i="1"/>
  <c r="H4" i="1"/>
  <c r="O14" i="1"/>
  <c r="O15" i="1"/>
  <c r="O16" i="1"/>
  <c r="O17" i="1"/>
  <c r="O13" i="1"/>
  <c r="O5" i="1"/>
  <c r="O6" i="1"/>
  <c r="O8" i="1"/>
  <c r="O4" i="1"/>
  <c r="G24" i="1"/>
  <c r="G25" i="1"/>
  <c r="G26" i="1"/>
  <c r="G22" i="1"/>
  <c r="G14" i="1"/>
  <c r="G16" i="1"/>
  <c r="G17" i="1"/>
  <c r="G13" i="1"/>
  <c r="G6" i="1"/>
  <c r="G7" i="1"/>
  <c r="G8" i="1"/>
  <c r="G4" i="1"/>
  <c r="G5" i="1"/>
</calcChain>
</file>

<file path=xl/sharedStrings.xml><?xml version="1.0" encoding="utf-8"?>
<sst xmlns="http://schemas.openxmlformats.org/spreadsheetml/2006/main" count="164" uniqueCount="61">
  <si>
    <t>電流[A]</t>
    <rPh sb="0" eb="2">
      <t xml:space="preserve">デンリュウ </t>
    </rPh>
    <phoneticPr fontId="1"/>
  </si>
  <si>
    <t>電力Pa[W]</t>
    <rPh sb="0" eb="2">
      <t xml:space="preserve">デンリョク </t>
    </rPh>
    <phoneticPr fontId="1"/>
  </si>
  <si>
    <t>電圧V[V]</t>
    <rPh sb="0" eb="2">
      <t xml:space="preserve">デンアツ </t>
    </rPh>
    <phoneticPr fontId="1"/>
  </si>
  <si>
    <t>電流I[A]</t>
    <rPh sb="0" eb="2">
      <t xml:space="preserve">デンリュウ </t>
    </rPh>
    <phoneticPr fontId="1"/>
  </si>
  <si>
    <t>計測力率</t>
    <rPh sb="0" eb="2">
      <t xml:space="preserve">ケイソク </t>
    </rPh>
    <rPh sb="2" eb="4">
      <t xml:space="preserve">リキリツ </t>
    </rPh>
    <phoneticPr fontId="1"/>
  </si>
  <si>
    <t>計算力率</t>
    <rPh sb="0" eb="2">
      <t xml:space="preserve">ケイサン </t>
    </rPh>
    <rPh sb="2" eb="4">
      <t xml:space="preserve">リキリツ </t>
    </rPh>
    <phoneticPr fontId="1"/>
  </si>
  <si>
    <t>力率1(R=1,X=1)</t>
    <rPh sb="0" eb="2">
      <t xml:space="preserve">リキリツ </t>
    </rPh>
    <phoneticPr fontId="1"/>
  </si>
  <si>
    <t>力率0.8(R=0.8,X=0.8)</t>
    <rPh sb="0" eb="2">
      <t xml:space="preserve">リキリツ </t>
    </rPh>
    <phoneticPr fontId="1"/>
  </si>
  <si>
    <t>力率0.6(R=0.6,X=0.6)</t>
    <rPh sb="0" eb="2">
      <t xml:space="preserve">リキリツ </t>
    </rPh>
    <phoneticPr fontId="1"/>
  </si>
  <si>
    <t>力率0.4(R=0.4,X=0.4)</t>
    <rPh sb="0" eb="2">
      <t xml:space="preserve">リキリツ </t>
    </rPh>
    <phoneticPr fontId="1"/>
  </si>
  <si>
    <t>力率0.2(R=0.2,X=0.2)</t>
    <rPh sb="0" eb="2">
      <t xml:space="preserve">リキリツ </t>
    </rPh>
    <phoneticPr fontId="1"/>
  </si>
  <si>
    <t>皮相電力</t>
    <rPh sb="0" eb="4">
      <t xml:space="preserve">ヒソウデンリョク </t>
    </rPh>
    <phoneticPr fontId="1"/>
  </si>
  <si>
    <t>皮相電力はVIで計算した</t>
    <rPh sb="0" eb="2">
      <t xml:space="preserve">ヒソウ </t>
    </rPh>
    <rPh sb="2" eb="4">
      <t xml:space="preserve">デンリョク </t>
    </rPh>
    <rPh sb="8" eb="10">
      <t xml:space="preserve">ケイサン </t>
    </rPh>
    <phoneticPr fontId="1"/>
  </si>
  <si>
    <t>RL</t>
    <phoneticPr fontId="1"/>
  </si>
  <si>
    <t>RC</t>
    <phoneticPr fontId="1"/>
  </si>
  <si>
    <t>力率は遅れ位相だった</t>
    <rPh sb="0" eb="2">
      <t xml:space="preserve">リキリツ </t>
    </rPh>
    <rPh sb="3" eb="4">
      <t xml:space="preserve">オクレ </t>
    </rPh>
    <rPh sb="5" eb="7">
      <t xml:space="preserve">イソウ </t>
    </rPh>
    <phoneticPr fontId="1"/>
  </si>
  <si>
    <t>力率が-のは進み位相</t>
    <rPh sb="0" eb="2">
      <t xml:space="preserve">リキリツ </t>
    </rPh>
    <rPh sb="6" eb="7">
      <t xml:space="preserve">ススミ </t>
    </rPh>
    <rPh sb="8" eb="10">
      <t xml:space="preserve">イソウ </t>
    </rPh>
    <phoneticPr fontId="1"/>
  </si>
  <si>
    <t>電流</t>
    <rPh sb="0" eb="2">
      <t xml:space="preserve">デンリュウ </t>
    </rPh>
    <phoneticPr fontId="1"/>
  </si>
  <si>
    <t>電力</t>
    <rPh sb="0" eb="2">
      <t xml:space="preserve">デンリョク </t>
    </rPh>
    <phoneticPr fontId="1"/>
  </si>
  <si>
    <t>電圧</t>
    <rPh sb="0" eb="2">
      <t xml:space="preserve">デンアツ </t>
    </rPh>
    <phoneticPr fontId="1"/>
  </si>
  <si>
    <t>装置名</t>
    <rPh sb="0" eb="2">
      <t xml:space="preserve">ソウチ </t>
    </rPh>
    <rPh sb="2" eb="3">
      <t xml:space="preserve">メイ </t>
    </rPh>
    <phoneticPr fontId="1"/>
  </si>
  <si>
    <t>製造会社</t>
    <rPh sb="0" eb="4">
      <t xml:space="preserve">セイゾウガイシャ </t>
    </rPh>
    <phoneticPr fontId="1"/>
  </si>
  <si>
    <t>型番</t>
    <rPh sb="0" eb="2">
      <t xml:space="preserve">カタバン </t>
    </rPh>
    <phoneticPr fontId="1"/>
  </si>
  <si>
    <t>定格</t>
    <rPh sb="0" eb="2">
      <t xml:space="preserve">テイカク </t>
    </rPh>
    <phoneticPr fontId="1"/>
  </si>
  <si>
    <t>製造番号</t>
    <rPh sb="2" eb="4">
      <t xml:space="preserve">バンゴウ </t>
    </rPh>
    <phoneticPr fontId="1"/>
  </si>
  <si>
    <t>電力計</t>
    <rPh sb="0" eb="3">
      <t xml:space="preserve">デンリョクケイ </t>
    </rPh>
    <phoneticPr fontId="1"/>
  </si>
  <si>
    <t>低力率用電力計</t>
    <rPh sb="0" eb="3">
      <t xml:space="preserve">テイリキリツ </t>
    </rPh>
    <rPh sb="3" eb="4">
      <t xml:space="preserve">ヨウ </t>
    </rPh>
    <rPh sb="4" eb="7">
      <t xml:space="preserve">デンリョクケイ </t>
    </rPh>
    <phoneticPr fontId="1"/>
  </si>
  <si>
    <t>交流用電圧計</t>
    <rPh sb="0" eb="3">
      <t xml:space="preserve">コウリュウヨウ </t>
    </rPh>
    <rPh sb="3" eb="5">
      <t xml:space="preserve">デンアツ </t>
    </rPh>
    <rPh sb="5" eb="6">
      <t xml:space="preserve">ケイ </t>
    </rPh>
    <phoneticPr fontId="1"/>
  </si>
  <si>
    <t>交流用電流計</t>
    <rPh sb="0" eb="1">
      <t xml:space="preserve">コウリュウヨウ </t>
    </rPh>
    <rPh sb="3" eb="4">
      <t xml:space="preserve">デンリュウケイ </t>
    </rPh>
    <phoneticPr fontId="1"/>
  </si>
  <si>
    <t>力率計</t>
    <rPh sb="0" eb="2">
      <t xml:space="preserve">リキリツケイ </t>
    </rPh>
    <rPh sb="2" eb="3">
      <t xml:space="preserve">ケイ </t>
    </rPh>
    <phoneticPr fontId="1"/>
  </si>
  <si>
    <t>YOKOGAWA</t>
    <phoneticPr fontId="1"/>
  </si>
  <si>
    <t>B-5038.H1.2/2</t>
    <phoneticPr fontId="1"/>
  </si>
  <si>
    <t>総合負荷装置</t>
    <rPh sb="0" eb="4">
      <t xml:space="preserve">ソウゴウフカ </t>
    </rPh>
    <rPh sb="4" eb="6">
      <t xml:space="preserve">ソウチ </t>
    </rPh>
    <phoneticPr fontId="1"/>
  </si>
  <si>
    <t>山菱電機株式会社</t>
    <rPh sb="0" eb="2">
      <t xml:space="preserve">ヤマビシ </t>
    </rPh>
    <rPh sb="2" eb="4">
      <t xml:space="preserve">デンキ </t>
    </rPh>
    <rPh sb="4" eb="6">
      <t xml:space="preserve">カブシキ </t>
    </rPh>
    <rPh sb="6" eb="8">
      <t xml:space="preserve">ガイシャ </t>
    </rPh>
    <phoneticPr fontId="1"/>
  </si>
  <si>
    <t>UL-100-30</t>
    <phoneticPr fontId="1"/>
  </si>
  <si>
    <t>レンジ：120-240V, 5-25A</t>
    <phoneticPr fontId="1"/>
  </si>
  <si>
    <t>レンジ：120-240V, 1-5A</t>
    <phoneticPr fontId="1"/>
  </si>
  <si>
    <t>B-3039.44.9/10</t>
    <phoneticPr fontId="1"/>
  </si>
  <si>
    <t>スライダック</t>
    <phoneticPr fontId="1"/>
  </si>
  <si>
    <t>東芝</t>
    <rPh sb="0" eb="2">
      <t xml:space="preserve">トウシバ </t>
    </rPh>
    <phoneticPr fontId="1"/>
  </si>
  <si>
    <t>B-5091.H1.2/3</t>
    <phoneticPr fontId="1"/>
  </si>
  <si>
    <t>0-130V</t>
    <phoneticPr fontId="1"/>
  </si>
  <si>
    <t>100V, 30A</t>
    <phoneticPr fontId="1"/>
  </si>
  <si>
    <t>L94-004164</t>
    <phoneticPr fontId="1"/>
  </si>
  <si>
    <t>レンジ：1-5A</t>
    <phoneticPr fontId="1"/>
  </si>
  <si>
    <t>B-2044.45.1/7</t>
    <phoneticPr fontId="1"/>
  </si>
  <si>
    <t>120V</t>
    <phoneticPr fontId="1"/>
  </si>
  <si>
    <t>B-2054.49.1/1</t>
    <phoneticPr fontId="1"/>
  </si>
  <si>
    <t>L94-004318</t>
    <phoneticPr fontId="1"/>
  </si>
  <si>
    <t>04823M</t>
    <phoneticPr fontId="1"/>
  </si>
  <si>
    <t>OG 0575</t>
    <phoneticPr fontId="1"/>
  </si>
  <si>
    <t>70-1</t>
    <phoneticPr fontId="1"/>
  </si>
  <si>
    <t>B-3041</t>
  </si>
  <si>
    <t>レンジ：0.1-300V</t>
    <phoneticPr fontId="1"/>
  </si>
  <si>
    <t>電流[$\rm{A}$]</t>
    <rPh sb="0" eb="2">
      <t xml:space="preserve">デンリュウ </t>
    </rPh>
    <phoneticPr fontId="1"/>
  </si>
  <si>
    <t>電力$P_a[\rm{W}]$</t>
    <rPh sb="0" eb="2">
      <t xml:space="preserve">デンリョク </t>
    </rPh>
    <phoneticPr fontId="1"/>
  </si>
  <si>
    <t>電圧$V[\rm{V}]$</t>
    <rPh sb="0" eb="2">
      <t xml:space="preserve">デンアツ </t>
    </rPh>
    <phoneticPr fontId="1"/>
  </si>
  <si>
    <t>電流$I[\rm{A}]$</t>
    <rPh sb="0" eb="2">
      <t xml:space="preserve">デンリュウ </t>
    </rPh>
    <phoneticPr fontId="1"/>
  </si>
  <si>
    <t>皮相電力$P_a[\rm{VA}]$</t>
    <rPh sb="0" eb="4">
      <t xml:space="preserve">ヒソウデンリョク </t>
    </rPh>
    <phoneticPr fontId="1"/>
  </si>
  <si>
    <t>計測力率[-]</t>
    <rPh sb="0" eb="2">
      <t xml:space="preserve">ケイソク </t>
    </rPh>
    <rPh sb="2" eb="4">
      <t xml:space="preserve">リキリツ </t>
    </rPh>
    <phoneticPr fontId="1"/>
  </si>
  <si>
    <t>計算力率[-]</t>
    <rPh sb="0" eb="2">
      <t xml:space="preserve">ケイサン </t>
    </rPh>
    <rPh sb="2" eb="4">
      <t xml:space="preserve">リキリツ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</si>
</sst>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電流</a:t>
            </a:r>
            <a:r>
              <a:rPr lang="en-US" altLang="ja-JP"/>
              <a:t>-</a:t>
            </a:r>
            <a:r>
              <a:rPr lang="ja-JP" altLang="en-US"/>
              <a:t>電力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RL負荷!$E$4:$E$8</c:f>
              <c:numCache>
                <c:formatCode>0.00_ </c:formatCode>
                <c:ptCount val="5"/>
                <c:pt idx="0">
                  <c:v>1.01</c:v>
                </c:pt>
                <c:pt idx="1">
                  <c:v>2.0099999999999998</c:v>
                </c:pt>
                <c:pt idx="2">
                  <c:v>2.98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RL負荷!$C$4:$C$8</c:f>
              <c:numCache>
                <c:formatCode>0.0_ </c:formatCode>
                <c:ptCount val="5"/>
                <c:pt idx="0">
                  <c:v>102.5</c:v>
                </c:pt>
                <c:pt idx="1">
                  <c:v>205</c:v>
                </c:pt>
                <c:pt idx="2">
                  <c:v>301</c:v>
                </c:pt>
                <c:pt idx="3">
                  <c:v>407.5</c:v>
                </c:pt>
                <c:pt idx="4">
                  <c:v>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5-3E4A-A68A-4A446FFB178A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RL負荷!$E$13:$E$17</c:f>
              <c:numCache>
                <c:formatCode>0.00_ </c:formatCode>
                <c:ptCount val="5"/>
                <c:pt idx="0">
                  <c:v>1</c:v>
                </c:pt>
                <c:pt idx="1">
                  <c:v>1.95</c:v>
                </c:pt>
                <c:pt idx="2">
                  <c:v>3.01</c:v>
                </c:pt>
                <c:pt idx="3">
                  <c:v>4.04</c:v>
                </c:pt>
                <c:pt idx="4">
                  <c:v>5.01</c:v>
                </c:pt>
              </c:numCache>
            </c:numRef>
          </c:xVal>
          <c:yVal>
            <c:numRef>
              <c:f>RL負荷!$C$13:$C$17</c:f>
              <c:numCache>
                <c:formatCode>0.0_ </c:formatCode>
                <c:ptCount val="5"/>
                <c:pt idx="0">
                  <c:v>59</c:v>
                </c:pt>
                <c:pt idx="1">
                  <c:v>160</c:v>
                </c:pt>
                <c:pt idx="2">
                  <c:v>242.5</c:v>
                </c:pt>
                <c:pt idx="3">
                  <c:v>322.5</c:v>
                </c:pt>
                <c:pt idx="4">
                  <c:v>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5-3E4A-A68A-4A446FFB178A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RL負荷!$E$22:$E$26</c:f>
              <c:numCache>
                <c:formatCode>0.00_ </c:formatCode>
                <c:ptCount val="5"/>
                <c:pt idx="0">
                  <c:v>1.01</c:v>
                </c:pt>
                <c:pt idx="1">
                  <c:v>2.0299999999999998</c:v>
                </c:pt>
                <c:pt idx="2">
                  <c:v>2.99</c:v>
                </c:pt>
                <c:pt idx="3">
                  <c:v>3.99</c:v>
                </c:pt>
                <c:pt idx="4">
                  <c:v>4.9800000000000004</c:v>
                </c:pt>
              </c:numCache>
            </c:numRef>
          </c:xVal>
          <c:yVal>
            <c:numRef>
              <c:f>RL負荷!$C$22:$C$26</c:f>
              <c:numCache>
                <c:formatCode>0.0_ </c:formatCode>
                <c:ptCount val="5"/>
                <c:pt idx="0">
                  <c:v>69</c:v>
                </c:pt>
                <c:pt idx="1">
                  <c:v>131</c:v>
                </c:pt>
                <c:pt idx="2">
                  <c:v>154</c:v>
                </c:pt>
                <c:pt idx="3">
                  <c:v>252.5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5-3E4A-A68A-4A446FFB178A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RL負荷!$M$4:$M$8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3</c:v>
                </c:pt>
                <c:pt idx="3">
                  <c:v>4.01</c:v>
                </c:pt>
                <c:pt idx="4">
                  <c:v>5.01</c:v>
                </c:pt>
              </c:numCache>
            </c:numRef>
          </c:xVal>
          <c:yVal>
            <c:numRef>
              <c:f>RL負荷!$K$4:$K$8</c:f>
              <c:numCache>
                <c:formatCode>0.0_ </c:formatCode>
                <c:ptCount val="5"/>
                <c:pt idx="0">
                  <c:v>55</c:v>
                </c:pt>
                <c:pt idx="1">
                  <c:v>97.5</c:v>
                </c:pt>
                <c:pt idx="2">
                  <c:v>136</c:v>
                </c:pt>
                <c:pt idx="3">
                  <c:v>179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5-3E4A-A68A-4A446FFB178A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RL負荷!$M$13:$M$17</c:f>
              <c:numCache>
                <c:formatCode>0.00_ </c:formatCode>
                <c:ptCount val="5"/>
                <c:pt idx="0">
                  <c:v>0.99</c:v>
                </c:pt>
                <c:pt idx="1">
                  <c:v>2.0299999999999998</c:v>
                </c:pt>
                <c:pt idx="2">
                  <c:v>2.99</c:v>
                </c:pt>
                <c:pt idx="3">
                  <c:v>4.0199999999999996</c:v>
                </c:pt>
                <c:pt idx="4">
                  <c:v>5.01</c:v>
                </c:pt>
              </c:numCache>
            </c:numRef>
          </c:xVal>
          <c:yVal>
            <c:numRef>
              <c:f>RL負荷!$K$13:$K$17</c:f>
              <c:numCache>
                <c:formatCode>0.0_ </c:formatCode>
                <c:ptCount val="5"/>
                <c:pt idx="0">
                  <c:v>37.5</c:v>
                </c:pt>
                <c:pt idx="1">
                  <c:v>62.5</c:v>
                </c:pt>
                <c:pt idx="2">
                  <c:v>82.5</c:v>
                </c:pt>
                <c:pt idx="3">
                  <c:v>106</c:v>
                </c:pt>
                <c:pt idx="4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5-3E4A-A68A-4A446FFB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48111"/>
        <c:axId val="1400431695"/>
      </c:scatterChart>
      <c:valAx>
        <c:axId val="14004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31695"/>
        <c:crosses val="autoZero"/>
        <c:crossBetween val="midCat"/>
      </c:valAx>
      <c:valAx>
        <c:axId val="140043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044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力率1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RC負荷!$H$4:$H$8</c:f>
              <c:numCache>
                <c:formatCode>0.00_ </c:formatCode>
                <c:ptCount val="5"/>
                <c:pt idx="0">
                  <c:v>1.02</c:v>
                </c:pt>
                <c:pt idx="1">
                  <c:v>2.0099999999999998</c:v>
                </c:pt>
                <c:pt idx="2">
                  <c:v>3.01</c:v>
                </c:pt>
                <c:pt idx="3">
                  <c:v>4.0199999999999996</c:v>
                </c:pt>
                <c:pt idx="4">
                  <c:v>5.0199999999999996</c:v>
                </c:pt>
              </c:numCache>
            </c:numRef>
          </c:xVal>
          <c:yVal>
            <c:numRef>
              <c:f>RC負荷!$F$4:$F$8</c:f>
              <c:numCache>
                <c:formatCode>0.0_ </c:formatCode>
                <c:ptCount val="5"/>
                <c:pt idx="0">
                  <c:v>112.5</c:v>
                </c:pt>
                <c:pt idx="1">
                  <c:v>214</c:v>
                </c:pt>
                <c:pt idx="2">
                  <c:v>319</c:v>
                </c:pt>
                <c:pt idx="3">
                  <c:v>427.5</c:v>
                </c:pt>
                <c:pt idx="4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2841-99D6-05A3911EB18C}"/>
            </c:ext>
          </c:extLst>
        </c:ser>
        <c:ser>
          <c:idx val="1"/>
          <c:order val="1"/>
          <c:tx>
            <c:v>力率0.8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RC負荷!$H$13:$H$17</c:f>
              <c:numCache>
                <c:formatCode>0.00_ </c:formatCode>
                <c:ptCount val="5"/>
                <c:pt idx="0">
                  <c:v>1</c:v>
                </c:pt>
                <c:pt idx="1">
                  <c:v>2.0299999999999998</c:v>
                </c:pt>
                <c:pt idx="2">
                  <c:v>2.97</c:v>
                </c:pt>
                <c:pt idx="3">
                  <c:v>3.95</c:v>
                </c:pt>
                <c:pt idx="4">
                  <c:v>0.49</c:v>
                </c:pt>
              </c:numCache>
            </c:numRef>
          </c:xVal>
          <c:yVal>
            <c:numRef>
              <c:f>RC負荷!$F$13:$F$17</c:f>
              <c:numCache>
                <c:formatCode>0.0_ </c:formatCode>
                <c:ptCount val="5"/>
                <c:pt idx="0">
                  <c:v>97.5</c:v>
                </c:pt>
                <c:pt idx="1">
                  <c:v>186</c:v>
                </c:pt>
                <c:pt idx="2">
                  <c:v>265</c:v>
                </c:pt>
                <c:pt idx="3">
                  <c:v>350</c:v>
                </c:pt>
                <c:pt idx="4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2-2841-99D6-05A3911EB18C}"/>
            </c:ext>
          </c:extLst>
        </c:ser>
        <c:ser>
          <c:idx val="2"/>
          <c:order val="2"/>
          <c:tx>
            <c:v>力率0.6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RC負荷!$H$22:$H$26</c:f>
              <c:numCache>
                <c:formatCode>0.00_ </c:formatCode>
                <c:ptCount val="5"/>
                <c:pt idx="0">
                  <c:v>1</c:v>
                </c:pt>
                <c:pt idx="1">
                  <c:v>2.04</c:v>
                </c:pt>
                <c:pt idx="2">
                  <c:v>2.98</c:v>
                </c:pt>
                <c:pt idx="3">
                  <c:v>3.99</c:v>
                </c:pt>
                <c:pt idx="4">
                  <c:v>5.0199999999999996</c:v>
                </c:pt>
              </c:numCache>
            </c:numRef>
          </c:xVal>
          <c:yVal>
            <c:numRef>
              <c:f>RC負荷!$F$22:$F$26</c:f>
              <c:numCache>
                <c:formatCode>0.0_ </c:formatCode>
                <c:ptCount val="5"/>
                <c:pt idx="0">
                  <c:v>84.5</c:v>
                </c:pt>
                <c:pt idx="1">
                  <c:v>157.5</c:v>
                </c:pt>
                <c:pt idx="2">
                  <c:v>221</c:v>
                </c:pt>
                <c:pt idx="3">
                  <c:v>290</c:v>
                </c:pt>
                <c:pt idx="4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2-2841-99D6-05A3911EB18C}"/>
            </c:ext>
          </c:extLst>
        </c:ser>
        <c:ser>
          <c:idx val="3"/>
          <c:order val="3"/>
          <c:tx>
            <c:v>力率0.4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RC負荷!$P$4:$P$8</c:f>
              <c:numCache>
                <c:formatCode>0.00_ </c:formatCode>
                <c:ptCount val="5"/>
                <c:pt idx="0">
                  <c:v>1.01</c:v>
                </c:pt>
                <c:pt idx="1">
                  <c:v>2.02</c:v>
                </c:pt>
                <c:pt idx="2">
                  <c:v>2.99</c:v>
                </c:pt>
                <c:pt idx="3">
                  <c:v>3.98</c:v>
                </c:pt>
                <c:pt idx="4">
                  <c:v>5.03</c:v>
                </c:pt>
              </c:numCache>
            </c:numRef>
          </c:xVal>
          <c:yVal>
            <c:numRef>
              <c:f>RC負荷!$N$4:$N$8</c:f>
              <c:numCache>
                <c:formatCode>0.0_ </c:formatCode>
                <c:ptCount val="5"/>
                <c:pt idx="0">
                  <c:v>69</c:v>
                </c:pt>
                <c:pt idx="1">
                  <c:v>116</c:v>
                </c:pt>
                <c:pt idx="2">
                  <c:v>161</c:v>
                </c:pt>
                <c:pt idx="3">
                  <c:v>211</c:v>
                </c:pt>
                <c:pt idx="4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2-2841-99D6-05A3911EB18C}"/>
            </c:ext>
          </c:extLst>
        </c:ser>
        <c:ser>
          <c:idx val="4"/>
          <c:order val="4"/>
          <c:tx>
            <c:v>力率0.2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RC負荷!$P$13:$P$17</c:f>
              <c:numCache>
                <c:formatCode>0.00_ </c:formatCode>
                <c:ptCount val="5"/>
                <c:pt idx="0">
                  <c:v>0.99</c:v>
                </c:pt>
                <c:pt idx="1">
                  <c:v>2.0099999999999998</c:v>
                </c:pt>
                <c:pt idx="2">
                  <c:v>3</c:v>
                </c:pt>
                <c:pt idx="3">
                  <c:v>4.08</c:v>
                </c:pt>
                <c:pt idx="4">
                  <c:v>5</c:v>
                </c:pt>
              </c:numCache>
            </c:numRef>
          </c:xVal>
          <c:yVal>
            <c:numRef>
              <c:f>RC負荷!$N$13:$N$17</c:f>
              <c:numCache>
                <c:formatCode>0.0_ 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94</c:v>
                </c:pt>
                <c:pt idx="3">
                  <c:v>120</c:v>
                </c:pt>
                <c:pt idx="4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12-2841-99D6-05A3911E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68879"/>
        <c:axId val="1410170527"/>
      </c:scatterChart>
      <c:valAx>
        <c:axId val="1410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70527"/>
        <c:crosses val="autoZero"/>
        <c:crossBetween val="midCat"/>
      </c:valAx>
      <c:valAx>
        <c:axId val="14101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16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25104</xdr:colOff>
      <xdr:row>23</xdr:row>
      <xdr:rowOff>75608</xdr:rowOff>
    </xdr:from>
    <xdr:to>
      <xdr:col>16</xdr:col>
      <xdr:colOff>959883</xdr:colOff>
      <xdr:row>38</xdr:row>
      <xdr:rowOff>29534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C126E-7D9E-813D-8167-FAAE0480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24</xdr:row>
      <xdr:rowOff>19050</xdr:rowOff>
    </xdr:from>
    <xdr:to>
      <xdr:col>17</xdr:col>
      <xdr:colOff>50800</xdr:colOff>
      <xdr:row>34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32205B-C8DC-FE15-96E5-261E7B00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0A58-50CD-6F47-B94C-470F4D6186F0}">
  <dimension ref="B2:P35"/>
  <sheetViews>
    <sheetView zoomScale="86" workbookViewId="0">
      <selection activeCell="J12" sqref="J12:P17"/>
    </sheetView>
  </sheetViews>
  <sheetFormatPr baseColWidth="10" defaultRowHeight="20"/>
  <cols>
    <col min="1" max="1" width="4.85546875" customWidth="1"/>
    <col min="2" max="2" width="10.7109375" customWidth="1"/>
    <col min="3" max="3" width="10.140625" bestFit="1" customWidth="1"/>
    <col min="8" max="8" width="21.42578125" bestFit="1" customWidth="1"/>
    <col min="16" max="16" width="21.42578125" bestFit="1" customWidth="1"/>
  </cols>
  <sheetData>
    <row r="2" spans="2:16">
      <c r="B2" s="1" t="s">
        <v>6</v>
      </c>
      <c r="C2" s="1"/>
      <c r="J2" t="s">
        <v>9</v>
      </c>
    </row>
    <row r="3" spans="2:16">
      <c r="B3" t="s">
        <v>54</v>
      </c>
      <c r="C3" t="s">
        <v>55</v>
      </c>
      <c r="D3" t="s">
        <v>56</v>
      </c>
      <c r="E3" t="s">
        <v>57</v>
      </c>
      <c r="F3" t="s">
        <v>59</v>
      </c>
      <c r="G3" t="s">
        <v>60</v>
      </c>
      <c r="H3" t="s">
        <v>58</v>
      </c>
      <c r="J3" t="s">
        <v>54</v>
      </c>
      <c r="K3" t="s">
        <v>55</v>
      </c>
      <c r="L3" t="s">
        <v>56</v>
      </c>
      <c r="M3" t="s">
        <v>57</v>
      </c>
      <c r="N3" t="s">
        <v>59</v>
      </c>
      <c r="O3" t="s">
        <v>60</v>
      </c>
      <c r="P3" t="s">
        <v>58</v>
      </c>
    </row>
    <row r="4" spans="2:16">
      <c r="B4">
        <v>1</v>
      </c>
      <c r="C4" s="2">
        <f>20.5*5</f>
        <v>102.5</v>
      </c>
      <c r="D4" s="2">
        <v>103.1</v>
      </c>
      <c r="E4" s="3">
        <v>1.01</v>
      </c>
      <c r="F4">
        <v>0.99199999999999999</v>
      </c>
      <c r="G4" s="4">
        <f>C4/(D4*E4)</f>
        <v>0.98433703700146935</v>
      </c>
      <c r="H4" s="2">
        <f>D4*E4</f>
        <v>104.131</v>
      </c>
      <c r="J4">
        <v>1</v>
      </c>
      <c r="K4" s="2">
        <f>11*5</f>
        <v>55</v>
      </c>
      <c r="L4" s="2">
        <v>104.7</v>
      </c>
      <c r="M4" s="3">
        <v>1</v>
      </c>
      <c r="N4" s="4">
        <v>0.56999999999999995</v>
      </c>
      <c r="O4" s="4">
        <f>K4/(L4*M4)</f>
        <v>0.52531041069723017</v>
      </c>
      <c r="P4" s="2">
        <f>L4*M4</f>
        <v>104.7</v>
      </c>
    </row>
    <row r="5" spans="2:16">
      <c r="B5">
        <v>2</v>
      </c>
      <c r="C5" s="2">
        <f>41*5</f>
        <v>205</v>
      </c>
      <c r="D5" s="2">
        <v>102.2</v>
      </c>
      <c r="E5" s="3">
        <v>2.0099999999999998</v>
      </c>
      <c r="F5">
        <v>0.995</v>
      </c>
      <c r="G5" s="4">
        <f t="shared" ref="G5:G8" si="0">C5/(D5*E5)</f>
        <v>0.99794569228222885</v>
      </c>
      <c r="H5" s="2">
        <f t="shared" ref="H5:H8" si="1">D5*E5</f>
        <v>205.422</v>
      </c>
      <c r="J5">
        <v>2</v>
      </c>
      <c r="K5" s="2">
        <f>19.5*5</f>
        <v>97.5</v>
      </c>
      <c r="L5" s="2">
        <v>104</v>
      </c>
      <c r="M5" s="3">
        <v>2.04</v>
      </c>
      <c r="N5" s="4">
        <v>0.5</v>
      </c>
      <c r="O5" s="4">
        <f t="shared" ref="O5:O8" si="2">K5/(L5*M5)</f>
        <v>0.4595588235294118</v>
      </c>
      <c r="P5" s="2">
        <f t="shared" ref="P5:P8" si="3">L5*M5</f>
        <v>212.16</v>
      </c>
    </row>
    <row r="6" spans="2:16">
      <c r="B6">
        <v>3</v>
      </c>
      <c r="C6" s="2">
        <f>60.2*5</f>
        <v>301</v>
      </c>
      <c r="D6" s="2">
        <v>101.9</v>
      </c>
      <c r="E6" s="3">
        <v>2.98</v>
      </c>
      <c r="F6">
        <v>0.996</v>
      </c>
      <c r="G6" s="4">
        <f t="shared" si="0"/>
        <v>0.99123367428259035</v>
      </c>
      <c r="H6" s="2">
        <f t="shared" si="1"/>
        <v>303.66200000000003</v>
      </c>
      <c r="J6">
        <v>3</v>
      </c>
      <c r="K6" s="2">
        <f>27.2*5</f>
        <v>136</v>
      </c>
      <c r="L6" s="2">
        <v>103.8</v>
      </c>
      <c r="M6" s="3">
        <v>3</v>
      </c>
      <c r="N6" s="4">
        <v>0.47799999999999998</v>
      </c>
      <c r="O6" s="4">
        <f t="shared" si="2"/>
        <v>0.43673731535003213</v>
      </c>
      <c r="P6" s="2">
        <f t="shared" si="3"/>
        <v>311.39999999999998</v>
      </c>
    </row>
    <row r="7" spans="2:16">
      <c r="B7">
        <v>4</v>
      </c>
      <c r="C7" s="2">
        <f>81.5*5</f>
        <v>407.5</v>
      </c>
      <c r="D7" s="2">
        <v>101</v>
      </c>
      <c r="E7" s="3">
        <v>4</v>
      </c>
      <c r="F7">
        <v>0.997</v>
      </c>
      <c r="G7" s="4">
        <f t="shared" si="0"/>
        <v>1.0086633663366336</v>
      </c>
      <c r="H7" s="2">
        <f t="shared" si="1"/>
        <v>404</v>
      </c>
      <c r="J7">
        <v>4</v>
      </c>
      <c r="K7" s="2">
        <f>35.8*5</f>
        <v>179</v>
      </c>
      <c r="L7" s="2">
        <v>103.1</v>
      </c>
      <c r="M7" s="3">
        <v>4.01</v>
      </c>
      <c r="N7" s="4">
        <v>0.47</v>
      </c>
      <c r="O7" s="4">
        <f t="shared" si="2"/>
        <v>0.43296221134844753</v>
      </c>
      <c r="P7" s="2">
        <f t="shared" si="3"/>
        <v>413.43099999999998</v>
      </c>
    </row>
    <row r="8" spans="2:16">
      <c r="B8">
        <v>5</v>
      </c>
      <c r="C8" s="2">
        <f>99.5*5</f>
        <v>497.5</v>
      </c>
      <c r="D8" s="2">
        <v>100.8</v>
      </c>
      <c r="E8" s="3">
        <v>5</v>
      </c>
      <c r="F8">
        <v>0.998</v>
      </c>
      <c r="G8" s="4">
        <f t="shared" si="0"/>
        <v>0.98710317460317465</v>
      </c>
      <c r="H8" s="2">
        <f t="shared" si="1"/>
        <v>504</v>
      </c>
      <c r="J8">
        <v>5</v>
      </c>
      <c r="K8" s="2">
        <f>43.4*5</f>
        <v>217</v>
      </c>
      <c r="L8" s="2">
        <v>103</v>
      </c>
      <c r="M8" s="3">
        <v>5.01</v>
      </c>
      <c r="N8" s="4">
        <v>0.46</v>
      </c>
      <c r="O8" s="4">
        <f t="shared" si="2"/>
        <v>0.42051818692711668</v>
      </c>
      <c r="P8" s="2">
        <f t="shared" si="3"/>
        <v>516.03</v>
      </c>
    </row>
    <row r="9" spans="2:16">
      <c r="K9" s="2"/>
      <c r="L9" s="2"/>
      <c r="M9" s="3"/>
      <c r="N9" s="4"/>
      <c r="O9" s="4"/>
      <c r="P9" s="2"/>
    </row>
    <row r="10" spans="2:16">
      <c r="K10" s="2"/>
      <c r="L10" s="2"/>
      <c r="M10" s="3"/>
      <c r="N10" s="4"/>
      <c r="O10" s="4"/>
      <c r="P10" s="2"/>
    </row>
    <row r="11" spans="2:16">
      <c r="B11" s="1" t="s">
        <v>7</v>
      </c>
      <c r="C11" s="1"/>
      <c r="J11" t="s">
        <v>10</v>
      </c>
      <c r="K11" s="2"/>
      <c r="L11" s="2"/>
      <c r="M11" s="3"/>
      <c r="N11" s="4"/>
      <c r="O11" s="4"/>
      <c r="P11" s="2"/>
    </row>
    <row r="12" spans="2:16">
      <c r="B12" t="s">
        <v>54</v>
      </c>
      <c r="C12" t="s">
        <v>55</v>
      </c>
      <c r="D12" t="s">
        <v>56</v>
      </c>
      <c r="E12" t="s">
        <v>57</v>
      </c>
      <c r="F12" t="s">
        <v>59</v>
      </c>
      <c r="G12" t="s">
        <v>60</v>
      </c>
      <c r="H12" t="s">
        <v>58</v>
      </c>
      <c r="J12" t="s">
        <v>54</v>
      </c>
      <c r="K12" t="s">
        <v>55</v>
      </c>
      <c r="L12" t="s">
        <v>56</v>
      </c>
      <c r="M12" t="s">
        <v>57</v>
      </c>
      <c r="N12" t="s">
        <v>59</v>
      </c>
      <c r="O12" t="s">
        <v>60</v>
      </c>
      <c r="P12" t="s">
        <v>58</v>
      </c>
    </row>
    <row r="13" spans="2:16">
      <c r="B13">
        <v>1</v>
      </c>
      <c r="C13" s="2">
        <f>11.8*5</f>
        <v>59</v>
      </c>
      <c r="D13" s="2">
        <v>104.3</v>
      </c>
      <c r="E13" s="3">
        <v>1</v>
      </c>
      <c r="F13" s="4">
        <v>0.83</v>
      </c>
      <c r="G13" s="4">
        <f>C13/(D13*E13)</f>
        <v>0.56567593480345157</v>
      </c>
      <c r="H13" s="2">
        <f>D13*E13</f>
        <v>104.3</v>
      </c>
      <c r="J13">
        <v>1</v>
      </c>
      <c r="K13" s="2">
        <f>7.5*5</f>
        <v>37.5</v>
      </c>
      <c r="L13" s="2">
        <v>104.9</v>
      </c>
      <c r="M13" s="3">
        <v>0.99</v>
      </c>
      <c r="N13" s="4">
        <v>0.46</v>
      </c>
      <c r="O13" s="4">
        <f>K13/(L13*M13)</f>
        <v>0.36109426004564232</v>
      </c>
      <c r="P13" s="2">
        <f>L13*M13</f>
        <v>103.851</v>
      </c>
    </row>
    <row r="14" spans="2:16">
      <c r="B14">
        <v>2</v>
      </c>
      <c r="C14" s="2">
        <f>32*5</f>
        <v>160</v>
      </c>
      <c r="D14" s="2">
        <v>104</v>
      </c>
      <c r="E14" s="3">
        <v>1.95</v>
      </c>
      <c r="F14" s="4">
        <v>0.81699999999999995</v>
      </c>
      <c r="G14" s="4">
        <f t="shared" ref="G14:G17" si="4">C14/(D14*E14)</f>
        <v>0.78895463510848129</v>
      </c>
      <c r="H14" s="2">
        <f t="shared" ref="H14:H17" si="5">D14*E14</f>
        <v>202.79999999999998</v>
      </c>
      <c r="J14">
        <v>2</v>
      </c>
      <c r="K14" s="2">
        <f>12.5*5</f>
        <v>62.5</v>
      </c>
      <c r="L14" s="2">
        <v>104.2</v>
      </c>
      <c r="M14" s="3">
        <v>2.0299999999999998</v>
      </c>
      <c r="N14" s="4">
        <v>0.36499999999999999</v>
      </c>
      <c r="O14" s="4">
        <f t="shared" ref="O14:O17" si="6">K14/(L14*M14)</f>
        <v>0.29547195143859384</v>
      </c>
      <c r="P14" s="2">
        <f t="shared" ref="P14:P17" si="7">L14*M14</f>
        <v>211.52599999999998</v>
      </c>
    </row>
    <row r="15" spans="2:16">
      <c r="B15">
        <v>3</v>
      </c>
      <c r="C15" s="2">
        <f>48.5*5</f>
        <v>242.5</v>
      </c>
      <c r="D15" s="2">
        <v>102.9</v>
      </c>
      <c r="E15" s="3">
        <v>3.01</v>
      </c>
      <c r="F15" s="4">
        <v>0.8</v>
      </c>
      <c r="G15" s="4">
        <f t="shared" si="4"/>
        <v>0.78294250780521035</v>
      </c>
      <c r="H15" s="2">
        <f t="shared" si="5"/>
        <v>309.72899999999998</v>
      </c>
      <c r="J15">
        <v>3</v>
      </c>
      <c r="K15" s="2">
        <f>16.5*5</f>
        <v>82.5</v>
      </c>
      <c r="L15" s="2">
        <v>104.1</v>
      </c>
      <c r="M15" s="3">
        <v>2.99</v>
      </c>
      <c r="N15" s="4">
        <v>0.316</v>
      </c>
      <c r="O15" s="4">
        <f t="shared" si="6"/>
        <v>0.26505257679296018</v>
      </c>
      <c r="P15" s="2">
        <f t="shared" si="7"/>
        <v>311.25900000000001</v>
      </c>
    </row>
    <row r="16" spans="2:16">
      <c r="B16">
        <v>4</v>
      </c>
      <c r="C16" s="2">
        <f>64.5*5</f>
        <v>322.5</v>
      </c>
      <c r="D16" s="2">
        <v>102.3</v>
      </c>
      <c r="E16" s="3">
        <v>4.04</v>
      </c>
      <c r="F16" s="4">
        <v>0.79800000000000004</v>
      </c>
      <c r="G16" s="4">
        <f t="shared" si="4"/>
        <v>0.78031996748061905</v>
      </c>
      <c r="H16" s="2">
        <f t="shared" si="5"/>
        <v>413.29199999999997</v>
      </c>
      <c r="J16">
        <v>4</v>
      </c>
      <c r="K16" s="2">
        <f>21.2*5</f>
        <v>106</v>
      </c>
      <c r="L16" s="2">
        <v>103.9</v>
      </c>
      <c r="M16" s="3">
        <v>4.0199999999999996</v>
      </c>
      <c r="N16" s="4">
        <v>0.3</v>
      </c>
      <c r="O16" s="4">
        <f t="shared" si="6"/>
        <v>0.25378401543772955</v>
      </c>
      <c r="P16" s="2">
        <f t="shared" si="7"/>
        <v>417.678</v>
      </c>
    </row>
    <row r="17" spans="2:16">
      <c r="B17">
        <v>5</v>
      </c>
      <c r="C17" s="2">
        <f>79*5</f>
        <v>395</v>
      </c>
      <c r="D17" s="2">
        <v>101.9</v>
      </c>
      <c r="E17" s="3">
        <v>5.01</v>
      </c>
      <c r="F17" s="4">
        <v>0.79800000000000004</v>
      </c>
      <c r="G17" s="4">
        <f t="shared" si="4"/>
        <v>0.77372242756880738</v>
      </c>
      <c r="H17" s="2">
        <f t="shared" si="5"/>
        <v>510.51900000000001</v>
      </c>
      <c r="J17">
        <v>5</v>
      </c>
      <c r="K17" s="2">
        <f>25*5</f>
        <v>125</v>
      </c>
      <c r="L17" s="2">
        <v>104</v>
      </c>
      <c r="M17" s="3">
        <v>5.01</v>
      </c>
      <c r="N17" s="4">
        <v>0.28999999999999998</v>
      </c>
      <c r="O17" s="4">
        <f t="shared" si="6"/>
        <v>0.23990480577306927</v>
      </c>
      <c r="P17" s="2">
        <f t="shared" si="7"/>
        <v>521.04</v>
      </c>
    </row>
    <row r="18" spans="2:16">
      <c r="C18" s="2"/>
      <c r="D18" s="2"/>
      <c r="E18" s="3"/>
      <c r="F18" s="4"/>
      <c r="G18" s="4"/>
      <c r="H18" s="2"/>
      <c r="N18" s="4"/>
      <c r="O18" s="4"/>
    </row>
    <row r="19" spans="2:16">
      <c r="C19" s="2"/>
      <c r="D19" s="2"/>
      <c r="E19" s="3"/>
      <c r="F19" s="4"/>
      <c r="G19" s="4"/>
      <c r="H19" s="2"/>
    </row>
    <row r="20" spans="2:16">
      <c r="B20" t="s">
        <v>8</v>
      </c>
      <c r="C20" s="2"/>
      <c r="D20" s="2"/>
      <c r="E20" s="3"/>
      <c r="F20" s="4"/>
      <c r="G20" s="4"/>
      <c r="H20" s="2"/>
    </row>
    <row r="21" spans="2:16">
      <c r="B21" t="s">
        <v>54</v>
      </c>
      <c r="C21" t="s">
        <v>55</v>
      </c>
      <c r="D21" t="s">
        <v>56</v>
      </c>
      <c r="E21" t="s">
        <v>57</v>
      </c>
      <c r="F21" t="s">
        <v>59</v>
      </c>
      <c r="G21" t="s">
        <v>60</v>
      </c>
      <c r="H21" t="s">
        <v>58</v>
      </c>
    </row>
    <row r="22" spans="2:16">
      <c r="B22">
        <v>1</v>
      </c>
      <c r="C22" s="2">
        <f>13.8*5</f>
        <v>69</v>
      </c>
      <c r="D22" s="2">
        <v>104.1</v>
      </c>
      <c r="E22" s="3">
        <v>1.01</v>
      </c>
      <c r="F22" s="4">
        <v>0.70099999999999996</v>
      </c>
      <c r="G22" s="4">
        <f>C22/(D22*E22)</f>
        <v>0.65626159157702524</v>
      </c>
      <c r="H22" s="2">
        <f>D22*E22</f>
        <v>105.14099999999999</v>
      </c>
      <c r="K22" t="s">
        <v>12</v>
      </c>
    </row>
    <row r="23" spans="2:16">
      <c r="B23">
        <v>2</v>
      </c>
      <c r="C23" s="2">
        <f>26.2*5</f>
        <v>131</v>
      </c>
      <c r="D23" s="2">
        <v>103.9</v>
      </c>
      <c r="E23" s="3">
        <v>2.0299999999999998</v>
      </c>
      <c r="F23" s="4">
        <v>0.65</v>
      </c>
      <c r="G23" s="4">
        <f t="shared" ref="G23:G26" si="8">C23/(D23*E23)</f>
        <v>0.6210973985027286</v>
      </c>
      <c r="H23" s="2">
        <f t="shared" ref="H23:H26" si="9">D23*E23</f>
        <v>210.917</v>
      </c>
    </row>
    <row r="24" spans="2:16">
      <c r="B24">
        <v>3</v>
      </c>
      <c r="C24" s="2">
        <f>30.8*5</f>
        <v>154</v>
      </c>
      <c r="D24" s="2">
        <v>103</v>
      </c>
      <c r="E24" s="3">
        <v>2.99</v>
      </c>
      <c r="F24" s="4">
        <v>0.64</v>
      </c>
      <c r="G24" s="4">
        <f t="shared" si="8"/>
        <v>0.50004870604279639</v>
      </c>
      <c r="H24" s="2">
        <f t="shared" si="9"/>
        <v>307.97000000000003</v>
      </c>
    </row>
    <row r="25" spans="2:16">
      <c r="B25">
        <v>4</v>
      </c>
      <c r="C25" s="2">
        <f>50.5*5</f>
        <v>252.5</v>
      </c>
      <c r="D25" s="2">
        <v>102.9</v>
      </c>
      <c r="E25" s="3">
        <v>3.99</v>
      </c>
      <c r="F25" s="4">
        <v>0.63800000000000001</v>
      </c>
      <c r="G25" s="4">
        <f t="shared" si="8"/>
        <v>0.61499716248833936</v>
      </c>
      <c r="H25" s="2">
        <f t="shared" si="9"/>
        <v>410.57100000000003</v>
      </c>
    </row>
    <row r="26" spans="2:16">
      <c r="B26">
        <v>5</v>
      </c>
      <c r="C26" s="2">
        <f>61*5</f>
        <v>305</v>
      </c>
      <c r="D26" s="2">
        <v>102.1</v>
      </c>
      <c r="E26" s="3">
        <v>4.9800000000000004</v>
      </c>
      <c r="F26" s="4">
        <v>0.625</v>
      </c>
      <c r="G26" s="4">
        <f t="shared" si="8"/>
        <v>0.59985288853749963</v>
      </c>
      <c r="H26" s="2">
        <f t="shared" si="9"/>
        <v>508.45800000000003</v>
      </c>
    </row>
    <row r="27" spans="2:16">
      <c r="H27" s="2"/>
    </row>
    <row r="29" spans="2:16">
      <c r="F29" t="s">
        <v>15</v>
      </c>
    </row>
    <row r="33" spans="2:8"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11</v>
      </c>
    </row>
    <row r="35" spans="2:8">
      <c r="B35" t="s">
        <v>17</v>
      </c>
      <c r="C35" t="s">
        <v>18</v>
      </c>
      <c r="D35" t="s">
        <v>19</v>
      </c>
      <c r="E35" t="s">
        <v>17</v>
      </c>
      <c r="F35" t="s">
        <v>4</v>
      </c>
      <c r="G35" t="s">
        <v>5</v>
      </c>
      <c r="H35" t="s">
        <v>11</v>
      </c>
    </row>
  </sheetData>
  <mergeCells count="2">
    <mergeCell ref="B2:C2"/>
    <mergeCell ref="B11:C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6BCC-5083-3C46-BB12-09DA1B273972}">
  <dimension ref="B2:S30"/>
  <sheetViews>
    <sheetView tabSelected="1" topLeftCell="D1" workbookViewId="0">
      <selection activeCell="N1" sqref="N1"/>
    </sheetView>
  </sheetViews>
  <sheetFormatPr baseColWidth="10" defaultRowHeight="20"/>
  <cols>
    <col min="1" max="1" width="3" customWidth="1"/>
    <col min="7" max="7" width="8.7109375" bestFit="1" customWidth="1"/>
    <col min="8" max="8" width="8.140625" bestFit="1" customWidth="1"/>
    <col min="9" max="9" width="8.5703125" bestFit="1" customWidth="1"/>
    <col min="11" max="11" width="22.28515625" bestFit="1" customWidth="1"/>
    <col min="13" max="13" width="16" customWidth="1"/>
    <col min="17" max="17" width="8.5703125" bestFit="1" customWidth="1"/>
    <col min="18" max="18" width="21.42578125" bestFit="1" customWidth="1"/>
    <col min="19" max="19" width="22.28515625" bestFit="1" customWidth="1"/>
  </cols>
  <sheetData>
    <row r="2" spans="2:19">
      <c r="B2" s="1" t="s">
        <v>6</v>
      </c>
      <c r="C2" s="1"/>
      <c r="E2" s="1" t="s">
        <v>6</v>
      </c>
      <c r="F2" s="1"/>
      <c r="M2" t="s">
        <v>9</v>
      </c>
    </row>
    <row r="3" spans="2:19">
      <c r="B3" t="s">
        <v>0</v>
      </c>
      <c r="C3" t="s">
        <v>1</v>
      </c>
      <c r="E3" t="s">
        <v>54</v>
      </c>
      <c r="F3" t="s">
        <v>55</v>
      </c>
      <c r="G3" t="s">
        <v>56</v>
      </c>
      <c r="H3" t="s">
        <v>57</v>
      </c>
      <c r="I3" t="s">
        <v>59</v>
      </c>
      <c r="J3" t="s">
        <v>60</v>
      </c>
      <c r="K3" t="s">
        <v>58</v>
      </c>
      <c r="M3" t="s">
        <v>54</v>
      </c>
      <c r="N3" t="s">
        <v>55</v>
      </c>
      <c r="O3" t="s">
        <v>56</v>
      </c>
      <c r="P3" t="s">
        <v>57</v>
      </c>
      <c r="Q3" t="s">
        <v>59</v>
      </c>
      <c r="R3" t="s">
        <v>60</v>
      </c>
      <c r="S3" t="s">
        <v>58</v>
      </c>
    </row>
    <row r="4" spans="2:19">
      <c r="B4">
        <v>1</v>
      </c>
      <c r="E4">
        <v>1</v>
      </c>
      <c r="F4" s="2">
        <f>22.5*5</f>
        <v>112.5</v>
      </c>
      <c r="G4" s="2">
        <v>107</v>
      </c>
      <c r="H4" s="3">
        <v>1.02</v>
      </c>
      <c r="I4" s="4">
        <v>0.99199999999999999</v>
      </c>
      <c r="J4" s="4">
        <f>F4/(G4*H4)</f>
        <v>1.0307861462341945</v>
      </c>
      <c r="K4" s="2">
        <f>G4*H4</f>
        <v>109.14</v>
      </c>
      <c r="M4">
        <v>1</v>
      </c>
      <c r="N4" s="2">
        <f>13.8*5</f>
        <v>69</v>
      </c>
      <c r="O4" s="2">
        <v>107.9</v>
      </c>
      <c r="P4" s="3">
        <v>1.01</v>
      </c>
      <c r="Q4" s="4">
        <v>-0.64</v>
      </c>
      <c r="R4" s="4">
        <f>N4/(O4*P4)</f>
        <v>0.63314950586810292</v>
      </c>
      <c r="S4" s="2">
        <f>O4*P4</f>
        <v>108.97900000000001</v>
      </c>
    </row>
    <row r="5" spans="2:19">
      <c r="B5">
        <v>2</v>
      </c>
      <c r="E5">
        <v>2</v>
      </c>
      <c r="F5" s="2">
        <f>42.8*5</f>
        <v>214</v>
      </c>
      <c r="G5" s="2">
        <v>106.1</v>
      </c>
      <c r="H5" s="3">
        <v>2.0099999999999998</v>
      </c>
      <c r="I5" s="4">
        <v>0.996</v>
      </c>
      <c r="J5" s="4">
        <f t="shared" ref="J5:J8" si="0">F5/(G5*H5)</f>
        <v>1.0034652374320669</v>
      </c>
      <c r="K5" s="2">
        <f t="shared" ref="K5:K8" si="1">G5*H5</f>
        <v>213.26099999999997</v>
      </c>
      <c r="M5">
        <v>2</v>
      </c>
      <c r="N5" s="2">
        <f>23.2*5</f>
        <v>116</v>
      </c>
      <c r="O5" s="2">
        <v>107.5</v>
      </c>
      <c r="P5" s="3">
        <v>2.02</v>
      </c>
      <c r="Q5" s="4">
        <v>-0.52</v>
      </c>
      <c r="R5" s="4">
        <f t="shared" ref="R5:R8" si="2">N5/(O5*P5)</f>
        <v>0.53419295417913881</v>
      </c>
      <c r="S5" s="2">
        <f t="shared" ref="S5:S8" si="3">O5*P5</f>
        <v>217.15</v>
      </c>
    </row>
    <row r="6" spans="2:19">
      <c r="B6">
        <v>3</v>
      </c>
      <c r="E6">
        <v>3</v>
      </c>
      <c r="F6" s="2">
        <f>63.8*5</f>
        <v>319</v>
      </c>
      <c r="G6" s="2">
        <v>105.7</v>
      </c>
      <c r="H6" s="3">
        <v>3.01</v>
      </c>
      <c r="I6" s="4">
        <v>0.997</v>
      </c>
      <c r="J6" s="4">
        <f t="shared" si="0"/>
        <v>1.0026496352429777</v>
      </c>
      <c r="K6" s="2">
        <f t="shared" si="1"/>
        <v>318.15699999999998</v>
      </c>
      <c r="M6">
        <v>3</v>
      </c>
      <c r="N6" s="2">
        <f>32.2*5</f>
        <v>161</v>
      </c>
      <c r="O6" s="2">
        <v>107</v>
      </c>
      <c r="P6" s="3">
        <v>2.99</v>
      </c>
      <c r="Q6" s="4">
        <v>-0.48</v>
      </c>
      <c r="R6" s="4">
        <f t="shared" si="2"/>
        <v>0.50323508267433503</v>
      </c>
      <c r="S6" s="2">
        <f t="shared" si="3"/>
        <v>319.93</v>
      </c>
    </row>
    <row r="7" spans="2:19">
      <c r="B7">
        <v>4</v>
      </c>
      <c r="E7">
        <v>4</v>
      </c>
      <c r="F7" s="2">
        <f>85.5*5</f>
        <v>427.5</v>
      </c>
      <c r="G7" s="2">
        <v>105</v>
      </c>
      <c r="H7" s="3">
        <v>4.0199999999999996</v>
      </c>
      <c r="I7" s="4">
        <v>0.997</v>
      </c>
      <c r="J7" s="4">
        <f t="shared" si="0"/>
        <v>1.0127931769722816</v>
      </c>
      <c r="K7" s="2">
        <f t="shared" si="1"/>
        <v>422.09999999999997</v>
      </c>
      <c r="M7">
        <v>4</v>
      </c>
      <c r="N7" s="2">
        <f>42.2*5</f>
        <v>211</v>
      </c>
      <c r="O7" s="2">
        <v>106.9</v>
      </c>
      <c r="P7" s="3">
        <v>3.98</v>
      </c>
      <c r="Q7" s="4">
        <v>-0.46600000000000003</v>
      </c>
      <c r="R7" s="4">
        <f t="shared" si="2"/>
        <v>0.49593148154241734</v>
      </c>
      <c r="S7" s="2">
        <f t="shared" si="3"/>
        <v>425.46200000000005</v>
      </c>
    </row>
    <row r="8" spans="2:19">
      <c r="B8">
        <v>5</v>
      </c>
      <c r="E8">
        <v>5</v>
      </c>
      <c r="F8" s="2">
        <f>104.2*5</f>
        <v>521</v>
      </c>
      <c r="G8" s="2">
        <v>103.9</v>
      </c>
      <c r="H8" s="3">
        <v>5.0199999999999996</v>
      </c>
      <c r="I8" s="4">
        <v>0.998</v>
      </c>
      <c r="J8" s="4">
        <f t="shared" si="0"/>
        <v>0.99889182442511004</v>
      </c>
      <c r="K8" s="2">
        <f t="shared" si="1"/>
        <v>521.57799999999997</v>
      </c>
      <c r="M8">
        <v>5</v>
      </c>
      <c r="N8" s="2">
        <f>61*5</f>
        <v>305</v>
      </c>
      <c r="O8" s="2">
        <v>106.2</v>
      </c>
      <c r="P8" s="3">
        <v>5.03</v>
      </c>
      <c r="Q8" s="4">
        <v>-0.45800000000000002</v>
      </c>
      <c r="R8" s="4">
        <f t="shared" si="2"/>
        <v>0.57096217422395945</v>
      </c>
      <c r="S8" s="2">
        <f t="shared" si="3"/>
        <v>534.18600000000004</v>
      </c>
    </row>
    <row r="9" spans="2:19">
      <c r="H9" s="3"/>
      <c r="I9" s="4"/>
      <c r="J9" s="4"/>
      <c r="K9" s="2"/>
      <c r="P9" s="3"/>
      <c r="Q9" s="4"/>
      <c r="R9" s="4"/>
      <c r="S9" s="2"/>
    </row>
    <row r="10" spans="2:19">
      <c r="H10" s="3"/>
      <c r="I10" s="4"/>
      <c r="J10" s="4"/>
      <c r="K10" s="2"/>
      <c r="P10" s="3"/>
      <c r="Q10" s="4"/>
      <c r="R10" s="4"/>
      <c r="S10" s="2"/>
    </row>
    <row r="11" spans="2:19">
      <c r="B11" s="1" t="s">
        <v>7</v>
      </c>
      <c r="C11" s="1"/>
      <c r="E11" s="1" t="s">
        <v>7</v>
      </c>
      <c r="F11" s="1"/>
      <c r="H11" s="3"/>
      <c r="I11" s="4"/>
      <c r="J11" s="4"/>
      <c r="K11" s="2"/>
      <c r="M11" t="s">
        <v>10</v>
      </c>
      <c r="P11" s="3"/>
      <c r="Q11" s="4"/>
      <c r="R11" s="4"/>
      <c r="S11" s="2"/>
    </row>
    <row r="12" spans="2:19">
      <c r="B12" t="s">
        <v>0</v>
      </c>
      <c r="C12" t="s">
        <v>1</v>
      </c>
      <c r="E12" t="s">
        <v>54</v>
      </c>
      <c r="F12" t="s">
        <v>55</v>
      </c>
      <c r="G12" t="s">
        <v>56</v>
      </c>
      <c r="H12" t="s">
        <v>57</v>
      </c>
      <c r="I12" t="s">
        <v>59</v>
      </c>
      <c r="J12" t="s">
        <v>60</v>
      </c>
      <c r="K12" t="s">
        <v>58</v>
      </c>
      <c r="M12" t="s">
        <v>54</v>
      </c>
      <c r="N12" t="s">
        <v>55</v>
      </c>
      <c r="O12" t="s">
        <v>56</v>
      </c>
      <c r="P12" t="s">
        <v>57</v>
      </c>
      <c r="Q12" t="s">
        <v>59</v>
      </c>
      <c r="R12" t="s">
        <v>60</v>
      </c>
      <c r="S12" t="s">
        <v>58</v>
      </c>
    </row>
    <row r="13" spans="2:19">
      <c r="B13">
        <v>1</v>
      </c>
      <c r="E13">
        <v>1</v>
      </c>
      <c r="F13" s="2">
        <f>19.5*5</f>
        <v>97.5</v>
      </c>
      <c r="G13" s="2">
        <v>107.7</v>
      </c>
      <c r="H13" s="3">
        <v>1</v>
      </c>
      <c r="I13" s="4">
        <v>-0.90100000000000002</v>
      </c>
      <c r="J13" s="4">
        <f>F13/(G13*H13)</f>
        <v>0.90529247910863508</v>
      </c>
      <c r="K13" s="2">
        <f>G13*H13</f>
        <v>107.7</v>
      </c>
      <c r="M13">
        <v>1</v>
      </c>
      <c r="N13" s="2">
        <f>9*5</f>
        <v>45</v>
      </c>
      <c r="O13" s="2">
        <v>108.1</v>
      </c>
      <c r="P13" s="3">
        <v>0.99</v>
      </c>
      <c r="Q13" s="4">
        <v>-0.48</v>
      </c>
      <c r="R13" s="4">
        <f>N13/(O13*P13)</f>
        <v>0.42048608191068881</v>
      </c>
      <c r="S13" s="2">
        <f>O13*P13</f>
        <v>107.01899999999999</v>
      </c>
    </row>
    <row r="14" spans="2:19">
      <c r="B14">
        <v>2</v>
      </c>
      <c r="E14">
        <v>2</v>
      </c>
      <c r="F14" s="2">
        <f>37.2*5</f>
        <v>186</v>
      </c>
      <c r="G14" s="2">
        <v>106.9</v>
      </c>
      <c r="H14" s="3">
        <v>2.0299999999999998</v>
      </c>
      <c r="I14" s="4">
        <v>-0.84199999999999997</v>
      </c>
      <c r="J14" s="4">
        <f t="shared" ref="J14:J17" si="4">F14/(G14*H14)</f>
        <v>0.85711520826517129</v>
      </c>
      <c r="K14" s="2">
        <f t="shared" ref="K14:K17" si="5">G14*H14</f>
        <v>217.00699999999998</v>
      </c>
      <c r="M14">
        <v>2</v>
      </c>
      <c r="N14" s="2">
        <f>14*5</f>
        <v>70</v>
      </c>
      <c r="O14" s="2">
        <v>107.9</v>
      </c>
      <c r="P14" s="3">
        <v>2.0099999999999998</v>
      </c>
      <c r="Q14" s="4">
        <v>-0.32</v>
      </c>
      <c r="R14" s="4">
        <f t="shared" ref="R14:R17" si="6">N14/(O14*P14)</f>
        <v>0.32276061767160491</v>
      </c>
      <c r="S14" s="2">
        <f t="shared" ref="S14:S17" si="7">O14*P14</f>
        <v>216.87899999999999</v>
      </c>
    </row>
    <row r="15" spans="2:19">
      <c r="B15">
        <v>3</v>
      </c>
      <c r="E15">
        <v>3</v>
      </c>
      <c r="F15" s="2">
        <f>53*5</f>
        <v>265</v>
      </c>
      <c r="G15" s="2">
        <v>106.1</v>
      </c>
      <c r="H15" s="3">
        <v>2.97</v>
      </c>
      <c r="I15" s="4">
        <v>-0.83</v>
      </c>
      <c r="J15" s="4">
        <f t="shared" si="4"/>
        <v>0.84095748563232064</v>
      </c>
      <c r="K15" s="2">
        <f t="shared" si="5"/>
        <v>315.11700000000002</v>
      </c>
      <c r="M15">
        <v>3</v>
      </c>
      <c r="N15" s="2">
        <f>18.8*5</f>
        <v>94</v>
      </c>
      <c r="O15" s="2">
        <v>107.8</v>
      </c>
      <c r="P15" s="3">
        <v>3</v>
      </c>
      <c r="Q15" s="4">
        <v>-0.28000000000000003</v>
      </c>
      <c r="R15" s="4">
        <f t="shared" si="6"/>
        <v>0.29066171923314782</v>
      </c>
      <c r="S15" s="2">
        <f t="shared" si="7"/>
        <v>323.39999999999998</v>
      </c>
    </row>
    <row r="16" spans="2:19">
      <c r="B16">
        <v>4</v>
      </c>
      <c r="E16">
        <v>4</v>
      </c>
      <c r="F16" s="2">
        <f>70*5</f>
        <v>350</v>
      </c>
      <c r="G16" s="2">
        <v>105.5</v>
      </c>
      <c r="H16" s="3">
        <v>3.95</v>
      </c>
      <c r="I16" s="4">
        <v>-0.82199999999999995</v>
      </c>
      <c r="J16" s="4">
        <f t="shared" si="4"/>
        <v>0.83988241646169537</v>
      </c>
      <c r="K16" s="2">
        <f t="shared" si="5"/>
        <v>416.72500000000002</v>
      </c>
      <c r="M16">
        <v>4</v>
      </c>
      <c r="N16" s="2">
        <f>24*5</f>
        <v>120</v>
      </c>
      <c r="O16" s="2">
        <v>107.7</v>
      </c>
      <c r="P16" s="3">
        <v>4.08</v>
      </c>
      <c r="Q16" s="4">
        <v>-0.26</v>
      </c>
      <c r="R16" s="4">
        <f t="shared" si="6"/>
        <v>0.27308973728767272</v>
      </c>
      <c r="S16" s="2">
        <f t="shared" si="7"/>
        <v>439.416</v>
      </c>
    </row>
    <row r="17" spans="2:19">
      <c r="B17">
        <v>5</v>
      </c>
      <c r="E17">
        <v>5</v>
      </c>
      <c r="F17" s="2">
        <f>86.4*5</f>
        <v>432</v>
      </c>
      <c r="G17" s="2">
        <v>105</v>
      </c>
      <c r="H17" s="3">
        <v>0.49</v>
      </c>
      <c r="I17" s="4">
        <v>-0.82</v>
      </c>
      <c r="J17" s="4">
        <f t="shared" si="4"/>
        <v>8.3965014577259485</v>
      </c>
      <c r="K17" s="2">
        <f t="shared" si="5"/>
        <v>51.449999999999996</v>
      </c>
      <c r="M17">
        <v>5</v>
      </c>
      <c r="N17" s="2">
        <f>28.8*5</f>
        <v>144</v>
      </c>
      <c r="O17" s="2">
        <v>107.1</v>
      </c>
      <c r="P17" s="3">
        <v>5</v>
      </c>
      <c r="Q17" s="4">
        <v>-0.24</v>
      </c>
      <c r="R17" s="4">
        <f t="shared" si="6"/>
        <v>0.26890756302521007</v>
      </c>
      <c r="S17" s="2">
        <f t="shared" si="7"/>
        <v>535.5</v>
      </c>
    </row>
    <row r="18" spans="2:19">
      <c r="H18" s="3"/>
      <c r="I18" s="4"/>
      <c r="J18" s="4"/>
      <c r="K18" s="2"/>
      <c r="S18" s="2"/>
    </row>
    <row r="19" spans="2:19">
      <c r="H19" s="3"/>
      <c r="I19" s="4"/>
      <c r="J19" s="4"/>
      <c r="K19" s="2"/>
    </row>
    <row r="20" spans="2:19">
      <c r="B20" t="s">
        <v>8</v>
      </c>
      <c r="E20" t="s">
        <v>8</v>
      </c>
      <c r="H20" s="3"/>
      <c r="I20" s="4"/>
      <c r="J20" s="4"/>
      <c r="K20" s="2"/>
    </row>
    <row r="21" spans="2:19">
      <c r="B21" t="s">
        <v>0</v>
      </c>
      <c r="C21" t="s">
        <v>1</v>
      </c>
      <c r="E21" t="s">
        <v>54</v>
      </c>
      <c r="F21" t="s">
        <v>55</v>
      </c>
      <c r="G21" t="s">
        <v>56</v>
      </c>
      <c r="H21" t="s">
        <v>57</v>
      </c>
      <c r="I21" t="s">
        <v>59</v>
      </c>
      <c r="J21" t="s">
        <v>60</v>
      </c>
      <c r="K21" t="s">
        <v>58</v>
      </c>
    </row>
    <row r="22" spans="2:19">
      <c r="B22">
        <v>1</v>
      </c>
      <c r="E22">
        <v>1</v>
      </c>
      <c r="F22" s="2">
        <f>16.9*5</f>
        <v>84.5</v>
      </c>
      <c r="G22" s="2">
        <v>107.9</v>
      </c>
      <c r="H22" s="3">
        <v>1</v>
      </c>
      <c r="I22" s="4">
        <v>-0.79</v>
      </c>
      <c r="J22" s="4">
        <f>F22/(G22*H22)</f>
        <v>0.7831325301204819</v>
      </c>
      <c r="K22" s="2">
        <f>G22*H22</f>
        <v>107.9</v>
      </c>
      <c r="N22" t="s">
        <v>12</v>
      </c>
    </row>
    <row r="23" spans="2:19">
      <c r="B23">
        <v>2</v>
      </c>
      <c r="E23">
        <v>2</v>
      </c>
      <c r="F23" s="2">
        <f>31.5*5</f>
        <v>157.5</v>
      </c>
      <c r="G23" s="2">
        <v>107.2</v>
      </c>
      <c r="H23" s="3">
        <v>2.04</v>
      </c>
      <c r="I23" s="4">
        <v>-0.7</v>
      </c>
      <c r="J23" s="4">
        <f t="shared" ref="J23:J26" si="8">F23/(G23*H23)</f>
        <v>0.72020412642669007</v>
      </c>
      <c r="K23" s="2">
        <f t="shared" ref="K23:K26" si="9">G23*H23</f>
        <v>218.68800000000002</v>
      </c>
    </row>
    <row r="24" spans="2:19">
      <c r="B24">
        <v>3</v>
      </c>
      <c r="E24">
        <v>3</v>
      </c>
      <c r="F24" s="2">
        <f>44.2*5</f>
        <v>221</v>
      </c>
      <c r="G24" s="2">
        <v>106.1</v>
      </c>
      <c r="H24" s="3">
        <v>2.98</v>
      </c>
      <c r="I24" s="4">
        <v>-0.67600000000000005</v>
      </c>
      <c r="J24" s="4">
        <f t="shared" si="8"/>
        <v>0.69897336310559244</v>
      </c>
      <c r="K24" s="2">
        <f t="shared" si="9"/>
        <v>316.178</v>
      </c>
    </row>
    <row r="25" spans="2:19">
      <c r="B25">
        <v>4</v>
      </c>
      <c r="E25">
        <v>4</v>
      </c>
      <c r="F25" s="2">
        <f>58*5</f>
        <v>290</v>
      </c>
      <c r="G25" s="2">
        <v>106</v>
      </c>
      <c r="H25" s="3">
        <v>3.99</v>
      </c>
      <c r="I25" s="4">
        <v>-0.66</v>
      </c>
      <c r="J25" s="4">
        <f t="shared" si="8"/>
        <v>0.68567645528916632</v>
      </c>
      <c r="K25" s="2">
        <f t="shared" si="9"/>
        <v>422.94</v>
      </c>
    </row>
    <row r="26" spans="2:19">
      <c r="B26">
        <v>5</v>
      </c>
      <c r="E26">
        <v>5</v>
      </c>
      <c r="F26" s="2">
        <f>71*5</f>
        <v>355</v>
      </c>
      <c r="G26" s="2">
        <v>105.8</v>
      </c>
      <c r="H26" s="3">
        <v>5.0199999999999996</v>
      </c>
      <c r="I26" s="4">
        <v>-0.65</v>
      </c>
      <c r="J26" s="4">
        <f t="shared" si="8"/>
        <v>0.668403889169221</v>
      </c>
      <c r="K26" s="2">
        <f t="shared" si="9"/>
        <v>531.11599999999999</v>
      </c>
    </row>
    <row r="30" spans="2:19">
      <c r="I30" t="s">
        <v>16</v>
      </c>
    </row>
  </sheetData>
  <mergeCells count="4">
    <mergeCell ref="B2:C2"/>
    <mergeCell ref="B11:C11"/>
    <mergeCell ref="E2:F2"/>
    <mergeCell ref="E11:F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6389-A825-9844-BCA4-5C21616759EE}">
  <dimension ref="B2:Q14"/>
  <sheetViews>
    <sheetView workbookViewId="0">
      <selection activeCell="K4" sqref="K4:Q4"/>
    </sheetView>
  </sheetViews>
  <sheetFormatPr baseColWidth="10" defaultRowHeight="20"/>
  <sheetData>
    <row r="2" spans="2:17">
      <c r="B2" t="s">
        <v>13</v>
      </c>
      <c r="K2" t="s">
        <v>14</v>
      </c>
    </row>
    <row r="3" spans="2:17">
      <c r="B3" t="s">
        <v>10</v>
      </c>
      <c r="K3" t="s">
        <v>10</v>
      </c>
    </row>
    <row r="4" spans="2:17">
      <c r="B4" t="s">
        <v>54</v>
      </c>
      <c r="C4" t="s">
        <v>55</v>
      </c>
      <c r="D4" t="s">
        <v>56</v>
      </c>
      <c r="E4" t="s">
        <v>57</v>
      </c>
      <c r="F4" t="s">
        <v>59</v>
      </c>
      <c r="G4" t="s">
        <v>60</v>
      </c>
      <c r="H4" t="s">
        <v>58</v>
      </c>
      <c r="K4" t="s">
        <v>54</v>
      </c>
      <c r="L4" t="s">
        <v>55</v>
      </c>
      <c r="M4" t="s">
        <v>56</v>
      </c>
      <c r="N4" t="s">
        <v>57</v>
      </c>
      <c r="O4" t="s">
        <v>59</v>
      </c>
      <c r="P4" t="s">
        <v>60</v>
      </c>
      <c r="Q4" t="s">
        <v>58</v>
      </c>
    </row>
    <row r="5" spans="2:17">
      <c r="B5">
        <v>1</v>
      </c>
      <c r="C5" s="2">
        <v>39</v>
      </c>
      <c r="D5">
        <v>106.8</v>
      </c>
      <c r="E5" s="3">
        <v>1</v>
      </c>
      <c r="F5" s="4">
        <v>0.46200000000000002</v>
      </c>
      <c r="G5" s="4">
        <f>C5/(D5*E5)</f>
        <v>0.3651685393258427</v>
      </c>
      <c r="H5" s="2">
        <f>D5*E5</f>
        <v>106.8</v>
      </c>
      <c r="K5">
        <v>1</v>
      </c>
      <c r="L5" s="2">
        <v>46.5</v>
      </c>
      <c r="M5" s="2">
        <v>106.9</v>
      </c>
      <c r="N5" s="3">
        <v>1</v>
      </c>
      <c r="O5" s="4">
        <v>-0.48399999999999999</v>
      </c>
      <c r="P5" s="4">
        <f>L5/(M5*N5)</f>
        <v>0.43498596819457436</v>
      </c>
      <c r="Q5" s="2">
        <f>M5*N5</f>
        <v>106.9</v>
      </c>
    </row>
    <row r="6" spans="2:17">
      <c r="B6">
        <v>2</v>
      </c>
      <c r="C6" s="2">
        <v>63.8</v>
      </c>
      <c r="D6">
        <v>106.8</v>
      </c>
      <c r="E6" s="3">
        <v>2</v>
      </c>
      <c r="F6" s="4">
        <v>0.36</v>
      </c>
      <c r="G6" s="4">
        <f t="shared" ref="G6:G8" si="0">C6/(D6*E6)</f>
        <v>0.29868913857677903</v>
      </c>
      <c r="H6" s="2">
        <f t="shared" ref="H6:H8" si="1">D6*E6</f>
        <v>213.6</v>
      </c>
      <c r="K6">
        <v>2</v>
      </c>
      <c r="L6" s="2">
        <v>71.5</v>
      </c>
      <c r="M6" s="2">
        <v>106.3</v>
      </c>
      <c r="N6" s="3">
        <v>2.0099999999999998</v>
      </c>
      <c r="O6" s="4">
        <v>-0.34</v>
      </c>
      <c r="P6" s="4">
        <f t="shared" ref="P6:P8" si="2">L6/(M6*N6)</f>
        <v>0.33463912797255496</v>
      </c>
      <c r="Q6" s="2">
        <f t="shared" ref="Q6:Q8" si="3">M6*N6</f>
        <v>213.66299999999998</v>
      </c>
    </row>
    <row r="7" spans="2:17">
      <c r="B7">
        <v>3</v>
      </c>
      <c r="C7" s="2">
        <v>84</v>
      </c>
      <c r="D7">
        <v>106.5</v>
      </c>
      <c r="E7" s="3">
        <v>3.05</v>
      </c>
      <c r="F7" s="4">
        <v>0.308</v>
      </c>
      <c r="G7" s="4">
        <f t="shared" si="0"/>
        <v>0.25860078503809747</v>
      </c>
      <c r="H7" s="2">
        <f t="shared" si="1"/>
        <v>324.82499999999999</v>
      </c>
      <c r="K7">
        <v>3</v>
      </c>
      <c r="L7" s="2">
        <v>95.8</v>
      </c>
      <c r="M7" s="2">
        <v>106</v>
      </c>
      <c r="N7" s="3">
        <v>2.99</v>
      </c>
      <c r="O7" s="4">
        <v>-0.3</v>
      </c>
      <c r="P7" s="4">
        <f t="shared" si="2"/>
        <v>0.30226541301192655</v>
      </c>
      <c r="Q7" s="2">
        <f t="shared" si="3"/>
        <v>316.94</v>
      </c>
    </row>
    <row r="8" spans="2:17">
      <c r="B8">
        <v>4</v>
      </c>
      <c r="C8" s="2">
        <v>106</v>
      </c>
      <c r="D8">
        <v>106.1</v>
      </c>
      <c r="E8" s="3">
        <v>3.98</v>
      </c>
      <c r="F8" s="4">
        <v>0.3</v>
      </c>
      <c r="G8" s="4">
        <f t="shared" si="0"/>
        <v>0.25101947058572793</v>
      </c>
      <c r="H8" s="2">
        <f t="shared" si="1"/>
        <v>422.27799999999996</v>
      </c>
      <c r="K8">
        <v>4</v>
      </c>
      <c r="L8" s="2">
        <v>119.5</v>
      </c>
      <c r="M8" s="2">
        <v>105.9</v>
      </c>
      <c r="N8" s="3">
        <v>4.01</v>
      </c>
      <c r="O8" s="4">
        <v>-0.28000000000000003</v>
      </c>
      <c r="P8" s="4">
        <f t="shared" si="2"/>
        <v>0.28140225451479894</v>
      </c>
      <c r="Q8" s="2">
        <f t="shared" si="3"/>
        <v>424.65899999999999</v>
      </c>
    </row>
    <row r="14" spans="2:17">
      <c r="K14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BAC5-70A1-464F-9ECB-D2159036648A}">
  <dimension ref="C2:G9"/>
  <sheetViews>
    <sheetView workbookViewId="0">
      <selection activeCell="C2" sqref="C2:G9"/>
    </sheetView>
  </sheetViews>
  <sheetFormatPr baseColWidth="10" defaultRowHeight="20"/>
  <cols>
    <col min="3" max="3" width="13.85546875" bestFit="1" customWidth="1"/>
    <col min="4" max="4" width="15.7109375" bestFit="1" customWidth="1"/>
    <col min="5" max="5" width="13.7109375" bestFit="1" customWidth="1"/>
    <col min="6" max="6" width="22.85546875" bestFit="1" customWidth="1"/>
  </cols>
  <sheetData>
    <row r="2" spans="3:7"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3:7">
      <c r="C3" t="s">
        <v>25</v>
      </c>
      <c r="D3" t="s">
        <v>30</v>
      </c>
      <c r="E3" t="s">
        <v>31</v>
      </c>
      <c r="F3" t="s">
        <v>35</v>
      </c>
      <c r="G3">
        <v>632</v>
      </c>
    </row>
    <row r="4" spans="3:7">
      <c r="C4" t="s">
        <v>26</v>
      </c>
      <c r="D4" t="s">
        <v>30</v>
      </c>
      <c r="E4" t="s">
        <v>52</v>
      </c>
      <c r="F4" t="s">
        <v>36</v>
      </c>
      <c r="G4" t="s">
        <v>49</v>
      </c>
    </row>
    <row r="5" spans="3:7">
      <c r="C5" t="s">
        <v>27</v>
      </c>
      <c r="D5" t="s">
        <v>30</v>
      </c>
      <c r="E5" t="s">
        <v>37</v>
      </c>
      <c r="F5" t="s">
        <v>53</v>
      </c>
      <c r="G5" s="5" t="s">
        <v>51</v>
      </c>
    </row>
    <row r="6" spans="3:7">
      <c r="C6" t="s">
        <v>28</v>
      </c>
      <c r="D6" t="s">
        <v>30</v>
      </c>
      <c r="E6" t="s">
        <v>45</v>
      </c>
      <c r="F6" t="s">
        <v>44</v>
      </c>
      <c r="G6" t="s">
        <v>50</v>
      </c>
    </row>
    <row r="7" spans="3:7">
      <c r="C7" t="s">
        <v>29</v>
      </c>
      <c r="D7" t="s">
        <v>30</v>
      </c>
      <c r="E7" t="s">
        <v>47</v>
      </c>
      <c r="F7" t="s">
        <v>46</v>
      </c>
      <c r="G7" t="s">
        <v>48</v>
      </c>
    </row>
    <row r="8" spans="3:7">
      <c r="C8" t="s">
        <v>38</v>
      </c>
      <c r="D8" t="s">
        <v>39</v>
      </c>
      <c r="E8" t="s">
        <v>40</v>
      </c>
      <c r="F8" t="s">
        <v>41</v>
      </c>
      <c r="G8">
        <v>625</v>
      </c>
    </row>
    <row r="9" spans="3:7">
      <c r="C9" t="s">
        <v>32</v>
      </c>
      <c r="D9" t="s">
        <v>33</v>
      </c>
      <c r="E9" t="s">
        <v>34</v>
      </c>
      <c r="F9" t="s">
        <v>42</v>
      </c>
      <c r="G9" t="s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RL負荷</vt:lpstr>
      <vt:lpstr>RC負荷</vt:lpstr>
      <vt:lpstr>低力率</vt:lpstr>
      <vt:lpstr>器具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2022-06-22T22:42:14Z</dcterms:created>
  <dcterms:modified xsi:type="dcterms:W3CDTF">2022-06-25T12:38:53Z</dcterms:modified>
</cp:coreProperties>
</file>