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nwilli31\Downloads\"/>
    </mc:Choice>
  </mc:AlternateContent>
  <bookViews>
    <workbookView xWindow="0" yWindow="0" windowWidth="14370" windowHeight="10905" tabRatio="717" activeTab="5"/>
  </bookViews>
  <sheets>
    <sheet name="wt" sheetId="1" r:id="rId1"/>
    <sheet name="dcin5_17" sheetId="3" r:id="rId2"/>
    <sheet name="dgln3" sheetId="4" r:id="rId3"/>
    <sheet name="dzap1" sheetId="6" r:id="rId4"/>
    <sheet name="dhap4" sheetId="5" r:id="rId5"/>
    <sheet name="Graphs" sheetId="41" r:id="rId6"/>
    <sheet name="minMSE_dhap4_calculated" sheetId="40" r:id="rId7"/>
    <sheet name="rand1" sheetId="7" r:id="rId8"/>
    <sheet name="rand2" sheetId="8" r:id="rId9"/>
    <sheet name="rand3" sheetId="9" r:id="rId10"/>
    <sheet name="rand4" sheetId="10" r:id="rId11"/>
    <sheet name="rand5" sheetId="12" r:id="rId12"/>
    <sheet name="rand6" sheetId="13" r:id="rId13"/>
    <sheet name="rand7" sheetId="14" r:id="rId14"/>
    <sheet name="rand8" sheetId="15" r:id="rId15"/>
    <sheet name="rand9" sheetId="16" r:id="rId16"/>
    <sheet name="rand10" sheetId="17" r:id="rId17"/>
    <sheet name="rand11" sheetId="11" r:id="rId18"/>
    <sheet name="rand12" sheetId="18" r:id="rId19"/>
    <sheet name="rand13" sheetId="19" r:id="rId20"/>
    <sheet name="rand14" sheetId="21" r:id="rId21"/>
    <sheet name="rand15" sheetId="22" r:id="rId22"/>
    <sheet name="rand16" sheetId="23" r:id="rId23"/>
    <sheet name="rand17" sheetId="24" r:id="rId24"/>
    <sheet name="rand18" sheetId="25" r:id="rId25"/>
    <sheet name="rand19" sheetId="26" r:id="rId26"/>
    <sheet name="rand20" sheetId="27" r:id="rId27"/>
    <sheet name="rand21" sheetId="28" r:id="rId28"/>
    <sheet name="rand22" sheetId="29" r:id="rId29"/>
    <sheet name="rand23" sheetId="30" r:id="rId30"/>
    <sheet name="rand24" sheetId="31" r:id="rId31"/>
    <sheet name="rand25" sheetId="32" r:id="rId32"/>
    <sheet name="rand26" sheetId="34" r:id="rId33"/>
    <sheet name="rand27" sheetId="35" r:id="rId34"/>
    <sheet name="rand28" sheetId="36" r:id="rId35"/>
    <sheet name="rand29" sheetId="37" r:id="rId36"/>
    <sheet name="rand30" sheetId="38" r:id="rId37"/>
    <sheet name="rand31" sheetId="39" r:id="rId38"/>
  </sheets>
  <calcPr calcId="15251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41" l="1"/>
  <c r="E1" i="41"/>
  <c r="B16" i="39"/>
  <c r="B15" i="39"/>
  <c r="B14" i="39"/>
  <c r="B13" i="39"/>
  <c r="B12" i="39"/>
  <c r="B11" i="39"/>
  <c r="B10" i="39"/>
  <c r="B9" i="39"/>
  <c r="B8" i="39"/>
  <c r="B7" i="39"/>
  <c r="B6" i="39"/>
  <c r="B5" i="39"/>
  <c r="B4" i="39"/>
  <c r="B3" i="39"/>
  <c r="D16" i="39"/>
  <c r="D15" i="39"/>
  <c r="D14" i="39"/>
  <c r="D13" i="39"/>
  <c r="D12" i="39"/>
  <c r="D11" i="39"/>
  <c r="D10" i="39"/>
  <c r="D9" i="39"/>
  <c r="D8" i="39"/>
  <c r="D7" i="39"/>
  <c r="D6" i="39"/>
  <c r="D5" i="39"/>
  <c r="D4" i="39"/>
  <c r="D3" i="39"/>
  <c r="H16" i="39"/>
  <c r="H15" i="39"/>
  <c r="H14" i="39"/>
  <c r="H13" i="39"/>
  <c r="H12" i="39"/>
  <c r="H11" i="39"/>
  <c r="H10" i="39"/>
  <c r="H9" i="39"/>
  <c r="H8" i="39"/>
  <c r="H7" i="39"/>
  <c r="H6" i="39"/>
  <c r="H5" i="39"/>
  <c r="H4" i="39"/>
  <c r="H3" i="39"/>
  <c r="J16" i="39"/>
  <c r="J15" i="39"/>
  <c r="J14" i="39"/>
  <c r="J13" i="39"/>
  <c r="J12" i="39"/>
  <c r="J11" i="39"/>
  <c r="J10" i="39"/>
  <c r="J9" i="39"/>
  <c r="J8" i="39"/>
  <c r="J7" i="39"/>
  <c r="J6" i="39"/>
  <c r="J5" i="39"/>
  <c r="J4" i="39"/>
  <c r="J3" i="39"/>
  <c r="L16" i="39"/>
  <c r="L15" i="39"/>
  <c r="L14" i="39"/>
  <c r="L13" i="39"/>
  <c r="L12" i="39"/>
  <c r="L11" i="39"/>
  <c r="L10" i="39"/>
  <c r="L9" i="39"/>
  <c r="L8" i="39"/>
  <c r="L7" i="39"/>
  <c r="L6" i="39"/>
  <c r="L5" i="39"/>
  <c r="L4" i="39"/>
  <c r="L3" i="39"/>
  <c r="J2" i="39"/>
  <c r="H2" i="39"/>
  <c r="F2" i="39"/>
  <c r="D2" i="39"/>
  <c r="B2" i="39"/>
  <c r="L2" i="39"/>
  <c r="L16" i="31"/>
  <c r="L15" i="31"/>
  <c r="L14" i="31"/>
  <c r="L13" i="31"/>
  <c r="L12" i="31"/>
  <c r="L11" i="31"/>
  <c r="L10" i="31"/>
  <c r="L9" i="31"/>
  <c r="L8" i="31"/>
  <c r="L7" i="31"/>
  <c r="L6" i="31"/>
  <c r="L5" i="31"/>
  <c r="L4" i="31"/>
  <c r="L3" i="31"/>
  <c r="J16" i="31"/>
  <c r="J15" i="31"/>
  <c r="J14" i="31"/>
  <c r="J13" i="31"/>
  <c r="J12" i="31"/>
  <c r="J11" i="31"/>
  <c r="J10" i="31"/>
  <c r="J8" i="31"/>
  <c r="J9" i="31"/>
  <c r="J7" i="31"/>
  <c r="J6" i="31"/>
  <c r="J5" i="31"/>
  <c r="J4" i="31"/>
  <c r="J3" i="31"/>
  <c r="H16" i="31"/>
  <c r="H15" i="31"/>
  <c r="H14" i="31"/>
  <c r="H13" i="31"/>
  <c r="H12" i="31"/>
  <c r="H11" i="31"/>
  <c r="H10" i="31"/>
  <c r="H9" i="31"/>
  <c r="H8" i="31"/>
  <c r="H7" i="31"/>
  <c r="H6" i="31"/>
  <c r="H5" i="31"/>
  <c r="H4" i="31"/>
  <c r="H3" i="31"/>
  <c r="F16" i="31"/>
  <c r="F15" i="31"/>
  <c r="F14" i="31"/>
  <c r="F13" i="31"/>
  <c r="F12" i="31"/>
  <c r="F11" i="31"/>
  <c r="F10" i="31"/>
  <c r="F9" i="31"/>
  <c r="F8" i="31"/>
  <c r="F7" i="31"/>
  <c r="F6" i="31"/>
  <c r="F5" i="31"/>
  <c r="F4" i="31"/>
  <c r="F3" i="31"/>
  <c r="D16" i="31"/>
  <c r="D15" i="31"/>
  <c r="D14" i="31"/>
  <c r="D13" i="31"/>
  <c r="D12" i="31"/>
  <c r="D11" i="31"/>
  <c r="D10" i="31"/>
  <c r="D9" i="31"/>
  <c r="D8" i="31"/>
  <c r="D7" i="31"/>
  <c r="D6" i="31"/>
  <c r="D5" i="31"/>
  <c r="D4" i="31"/>
  <c r="D3" i="31"/>
  <c r="B16" i="31"/>
  <c r="B15" i="31"/>
  <c r="B14" i="31"/>
  <c r="B13" i="31"/>
  <c r="B12" i="31"/>
  <c r="B11" i="31"/>
  <c r="B10" i="31"/>
  <c r="B9" i="31"/>
  <c r="B8" i="31"/>
  <c r="B7" i="31"/>
  <c r="B6" i="31"/>
  <c r="B5" i="31"/>
  <c r="B4" i="31"/>
  <c r="B3" i="31"/>
  <c r="L2" i="31"/>
  <c r="J2" i="31"/>
  <c r="H2" i="31"/>
  <c r="F2" i="31"/>
  <c r="D2" i="31"/>
  <c r="B2" i="31"/>
  <c r="B16" i="23"/>
  <c r="B15" i="23"/>
  <c r="B14" i="23"/>
  <c r="B13" i="23"/>
  <c r="B12" i="23"/>
  <c r="B11" i="23"/>
  <c r="B10" i="23"/>
  <c r="B9" i="23"/>
  <c r="B8" i="23"/>
  <c r="B7" i="23"/>
  <c r="B6" i="23"/>
  <c r="B5" i="23"/>
  <c r="B4" i="23"/>
  <c r="B3" i="23"/>
  <c r="B2" i="23"/>
  <c r="D16" i="23"/>
  <c r="D15" i="23"/>
  <c r="D14" i="23"/>
  <c r="D13" i="23"/>
  <c r="D12" i="23"/>
  <c r="D11" i="23"/>
  <c r="D10" i="23"/>
  <c r="D9" i="23"/>
  <c r="D8" i="23"/>
  <c r="D7" i="23"/>
  <c r="D6" i="23"/>
  <c r="D5" i="23"/>
  <c r="D4" i="23"/>
  <c r="D3" i="23"/>
  <c r="F16" i="23"/>
  <c r="F15" i="23"/>
  <c r="F14" i="23"/>
  <c r="F13" i="23"/>
  <c r="F12" i="23"/>
  <c r="F11" i="23"/>
  <c r="F10" i="23"/>
  <c r="F9" i="23"/>
  <c r="F8" i="23"/>
  <c r="F7" i="23"/>
  <c r="F6" i="23"/>
  <c r="F5" i="23"/>
  <c r="F4" i="23"/>
  <c r="F3" i="23"/>
  <c r="H16" i="23"/>
  <c r="H15" i="23"/>
  <c r="H14" i="23"/>
  <c r="H13" i="23"/>
  <c r="H12" i="23"/>
  <c r="H11" i="23"/>
  <c r="H10" i="23"/>
  <c r="H9" i="23"/>
  <c r="H8" i="23"/>
  <c r="H7" i="23"/>
  <c r="H6" i="23"/>
  <c r="H5" i="23"/>
  <c r="H4" i="23"/>
  <c r="H3" i="23"/>
  <c r="J16" i="23"/>
  <c r="J15" i="23"/>
  <c r="J14" i="23"/>
  <c r="J13" i="23"/>
  <c r="J12" i="23"/>
  <c r="J11" i="23"/>
  <c r="J10" i="23"/>
  <c r="J9" i="23"/>
  <c r="J8" i="23"/>
  <c r="J7" i="23"/>
  <c r="J6" i="23"/>
  <c r="J5" i="23"/>
  <c r="J4" i="23"/>
  <c r="J3" i="23"/>
  <c r="L16" i="23"/>
  <c r="L15" i="23"/>
  <c r="L14" i="23"/>
  <c r="L13" i="23"/>
  <c r="L12" i="23"/>
  <c r="L11" i="23"/>
  <c r="L10" i="23"/>
  <c r="L9" i="23"/>
  <c r="L8" i="23"/>
  <c r="L7" i="23"/>
  <c r="L6" i="23"/>
  <c r="L5" i="23"/>
  <c r="L4" i="23"/>
  <c r="L3" i="23"/>
  <c r="C2" i="23"/>
  <c r="D2" i="23"/>
  <c r="F2" i="23"/>
  <c r="H2" i="23"/>
  <c r="J2" i="23"/>
  <c r="L2" i="23"/>
  <c r="L16" i="22"/>
  <c r="L15" i="22"/>
  <c r="L14" i="22"/>
  <c r="L13" i="22"/>
  <c r="L12" i="22"/>
  <c r="L11" i="22"/>
  <c r="L10" i="22"/>
  <c r="L9" i="22"/>
  <c r="L8" i="22"/>
  <c r="L7" i="22"/>
  <c r="L6" i="22"/>
  <c r="L5" i="22"/>
  <c r="L4" i="22"/>
  <c r="L3" i="22"/>
  <c r="J16" i="22"/>
  <c r="J15" i="22"/>
  <c r="J14" i="22"/>
  <c r="J13" i="22"/>
  <c r="J12" i="22"/>
  <c r="J11" i="22"/>
  <c r="J10" i="22"/>
  <c r="J9" i="22"/>
  <c r="J8" i="22"/>
  <c r="J7" i="22"/>
  <c r="J6" i="22"/>
  <c r="J5" i="22"/>
  <c r="J4" i="22"/>
  <c r="J3" i="22"/>
  <c r="H16" i="22"/>
  <c r="H15" i="22"/>
  <c r="H14" i="22"/>
  <c r="H13" i="22"/>
  <c r="H12" i="22"/>
  <c r="H11" i="22"/>
  <c r="H10" i="22"/>
  <c r="H9" i="22"/>
  <c r="H8" i="22"/>
  <c r="H7" i="22"/>
  <c r="H6" i="22"/>
  <c r="H5" i="22"/>
  <c r="H4" i="22"/>
  <c r="H3" i="22"/>
  <c r="F16" i="22"/>
  <c r="F15" i="22"/>
  <c r="F14" i="22"/>
  <c r="F13" i="22"/>
  <c r="F12" i="22"/>
  <c r="F11" i="22"/>
  <c r="F10" i="22"/>
  <c r="F9" i="22"/>
  <c r="F8" i="22"/>
  <c r="F7" i="22"/>
  <c r="F6" i="22"/>
  <c r="F5" i="22"/>
  <c r="F4" i="22"/>
  <c r="F3" i="22"/>
  <c r="D15" i="22"/>
  <c r="D14" i="22"/>
  <c r="D13" i="22"/>
  <c r="D12" i="22"/>
  <c r="D11" i="22"/>
  <c r="D10" i="22"/>
  <c r="D9" i="22"/>
  <c r="D8" i="22"/>
  <c r="D7" i="22"/>
  <c r="D6" i="22"/>
  <c r="D5" i="22"/>
  <c r="D4" i="22"/>
  <c r="D3" i="22"/>
  <c r="D2" i="22"/>
  <c r="F2" i="22"/>
  <c r="H2" i="22"/>
  <c r="J2" i="22"/>
  <c r="L2" i="22"/>
  <c r="D16" i="22"/>
  <c r="B16" i="22"/>
  <c r="B15" i="22"/>
  <c r="B14" i="22"/>
  <c r="B13" i="22"/>
  <c r="B12" i="22"/>
  <c r="B11" i="22"/>
  <c r="B10" i="22"/>
  <c r="B9" i="22"/>
  <c r="B8" i="22"/>
  <c r="B7" i="22"/>
  <c r="B6" i="22"/>
  <c r="B5" i="22"/>
  <c r="B4" i="22"/>
  <c r="B3" i="22"/>
  <c r="B2" i="22"/>
  <c r="B16" i="18"/>
  <c r="B15" i="18"/>
  <c r="B14" i="18"/>
  <c r="B13" i="18"/>
  <c r="B12" i="18"/>
  <c r="B11" i="18"/>
  <c r="B10" i="18"/>
  <c r="B9" i="18"/>
  <c r="B8" i="18"/>
  <c r="B7" i="18"/>
  <c r="B6" i="18"/>
  <c r="B5" i="18"/>
  <c r="B4" i="18"/>
  <c r="B3" i="18"/>
  <c r="D16" i="18"/>
  <c r="D15" i="18"/>
  <c r="D14" i="18"/>
  <c r="D13" i="18"/>
  <c r="D12" i="18"/>
  <c r="D11" i="18"/>
  <c r="D10" i="18"/>
  <c r="D9" i="18"/>
  <c r="D8" i="18"/>
  <c r="D7" i="18"/>
  <c r="D6" i="18"/>
  <c r="D5" i="18"/>
  <c r="D4" i="18"/>
  <c r="D3" i="18"/>
  <c r="F16" i="18"/>
  <c r="F15" i="18"/>
  <c r="F14" i="18"/>
  <c r="F13" i="18"/>
  <c r="F12" i="18"/>
  <c r="F11" i="18"/>
  <c r="F10" i="18"/>
  <c r="F9" i="18"/>
  <c r="F8" i="18"/>
  <c r="F7" i="18"/>
  <c r="F6" i="18"/>
  <c r="F5" i="18"/>
  <c r="F4" i="18"/>
  <c r="F3" i="18"/>
  <c r="H16" i="18"/>
  <c r="H15" i="18"/>
  <c r="H14" i="18"/>
  <c r="H13" i="18"/>
  <c r="H12" i="18"/>
  <c r="H11" i="18"/>
  <c r="H10" i="18"/>
  <c r="H9" i="18"/>
  <c r="H8" i="18"/>
  <c r="H7" i="18"/>
  <c r="H6" i="18"/>
  <c r="H5" i="18"/>
  <c r="H4" i="18"/>
  <c r="H3" i="18"/>
  <c r="L16" i="18"/>
  <c r="L15" i="18"/>
  <c r="L14" i="18"/>
  <c r="L13" i="18"/>
  <c r="L12" i="18"/>
  <c r="L11" i="18"/>
  <c r="L10" i="18"/>
  <c r="L9" i="18"/>
  <c r="L8" i="18"/>
  <c r="L7" i="18"/>
  <c r="L6" i="18"/>
  <c r="L5" i="18"/>
  <c r="L4" i="18"/>
  <c r="J14" i="18"/>
  <c r="J13" i="18"/>
  <c r="J12" i="18"/>
  <c r="J11" i="18"/>
  <c r="J10" i="18"/>
  <c r="J9" i="18"/>
  <c r="J8" i="18"/>
  <c r="J7" i="18"/>
  <c r="J6" i="18"/>
  <c r="J5" i="18"/>
  <c r="J4" i="18"/>
  <c r="J15" i="18"/>
  <c r="J16" i="18"/>
  <c r="L3" i="18"/>
  <c r="J3" i="18"/>
  <c r="J2" i="18"/>
  <c r="H2" i="18"/>
  <c r="F2" i="18"/>
  <c r="D2" i="18"/>
  <c r="B2" i="18"/>
  <c r="L2" i="18"/>
  <c r="L16" i="14"/>
  <c r="L15" i="14"/>
  <c r="L14" i="14"/>
  <c r="L13" i="14"/>
  <c r="L12" i="14"/>
  <c r="L11" i="14"/>
  <c r="L10" i="14"/>
  <c r="L9" i="14"/>
  <c r="L8" i="14"/>
  <c r="L7" i="14"/>
  <c r="L6" i="14"/>
  <c r="L5" i="14"/>
  <c r="L4" i="14"/>
  <c r="L3" i="14"/>
  <c r="J16" i="14"/>
  <c r="J15" i="14"/>
  <c r="J14" i="14"/>
  <c r="J13" i="14"/>
  <c r="J12" i="14"/>
  <c r="J11" i="14"/>
  <c r="J10" i="14"/>
  <c r="J9" i="14"/>
  <c r="J8" i="14"/>
  <c r="J7" i="14"/>
  <c r="J6" i="14"/>
  <c r="J5" i="14"/>
  <c r="J4" i="14"/>
  <c r="J3" i="14"/>
  <c r="H16" i="14"/>
  <c r="H15" i="14"/>
  <c r="H14" i="14"/>
  <c r="H13" i="14"/>
  <c r="H12" i="14"/>
  <c r="H11" i="14"/>
  <c r="H10" i="14"/>
  <c r="H9" i="14"/>
  <c r="H8" i="14"/>
  <c r="H7" i="14"/>
  <c r="H6" i="14"/>
  <c r="H5" i="14"/>
  <c r="H4" i="14"/>
  <c r="H3" i="14"/>
  <c r="F16" i="14"/>
  <c r="F15" i="14"/>
  <c r="F14" i="14"/>
  <c r="F13" i="14"/>
  <c r="F12" i="14"/>
  <c r="F11" i="14"/>
  <c r="F10" i="14"/>
  <c r="F9" i="14"/>
  <c r="F8" i="14"/>
  <c r="F7" i="14"/>
  <c r="F6" i="14"/>
  <c r="F5" i="14"/>
  <c r="F4" i="14"/>
  <c r="F3" i="14"/>
  <c r="D16" i="14"/>
  <c r="D15" i="14"/>
  <c r="D14" i="14"/>
  <c r="D13" i="14"/>
  <c r="D12" i="14"/>
  <c r="D11" i="14"/>
  <c r="D10" i="14"/>
  <c r="D9" i="14"/>
  <c r="D8" i="14"/>
  <c r="D7" i="14"/>
  <c r="D6" i="14"/>
  <c r="D5" i="14"/>
  <c r="D4" i="14"/>
  <c r="D3" i="14"/>
  <c r="L2" i="14"/>
  <c r="J2" i="14"/>
  <c r="H2" i="14"/>
  <c r="F2" i="14"/>
  <c r="D2" i="14"/>
  <c r="B16" i="14"/>
  <c r="B15" i="14"/>
  <c r="B14" i="14"/>
  <c r="B13" i="14"/>
  <c r="B12" i="14"/>
  <c r="B11" i="14"/>
  <c r="B10" i="14"/>
  <c r="B9" i="14"/>
  <c r="B8" i="14"/>
  <c r="B7" i="14"/>
  <c r="B6" i="14"/>
  <c r="B5" i="14"/>
  <c r="B4" i="14"/>
  <c r="B3" i="14"/>
  <c r="B2" i="14"/>
  <c r="L16" i="12"/>
  <c r="L15" i="12"/>
  <c r="L14" i="12"/>
  <c r="L13" i="12"/>
  <c r="L12" i="12"/>
  <c r="L11" i="12"/>
  <c r="L10" i="12"/>
  <c r="L9" i="12"/>
  <c r="L8" i="12"/>
  <c r="L7" i="12"/>
  <c r="L6" i="12"/>
  <c r="L5" i="12"/>
  <c r="L4" i="12"/>
  <c r="L3" i="12"/>
  <c r="J16" i="12"/>
  <c r="J15" i="12"/>
  <c r="J14" i="12"/>
  <c r="J13" i="12"/>
  <c r="J12" i="12"/>
  <c r="J11" i="12"/>
  <c r="J10" i="12"/>
  <c r="J9" i="12"/>
  <c r="J8" i="12"/>
  <c r="J7" i="12"/>
  <c r="J6" i="12"/>
  <c r="J5" i="12"/>
  <c r="J4" i="12"/>
  <c r="J3" i="12"/>
  <c r="H16" i="12"/>
  <c r="H15" i="12"/>
  <c r="H14" i="12"/>
  <c r="H13" i="12"/>
  <c r="H12" i="12"/>
  <c r="H11" i="12"/>
  <c r="H10" i="12"/>
  <c r="H9" i="12"/>
  <c r="H8" i="12"/>
  <c r="H7" i="12"/>
  <c r="H6" i="12"/>
  <c r="H5" i="12"/>
  <c r="H4" i="12"/>
  <c r="H3" i="12"/>
  <c r="F16" i="12"/>
  <c r="F15" i="12"/>
  <c r="F14" i="12"/>
  <c r="F13" i="12"/>
  <c r="F12" i="12"/>
  <c r="F11" i="12"/>
  <c r="F10" i="12"/>
  <c r="F9" i="12"/>
  <c r="F8" i="12"/>
  <c r="F7" i="12"/>
  <c r="F6" i="12"/>
  <c r="F5" i="12"/>
  <c r="F4" i="12"/>
  <c r="F3" i="12"/>
  <c r="D16" i="12"/>
  <c r="D15" i="12"/>
  <c r="D14" i="12"/>
  <c r="D13" i="12"/>
  <c r="D12" i="12"/>
  <c r="D11" i="12"/>
  <c r="D10" i="12"/>
  <c r="D9" i="12"/>
  <c r="D8" i="12"/>
  <c r="D7" i="12"/>
  <c r="D6" i="12"/>
  <c r="D5" i="12"/>
  <c r="D4" i="12"/>
  <c r="D3" i="12"/>
  <c r="L2" i="12"/>
  <c r="J2" i="12"/>
  <c r="H2" i="12"/>
  <c r="F2" i="12"/>
  <c r="D2" i="12"/>
  <c r="L16" i="5"/>
  <c r="L15" i="5"/>
  <c r="L6" i="5"/>
  <c r="L14" i="5"/>
  <c r="L13" i="5"/>
  <c r="L12" i="5"/>
  <c r="L11" i="5"/>
  <c r="L10" i="5"/>
  <c r="L9" i="5"/>
  <c r="L8" i="5"/>
  <c r="L7" i="5"/>
  <c r="L5" i="5"/>
  <c r="L4" i="5"/>
  <c r="L3" i="5"/>
  <c r="L2" i="5"/>
  <c r="J16" i="5"/>
  <c r="J15" i="5"/>
  <c r="J14" i="5"/>
  <c r="J13" i="5"/>
  <c r="J12" i="5"/>
  <c r="J11" i="5"/>
  <c r="J10" i="5"/>
  <c r="J9" i="5"/>
  <c r="J8" i="5"/>
  <c r="J7" i="5"/>
  <c r="J6" i="5"/>
  <c r="J5" i="5"/>
  <c r="J4" i="5"/>
  <c r="J3" i="5"/>
  <c r="J2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H3" i="5"/>
  <c r="H2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D16" i="5"/>
  <c r="D15" i="5"/>
  <c r="D14" i="5"/>
  <c r="D13" i="5"/>
  <c r="D12" i="5"/>
  <c r="D11" i="5"/>
  <c r="D10" i="5"/>
  <c r="D9" i="5"/>
  <c r="D8" i="5"/>
  <c r="D7" i="5"/>
  <c r="D6" i="5"/>
  <c r="D5" i="5"/>
  <c r="D3" i="5"/>
  <c r="D4" i="5"/>
  <c r="D2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  <c r="B16" i="12"/>
  <c r="B15" i="12"/>
  <c r="B14" i="12"/>
  <c r="B13" i="12"/>
  <c r="B12" i="12"/>
  <c r="B11" i="12"/>
  <c r="B10" i="12"/>
  <c r="B9" i="12"/>
  <c r="B8" i="12"/>
  <c r="B7" i="12"/>
  <c r="B6" i="12"/>
  <c r="B5" i="12"/>
  <c r="B4" i="12"/>
  <c r="B3" i="12"/>
  <c r="B2" i="12"/>
  <c r="L22" i="39"/>
  <c r="L23" i="39"/>
  <c r="L24" i="39"/>
  <c r="L25" i="39"/>
  <c r="L26" i="39"/>
  <c r="L27" i="39"/>
  <c r="L28" i="39"/>
  <c r="L29" i="39"/>
  <c r="L30" i="39"/>
  <c r="L31" i="39"/>
  <c r="L32" i="39"/>
  <c r="L33" i="39"/>
  <c r="L34" i="39"/>
  <c r="L35" i="39"/>
  <c r="J22" i="39"/>
  <c r="J23" i="39"/>
  <c r="J24" i="39"/>
  <c r="J25" i="39"/>
  <c r="J26" i="39"/>
  <c r="J27" i="39"/>
  <c r="J28" i="39"/>
  <c r="J29" i="39"/>
  <c r="J30" i="39"/>
  <c r="J31" i="39"/>
  <c r="J32" i="39"/>
  <c r="J33" i="39"/>
  <c r="J34" i="39"/>
  <c r="J35" i="39"/>
  <c r="H22" i="39"/>
  <c r="H23" i="39"/>
  <c r="H24" i="39"/>
  <c r="H25" i="39"/>
  <c r="H26" i="39"/>
  <c r="H27" i="39"/>
  <c r="H28" i="39"/>
  <c r="H29" i="39"/>
  <c r="H30" i="39"/>
  <c r="H31" i="39"/>
  <c r="H32" i="39"/>
  <c r="H33" i="39"/>
  <c r="H34" i="39"/>
  <c r="H35" i="39"/>
  <c r="F22" i="39"/>
  <c r="F23" i="39"/>
  <c r="F24" i="39"/>
  <c r="F25" i="39"/>
  <c r="F26" i="39"/>
  <c r="F27" i="39"/>
  <c r="F28" i="39"/>
  <c r="F29" i="39"/>
  <c r="F30" i="39"/>
  <c r="F31" i="39"/>
  <c r="F32" i="39"/>
  <c r="F33" i="39"/>
  <c r="F34" i="39"/>
  <c r="F35" i="39"/>
  <c r="D22" i="39"/>
  <c r="D23" i="39"/>
  <c r="D24" i="39"/>
  <c r="D25" i="39"/>
  <c r="D26" i="39"/>
  <c r="D27" i="39"/>
  <c r="D28" i="39"/>
  <c r="D29" i="39"/>
  <c r="D30" i="39"/>
  <c r="D31" i="39"/>
  <c r="D32" i="39"/>
  <c r="D33" i="39"/>
  <c r="D34" i="39"/>
  <c r="D35" i="39"/>
  <c r="B22" i="39"/>
  <c r="B23" i="39"/>
  <c r="B24" i="39"/>
  <c r="B25" i="39"/>
  <c r="B26" i="39"/>
  <c r="B27" i="39"/>
  <c r="B28" i="39"/>
  <c r="B29" i="39"/>
  <c r="B30" i="39"/>
  <c r="B31" i="39"/>
  <c r="B32" i="39"/>
  <c r="B33" i="39"/>
  <c r="B34" i="39"/>
  <c r="B35" i="39"/>
  <c r="L21" i="39"/>
  <c r="J21" i="39"/>
  <c r="H21" i="39"/>
  <c r="F21" i="39"/>
  <c r="D21" i="39"/>
  <c r="B21" i="39"/>
  <c r="L21" i="38"/>
  <c r="L22" i="38"/>
  <c r="L23" i="38"/>
  <c r="L24" i="38"/>
  <c r="L25" i="38"/>
  <c r="L26" i="38"/>
  <c r="L27" i="38"/>
  <c r="L28" i="38"/>
  <c r="L29" i="38"/>
  <c r="L30" i="38"/>
  <c r="L31" i="38"/>
  <c r="L32" i="38"/>
  <c r="L33" i="38"/>
  <c r="L34" i="38"/>
  <c r="J21" i="38"/>
  <c r="J22" i="38"/>
  <c r="J23" i="38"/>
  <c r="J24" i="38"/>
  <c r="J25" i="38"/>
  <c r="J26" i="38"/>
  <c r="J27" i="38"/>
  <c r="J28" i="38"/>
  <c r="J29" i="38"/>
  <c r="J30" i="38"/>
  <c r="J31" i="38"/>
  <c r="J32" i="38"/>
  <c r="J33" i="38"/>
  <c r="J34" i="38"/>
  <c r="H21" i="38"/>
  <c r="H22" i="38"/>
  <c r="H23" i="38"/>
  <c r="H24" i="38"/>
  <c r="H25" i="38"/>
  <c r="H26" i="38"/>
  <c r="H27" i="38"/>
  <c r="H28" i="38"/>
  <c r="H29" i="38"/>
  <c r="H30" i="38"/>
  <c r="H31" i="38"/>
  <c r="H32" i="38"/>
  <c r="H33" i="38"/>
  <c r="H34" i="38"/>
  <c r="F21" i="38"/>
  <c r="F22" i="38"/>
  <c r="F23" i="38"/>
  <c r="F24" i="38"/>
  <c r="F25" i="38"/>
  <c r="F26" i="38"/>
  <c r="F27" i="38"/>
  <c r="F28" i="38"/>
  <c r="F29" i="38"/>
  <c r="F30" i="38"/>
  <c r="F31" i="38"/>
  <c r="F32" i="38"/>
  <c r="F33" i="38"/>
  <c r="F34" i="38"/>
  <c r="D21" i="38"/>
  <c r="D22" i="38"/>
  <c r="D23" i="38"/>
  <c r="D24" i="38"/>
  <c r="D25" i="38"/>
  <c r="D26" i="38"/>
  <c r="D27" i="38"/>
  <c r="D28" i="38"/>
  <c r="D29" i="38"/>
  <c r="D30" i="38"/>
  <c r="D31" i="38"/>
  <c r="D32" i="38"/>
  <c r="D33" i="38"/>
  <c r="D34" i="38"/>
  <c r="B21" i="38"/>
  <c r="B22" i="38"/>
  <c r="B23" i="38"/>
  <c r="B24" i="38"/>
  <c r="B25" i="38"/>
  <c r="B26" i="38"/>
  <c r="B27" i="38"/>
  <c r="B28" i="38"/>
  <c r="B29" i="38"/>
  <c r="B30" i="38"/>
  <c r="B31" i="38"/>
  <c r="B32" i="38"/>
  <c r="B33" i="38"/>
  <c r="B34" i="38"/>
  <c r="L20" i="38"/>
  <c r="J20" i="38"/>
  <c r="H20" i="38"/>
  <c r="F20" i="38"/>
  <c r="D20" i="38"/>
  <c r="B20" i="38"/>
  <c r="L22" i="37"/>
  <c r="L23" i="37"/>
  <c r="L24" i="37"/>
  <c r="L25" i="37"/>
  <c r="L26" i="37"/>
  <c r="L27" i="37"/>
  <c r="L28" i="37"/>
  <c r="L29" i="37"/>
  <c r="L30" i="37"/>
  <c r="L31" i="37"/>
  <c r="L32" i="37"/>
  <c r="L33" i="37"/>
  <c r="L34" i="37"/>
  <c r="L35" i="37"/>
  <c r="J22" i="37"/>
  <c r="J23" i="37"/>
  <c r="J24" i="37"/>
  <c r="J25" i="37"/>
  <c r="J26" i="37"/>
  <c r="J27" i="37"/>
  <c r="J28" i="37"/>
  <c r="J29" i="37"/>
  <c r="J30" i="37"/>
  <c r="J31" i="37"/>
  <c r="J32" i="37"/>
  <c r="J33" i="37"/>
  <c r="J34" i="37"/>
  <c r="J35" i="37"/>
  <c r="H22" i="37"/>
  <c r="H23" i="37"/>
  <c r="H24" i="37"/>
  <c r="H25" i="37"/>
  <c r="H26" i="37"/>
  <c r="H27" i="37"/>
  <c r="H28" i="37"/>
  <c r="H29" i="37"/>
  <c r="H30" i="37"/>
  <c r="H31" i="37"/>
  <c r="H32" i="37"/>
  <c r="H33" i="37"/>
  <c r="H34" i="37"/>
  <c r="H35" i="37"/>
  <c r="F22" i="37"/>
  <c r="F23" i="37"/>
  <c r="F24" i="37"/>
  <c r="F25" i="37"/>
  <c r="F26" i="37"/>
  <c r="F27" i="37"/>
  <c r="F28" i="37"/>
  <c r="F29" i="37"/>
  <c r="F30" i="37"/>
  <c r="F31" i="37"/>
  <c r="F32" i="37"/>
  <c r="F33" i="37"/>
  <c r="F34" i="37"/>
  <c r="F35" i="37"/>
  <c r="D22" i="37"/>
  <c r="D23" i="37"/>
  <c r="D24" i="37"/>
  <c r="D25" i="37"/>
  <c r="D26" i="37"/>
  <c r="D27" i="37"/>
  <c r="D28" i="37"/>
  <c r="D29" i="37"/>
  <c r="D30" i="37"/>
  <c r="D31" i="37"/>
  <c r="D32" i="37"/>
  <c r="D33" i="37"/>
  <c r="D34" i="37"/>
  <c r="D35" i="37"/>
  <c r="B22" i="37"/>
  <c r="B23" i="37"/>
  <c r="B24" i="37"/>
  <c r="B25" i="37"/>
  <c r="B26" i="37"/>
  <c r="B27" i="37"/>
  <c r="B28" i="37"/>
  <c r="B29" i="37"/>
  <c r="B30" i="37"/>
  <c r="B31" i="37"/>
  <c r="B32" i="37"/>
  <c r="B33" i="37"/>
  <c r="B34" i="37"/>
  <c r="B35" i="37"/>
  <c r="L21" i="37"/>
  <c r="J21" i="37"/>
  <c r="H21" i="37"/>
  <c r="F21" i="37"/>
  <c r="D21" i="37"/>
  <c r="B21" i="37"/>
  <c r="L22" i="36"/>
  <c r="L23" i="36"/>
  <c r="L24" i="36"/>
  <c r="L25" i="36"/>
  <c r="L26" i="36"/>
  <c r="L27" i="36"/>
  <c r="L28" i="36"/>
  <c r="L29" i="36"/>
  <c r="L30" i="36"/>
  <c r="L31" i="36"/>
  <c r="L32" i="36"/>
  <c r="L33" i="36"/>
  <c r="L34" i="36"/>
  <c r="L35" i="36"/>
  <c r="J22" i="36"/>
  <c r="J23" i="36"/>
  <c r="J24" i="36"/>
  <c r="J25" i="36"/>
  <c r="J26" i="36"/>
  <c r="J27" i="36"/>
  <c r="J28" i="36"/>
  <c r="J29" i="36"/>
  <c r="J30" i="36"/>
  <c r="J31" i="36"/>
  <c r="J32" i="36"/>
  <c r="J33" i="36"/>
  <c r="J34" i="36"/>
  <c r="J35" i="36"/>
  <c r="H35" i="36"/>
  <c r="H22" i="36"/>
  <c r="H23" i="36"/>
  <c r="H24" i="36"/>
  <c r="H25" i="36"/>
  <c r="H26" i="36"/>
  <c r="H27" i="36"/>
  <c r="H28" i="36"/>
  <c r="H29" i="36"/>
  <c r="H30" i="36"/>
  <c r="H31" i="36"/>
  <c r="H32" i="36"/>
  <c r="H33" i="36"/>
  <c r="H34" i="36"/>
  <c r="F22" i="36"/>
  <c r="F23" i="36"/>
  <c r="F24" i="36"/>
  <c r="F25" i="36"/>
  <c r="F26" i="36"/>
  <c r="F27" i="36"/>
  <c r="F28" i="36"/>
  <c r="F29" i="36"/>
  <c r="F30" i="36"/>
  <c r="F31" i="36"/>
  <c r="F32" i="36"/>
  <c r="F33" i="36"/>
  <c r="F34" i="36"/>
  <c r="F35" i="36"/>
  <c r="D22" i="36"/>
  <c r="D23" i="36"/>
  <c r="D24" i="36"/>
  <c r="D25" i="36"/>
  <c r="D26" i="36"/>
  <c r="D27" i="36"/>
  <c r="D28" i="36"/>
  <c r="D29" i="36"/>
  <c r="D30" i="36"/>
  <c r="D31" i="36"/>
  <c r="D32" i="36"/>
  <c r="D33" i="36"/>
  <c r="D34" i="36"/>
  <c r="D35" i="36"/>
  <c r="B22" i="36"/>
  <c r="B23" i="36"/>
  <c r="B24" i="36"/>
  <c r="B25" i="36"/>
  <c r="B26" i="36"/>
  <c r="B27" i="36"/>
  <c r="B28" i="36"/>
  <c r="B29" i="36"/>
  <c r="B30" i="36"/>
  <c r="B31" i="36"/>
  <c r="B32" i="36"/>
  <c r="B33" i="36"/>
  <c r="B34" i="36"/>
  <c r="B35" i="36"/>
  <c r="L21" i="36"/>
  <c r="J21" i="36"/>
  <c r="H21" i="36"/>
  <c r="F21" i="36"/>
  <c r="D21" i="36"/>
  <c r="B21" i="36"/>
  <c r="L22" i="35"/>
  <c r="L23" i="35"/>
  <c r="L24" i="35"/>
  <c r="L25" i="35"/>
  <c r="L26" i="35"/>
  <c r="L27" i="35"/>
  <c r="L28" i="35"/>
  <c r="L29" i="35"/>
  <c r="L30" i="35"/>
  <c r="L31" i="35"/>
  <c r="L32" i="35"/>
  <c r="L33" i="35"/>
  <c r="L34" i="35"/>
  <c r="L35" i="35"/>
  <c r="J22" i="35"/>
  <c r="J23" i="35"/>
  <c r="J24" i="35"/>
  <c r="J25" i="35"/>
  <c r="J26" i="35"/>
  <c r="J27" i="35"/>
  <c r="J28" i="35"/>
  <c r="J29" i="35"/>
  <c r="J30" i="35"/>
  <c r="J31" i="35"/>
  <c r="J32" i="35"/>
  <c r="J33" i="35"/>
  <c r="J34" i="35"/>
  <c r="J35" i="35"/>
  <c r="H22" i="35"/>
  <c r="H23" i="35"/>
  <c r="H24" i="35"/>
  <c r="H25" i="35"/>
  <c r="H26" i="35"/>
  <c r="H27" i="35"/>
  <c r="H28" i="35"/>
  <c r="H29" i="35"/>
  <c r="H30" i="35"/>
  <c r="H31" i="35"/>
  <c r="H32" i="35"/>
  <c r="H33" i="35"/>
  <c r="H34" i="35"/>
  <c r="H35" i="35"/>
  <c r="F22" i="35"/>
  <c r="F23" i="35"/>
  <c r="F24" i="35"/>
  <c r="F25" i="35"/>
  <c r="F26" i="35"/>
  <c r="F27" i="35"/>
  <c r="F28" i="35"/>
  <c r="F29" i="35"/>
  <c r="F30" i="35"/>
  <c r="F31" i="35"/>
  <c r="F32" i="35"/>
  <c r="F33" i="35"/>
  <c r="F34" i="35"/>
  <c r="F35" i="35"/>
  <c r="D22" i="35"/>
  <c r="D23" i="35"/>
  <c r="D24" i="35"/>
  <c r="D25" i="35"/>
  <c r="D26" i="35"/>
  <c r="D27" i="35"/>
  <c r="D28" i="35"/>
  <c r="D29" i="35"/>
  <c r="D30" i="35"/>
  <c r="D31" i="35"/>
  <c r="D32" i="35"/>
  <c r="D33" i="35"/>
  <c r="D34" i="35"/>
  <c r="D35" i="35"/>
  <c r="B22" i="35"/>
  <c r="B23" i="35"/>
  <c r="B24" i="35"/>
  <c r="B25" i="35"/>
  <c r="B26" i="35"/>
  <c r="B27" i="35"/>
  <c r="B28" i="35"/>
  <c r="B29" i="35"/>
  <c r="B30" i="35"/>
  <c r="B31" i="35"/>
  <c r="B32" i="35"/>
  <c r="B33" i="35"/>
  <c r="B34" i="35"/>
  <c r="B35" i="35"/>
  <c r="L21" i="35"/>
  <c r="J21" i="35"/>
  <c r="H21" i="35"/>
  <c r="F21" i="35"/>
  <c r="D21" i="35"/>
  <c r="B21" i="35"/>
  <c r="L21" i="22"/>
  <c r="L22" i="22"/>
  <c r="L23" i="22"/>
  <c r="L24" i="22"/>
  <c r="L25" i="22"/>
  <c r="L26" i="22"/>
  <c r="L27" i="22"/>
  <c r="L28" i="22"/>
  <c r="L29" i="22"/>
  <c r="L30" i="22"/>
  <c r="L31" i="22"/>
  <c r="L32" i="22"/>
  <c r="L33" i="22"/>
  <c r="L34" i="22"/>
  <c r="L35" i="22"/>
  <c r="N27" i="22"/>
  <c r="J21" i="22"/>
  <c r="J22" i="22"/>
  <c r="J23" i="22"/>
  <c r="J24" i="22"/>
  <c r="J25" i="22"/>
  <c r="J26" i="22"/>
  <c r="J27" i="22"/>
  <c r="J28" i="22"/>
  <c r="J29" i="22"/>
  <c r="J30" i="22"/>
  <c r="J31" i="22"/>
  <c r="J32" i="22"/>
  <c r="J33" i="22"/>
  <c r="J34" i="22"/>
  <c r="J35" i="22"/>
  <c r="N26" i="22"/>
  <c r="H21" i="22"/>
  <c r="H22" i="22"/>
  <c r="H23" i="22"/>
  <c r="H24" i="22"/>
  <c r="H25" i="22"/>
  <c r="H26" i="22"/>
  <c r="H27" i="22"/>
  <c r="H28" i="22"/>
  <c r="H29" i="22"/>
  <c r="H30" i="22"/>
  <c r="H31" i="22"/>
  <c r="H32" i="22"/>
  <c r="H33" i="22"/>
  <c r="H34" i="22"/>
  <c r="H35" i="22"/>
  <c r="N25" i="22"/>
  <c r="F21" i="22"/>
  <c r="F22" i="22"/>
  <c r="F23" i="22"/>
  <c r="F24" i="22"/>
  <c r="F25" i="22"/>
  <c r="F26" i="22"/>
  <c r="F27" i="22"/>
  <c r="F28" i="22"/>
  <c r="F29" i="22"/>
  <c r="F30" i="22"/>
  <c r="F31" i="22"/>
  <c r="F32" i="22"/>
  <c r="F33" i="22"/>
  <c r="F34" i="22"/>
  <c r="F35" i="22"/>
  <c r="N24" i="22"/>
  <c r="D21" i="22"/>
  <c r="D22" i="22"/>
  <c r="D23" i="22"/>
  <c r="D24" i="22"/>
  <c r="D25" i="22"/>
  <c r="D26" i="22"/>
  <c r="D27" i="22"/>
  <c r="D28" i="22"/>
  <c r="D29" i="22"/>
  <c r="D30" i="22"/>
  <c r="D31" i="22"/>
  <c r="D32" i="22"/>
  <c r="D33" i="22"/>
  <c r="D34" i="22"/>
  <c r="D35" i="22"/>
  <c r="N23" i="22"/>
  <c r="B21" i="22"/>
  <c r="B22" i="22"/>
  <c r="B23" i="22"/>
  <c r="B24" i="22"/>
  <c r="B25" i="22"/>
  <c r="B26" i="22"/>
  <c r="B27" i="22"/>
  <c r="B28" i="22"/>
  <c r="B29" i="22"/>
  <c r="B30" i="22"/>
  <c r="B31" i="22"/>
  <c r="B32" i="22"/>
  <c r="B33" i="22"/>
  <c r="B34" i="22"/>
  <c r="B35" i="22"/>
  <c r="N22" i="22"/>
  <c r="L22" i="34"/>
  <c r="L23" i="34"/>
  <c r="L24" i="34"/>
  <c r="L25" i="34"/>
  <c r="L26" i="34"/>
  <c r="L27" i="34"/>
  <c r="L28" i="34"/>
  <c r="L29" i="34"/>
  <c r="L30" i="34"/>
  <c r="L31" i="34"/>
  <c r="L32" i="34"/>
  <c r="L33" i="34"/>
  <c r="L34" i="34"/>
  <c r="L35" i="34"/>
  <c r="J22" i="34"/>
  <c r="J23" i="34"/>
  <c r="J24" i="34"/>
  <c r="J25" i="34"/>
  <c r="J26" i="34"/>
  <c r="J27" i="34"/>
  <c r="J28" i="34"/>
  <c r="J29" i="34"/>
  <c r="J30" i="34"/>
  <c r="J31" i="34"/>
  <c r="J32" i="34"/>
  <c r="J33" i="34"/>
  <c r="J34" i="34"/>
  <c r="J35" i="34"/>
  <c r="H22" i="34"/>
  <c r="H23" i="34"/>
  <c r="H24" i="34"/>
  <c r="H25" i="34"/>
  <c r="H26" i="34"/>
  <c r="H27" i="34"/>
  <c r="H28" i="34"/>
  <c r="H29" i="34"/>
  <c r="H30" i="34"/>
  <c r="H31" i="34"/>
  <c r="H32" i="34"/>
  <c r="H33" i="34"/>
  <c r="H34" i="34"/>
  <c r="H35" i="34"/>
  <c r="F22" i="34"/>
  <c r="F23" i="34"/>
  <c r="F24" i="34"/>
  <c r="F25" i="34"/>
  <c r="F26" i="34"/>
  <c r="F27" i="34"/>
  <c r="F28" i="34"/>
  <c r="F29" i="34"/>
  <c r="F30" i="34"/>
  <c r="F31" i="34"/>
  <c r="F32" i="34"/>
  <c r="F33" i="34"/>
  <c r="F34" i="34"/>
  <c r="F35" i="34"/>
  <c r="D22" i="34"/>
  <c r="D23" i="34"/>
  <c r="D24" i="34"/>
  <c r="D25" i="34"/>
  <c r="D26" i="34"/>
  <c r="D27" i="34"/>
  <c r="D28" i="34"/>
  <c r="D29" i="34"/>
  <c r="D30" i="34"/>
  <c r="D31" i="34"/>
  <c r="D32" i="34"/>
  <c r="D33" i="34"/>
  <c r="D34" i="34"/>
  <c r="D35" i="34"/>
  <c r="B22" i="34"/>
  <c r="B23" i="34"/>
  <c r="B24" i="34"/>
  <c r="B25" i="34"/>
  <c r="B26" i="34"/>
  <c r="B27" i="34"/>
  <c r="B28" i="34"/>
  <c r="B29" i="34"/>
  <c r="B30" i="34"/>
  <c r="B31" i="34"/>
  <c r="B32" i="34"/>
  <c r="B33" i="34"/>
  <c r="B34" i="34"/>
  <c r="B35" i="34"/>
  <c r="L21" i="34"/>
  <c r="J21" i="34"/>
  <c r="H21" i="34"/>
  <c r="F21" i="34"/>
  <c r="D21" i="34"/>
  <c r="B21" i="34"/>
  <c r="L22" i="32"/>
  <c r="L23" i="32"/>
  <c r="L24" i="32"/>
  <c r="L25" i="32"/>
  <c r="L26" i="32"/>
  <c r="L27" i="32"/>
  <c r="L28" i="32"/>
  <c r="L29" i="32"/>
  <c r="L30" i="32"/>
  <c r="L31" i="32"/>
  <c r="L32" i="32"/>
  <c r="L33" i="32"/>
  <c r="L34" i="32"/>
  <c r="L35" i="32"/>
  <c r="J22" i="32"/>
  <c r="J23" i="32"/>
  <c r="J24" i="32"/>
  <c r="J25" i="32"/>
  <c r="J26" i="32"/>
  <c r="J27" i="32"/>
  <c r="J28" i="32"/>
  <c r="J29" i="32"/>
  <c r="J30" i="32"/>
  <c r="J31" i="32"/>
  <c r="J32" i="32"/>
  <c r="J33" i="32"/>
  <c r="J34" i="32"/>
  <c r="J35" i="32"/>
  <c r="H22" i="32"/>
  <c r="H23" i="32"/>
  <c r="H24" i="32"/>
  <c r="H25" i="32"/>
  <c r="H26" i="32"/>
  <c r="H27" i="32"/>
  <c r="H28" i="32"/>
  <c r="H29" i="32"/>
  <c r="H30" i="32"/>
  <c r="H31" i="32"/>
  <c r="H32" i="32"/>
  <c r="H33" i="32"/>
  <c r="H34" i="32"/>
  <c r="H35" i="32"/>
  <c r="F22" i="32"/>
  <c r="F23" i="32"/>
  <c r="F24" i="32"/>
  <c r="F25" i="32"/>
  <c r="F26" i="32"/>
  <c r="F27" i="32"/>
  <c r="F28" i="32"/>
  <c r="F29" i="32"/>
  <c r="F30" i="32"/>
  <c r="F31" i="32"/>
  <c r="F32" i="32"/>
  <c r="F33" i="32"/>
  <c r="F34" i="32"/>
  <c r="F35" i="32"/>
  <c r="D22" i="32"/>
  <c r="D23" i="32"/>
  <c r="D24" i="32"/>
  <c r="D25" i="32"/>
  <c r="D26" i="32"/>
  <c r="D27" i="32"/>
  <c r="D28" i="32"/>
  <c r="D29" i="32"/>
  <c r="D30" i="32"/>
  <c r="D31" i="32"/>
  <c r="D32" i="32"/>
  <c r="D33" i="32"/>
  <c r="D34" i="32"/>
  <c r="D35" i="32"/>
  <c r="B22" i="32"/>
  <c r="B23" i="32"/>
  <c r="B24" i="32"/>
  <c r="B25" i="32"/>
  <c r="B26" i="32"/>
  <c r="B27" i="32"/>
  <c r="B28" i="32"/>
  <c r="B29" i="32"/>
  <c r="B30" i="32"/>
  <c r="B31" i="32"/>
  <c r="B32" i="32"/>
  <c r="B33" i="32"/>
  <c r="B34" i="32"/>
  <c r="B35" i="32"/>
  <c r="L21" i="32"/>
  <c r="J21" i="32"/>
  <c r="H21" i="32"/>
  <c r="F21" i="32"/>
  <c r="D21" i="32"/>
  <c r="B21" i="32"/>
  <c r="L22" i="31"/>
  <c r="L23" i="31"/>
  <c r="L24" i="31"/>
  <c r="L25" i="31"/>
  <c r="L26" i="31"/>
  <c r="L27" i="31"/>
  <c r="L28" i="31"/>
  <c r="L29" i="31"/>
  <c r="L30" i="31"/>
  <c r="L31" i="31"/>
  <c r="L32" i="31"/>
  <c r="L33" i="31"/>
  <c r="L34" i="31"/>
  <c r="L35" i="31"/>
  <c r="J22" i="31"/>
  <c r="J23" i="31"/>
  <c r="J24" i="31"/>
  <c r="J25" i="31"/>
  <c r="J26" i="31"/>
  <c r="J27" i="31"/>
  <c r="J28" i="31"/>
  <c r="J29" i="31"/>
  <c r="J30" i="31"/>
  <c r="J31" i="31"/>
  <c r="J32" i="31"/>
  <c r="J33" i="31"/>
  <c r="J34" i="31"/>
  <c r="J35" i="31"/>
  <c r="H22" i="31"/>
  <c r="H23" i="31"/>
  <c r="H24" i="31"/>
  <c r="H25" i="31"/>
  <c r="H26" i="31"/>
  <c r="H27" i="31"/>
  <c r="H28" i="31"/>
  <c r="H29" i="31"/>
  <c r="H30" i="31"/>
  <c r="H31" i="31"/>
  <c r="H32" i="31"/>
  <c r="H33" i="31"/>
  <c r="H34" i="31"/>
  <c r="H35" i="31"/>
  <c r="F22" i="31"/>
  <c r="F23" i="31"/>
  <c r="F24" i="31"/>
  <c r="F25" i="31"/>
  <c r="F26" i="31"/>
  <c r="F27" i="31"/>
  <c r="F28" i="31"/>
  <c r="F29" i="31"/>
  <c r="F30" i="31"/>
  <c r="F31" i="31"/>
  <c r="F32" i="31"/>
  <c r="F33" i="31"/>
  <c r="F34" i="31"/>
  <c r="F35" i="31"/>
  <c r="D35" i="31"/>
  <c r="D22" i="31"/>
  <c r="D23" i="31"/>
  <c r="D24" i="31"/>
  <c r="D25" i="31"/>
  <c r="D26" i="31"/>
  <c r="D27" i="31"/>
  <c r="D28" i="31"/>
  <c r="D29" i="31"/>
  <c r="D30" i="31"/>
  <c r="D31" i="31"/>
  <c r="D32" i="31"/>
  <c r="D33" i="31"/>
  <c r="D34" i="31"/>
  <c r="B22" i="31"/>
  <c r="B23" i="31"/>
  <c r="B24" i="31"/>
  <c r="B25" i="31"/>
  <c r="B26" i="31"/>
  <c r="B27" i="31"/>
  <c r="B28" i="31"/>
  <c r="B29" i="31"/>
  <c r="B30" i="31"/>
  <c r="B31" i="31"/>
  <c r="B32" i="31"/>
  <c r="B33" i="31"/>
  <c r="B34" i="31"/>
  <c r="B35" i="31"/>
  <c r="L21" i="31"/>
  <c r="J21" i="31"/>
  <c r="H21" i="31"/>
  <c r="F21" i="31"/>
  <c r="D21" i="31"/>
  <c r="B21" i="31"/>
  <c r="L22" i="30"/>
  <c r="L23" i="30"/>
  <c r="L24" i="30"/>
  <c r="L25" i="30"/>
  <c r="L26" i="30"/>
  <c r="L27" i="30"/>
  <c r="L28" i="30"/>
  <c r="L29" i="30"/>
  <c r="L30" i="30"/>
  <c r="L31" i="30"/>
  <c r="L32" i="30"/>
  <c r="L33" i="30"/>
  <c r="L34" i="30"/>
  <c r="L35" i="30"/>
  <c r="J22" i="30"/>
  <c r="J23" i="30"/>
  <c r="J24" i="30"/>
  <c r="J25" i="30"/>
  <c r="J26" i="30"/>
  <c r="J27" i="30"/>
  <c r="J28" i="30"/>
  <c r="J29" i="30"/>
  <c r="J30" i="30"/>
  <c r="J31" i="30"/>
  <c r="J32" i="30"/>
  <c r="J33" i="30"/>
  <c r="J34" i="30"/>
  <c r="J35" i="30"/>
  <c r="H22" i="30"/>
  <c r="H23" i="30"/>
  <c r="H24" i="30"/>
  <c r="H25" i="30"/>
  <c r="H26" i="30"/>
  <c r="H27" i="30"/>
  <c r="H28" i="30"/>
  <c r="H29" i="30"/>
  <c r="H30" i="30"/>
  <c r="H31" i="30"/>
  <c r="H32" i="30"/>
  <c r="H33" i="30"/>
  <c r="H34" i="30"/>
  <c r="H35" i="30"/>
  <c r="F22" i="30"/>
  <c r="F23" i="30"/>
  <c r="F24" i="30"/>
  <c r="F25" i="30"/>
  <c r="F26" i="30"/>
  <c r="F27" i="30"/>
  <c r="F28" i="30"/>
  <c r="F29" i="30"/>
  <c r="F30" i="30"/>
  <c r="F31" i="30"/>
  <c r="F32" i="30"/>
  <c r="F33" i="30"/>
  <c r="F34" i="30"/>
  <c r="F35" i="30"/>
  <c r="D22" i="30"/>
  <c r="D23" i="30"/>
  <c r="D24" i="30"/>
  <c r="D25" i="30"/>
  <c r="D26" i="30"/>
  <c r="D27" i="30"/>
  <c r="D28" i="30"/>
  <c r="D29" i="30"/>
  <c r="D30" i="30"/>
  <c r="D31" i="30"/>
  <c r="D32" i="30"/>
  <c r="D33" i="30"/>
  <c r="D34" i="30"/>
  <c r="D35" i="30"/>
  <c r="B22" i="30"/>
  <c r="B23" i="30"/>
  <c r="B24" i="30"/>
  <c r="B25" i="30"/>
  <c r="B26" i="30"/>
  <c r="B27" i="30"/>
  <c r="B28" i="30"/>
  <c r="B29" i="30"/>
  <c r="B30" i="30"/>
  <c r="B31" i="30"/>
  <c r="B32" i="30"/>
  <c r="B33" i="30"/>
  <c r="B34" i="30"/>
  <c r="B35" i="30"/>
  <c r="L21" i="30"/>
  <c r="J21" i="30"/>
  <c r="H21" i="30"/>
  <c r="F21" i="30"/>
  <c r="D21" i="30"/>
  <c r="B21" i="30"/>
  <c r="L22" i="29"/>
  <c r="L23" i="29"/>
  <c r="L24" i="29"/>
  <c r="L25" i="29"/>
  <c r="L26" i="29"/>
  <c r="L27" i="29"/>
  <c r="L28" i="29"/>
  <c r="L29" i="29"/>
  <c r="L30" i="29"/>
  <c r="L31" i="29"/>
  <c r="L32" i="29"/>
  <c r="L33" i="29"/>
  <c r="L34" i="29"/>
  <c r="L35" i="29"/>
  <c r="J22" i="29"/>
  <c r="J23" i="29"/>
  <c r="J24" i="29"/>
  <c r="J25" i="29"/>
  <c r="J26" i="29"/>
  <c r="J27" i="29"/>
  <c r="J28" i="29"/>
  <c r="J29" i="29"/>
  <c r="J30" i="29"/>
  <c r="J31" i="29"/>
  <c r="J32" i="29"/>
  <c r="J33" i="29"/>
  <c r="J34" i="29"/>
  <c r="J35" i="29"/>
  <c r="H22" i="29"/>
  <c r="H23" i="29"/>
  <c r="H24" i="29"/>
  <c r="H25" i="29"/>
  <c r="H26" i="29"/>
  <c r="H27" i="29"/>
  <c r="H28" i="29"/>
  <c r="H29" i="29"/>
  <c r="H30" i="29"/>
  <c r="H31" i="29"/>
  <c r="H32" i="29"/>
  <c r="H33" i="29"/>
  <c r="H34" i="29"/>
  <c r="H35" i="29"/>
  <c r="F22" i="29"/>
  <c r="F23" i="29"/>
  <c r="F24" i="29"/>
  <c r="F25" i="29"/>
  <c r="F26" i="29"/>
  <c r="F27" i="29"/>
  <c r="F28" i="29"/>
  <c r="F29" i="29"/>
  <c r="F30" i="29"/>
  <c r="F31" i="29"/>
  <c r="F32" i="29"/>
  <c r="F33" i="29"/>
  <c r="F34" i="29"/>
  <c r="F35" i="29"/>
  <c r="D22" i="29"/>
  <c r="D23" i="29"/>
  <c r="D24" i="29"/>
  <c r="D25" i="29"/>
  <c r="D26" i="29"/>
  <c r="D27" i="29"/>
  <c r="D28" i="29"/>
  <c r="D29" i="29"/>
  <c r="D30" i="29"/>
  <c r="D31" i="29"/>
  <c r="D32" i="29"/>
  <c r="D33" i="29"/>
  <c r="D34" i="29"/>
  <c r="D35" i="29"/>
  <c r="B22" i="29"/>
  <c r="B23" i="29"/>
  <c r="B24" i="29"/>
  <c r="B25" i="29"/>
  <c r="B26" i="29"/>
  <c r="B27" i="29"/>
  <c r="B28" i="29"/>
  <c r="B29" i="29"/>
  <c r="B30" i="29"/>
  <c r="B31" i="29"/>
  <c r="B32" i="29"/>
  <c r="B33" i="29"/>
  <c r="B34" i="29"/>
  <c r="B35" i="29"/>
  <c r="L21" i="29"/>
  <c r="J21" i="29"/>
  <c r="H21" i="29"/>
  <c r="F21" i="29"/>
  <c r="D21" i="29"/>
  <c r="B21" i="29"/>
  <c r="L22" i="28"/>
  <c r="L23" i="28"/>
  <c r="L24" i="28"/>
  <c r="L25" i="28"/>
  <c r="L26" i="28"/>
  <c r="L27" i="28"/>
  <c r="L28" i="28"/>
  <c r="L29" i="28"/>
  <c r="L30" i="28"/>
  <c r="L31" i="28"/>
  <c r="L32" i="28"/>
  <c r="L33" i="28"/>
  <c r="L34" i="28"/>
  <c r="L35" i="28"/>
  <c r="J22" i="28"/>
  <c r="J23" i="28"/>
  <c r="J24" i="28"/>
  <c r="J25" i="28"/>
  <c r="J26" i="28"/>
  <c r="J27" i="28"/>
  <c r="J28" i="28"/>
  <c r="J29" i="28"/>
  <c r="J30" i="28"/>
  <c r="J31" i="28"/>
  <c r="J32" i="28"/>
  <c r="J33" i="28"/>
  <c r="J34" i="28"/>
  <c r="J35" i="28"/>
  <c r="H22" i="28"/>
  <c r="H23" i="28"/>
  <c r="H24" i="28"/>
  <c r="H25" i="28"/>
  <c r="H26" i="28"/>
  <c r="H27" i="28"/>
  <c r="H28" i="28"/>
  <c r="H29" i="28"/>
  <c r="H30" i="28"/>
  <c r="H31" i="28"/>
  <c r="H32" i="28"/>
  <c r="H33" i="28"/>
  <c r="H34" i="28"/>
  <c r="H35" i="28"/>
  <c r="F22" i="28"/>
  <c r="F23" i="28"/>
  <c r="F24" i="28"/>
  <c r="F25" i="28"/>
  <c r="F26" i="28"/>
  <c r="F27" i="28"/>
  <c r="F28" i="28"/>
  <c r="F29" i="28"/>
  <c r="F30" i="28"/>
  <c r="F31" i="28"/>
  <c r="F32" i="28"/>
  <c r="F33" i="28"/>
  <c r="F34" i="28"/>
  <c r="F35" i="28"/>
  <c r="D22" i="28"/>
  <c r="D23" i="28"/>
  <c r="D24" i="28"/>
  <c r="D25" i="28"/>
  <c r="D26" i="28"/>
  <c r="D27" i="28"/>
  <c r="D28" i="28"/>
  <c r="D29" i="28"/>
  <c r="D30" i="28"/>
  <c r="D31" i="28"/>
  <c r="D32" i="28"/>
  <c r="D33" i="28"/>
  <c r="D34" i="28"/>
  <c r="D35" i="28"/>
  <c r="B22" i="28"/>
  <c r="B23" i="28"/>
  <c r="B24" i="28"/>
  <c r="B25" i="28"/>
  <c r="B26" i="28"/>
  <c r="B27" i="28"/>
  <c r="B28" i="28"/>
  <c r="B29" i="28"/>
  <c r="B30" i="28"/>
  <c r="B31" i="28"/>
  <c r="B32" i="28"/>
  <c r="B33" i="28"/>
  <c r="B34" i="28"/>
  <c r="B35" i="28"/>
  <c r="L21" i="28"/>
  <c r="J21" i="28"/>
  <c r="H21" i="28"/>
  <c r="F21" i="28"/>
  <c r="D21" i="28"/>
  <c r="B21" i="28"/>
  <c r="L22" i="27"/>
  <c r="L23" i="27"/>
  <c r="L24" i="27"/>
  <c r="L25" i="27"/>
  <c r="L26" i="27"/>
  <c r="L27" i="27"/>
  <c r="L28" i="27"/>
  <c r="L29" i="27"/>
  <c r="L30" i="27"/>
  <c r="L31" i="27"/>
  <c r="L32" i="27"/>
  <c r="L33" i="27"/>
  <c r="L34" i="27"/>
  <c r="L35" i="27"/>
  <c r="J22" i="27"/>
  <c r="J23" i="27"/>
  <c r="J24" i="27"/>
  <c r="J25" i="27"/>
  <c r="J26" i="27"/>
  <c r="J27" i="27"/>
  <c r="J28" i="27"/>
  <c r="J29" i="27"/>
  <c r="J30" i="27"/>
  <c r="J31" i="27"/>
  <c r="J32" i="27"/>
  <c r="J33" i="27"/>
  <c r="J34" i="27"/>
  <c r="J35" i="27"/>
  <c r="H22" i="27"/>
  <c r="H23" i="27"/>
  <c r="H24" i="27"/>
  <c r="H25" i="27"/>
  <c r="H26" i="27"/>
  <c r="H27" i="27"/>
  <c r="H28" i="27"/>
  <c r="H29" i="27"/>
  <c r="H30" i="27"/>
  <c r="H31" i="27"/>
  <c r="H32" i="27"/>
  <c r="H33" i="27"/>
  <c r="H34" i="27"/>
  <c r="H35" i="27"/>
  <c r="F22" i="27"/>
  <c r="F23" i="27"/>
  <c r="F24" i="27"/>
  <c r="F25" i="27"/>
  <c r="F26" i="27"/>
  <c r="F27" i="27"/>
  <c r="F28" i="27"/>
  <c r="F29" i="27"/>
  <c r="F30" i="27"/>
  <c r="F31" i="27"/>
  <c r="F32" i="27"/>
  <c r="F33" i="27"/>
  <c r="F34" i="27"/>
  <c r="F35" i="27"/>
  <c r="D22" i="27"/>
  <c r="D23" i="27"/>
  <c r="D24" i="27"/>
  <c r="D25" i="27"/>
  <c r="D26" i="27"/>
  <c r="D27" i="27"/>
  <c r="D28" i="27"/>
  <c r="D29" i="27"/>
  <c r="D30" i="27"/>
  <c r="D31" i="27"/>
  <c r="D32" i="27"/>
  <c r="D33" i="27"/>
  <c r="D34" i="27"/>
  <c r="D35" i="27"/>
  <c r="B22" i="27"/>
  <c r="B23" i="27"/>
  <c r="B24" i="27"/>
  <c r="B25" i="27"/>
  <c r="B26" i="27"/>
  <c r="B27" i="27"/>
  <c r="B28" i="27"/>
  <c r="B29" i="27"/>
  <c r="B30" i="27"/>
  <c r="B31" i="27"/>
  <c r="B32" i="27"/>
  <c r="B33" i="27"/>
  <c r="B34" i="27"/>
  <c r="B35" i="27"/>
  <c r="L21" i="27"/>
  <c r="J21" i="27"/>
  <c r="H21" i="27"/>
  <c r="F21" i="27"/>
  <c r="D21" i="27"/>
  <c r="B21" i="27"/>
  <c r="L22" i="26"/>
  <c r="L23" i="26"/>
  <c r="L24" i="26"/>
  <c r="L25" i="26"/>
  <c r="L26" i="26"/>
  <c r="L27" i="26"/>
  <c r="L28" i="26"/>
  <c r="L29" i="26"/>
  <c r="L30" i="26"/>
  <c r="L31" i="26"/>
  <c r="L32" i="26"/>
  <c r="L33" i="26"/>
  <c r="L34" i="26"/>
  <c r="L35" i="26"/>
  <c r="J22" i="26"/>
  <c r="J23" i="26"/>
  <c r="J24" i="26"/>
  <c r="J25" i="26"/>
  <c r="J26" i="26"/>
  <c r="J27" i="26"/>
  <c r="J28" i="26"/>
  <c r="J29" i="26"/>
  <c r="J30" i="26"/>
  <c r="J31" i="26"/>
  <c r="J32" i="26"/>
  <c r="J33" i="26"/>
  <c r="J34" i="26"/>
  <c r="J35" i="26"/>
  <c r="H22" i="26"/>
  <c r="H23" i="26"/>
  <c r="H24" i="26"/>
  <c r="H25" i="26"/>
  <c r="H26" i="26"/>
  <c r="H27" i="26"/>
  <c r="H28" i="26"/>
  <c r="H29" i="26"/>
  <c r="H30" i="26"/>
  <c r="H31" i="26"/>
  <c r="H32" i="26"/>
  <c r="H33" i="26"/>
  <c r="H34" i="26"/>
  <c r="H35" i="26"/>
  <c r="F22" i="26"/>
  <c r="F23" i="26"/>
  <c r="F24" i="26"/>
  <c r="F25" i="26"/>
  <c r="F26" i="26"/>
  <c r="F27" i="26"/>
  <c r="F28" i="26"/>
  <c r="F29" i="26"/>
  <c r="F30" i="26"/>
  <c r="F31" i="26"/>
  <c r="F32" i="26"/>
  <c r="F33" i="26"/>
  <c r="F34" i="26"/>
  <c r="F35" i="26"/>
  <c r="D22" i="26"/>
  <c r="D23" i="26"/>
  <c r="D24" i="26"/>
  <c r="D25" i="26"/>
  <c r="D26" i="26"/>
  <c r="D27" i="26"/>
  <c r="D28" i="26"/>
  <c r="D29" i="26"/>
  <c r="D30" i="26"/>
  <c r="D31" i="26"/>
  <c r="D32" i="26"/>
  <c r="D33" i="26"/>
  <c r="D34" i="26"/>
  <c r="D35" i="26"/>
  <c r="B22" i="26"/>
  <c r="B23" i="26"/>
  <c r="B24" i="26"/>
  <c r="B25" i="26"/>
  <c r="B26" i="26"/>
  <c r="B27" i="26"/>
  <c r="B28" i="26"/>
  <c r="B29" i="26"/>
  <c r="B30" i="26"/>
  <c r="B31" i="26"/>
  <c r="B32" i="26"/>
  <c r="B33" i="26"/>
  <c r="B34" i="26"/>
  <c r="B35" i="26"/>
  <c r="L21" i="26"/>
  <c r="J21" i="26"/>
  <c r="H21" i="26"/>
  <c r="F21" i="26"/>
  <c r="D21" i="26"/>
  <c r="B21" i="26"/>
  <c r="L22" i="25"/>
  <c r="L23" i="25"/>
  <c r="L24" i="25"/>
  <c r="L25" i="25"/>
  <c r="L26" i="25"/>
  <c r="L27" i="25"/>
  <c r="L28" i="25"/>
  <c r="L29" i="25"/>
  <c r="L30" i="25"/>
  <c r="L31" i="25"/>
  <c r="L32" i="25"/>
  <c r="L33" i="25"/>
  <c r="L34" i="25"/>
  <c r="L35" i="25"/>
  <c r="J22" i="25"/>
  <c r="J23" i="25"/>
  <c r="J24" i="25"/>
  <c r="J25" i="25"/>
  <c r="J26" i="25"/>
  <c r="J27" i="25"/>
  <c r="J28" i="25"/>
  <c r="J29" i="25"/>
  <c r="J30" i="25"/>
  <c r="J31" i="25"/>
  <c r="J32" i="25"/>
  <c r="J33" i="25"/>
  <c r="J34" i="25"/>
  <c r="J35" i="25"/>
  <c r="H22" i="25"/>
  <c r="H23" i="25"/>
  <c r="H24" i="25"/>
  <c r="H25" i="25"/>
  <c r="H26" i="25"/>
  <c r="H27" i="25"/>
  <c r="H28" i="25"/>
  <c r="H29" i="25"/>
  <c r="H30" i="25"/>
  <c r="H31" i="25"/>
  <c r="H32" i="25"/>
  <c r="H33" i="25"/>
  <c r="H34" i="25"/>
  <c r="H35" i="25"/>
  <c r="F22" i="25"/>
  <c r="F23" i="25"/>
  <c r="F24" i="25"/>
  <c r="F25" i="25"/>
  <c r="F26" i="25"/>
  <c r="F27" i="25"/>
  <c r="F28" i="25"/>
  <c r="F29" i="25"/>
  <c r="F30" i="25"/>
  <c r="F31" i="25"/>
  <c r="F32" i="25"/>
  <c r="F33" i="25"/>
  <c r="F34" i="25"/>
  <c r="F35" i="25"/>
  <c r="D22" i="25"/>
  <c r="D23" i="25"/>
  <c r="D24" i="25"/>
  <c r="D25" i="25"/>
  <c r="D26" i="25"/>
  <c r="D27" i="25"/>
  <c r="D28" i="25"/>
  <c r="D29" i="25"/>
  <c r="D30" i="25"/>
  <c r="D31" i="25"/>
  <c r="D32" i="25"/>
  <c r="D33" i="25"/>
  <c r="D34" i="25"/>
  <c r="D35" i="25"/>
  <c r="L21" i="25"/>
  <c r="J21" i="25"/>
  <c r="H21" i="25"/>
  <c r="F21" i="25"/>
  <c r="D21" i="25"/>
  <c r="B22" i="25"/>
  <c r="B23" i="25"/>
  <c r="B24" i="25"/>
  <c r="B25" i="25"/>
  <c r="B26" i="25"/>
  <c r="B27" i="25"/>
  <c r="B28" i="25"/>
  <c r="B29" i="25"/>
  <c r="B30" i="25"/>
  <c r="B31" i="25"/>
  <c r="B32" i="25"/>
  <c r="B33" i="25"/>
  <c r="B34" i="25"/>
  <c r="B35" i="25"/>
  <c r="B21" i="25"/>
  <c r="L35" i="24"/>
  <c r="L22" i="24"/>
  <c r="L23" i="24"/>
  <c r="L24" i="24"/>
  <c r="L25" i="24"/>
  <c r="L26" i="24"/>
  <c r="L27" i="24"/>
  <c r="L28" i="24"/>
  <c r="L29" i="24"/>
  <c r="L30" i="24"/>
  <c r="L31" i="24"/>
  <c r="L32" i="24"/>
  <c r="L33" i="24"/>
  <c r="L34" i="24"/>
  <c r="J22" i="24"/>
  <c r="J23" i="24"/>
  <c r="J24" i="24"/>
  <c r="J25" i="24"/>
  <c r="J26" i="24"/>
  <c r="J27" i="24"/>
  <c r="J28" i="24"/>
  <c r="J29" i="24"/>
  <c r="J30" i="24"/>
  <c r="J31" i="24"/>
  <c r="J32" i="24"/>
  <c r="J33" i="24"/>
  <c r="J34" i="24"/>
  <c r="J35" i="24"/>
  <c r="H22" i="24"/>
  <c r="H23" i="24"/>
  <c r="H24" i="24"/>
  <c r="H25" i="24"/>
  <c r="H26" i="24"/>
  <c r="H27" i="24"/>
  <c r="H28" i="24"/>
  <c r="H29" i="24"/>
  <c r="H30" i="24"/>
  <c r="H31" i="24"/>
  <c r="H32" i="24"/>
  <c r="H33" i="24"/>
  <c r="H34" i="24"/>
  <c r="H35" i="24"/>
  <c r="F22" i="24"/>
  <c r="F23" i="24"/>
  <c r="F24" i="24"/>
  <c r="F25" i="24"/>
  <c r="F26" i="24"/>
  <c r="F27" i="24"/>
  <c r="F28" i="24"/>
  <c r="F29" i="24"/>
  <c r="F30" i="24"/>
  <c r="F31" i="24"/>
  <c r="F32" i="24"/>
  <c r="F33" i="24"/>
  <c r="F34" i="24"/>
  <c r="F35" i="24"/>
  <c r="D22" i="24"/>
  <c r="D23" i="24"/>
  <c r="D24" i="24"/>
  <c r="D25" i="24"/>
  <c r="D26" i="24"/>
  <c r="D27" i="24"/>
  <c r="D28" i="24"/>
  <c r="D29" i="24"/>
  <c r="D30" i="24"/>
  <c r="D31" i="24"/>
  <c r="D32" i="24"/>
  <c r="D33" i="24"/>
  <c r="D34" i="24"/>
  <c r="D35" i="24"/>
  <c r="L21" i="24"/>
  <c r="J21" i="24"/>
  <c r="H21" i="24"/>
  <c r="F21" i="24"/>
  <c r="D21" i="24"/>
  <c r="B23" i="24"/>
  <c r="B24" i="24"/>
  <c r="B25" i="24"/>
  <c r="B26" i="24"/>
  <c r="B27" i="24"/>
  <c r="B28" i="24"/>
  <c r="B29" i="24"/>
  <c r="B30" i="24"/>
  <c r="B31" i="24"/>
  <c r="B32" i="24"/>
  <c r="B33" i="24"/>
  <c r="B34" i="24"/>
  <c r="B35" i="24"/>
  <c r="B22" i="24"/>
  <c r="B21" i="24"/>
  <c r="L22" i="23"/>
  <c r="L23" i="23"/>
  <c r="L24" i="23"/>
  <c r="L25" i="23"/>
  <c r="L26" i="23"/>
  <c r="L27" i="23"/>
  <c r="L28" i="23"/>
  <c r="L29" i="23"/>
  <c r="L30" i="23"/>
  <c r="L31" i="23"/>
  <c r="L32" i="23"/>
  <c r="L33" i="23"/>
  <c r="L34" i="23"/>
  <c r="L35" i="23"/>
  <c r="L21" i="23"/>
  <c r="J22" i="23"/>
  <c r="J23" i="23"/>
  <c r="J24" i="23"/>
  <c r="J25" i="23"/>
  <c r="J26" i="23"/>
  <c r="J27" i="23"/>
  <c r="J28" i="23"/>
  <c r="J29" i="23"/>
  <c r="J30" i="23"/>
  <c r="J31" i="23"/>
  <c r="J32" i="23"/>
  <c r="J33" i="23"/>
  <c r="J34" i="23"/>
  <c r="J35" i="23"/>
  <c r="J21" i="23"/>
  <c r="H22" i="23"/>
  <c r="H23" i="23"/>
  <c r="H24" i="23"/>
  <c r="H25" i="23"/>
  <c r="H26" i="23"/>
  <c r="H27" i="23"/>
  <c r="H28" i="23"/>
  <c r="H29" i="23"/>
  <c r="H30" i="23"/>
  <c r="H31" i="23"/>
  <c r="H32" i="23"/>
  <c r="H33" i="23"/>
  <c r="H34" i="23"/>
  <c r="H35" i="23"/>
  <c r="H21" i="23"/>
  <c r="F22" i="23"/>
  <c r="F23" i="23"/>
  <c r="F24" i="23"/>
  <c r="F25" i="23"/>
  <c r="F26" i="23"/>
  <c r="F27" i="23"/>
  <c r="F28" i="23"/>
  <c r="F29" i="23"/>
  <c r="F30" i="23"/>
  <c r="F31" i="23"/>
  <c r="F32" i="23"/>
  <c r="F33" i="23"/>
  <c r="F34" i="23"/>
  <c r="F35" i="23"/>
  <c r="F21" i="23"/>
  <c r="D22" i="23"/>
  <c r="D23" i="23"/>
  <c r="D24" i="23"/>
  <c r="D25" i="23"/>
  <c r="D26" i="23"/>
  <c r="D27" i="23"/>
  <c r="D28" i="23"/>
  <c r="D29" i="23"/>
  <c r="D30" i="23"/>
  <c r="D31" i="23"/>
  <c r="D32" i="23"/>
  <c r="D33" i="23"/>
  <c r="D34" i="23"/>
  <c r="D35" i="23"/>
  <c r="D21" i="23"/>
  <c r="B22" i="23"/>
  <c r="B23" i="23"/>
  <c r="B24" i="23"/>
  <c r="B25" i="23"/>
  <c r="B26" i="23"/>
  <c r="B27" i="23"/>
  <c r="B28" i="23"/>
  <c r="B29" i="23"/>
  <c r="B30" i="23"/>
  <c r="B31" i="23"/>
  <c r="B32" i="23"/>
  <c r="B33" i="23"/>
  <c r="B34" i="23"/>
  <c r="B35" i="23"/>
  <c r="B21" i="23"/>
  <c r="L22" i="21"/>
  <c r="L23" i="21"/>
  <c r="L24" i="21"/>
  <c r="L25" i="21"/>
  <c r="L26" i="21"/>
  <c r="L27" i="21"/>
  <c r="L28" i="21"/>
  <c r="L29" i="21"/>
  <c r="L30" i="21"/>
  <c r="L31" i="21"/>
  <c r="L32" i="21"/>
  <c r="L33" i="21"/>
  <c r="L34" i="21"/>
  <c r="L35" i="21"/>
  <c r="L21" i="21"/>
  <c r="J22" i="21"/>
  <c r="J23" i="21"/>
  <c r="J24" i="21"/>
  <c r="J25" i="21"/>
  <c r="J26" i="21"/>
  <c r="J27" i="21"/>
  <c r="J28" i="21"/>
  <c r="J29" i="21"/>
  <c r="J30" i="21"/>
  <c r="J31" i="21"/>
  <c r="J32" i="21"/>
  <c r="J33" i="21"/>
  <c r="J34" i="21"/>
  <c r="J35" i="21"/>
  <c r="J21" i="21"/>
  <c r="H22" i="21"/>
  <c r="H23" i="21"/>
  <c r="H24" i="21"/>
  <c r="H25" i="21"/>
  <c r="H26" i="21"/>
  <c r="H27" i="21"/>
  <c r="H28" i="21"/>
  <c r="H29" i="21"/>
  <c r="H30" i="21"/>
  <c r="H31" i="21"/>
  <c r="H32" i="21"/>
  <c r="H33" i="21"/>
  <c r="H34" i="21"/>
  <c r="H35" i="21"/>
  <c r="H21" i="21"/>
  <c r="F22" i="21"/>
  <c r="F23" i="21"/>
  <c r="F24" i="21"/>
  <c r="F25" i="21"/>
  <c r="F26" i="21"/>
  <c r="F27" i="21"/>
  <c r="F28" i="21"/>
  <c r="F29" i="21"/>
  <c r="F30" i="21"/>
  <c r="F31" i="21"/>
  <c r="F32" i="21"/>
  <c r="F33" i="21"/>
  <c r="F34" i="21"/>
  <c r="F35" i="21"/>
  <c r="F21" i="21"/>
  <c r="D22" i="21"/>
  <c r="D23" i="21"/>
  <c r="D24" i="21"/>
  <c r="D25" i="21"/>
  <c r="D26" i="21"/>
  <c r="D27" i="21"/>
  <c r="D28" i="21"/>
  <c r="D29" i="21"/>
  <c r="D30" i="21"/>
  <c r="D31" i="21"/>
  <c r="D32" i="21"/>
  <c r="D33" i="21"/>
  <c r="D34" i="21"/>
  <c r="D35" i="21"/>
  <c r="D21" i="21"/>
  <c r="B22" i="21"/>
  <c r="B23" i="21"/>
  <c r="B24" i="21"/>
  <c r="B25" i="21"/>
  <c r="B26" i="21"/>
  <c r="B27" i="21"/>
  <c r="B28" i="21"/>
  <c r="B29" i="21"/>
  <c r="B30" i="21"/>
  <c r="B31" i="21"/>
  <c r="B32" i="21"/>
  <c r="B33" i="21"/>
  <c r="B34" i="21"/>
  <c r="B35" i="21"/>
  <c r="B21" i="21"/>
  <c r="L22" i="19"/>
  <c r="L23" i="19"/>
  <c r="L24" i="19"/>
  <c r="L25" i="19"/>
  <c r="L26" i="19"/>
  <c r="L27" i="19"/>
  <c r="L28" i="19"/>
  <c r="L29" i="19"/>
  <c r="L30" i="19"/>
  <c r="L31" i="19"/>
  <c r="L32" i="19"/>
  <c r="L33" i="19"/>
  <c r="L34" i="19"/>
  <c r="L35" i="19"/>
  <c r="L21" i="19"/>
  <c r="J22" i="19"/>
  <c r="J23" i="19"/>
  <c r="J24" i="19"/>
  <c r="J25" i="19"/>
  <c r="J26" i="19"/>
  <c r="J27" i="19"/>
  <c r="J28" i="19"/>
  <c r="J29" i="19"/>
  <c r="J30" i="19"/>
  <c r="J31" i="19"/>
  <c r="J32" i="19"/>
  <c r="J33" i="19"/>
  <c r="J34" i="19"/>
  <c r="J35" i="19"/>
  <c r="J21" i="19"/>
  <c r="H22" i="19"/>
  <c r="H23" i="19"/>
  <c r="H24" i="19"/>
  <c r="H25" i="19"/>
  <c r="H26" i="19"/>
  <c r="H27" i="19"/>
  <c r="H28" i="19"/>
  <c r="H29" i="19"/>
  <c r="H30" i="19"/>
  <c r="H31" i="19"/>
  <c r="H32" i="19"/>
  <c r="H33" i="19"/>
  <c r="H34" i="19"/>
  <c r="H35" i="19"/>
  <c r="H21" i="19"/>
  <c r="F22" i="19"/>
  <c r="F23" i="19"/>
  <c r="F24" i="19"/>
  <c r="F25" i="19"/>
  <c r="F26" i="19"/>
  <c r="F27" i="19"/>
  <c r="F28" i="19"/>
  <c r="F29" i="19"/>
  <c r="F30" i="19"/>
  <c r="F31" i="19"/>
  <c r="F32" i="19"/>
  <c r="F33" i="19"/>
  <c r="F34" i="19"/>
  <c r="F35" i="19"/>
  <c r="F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21" i="19"/>
  <c r="B22" i="19"/>
  <c r="B23" i="19"/>
  <c r="B24" i="19"/>
  <c r="B25" i="19"/>
  <c r="B26" i="19"/>
  <c r="B27" i="19"/>
  <c r="B28" i="19"/>
  <c r="B29" i="19"/>
  <c r="B30" i="19"/>
  <c r="B31" i="19"/>
  <c r="B32" i="19"/>
  <c r="B33" i="19"/>
  <c r="B34" i="19"/>
  <c r="B35" i="19"/>
  <c r="B21" i="19"/>
  <c r="L22" i="18"/>
  <c r="L23" i="18"/>
  <c r="L24" i="18"/>
  <c r="L25" i="18"/>
  <c r="L26" i="18"/>
  <c r="L27" i="18"/>
  <c r="L28" i="18"/>
  <c r="L29" i="18"/>
  <c r="L30" i="18"/>
  <c r="L31" i="18"/>
  <c r="L32" i="18"/>
  <c r="L33" i="18"/>
  <c r="L34" i="18"/>
  <c r="L35" i="18"/>
  <c r="L21" i="18"/>
  <c r="J22" i="18"/>
  <c r="J23" i="18"/>
  <c r="J24" i="18"/>
  <c r="J25" i="18"/>
  <c r="J26" i="18"/>
  <c r="J27" i="18"/>
  <c r="J28" i="18"/>
  <c r="J29" i="18"/>
  <c r="J30" i="18"/>
  <c r="J31" i="18"/>
  <c r="J32" i="18"/>
  <c r="J33" i="18"/>
  <c r="J34" i="18"/>
  <c r="J35" i="18"/>
  <c r="J21" i="18"/>
  <c r="H22" i="18"/>
  <c r="H23" i="18"/>
  <c r="H24" i="18"/>
  <c r="H25" i="18"/>
  <c r="H26" i="18"/>
  <c r="H27" i="18"/>
  <c r="H28" i="18"/>
  <c r="H29" i="18"/>
  <c r="H30" i="18"/>
  <c r="H31" i="18"/>
  <c r="H32" i="18"/>
  <c r="H33" i="18"/>
  <c r="H34" i="18"/>
  <c r="H35" i="18"/>
  <c r="H21" i="18"/>
  <c r="F22" i="18"/>
  <c r="F23" i="18"/>
  <c r="F24" i="18"/>
  <c r="F25" i="18"/>
  <c r="F26" i="18"/>
  <c r="F27" i="18"/>
  <c r="F28" i="18"/>
  <c r="F29" i="18"/>
  <c r="F30" i="18"/>
  <c r="F31" i="18"/>
  <c r="F32" i="18"/>
  <c r="F33" i="18"/>
  <c r="F34" i="18"/>
  <c r="F35" i="18"/>
  <c r="F21" i="18"/>
  <c r="D22" i="18"/>
  <c r="D23" i="18"/>
  <c r="D24" i="18"/>
  <c r="D25" i="18"/>
  <c r="D26" i="18"/>
  <c r="D27" i="18"/>
  <c r="D28" i="18"/>
  <c r="D29" i="18"/>
  <c r="D30" i="18"/>
  <c r="D31" i="18"/>
  <c r="D32" i="18"/>
  <c r="D33" i="18"/>
  <c r="D34" i="18"/>
  <c r="D35" i="18"/>
  <c r="D21" i="18"/>
  <c r="B22" i="18"/>
  <c r="B23" i="18"/>
  <c r="B24" i="18"/>
  <c r="B25" i="18"/>
  <c r="B26" i="18"/>
  <c r="B27" i="18"/>
  <c r="B28" i="18"/>
  <c r="B29" i="18"/>
  <c r="B30" i="18"/>
  <c r="B31" i="18"/>
  <c r="B32" i="18"/>
  <c r="B33" i="18"/>
  <c r="B34" i="18"/>
  <c r="B35" i="18"/>
  <c r="B21" i="18"/>
  <c r="L22" i="11"/>
  <c r="L23" i="11"/>
  <c r="L24" i="11"/>
  <c r="L25" i="11"/>
  <c r="L26" i="11"/>
  <c r="L27" i="11"/>
  <c r="L28" i="11"/>
  <c r="L29" i="11"/>
  <c r="L30" i="11"/>
  <c r="L31" i="11"/>
  <c r="L32" i="11"/>
  <c r="L33" i="11"/>
  <c r="L34" i="11"/>
  <c r="L35" i="11"/>
  <c r="L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35" i="11"/>
  <c r="J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21" i="11"/>
  <c r="L22" i="17"/>
  <c r="L23" i="17"/>
  <c r="L24" i="17"/>
  <c r="L25" i="17"/>
  <c r="L26" i="17"/>
  <c r="L27" i="17"/>
  <c r="L28" i="17"/>
  <c r="L29" i="17"/>
  <c r="L30" i="17"/>
  <c r="L31" i="17"/>
  <c r="L32" i="17"/>
  <c r="L33" i="17"/>
  <c r="L34" i="17"/>
  <c r="L35" i="17"/>
  <c r="J22" i="17"/>
  <c r="J23" i="17"/>
  <c r="J24" i="17"/>
  <c r="J25" i="17"/>
  <c r="J26" i="17"/>
  <c r="J27" i="17"/>
  <c r="J28" i="17"/>
  <c r="J29" i="17"/>
  <c r="J30" i="17"/>
  <c r="J31" i="17"/>
  <c r="J32" i="17"/>
  <c r="J33" i="17"/>
  <c r="J34" i="17"/>
  <c r="J35" i="17"/>
  <c r="L21" i="17"/>
  <c r="J21" i="17"/>
  <c r="H22" i="17"/>
  <c r="H23" i="17"/>
  <c r="H24" i="17"/>
  <c r="H25" i="17"/>
  <c r="H26" i="17"/>
  <c r="H27" i="17"/>
  <c r="H28" i="17"/>
  <c r="H29" i="17"/>
  <c r="H30" i="17"/>
  <c r="H31" i="17"/>
  <c r="H32" i="17"/>
  <c r="H33" i="17"/>
  <c r="H34" i="17"/>
  <c r="H35" i="17"/>
  <c r="H21" i="17"/>
  <c r="F22" i="17"/>
  <c r="F23" i="17"/>
  <c r="F24" i="17"/>
  <c r="F25" i="17"/>
  <c r="F26" i="17"/>
  <c r="F27" i="17"/>
  <c r="F28" i="17"/>
  <c r="F29" i="17"/>
  <c r="F30" i="17"/>
  <c r="F31" i="17"/>
  <c r="F32" i="17"/>
  <c r="F33" i="17"/>
  <c r="F34" i="17"/>
  <c r="F35" i="17"/>
  <c r="F21" i="17"/>
  <c r="D22" i="17"/>
  <c r="D23" i="17"/>
  <c r="D24" i="17"/>
  <c r="D25" i="17"/>
  <c r="D26" i="17"/>
  <c r="D27" i="17"/>
  <c r="D28" i="17"/>
  <c r="D29" i="17"/>
  <c r="D30" i="17"/>
  <c r="D31" i="17"/>
  <c r="D32" i="17"/>
  <c r="D33" i="17"/>
  <c r="D34" i="17"/>
  <c r="D35" i="17"/>
  <c r="D21" i="17"/>
  <c r="B22" i="17"/>
  <c r="B23" i="17"/>
  <c r="B24" i="17"/>
  <c r="B25" i="17"/>
  <c r="B26" i="17"/>
  <c r="B27" i="17"/>
  <c r="B28" i="17"/>
  <c r="B29" i="17"/>
  <c r="B30" i="17"/>
  <c r="B31" i="17"/>
  <c r="B32" i="17"/>
  <c r="B33" i="17"/>
  <c r="B34" i="17"/>
  <c r="B35" i="17"/>
  <c r="B21" i="17"/>
  <c r="L21" i="16"/>
  <c r="L22" i="16"/>
  <c r="L23" i="16"/>
  <c r="L24" i="16"/>
  <c r="L25" i="16"/>
  <c r="L26" i="16"/>
  <c r="L27" i="16"/>
  <c r="L28" i="16"/>
  <c r="L29" i="16"/>
  <c r="L30" i="16"/>
  <c r="L31" i="16"/>
  <c r="L32" i="16"/>
  <c r="L33" i="16"/>
  <c r="L34" i="16"/>
  <c r="L20" i="16"/>
  <c r="J21" i="16"/>
  <c r="J22" i="16"/>
  <c r="J23" i="16"/>
  <c r="J24" i="16"/>
  <c r="J25" i="16"/>
  <c r="J26" i="16"/>
  <c r="J27" i="16"/>
  <c r="J28" i="16"/>
  <c r="J29" i="16"/>
  <c r="J30" i="16"/>
  <c r="J31" i="16"/>
  <c r="J32" i="16"/>
  <c r="J33" i="16"/>
  <c r="J34" i="16"/>
  <c r="J20" i="16"/>
  <c r="H21" i="16"/>
  <c r="H22" i="16"/>
  <c r="H23" i="16"/>
  <c r="H24" i="16"/>
  <c r="H25" i="16"/>
  <c r="H26" i="16"/>
  <c r="H27" i="16"/>
  <c r="H28" i="16"/>
  <c r="H29" i="16"/>
  <c r="H30" i="16"/>
  <c r="H31" i="16"/>
  <c r="H32" i="16"/>
  <c r="H33" i="16"/>
  <c r="H34" i="16"/>
  <c r="H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20" i="16"/>
  <c r="B21" i="16"/>
  <c r="B22" i="16"/>
  <c r="B23" i="16"/>
  <c r="B24" i="16"/>
  <c r="B25" i="16"/>
  <c r="B26" i="16"/>
  <c r="B27" i="16"/>
  <c r="B28" i="16"/>
  <c r="B29" i="16"/>
  <c r="B30" i="16"/>
  <c r="B31" i="16"/>
  <c r="B32" i="16"/>
  <c r="B33" i="16"/>
  <c r="B34" i="16"/>
  <c r="B20" i="16"/>
  <c r="L22" i="15"/>
  <c r="L23" i="15"/>
  <c r="L24" i="15"/>
  <c r="L25" i="15"/>
  <c r="L26" i="15"/>
  <c r="L27" i="15"/>
  <c r="L28" i="15"/>
  <c r="L29" i="15"/>
  <c r="L30" i="15"/>
  <c r="L31" i="15"/>
  <c r="L32" i="15"/>
  <c r="L33" i="15"/>
  <c r="L34" i="15"/>
  <c r="L35" i="15"/>
  <c r="L21" i="15"/>
  <c r="J22" i="15"/>
  <c r="J23" i="15"/>
  <c r="J24" i="15"/>
  <c r="J25" i="15"/>
  <c r="J26" i="15"/>
  <c r="J27" i="15"/>
  <c r="J28" i="15"/>
  <c r="J29" i="15"/>
  <c r="J30" i="15"/>
  <c r="J31" i="15"/>
  <c r="J32" i="15"/>
  <c r="J33" i="15"/>
  <c r="J34" i="15"/>
  <c r="J35" i="15"/>
  <c r="J21" i="15"/>
  <c r="H22" i="15"/>
  <c r="H23" i="15"/>
  <c r="H24" i="15"/>
  <c r="H25" i="15"/>
  <c r="H26" i="15"/>
  <c r="H27" i="15"/>
  <c r="H28" i="15"/>
  <c r="H29" i="15"/>
  <c r="H30" i="15"/>
  <c r="H31" i="15"/>
  <c r="H32" i="15"/>
  <c r="H33" i="15"/>
  <c r="H34" i="15"/>
  <c r="H35" i="15"/>
  <c r="H21" i="15"/>
  <c r="F22" i="15"/>
  <c r="F23" i="15"/>
  <c r="F24" i="15"/>
  <c r="F25" i="15"/>
  <c r="F26" i="15"/>
  <c r="F27" i="15"/>
  <c r="F28" i="15"/>
  <c r="F29" i="15"/>
  <c r="F30" i="15"/>
  <c r="F31" i="15"/>
  <c r="F32" i="15"/>
  <c r="F33" i="15"/>
  <c r="F34" i="15"/>
  <c r="F35" i="15"/>
  <c r="F21" i="15"/>
  <c r="D22" i="15"/>
  <c r="D23" i="15"/>
  <c r="D24" i="15"/>
  <c r="D25" i="15"/>
  <c r="D26" i="15"/>
  <c r="D27" i="15"/>
  <c r="D28" i="15"/>
  <c r="D29" i="15"/>
  <c r="D30" i="15"/>
  <c r="D31" i="15"/>
  <c r="D32" i="15"/>
  <c r="D33" i="15"/>
  <c r="D34" i="15"/>
  <c r="D35" i="15"/>
  <c r="D21" i="15"/>
  <c r="B22" i="15"/>
  <c r="B23" i="15"/>
  <c r="B24" i="15"/>
  <c r="B25" i="15"/>
  <c r="B26" i="15"/>
  <c r="B27" i="15"/>
  <c r="B28" i="15"/>
  <c r="B29" i="15"/>
  <c r="B30" i="15"/>
  <c r="B31" i="15"/>
  <c r="B32" i="15"/>
  <c r="B33" i="15"/>
  <c r="B34" i="15"/>
  <c r="B35" i="15"/>
  <c r="B21" i="15"/>
  <c r="L21" i="14"/>
  <c r="L22" i="14"/>
  <c r="L23" i="14"/>
  <c r="L24" i="14"/>
  <c r="L25" i="14"/>
  <c r="L26" i="14"/>
  <c r="L27" i="14"/>
  <c r="L28" i="14"/>
  <c r="L29" i="14"/>
  <c r="L30" i="14"/>
  <c r="L31" i="14"/>
  <c r="L32" i="14"/>
  <c r="L33" i="14"/>
  <c r="L34" i="14"/>
  <c r="L20" i="14"/>
  <c r="J21" i="14"/>
  <c r="J22" i="14"/>
  <c r="J23" i="14"/>
  <c r="J24" i="14"/>
  <c r="J25" i="14"/>
  <c r="J26" i="14"/>
  <c r="J27" i="14"/>
  <c r="J28" i="14"/>
  <c r="J29" i="14"/>
  <c r="J30" i="14"/>
  <c r="J31" i="14"/>
  <c r="J32" i="14"/>
  <c r="J33" i="14"/>
  <c r="J34" i="14"/>
  <c r="J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33" i="14"/>
  <c r="F34" i="14"/>
  <c r="F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B34" i="14"/>
  <c r="B20" i="14"/>
  <c r="L22" i="13"/>
  <c r="L23" i="13"/>
  <c r="L24" i="13"/>
  <c r="L25" i="13"/>
  <c r="L26" i="13"/>
  <c r="L27" i="13"/>
  <c r="L28" i="13"/>
  <c r="L29" i="13"/>
  <c r="L30" i="13"/>
  <c r="L31" i="13"/>
  <c r="L32" i="13"/>
  <c r="L33" i="13"/>
  <c r="L34" i="13"/>
  <c r="L35" i="13"/>
  <c r="L21" i="13"/>
  <c r="J22" i="13"/>
  <c r="J23" i="13"/>
  <c r="J24" i="13"/>
  <c r="J25" i="13"/>
  <c r="J26" i="13"/>
  <c r="J27" i="13"/>
  <c r="J28" i="13"/>
  <c r="J29" i="13"/>
  <c r="J30" i="13"/>
  <c r="J31" i="13"/>
  <c r="J32" i="13"/>
  <c r="J33" i="13"/>
  <c r="J34" i="13"/>
  <c r="J35" i="13"/>
  <c r="J21" i="13"/>
  <c r="H22" i="13"/>
  <c r="H23" i="13"/>
  <c r="H24" i="13"/>
  <c r="H25" i="13"/>
  <c r="H26" i="13"/>
  <c r="H27" i="13"/>
  <c r="H28" i="13"/>
  <c r="H29" i="13"/>
  <c r="H30" i="13"/>
  <c r="H31" i="13"/>
  <c r="H32" i="13"/>
  <c r="H33" i="13"/>
  <c r="H34" i="13"/>
  <c r="H35" i="13"/>
  <c r="H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21" i="13"/>
  <c r="D22" i="13"/>
  <c r="D23" i="13"/>
  <c r="D24" i="13"/>
  <c r="D25" i="13"/>
  <c r="D26" i="13"/>
  <c r="D27" i="13"/>
  <c r="D28" i="13"/>
  <c r="D29" i="13"/>
  <c r="D30" i="13"/>
  <c r="D31" i="13"/>
  <c r="D32" i="13"/>
  <c r="D33" i="13"/>
  <c r="D34" i="13"/>
  <c r="D35" i="13"/>
  <c r="D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34" i="13"/>
  <c r="B35" i="13"/>
  <c r="B21" i="13"/>
  <c r="L21" i="12"/>
  <c r="L22" i="12"/>
  <c r="L23" i="12"/>
  <c r="L24" i="12"/>
  <c r="L25" i="12"/>
  <c r="L26" i="12"/>
  <c r="L27" i="12"/>
  <c r="L28" i="12"/>
  <c r="L29" i="12"/>
  <c r="L30" i="12"/>
  <c r="L31" i="12"/>
  <c r="L32" i="12"/>
  <c r="L33" i="12"/>
  <c r="L34" i="12"/>
  <c r="L20" i="12"/>
  <c r="J21" i="12"/>
  <c r="J22" i="12"/>
  <c r="J23" i="12"/>
  <c r="J24" i="12"/>
  <c r="J25" i="12"/>
  <c r="J26" i="12"/>
  <c r="J27" i="12"/>
  <c r="J28" i="12"/>
  <c r="J29" i="12"/>
  <c r="J30" i="12"/>
  <c r="J31" i="12"/>
  <c r="J32" i="12"/>
  <c r="J33" i="12"/>
  <c r="J34" i="12"/>
  <c r="J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20" i="12"/>
  <c r="L22" i="10"/>
  <c r="L23" i="10"/>
  <c r="L24" i="10"/>
  <c r="L25" i="10"/>
  <c r="L26" i="10"/>
  <c r="L27" i="10"/>
  <c r="L28" i="10"/>
  <c r="L29" i="10"/>
  <c r="L30" i="10"/>
  <c r="L31" i="10"/>
  <c r="L32" i="10"/>
  <c r="L33" i="10"/>
  <c r="L34" i="10"/>
  <c r="L35" i="10"/>
  <c r="L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J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21" i="10"/>
  <c r="L22" i="9"/>
  <c r="L23" i="9"/>
  <c r="L24" i="9"/>
  <c r="L25" i="9"/>
  <c r="L26" i="9"/>
  <c r="L27" i="9"/>
  <c r="L28" i="9"/>
  <c r="L29" i="9"/>
  <c r="L30" i="9"/>
  <c r="L31" i="9"/>
  <c r="L32" i="9"/>
  <c r="L33" i="9"/>
  <c r="L34" i="9"/>
  <c r="L35" i="9"/>
  <c r="L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21" i="9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21" i="8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20" i="7"/>
  <c r="B34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20" i="7"/>
</calcChain>
</file>

<file path=xl/sharedStrings.xml><?xml version="1.0" encoding="utf-8"?>
<sst xmlns="http://schemas.openxmlformats.org/spreadsheetml/2006/main" count="1695" uniqueCount="188">
  <si>
    <t>Gene</t>
  </si>
  <si>
    <t>wt MSE</t>
  </si>
  <si>
    <t>dcin5 MSE</t>
  </si>
  <si>
    <t>dgln3 MSE</t>
  </si>
  <si>
    <t>dhap4 MSE</t>
  </si>
  <si>
    <t>dhmo1 MSE</t>
  </si>
  <si>
    <t>dzap1 MSE</t>
  </si>
  <si>
    <t>ACE2</t>
  </si>
  <si>
    <t>ASH1</t>
  </si>
  <si>
    <t>CIN5</t>
  </si>
  <si>
    <t>GCR2</t>
  </si>
  <si>
    <t>GLN3</t>
  </si>
  <si>
    <t>HAP4</t>
  </si>
  <si>
    <t>HMO1</t>
  </si>
  <si>
    <t>MSN2</t>
  </si>
  <si>
    <t>SFP1</t>
  </si>
  <si>
    <t>STB5</t>
  </si>
  <si>
    <t>SWI4</t>
  </si>
  <si>
    <t>SWI5</t>
  </si>
  <si>
    <t>YHP1</t>
  </si>
  <si>
    <t>YOX1</t>
  </si>
  <si>
    <t>ZAP1</t>
  </si>
  <si>
    <t>wt BH</t>
  </si>
  <si>
    <t>dcin5 BH</t>
  </si>
  <si>
    <t>dgln3 BH</t>
  </si>
  <si>
    <t>dhap4 BH</t>
  </si>
  <si>
    <t>dhmo1 BH</t>
  </si>
  <si>
    <t>dzap1 BH</t>
  </si>
  <si>
    <t>Overview</t>
  </si>
  <si>
    <t>Variability in MSE and p &lt;  0.05 such that significant p-values do not always correspond to better fit to the data</t>
  </si>
  <si>
    <t>ABF1</t>
  </si>
  <si>
    <t>AFT2</t>
  </si>
  <si>
    <t>ASF1</t>
  </si>
  <si>
    <t>GCN4</t>
  </si>
  <si>
    <t>MCM1</t>
  </si>
  <si>
    <t>MGA2</t>
  </si>
  <si>
    <t>RDS3</t>
  </si>
  <si>
    <t>wt</t>
  </si>
  <si>
    <t>dcin5</t>
  </si>
  <si>
    <t>dgln3</t>
  </si>
  <si>
    <t>dhap4</t>
  </si>
  <si>
    <t>dhmo1</t>
  </si>
  <si>
    <t>dzap1</t>
  </si>
  <si>
    <t>CYC8</t>
  </si>
  <si>
    <t>MSN4</t>
  </si>
  <si>
    <t>TEC1</t>
  </si>
  <si>
    <t>wt BH pval</t>
  </si>
  <si>
    <t>dcin5 BH pval</t>
  </si>
  <si>
    <t>dgln3 BH pval</t>
  </si>
  <si>
    <t>dhap4 BH pval</t>
  </si>
  <si>
    <t>dhmo1 BH pval</t>
  </si>
  <si>
    <t>CST6</t>
  </si>
  <si>
    <t>HSF1</t>
  </si>
  <si>
    <t>dzap1 BH pval</t>
  </si>
  <si>
    <t>data points are spread out, especially for dCIN5, dHMO1; dHap4 trends not modeled well. Modeled dZap1 ok, except at T15</t>
  </si>
  <si>
    <t>dZap1 modeled well as well as dHmo1. dHap4 could be better (dip at T15 then up reg); dGln3 needs to be upreg at T30 then back down</t>
  </si>
  <si>
    <t>Genes with no inputs modeled worse or better or no relationship?</t>
  </si>
  <si>
    <t>Use in-degree, out-degree, total-degree tables for this</t>
  </si>
  <si>
    <t>Do goes with decreases in expression have a worse fit?</t>
  </si>
  <si>
    <t>data points everywhere, dynamics not modeled well for dHap4. dZap1 modeled well while those same dynamics appear to fit wt, dcin5, and dgln3 approximately well</t>
  </si>
  <si>
    <t>Spread data for dhmo1; Dynamics for dgln3 poor (straight, up, down), dcin5 appears ok vs. dZap1 and wt not the best and should dip at T60</t>
  </si>
  <si>
    <t>Modeled well for all strains except dgln3 (would have to decrease after T30)</t>
  </si>
  <si>
    <t>Poor for dGLN3; datapoint spread for dhap4 and dzap1 (appears to use average); dynamics follow trends of dhmo1 and dzap1 however even for wt, dcin5, and dhap4</t>
  </si>
  <si>
    <t>Fits dzap1 data well; appears ACE's data corresponds to dhmo1 model; dgln3 data points wide, esp at T30</t>
  </si>
  <si>
    <t>Trends appear to be followed for all data points; dZap1 and dHmo1 don't appear deep enough, esp. at T60. wt appears deeper at T30 as well</t>
  </si>
  <si>
    <t>Dynamics look good for dCin5 and dZap1 (higher up at T15 however); wt data appears spread; dgln3=  higher (shift up other curves)</t>
  </si>
  <si>
    <t>Data points tighter = better fit for dhmo1 and dZap1 (well); dCin5 in between two curves &amp; not good fit; wt dips @T15 &amp; increases after</t>
  </si>
  <si>
    <t>Points spread; dgln3 and dcin5 are  poor (decreases after T30); wt also poor, increasing hyperbolically</t>
  </si>
  <si>
    <t>Dynamics look distinct; dCin5 not as well as others (dhmo1, d gln3, dzap1); see wt line for first time</t>
  </si>
  <si>
    <t>Points appear tight; Dynamics fit points well</t>
  </si>
  <si>
    <t>Indeterminant due to one line shown as dynamics of ABF1</t>
  </si>
  <si>
    <t>Doesn't fit wt well (dips lower at T60); appears to model the other strains well</t>
  </si>
  <si>
    <t>No. Sig Pval</t>
  </si>
  <si>
    <t>Data points spread @T15&amp;60; peak @T15 and then decreases throughout course for dZap1; dHap4 for dhap4, dcin5 (poor), and wt</t>
  </si>
  <si>
    <t>dZap1 modeled well as well as dHmo1; dHap4 dips @T15 and then increases, but dynamics not modeled well; wt spread</t>
  </si>
  <si>
    <t>data everywhere; dZap1 modeled well; dHap4 not; dCin5 and wt along with dZap1 model, so decent fit</t>
  </si>
  <si>
    <t>dCin5 fits both dcin5 and dhap4 data points well; dGln3 could be better (rises at T30 then falls); dZap1 ok; wt indistinguishable</t>
  </si>
  <si>
    <t>poor fit for dGln3 (decrease @T30); fits other points well; wt again indistinguishable</t>
  </si>
  <si>
    <t>dGln3 poorly modeled; dZap1 looks fine; dhap4, dcin5, and wt could be better but dhmo1 models fits their data enough to see  pattern</t>
  </si>
  <si>
    <t>Difference between random1 and db network 5 individual MSE values</t>
  </si>
  <si>
    <t>LSE:minLSE</t>
  </si>
  <si>
    <t>Difference between random network 2 and db network 5 (MSE comparison of individual genes)</t>
  </si>
  <si>
    <t>Difference between random3 and db network 5 individual MSE values</t>
  </si>
  <si>
    <t>Difference between random 4 and db network 5 individual gene MSE values</t>
  </si>
  <si>
    <t>Indeterminant due to one line shown as dynamics of ABF1; not modeled well for other strains, but yes to dZap1</t>
  </si>
  <si>
    <t>dCin5 T15 deeper, but afterward fine; spread dynamics for strain data, but model fits dHap4 and dZap1 well</t>
  </si>
  <si>
    <t>dZap1 modeled well for its data points; all other points = indistinguishable; dHap4 upreg as well as dGln3</t>
  </si>
  <si>
    <t>Dynamics good for dZap1 &amp; dHap4; dHmo1 dip down at T15 should increase; dynamics should decrease a bit then increase</t>
  </si>
  <si>
    <t>Spread data points; dZap1 modeled well; dGln3 not modeled well/dynamics not seen clearly; dHmo1 &amp; dCin5 not the best</t>
  </si>
  <si>
    <t>Tighter data points; poor dynamics for dGln3 and dCin5; no distinguishable differences for dHmo1 &amp; dCin5 &amp; dGln3 &amp; wt</t>
  </si>
  <si>
    <t>wt not modeled well (all down reg); dHmo1 increase then decrease (don't see that); dHap4 &amp; dCin5 better, but should dip at T30; dGln3 peaks at T30 and falls again</t>
  </si>
  <si>
    <t>Poorly modeled: dGln3 and dCin5 (up reg T30); fits well = dZap1 &amp; dHmo1</t>
  </si>
  <si>
    <t>Good fit: dCin5 &amp; dHmo1 and dZap1; dHap4 = more variable data points like wt; dGln3 similar dynamics to dZap1</t>
  </si>
  <si>
    <t>Spread data points; dHmo1 appears to be modeled well, but all other models are unclear; wt data = significant but not modeled</t>
  </si>
  <si>
    <t>dZap1 modeled excellently; dHmo1 looks good as well as dHap4; dGln3 not modeled well w/ other dynamics; wt not great</t>
  </si>
  <si>
    <t>Dynamics good for dHmo1 &amp; dZap1; appears that dHap4 &amp; wt modeled with dZap1; dGln3 needs to fall at T60</t>
  </si>
  <si>
    <t>dZap1 fits its data well; all others not b/c of spread data points (dHap4 increases then falls)</t>
  </si>
  <si>
    <t>wt not modeled well (should dip @T15); other dynamics look good</t>
  </si>
  <si>
    <t>dZap1 good at T30&amp;T60 not T15; others (dCin5 &amp; dHmo1) are modeled well, but wt needs more down-regulation</t>
  </si>
  <si>
    <t>spread data points; dZap1 modeled well; dynamics for dHap4 indistinguishable pattern</t>
  </si>
  <si>
    <t>Data points spread; not modeled well</t>
  </si>
  <si>
    <t>Modeled well: dZap1 &amp; dGln3; dHap4 should dip @T60; wt should increase @T60</t>
  </si>
  <si>
    <t>No separate dHap4 dynamics (appears w/ dZap1); dZap1 modeled well as well as dHmo1; wt &amp; dGln3 data points spread</t>
  </si>
  <si>
    <t>dHmo1 spread; dynamics for dZap1 &amp; dCin5 modeled well; dGln3 up-regulated until T60</t>
  </si>
  <si>
    <t>dGln3 not good fit (dip @T60) nor dHap4, down reg @T30; wt = down reg too; others look fine; dCin5 &amp; dZap1 = good fit</t>
  </si>
  <si>
    <t>wt modeled poorly (down reg); dHap decrease @T30, but doesn’t; dCin5 &amp; dHmo1 appear fine (dHmo1 peak T15); dZap1 modeled well</t>
  </si>
  <si>
    <t>dZap1 fits well; dHmo1 is ok; wt not modeled well (down-reg)</t>
  </si>
  <si>
    <t>dHmo1 modeled well; same with dZap1; dCin5 modeled well, too; dHap4 not modeled well but dGln3 is with dZap1 model</t>
  </si>
  <si>
    <t>dGln3 poor (dips, peaks @T30, dips again); dHapp4 not modeled well (dips lower @T15 and then increases); all others, except wt, modeled fine</t>
  </si>
  <si>
    <t>wt (modeled w/ dHmo1… good); dHap4 modeled decently by dHmo1&amp;dZap1; dGln3 increases, but not modeled well; others = fine</t>
  </si>
  <si>
    <t>Poorly fit for dCin5 (peak @T30), dGln3 (peak @T30 then decreases), &amp; wt (increases until T60); dHmo1 should drop but it doesn't</t>
  </si>
  <si>
    <t>LSE:minLSE ratio</t>
  </si>
  <si>
    <t>Difference between random network 5 and db network 5 individual gene MSE values</t>
  </si>
  <si>
    <t>Difference between random network 6 and db network 5 individual gene MSE values</t>
  </si>
  <si>
    <t>Differences between random network 7 and db network 5 for individual genes' MSE values</t>
  </si>
  <si>
    <t>Difference between random network 8 and db network 5 (MSE comparison of individual genes)</t>
  </si>
  <si>
    <t>Differences between random network 9 and db network 5 individual gene MSE values</t>
  </si>
  <si>
    <t>Difference between random network 10 and db network 5 individual gene MSE values</t>
  </si>
  <si>
    <t>Difference between random network 11 and db network 5 individual gene MSE values</t>
  </si>
  <si>
    <t>statistical significant</t>
  </si>
  <si>
    <t>Difference between random network 12 and db network 5 individual MSE values</t>
  </si>
  <si>
    <t>Difference between random network 13 and db network 5 individual MSE values</t>
  </si>
  <si>
    <t>Difference between random network 14 and db network 5 individual MSE values</t>
  </si>
  <si>
    <t>Difference between random network 15 and db network 5 individual MSE values</t>
  </si>
  <si>
    <t>Difference between random network 16 and db network 5 individual MSE values</t>
  </si>
  <si>
    <t>Difference between random network 17 and db network 5 individual MSE values</t>
  </si>
  <si>
    <t>Difference between random network 18 and db network 5 individual MSE values</t>
  </si>
  <si>
    <t>Network</t>
  </si>
  <si>
    <t>LSE:minLSE Ratio</t>
  </si>
  <si>
    <t>db5</t>
  </si>
  <si>
    <t>rand1</t>
  </si>
  <si>
    <t>rand2</t>
  </si>
  <si>
    <t>rand3</t>
  </si>
  <si>
    <t>rand4</t>
  </si>
  <si>
    <t>rand6</t>
  </si>
  <si>
    <t>rand7</t>
  </si>
  <si>
    <t>rand8</t>
  </si>
  <si>
    <t>rand9</t>
  </si>
  <si>
    <t>rand10</t>
  </si>
  <si>
    <t>rand11</t>
  </si>
  <si>
    <t>rand12</t>
  </si>
  <si>
    <t>rand13</t>
  </si>
  <si>
    <t>rand14</t>
  </si>
  <si>
    <t>rand15</t>
  </si>
  <si>
    <t>rand16</t>
  </si>
  <si>
    <t>rand18</t>
  </si>
  <si>
    <t>rand17</t>
  </si>
  <si>
    <t>Difference between random network 19 and db network 5 individual MSE values</t>
  </si>
  <si>
    <t>rand19</t>
  </si>
  <si>
    <t>Difference between random network 20 and db network 5 individual MSE values</t>
  </si>
  <si>
    <t>Difference between random network 21 and db network 5 individual MSE values</t>
  </si>
  <si>
    <t>Difference between random network 22 and db network 5 individual MSE values</t>
  </si>
  <si>
    <t>Difference between random network 23 and db network 5 individual MSE values</t>
  </si>
  <si>
    <t>Difference between random network 25 and db network 5 individual MSE values</t>
  </si>
  <si>
    <t>Difference between random network 24 and db network 5 individual MSE values</t>
  </si>
  <si>
    <t>rand20</t>
  </si>
  <si>
    <t>rand21</t>
  </si>
  <si>
    <t>rand22</t>
  </si>
  <si>
    <t>rand23</t>
  </si>
  <si>
    <t>rand24</t>
  </si>
  <si>
    <t>rand25</t>
  </si>
  <si>
    <t>rand26</t>
  </si>
  <si>
    <t>rand27</t>
  </si>
  <si>
    <t>rand28</t>
  </si>
  <si>
    <t>rand29</t>
  </si>
  <si>
    <t>rand30</t>
  </si>
  <si>
    <t>Difference between random network 26 and db network 5 individual MSE values</t>
  </si>
  <si>
    <t>Less than 0</t>
  </si>
  <si>
    <t>Greater than 0</t>
  </si>
  <si>
    <t>Difference between random network 27 and db network 5 individual MSE values</t>
  </si>
  <si>
    <t>Difference between random network 29 and db network 5 individual MSE values</t>
  </si>
  <si>
    <t>Difference between random network 28 and db network 5 individual MSE values</t>
  </si>
  <si>
    <t>rand31</t>
  </si>
  <si>
    <t>Difference between random network 30 and db network 5 individual MSE values</t>
  </si>
  <si>
    <t>Difference between random network 31 and db network 5 individual MSE values</t>
  </si>
  <si>
    <t>wt minMSE</t>
  </si>
  <si>
    <t>dcin5 minMSE</t>
  </si>
  <si>
    <t>dgln3 minMSE</t>
  </si>
  <si>
    <t>dhap4 minMSE</t>
  </si>
  <si>
    <t>dhmo1 minMSE</t>
  </si>
  <si>
    <t>dzap1 minMSE</t>
  </si>
  <si>
    <t>db1</t>
  </si>
  <si>
    <t>db2</t>
  </si>
  <si>
    <t>db3</t>
  </si>
  <si>
    <t>db4</t>
  </si>
  <si>
    <t>db6</t>
  </si>
  <si>
    <t>Average, DB</t>
  </si>
  <si>
    <t>Average, Rand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</si>
</sst>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1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336699"/>
      <name val="Arial"/>
      <family val="2"/>
    </font>
    <font>
      <sz val="10"/>
      <color rgb="FFCC0000"/>
      <name val="Arial"/>
      <family val="2"/>
    </font>
    <font>
      <sz val="10"/>
      <color rgb="FF009900"/>
      <name val="Arial"/>
      <family val="2"/>
    </font>
    <font>
      <sz val="10"/>
      <color rgb="FFFF9933"/>
      <name val="Arial"/>
      <family val="2"/>
    </font>
    <font>
      <sz val="10"/>
      <color rgb="FF9900CC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0"/>
      <color rgb="FF000000"/>
      <name val="Arial"/>
    </font>
    <font>
      <sz val="11"/>
      <color theme="1"/>
      <name val="Arial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67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3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6" fillId="2" borderId="0" xfId="0" applyFont="1" applyFill="1"/>
    <xf numFmtId="0" fontId="0" fillId="2" borderId="0" xfId="0" applyFill="1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1" fillId="2" borderId="0" xfId="0" applyFont="1" applyFill="1"/>
    <xf numFmtId="0" fontId="0" fillId="0" borderId="0" xfId="0" applyFill="1"/>
    <xf numFmtId="0" fontId="1" fillId="0" borderId="0" xfId="0" applyFont="1" applyFill="1"/>
    <xf numFmtId="0" fontId="2" fillId="0" borderId="0" xfId="0" applyFont="1" applyFill="1"/>
    <xf numFmtId="0" fontId="3" fillId="0" borderId="0" xfId="0" applyFont="1" applyFill="1"/>
    <xf numFmtId="0" fontId="4" fillId="0" borderId="0" xfId="0" applyFont="1" applyFill="1"/>
    <xf numFmtId="0" fontId="5" fillId="0" borderId="0" xfId="0" applyFont="1" applyFill="1"/>
    <xf numFmtId="0" fontId="6" fillId="0" borderId="0" xfId="0" applyFont="1" applyFill="1"/>
    <xf numFmtId="0" fontId="0" fillId="3" borderId="0" xfId="0" applyFill="1"/>
    <xf numFmtId="0" fontId="0" fillId="4" borderId="0" xfId="0" applyFill="1"/>
    <xf numFmtId="0" fontId="9" fillId="0" borderId="0" xfId="0" applyFont="1" applyAlignment="1">
      <alignment horizontal="center" vertical="center"/>
    </xf>
    <xf numFmtId="0" fontId="10" fillId="0" borderId="0" xfId="0" applyFont="1"/>
    <xf numFmtId="0" fontId="10" fillId="4" borderId="0" xfId="0" applyFont="1" applyFill="1"/>
    <xf numFmtId="0" fontId="10" fillId="3" borderId="0" xfId="0" applyFont="1" applyFill="1"/>
    <xf numFmtId="164" fontId="10" fillId="0" borderId="0" xfId="0" applyNumberFormat="1" applyFont="1"/>
    <xf numFmtId="0" fontId="9" fillId="0" borderId="0" xfId="0" applyFont="1" applyAlignment="1">
      <alignment horizontal="center"/>
    </xf>
    <xf numFmtId="164" fontId="9" fillId="0" borderId="0" xfId="0" applyNumberFormat="1" applyFont="1"/>
    <xf numFmtId="0" fontId="0" fillId="0" borderId="0" xfId="0" applyAlignment="1">
      <alignment horizontal="left" wrapText="1"/>
    </xf>
  </cellXfs>
  <cellStyles count="6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dhap4!$V$1</c:f>
              <c:strCache>
                <c:ptCount val="1"/>
                <c:pt idx="0">
                  <c:v>LSE:minLSE Ratio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dhap4!$U$2:$U$33</c:f>
              <c:strCache>
                <c:ptCount val="32"/>
                <c:pt idx="0">
                  <c:v>db5</c:v>
                </c:pt>
                <c:pt idx="1">
                  <c:v>rand1</c:v>
                </c:pt>
                <c:pt idx="2">
                  <c:v>rand2</c:v>
                </c:pt>
                <c:pt idx="3">
                  <c:v>rand3</c:v>
                </c:pt>
                <c:pt idx="4">
                  <c:v>rand4</c:v>
                </c:pt>
                <c:pt idx="6">
                  <c:v>rand6</c:v>
                </c:pt>
                <c:pt idx="7">
                  <c:v>rand7</c:v>
                </c:pt>
                <c:pt idx="8">
                  <c:v>rand8</c:v>
                </c:pt>
                <c:pt idx="9">
                  <c:v>rand9</c:v>
                </c:pt>
                <c:pt idx="10">
                  <c:v>rand10</c:v>
                </c:pt>
                <c:pt idx="11">
                  <c:v>rand11</c:v>
                </c:pt>
                <c:pt idx="12">
                  <c:v>rand12</c:v>
                </c:pt>
                <c:pt idx="13">
                  <c:v>rand13</c:v>
                </c:pt>
                <c:pt idx="14">
                  <c:v>rand14</c:v>
                </c:pt>
                <c:pt idx="15">
                  <c:v>rand15</c:v>
                </c:pt>
                <c:pt idx="16">
                  <c:v>rand16</c:v>
                </c:pt>
                <c:pt idx="17">
                  <c:v>rand17</c:v>
                </c:pt>
                <c:pt idx="18">
                  <c:v>rand18</c:v>
                </c:pt>
                <c:pt idx="19">
                  <c:v>rand19</c:v>
                </c:pt>
                <c:pt idx="20">
                  <c:v>rand20</c:v>
                </c:pt>
                <c:pt idx="21">
                  <c:v>rand21</c:v>
                </c:pt>
                <c:pt idx="22">
                  <c:v>rand22</c:v>
                </c:pt>
                <c:pt idx="23">
                  <c:v>rand23</c:v>
                </c:pt>
                <c:pt idx="24">
                  <c:v>rand24</c:v>
                </c:pt>
                <c:pt idx="25">
                  <c:v>rand25</c:v>
                </c:pt>
                <c:pt idx="26">
                  <c:v>rand26</c:v>
                </c:pt>
                <c:pt idx="27">
                  <c:v>rand27</c:v>
                </c:pt>
                <c:pt idx="28">
                  <c:v>rand28</c:v>
                </c:pt>
                <c:pt idx="29">
                  <c:v>rand29</c:v>
                </c:pt>
                <c:pt idx="30">
                  <c:v>rand30</c:v>
                </c:pt>
                <c:pt idx="31">
                  <c:v>rand31</c:v>
                </c:pt>
              </c:strCache>
            </c:strRef>
          </c:cat>
          <c:val>
            <c:numRef>
              <c:f>dhap4!$V$2:$V$33</c:f>
              <c:numCache>
                <c:formatCode>General</c:formatCode>
                <c:ptCount val="32"/>
                <c:pt idx="0">
                  <c:v>1.4262899447569053</c:v>
                </c:pt>
                <c:pt idx="1">
                  <c:v>1.4529772496030113</c:v>
                </c:pt>
                <c:pt idx="2">
                  <c:v>1.4277504444793809</c:v>
                </c:pt>
                <c:pt idx="3">
                  <c:v>1.4302051790725405</c:v>
                </c:pt>
                <c:pt idx="4">
                  <c:v>1.4932686836654068</c:v>
                </c:pt>
                <c:pt idx="5">
                  <c:v>1.4932686836654068</c:v>
                </c:pt>
                <c:pt idx="6">
                  <c:v>1.4312963121043751</c:v>
                </c:pt>
                <c:pt idx="7">
                  <c:v>1.5202127530724623</c:v>
                </c:pt>
                <c:pt idx="8">
                  <c:v>1.4772793948104261</c:v>
                </c:pt>
                <c:pt idx="9">
                  <c:v>1.4247047673594277</c:v>
                </c:pt>
                <c:pt idx="10">
                  <c:v>1.4920723175922099</c:v>
                </c:pt>
                <c:pt idx="11">
                  <c:v>1.4741303710931064</c:v>
                </c:pt>
                <c:pt idx="12">
                  <c:v>1.5080249002354402</c:v>
                </c:pt>
                <c:pt idx="13">
                  <c:v>1.4373264328589175</c:v>
                </c:pt>
                <c:pt idx="14">
                  <c:v>1.4585603192939989</c:v>
                </c:pt>
                <c:pt idx="15">
                  <c:v>1.406274906534285</c:v>
                </c:pt>
                <c:pt idx="16">
                  <c:v>1.4164661667032181</c:v>
                </c:pt>
                <c:pt idx="17">
                  <c:v>1.4929661684491689</c:v>
                </c:pt>
                <c:pt idx="18">
                  <c:v>1.4318481493703141</c:v>
                </c:pt>
                <c:pt idx="19">
                  <c:v>1.4305504465900958</c:v>
                </c:pt>
                <c:pt idx="20">
                  <c:v>1.4817458907365531</c:v>
                </c:pt>
                <c:pt idx="21">
                  <c:v>1.4527745613945509</c:v>
                </c:pt>
                <c:pt idx="22">
                  <c:v>1.4839400290137403</c:v>
                </c:pt>
                <c:pt idx="23">
                  <c:v>1.4332184572675248</c:v>
                </c:pt>
                <c:pt idx="24">
                  <c:v>1.3880085624760619</c:v>
                </c:pt>
                <c:pt idx="25">
                  <c:v>1.4433091987442899</c:v>
                </c:pt>
                <c:pt idx="26">
                  <c:v>1.4205617992424076</c:v>
                </c:pt>
                <c:pt idx="27">
                  <c:v>1.4519850220020576</c:v>
                </c:pt>
                <c:pt idx="28">
                  <c:v>1.4318485216486623</c:v>
                </c:pt>
                <c:pt idx="29">
                  <c:v>1.4434426448330233</c:v>
                </c:pt>
                <c:pt idx="30">
                  <c:v>1.4760844231147061</c:v>
                </c:pt>
                <c:pt idx="31">
                  <c:v>1.5009483703776725</c:v>
                </c:pt>
              </c:numCache>
            </c:numRef>
          </c:val>
        </c:ser>
        <c:ser>
          <c:idx val="1"/>
          <c:order val="1"/>
          <c:tx>
            <c:strRef>
              <c:f>dhap4!$Z$18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dhap4!$U$2:$U$33</c:f>
              <c:strCache>
                <c:ptCount val="32"/>
                <c:pt idx="0">
                  <c:v>db5</c:v>
                </c:pt>
                <c:pt idx="1">
                  <c:v>rand1</c:v>
                </c:pt>
                <c:pt idx="2">
                  <c:v>rand2</c:v>
                </c:pt>
                <c:pt idx="3">
                  <c:v>rand3</c:v>
                </c:pt>
                <c:pt idx="4">
                  <c:v>rand4</c:v>
                </c:pt>
                <c:pt idx="6">
                  <c:v>rand6</c:v>
                </c:pt>
                <c:pt idx="7">
                  <c:v>rand7</c:v>
                </c:pt>
                <c:pt idx="8">
                  <c:v>rand8</c:v>
                </c:pt>
                <c:pt idx="9">
                  <c:v>rand9</c:v>
                </c:pt>
                <c:pt idx="10">
                  <c:v>rand10</c:v>
                </c:pt>
                <c:pt idx="11">
                  <c:v>rand11</c:v>
                </c:pt>
                <c:pt idx="12">
                  <c:v>rand12</c:v>
                </c:pt>
                <c:pt idx="13">
                  <c:v>rand13</c:v>
                </c:pt>
                <c:pt idx="14">
                  <c:v>rand14</c:v>
                </c:pt>
                <c:pt idx="15">
                  <c:v>rand15</c:v>
                </c:pt>
                <c:pt idx="16">
                  <c:v>rand16</c:v>
                </c:pt>
                <c:pt idx="17">
                  <c:v>rand17</c:v>
                </c:pt>
                <c:pt idx="18">
                  <c:v>rand18</c:v>
                </c:pt>
                <c:pt idx="19">
                  <c:v>rand19</c:v>
                </c:pt>
                <c:pt idx="20">
                  <c:v>rand20</c:v>
                </c:pt>
                <c:pt idx="21">
                  <c:v>rand21</c:v>
                </c:pt>
                <c:pt idx="22">
                  <c:v>rand22</c:v>
                </c:pt>
                <c:pt idx="23">
                  <c:v>rand23</c:v>
                </c:pt>
                <c:pt idx="24">
                  <c:v>rand24</c:v>
                </c:pt>
                <c:pt idx="25">
                  <c:v>rand25</c:v>
                </c:pt>
                <c:pt idx="26">
                  <c:v>rand26</c:v>
                </c:pt>
                <c:pt idx="27">
                  <c:v>rand27</c:v>
                </c:pt>
                <c:pt idx="28">
                  <c:v>rand28</c:v>
                </c:pt>
                <c:pt idx="29">
                  <c:v>rand29</c:v>
                </c:pt>
                <c:pt idx="30">
                  <c:v>rand30</c:v>
                </c:pt>
                <c:pt idx="31">
                  <c:v>rand31</c:v>
                </c:pt>
              </c:strCache>
            </c:strRef>
          </c:cat>
          <c:val>
            <c:numRef>
              <c:f>dhap4!$Z$19:$Z$20</c:f>
              <c:numCache>
                <c:formatCode>General</c:formatCode>
                <c:ptCount val="2"/>
              </c:numCache>
            </c:numRef>
          </c:val>
        </c:ser>
        <c:ser>
          <c:idx val="2"/>
          <c:order val="2"/>
          <c:tx>
            <c:strRef>
              <c:f>dhap4!$AA$18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dhap4!$U$2:$U$33</c:f>
              <c:strCache>
                <c:ptCount val="32"/>
                <c:pt idx="0">
                  <c:v>db5</c:v>
                </c:pt>
                <c:pt idx="1">
                  <c:v>rand1</c:v>
                </c:pt>
                <c:pt idx="2">
                  <c:v>rand2</c:v>
                </c:pt>
                <c:pt idx="3">
                  <c:v>rand3</c:v>
                </c:pt>
                <c:pt idx="4">
                  <c:v>rand4</c:v>
                </c:pt>
                <c:pt idx="6">
                  <c:v>rand6</c:v>
                </c:pt>
                <c:pt idx="7">
                  <c:v>rand7</c:v>
                </c:pt>
                <c:pt idx="8">
                  <c:v>rand8</c:v>
                </c:pt>
                <c:pt idx="9">
                  <c:v>rand9</c:v>
                </c:pt>
                <c:pt idx="10">
                  <c:v>rand10</c:v>
                </c:pt>
                <c:pt idx="11">
                  <c:v>rand11</c:v>
                </c:pt>
                <c:pt idx="12">
                  <c:v>rand12</c:v>
                </c:pt>
                <c:pt idx="13">
                  <c:v>rand13</c:v>
                </c:pt>
                <c:pt idx="14">
                  <c:v>rand14</c:v>
                </c:pt>
                <c:pt idx="15">
                  <c:v>rand15</c:v>
                </c:pt>
                <c:pt idx="16">
                  <c:v>rand16</c:v>
                </c:pt>
                <c:pt idx="17">
                  <c:v>rand17</c:v>
                </c:pt>
                <c:pt idx="18">
                  <c:v>rand18</c:v>
                </c:pt>
                <c:pt idx="19">
                  <c:v>rand19</c:v>
                </c:pt>
                <c:pt idx="20">
                  <c:v>rand20</c:v>
                </c:pt>
                <c:pt idx="21">
                  <c:v>rand21</c:v>
                </c:pt>
                <c:pt idx="22">
                  <c:v>rand22</c:v>
                </c:pt>
                <c:pt idx="23">
                  <c:v>rand23</c:v>
                </c:pt>
                <c:pt idx="24">
                  <c:v>rand24</c:v>
                </c:pt>
                <c:pt idx="25">
                  <c:v>rand25</c:v>
                </c:pt>
                <c:pt idx="26">
                  <c:v>rand26</c:v>
                </c:pt>
                <c:pt idx="27">
                  <c:v>rand27</c:v>
                </c:pt>
                <c:pt idx="28">
                  <c:v>rand28</c:v>
                </c:pt>
                <c:pt idx="29">
                  <c:v>rand29</c:v>
                </c:pt>
                <c:pt idx="30">
                  <c:v>rand30</c:v>
                </c:pt>
                <c:pt idx="31">
                  <c:v>rand31</c:v>
                </c:pt>
              </c:strCache>
            </c:strRef>
          </c:cat>
          <c:val>
            <c:numRef>
              <c:f>dhap4!$AA$19:$AA$20</c:f>
              <c:numCache>
                <c:formatCode>General</c:formatCode>
                <c:ptCount val="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66964176"/>
        <c:axId val="162371280"/>
      </c:barChart>
      <c:lineChart>
        <c:grouping val="standard"/>
        <c:varyColors val="0"/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dhap4!$U$2:$U$33</c:f>
              <c:strCache>
                <c:ptCount val="32"/>
                <c:pt idx="0">
                  <c:v>db5</c:v>
                </c:pt>
                <c:pt idx="1">
                  <c:v>rand1</c:v>
                </c:pt>
                <c:pt idx="2">
                  <c:v>rand2</c:v>
                </c:pt>
                <c:pt idx="3">
                  <c:v>rand3</c:v>
                </c:pt>
                <c:pt idx="4">
                  <c:v>rand4</c:v>
                </c:pt>
                <c:pt idx="6">
                  <c:v>rand6</c:v>
                </c:pt>
                <c:pt idx="7">
                  <c:v>rand7</c:v>
                </c:pt>
                <c:pt idx="8">
                  <c:v>rand8</c:v>
                </c:pt>
                <c:pt idx="9">
                  <c:v>rand9</c:v>
                </c:pt>
                <c:pt idx="10">
                  <c:v>rand10</c:v>
                </c:pt>
                <c:pt idx="11">
                  <c:v>rand11</c:v>
                </c:pt>
                <c:pt idx="12">
                  <c:v>rand12</c:v>
                </c:pt>
                <c:pt idx="13">
                  <c:v>rand13</c:v>
                </c:pt>
                <c:pt idx="14">
                  <c:v>rand14</c:v>
                </c:pt>
                <c:pt idx="15">
                  <c:v>rand15</c:v>
                </c:pt>
                <c:pt idx="16">
                  <c:v>rand16</c:v>
                </c:pt>
                <c:pt idx="17">
                  <c:v>rand17</c:v>
                </c:pt>
                <c:pt idx="18">
                  <c:v>rand18</c:v>
                </c:pt>
                <c:pt idx="19">
                  <c:v>rand19</c:v>
                </c:pt>
                <c:pt idx="20">
                  <c:v>rand20</c:v>
                </c:pt>
                <c:pt idx="21">
                  <c:v>rand21</c:v>
                </c:pt>
                <c:pt idx="22">
                  <c:v>rand22</c:v>
                </c:pt>
                <c:pt idx="23">
                  <c:v>rand23</c:v>
                </c:pt>
                <c:pt idx="24">
                  <c:v>rand24</c:v>
                </c:pt>
                <c:pt idx="25">
                  <c:v>rand25</c:v>
                </c:pt>
                <c:pt idx="26">
                  <c:v>rand26</c:v>
                </c:pt>
                <c:pt idx="27">
                  <c:v>rand27</c:v>
                </c:pt>
                <c:pt idx="28">
                  <c:v>rand28</c:v>
                </c:pt>
                <c:pt idx="29">
                  <c:v>rand29</c:v>
                </c:pt>
                <c:pt idx="30">
                  <c:v>rand30</c:v>
                </c:pt>
                <c:pt idx="31">
                  <c:v>rand31</c:v>
                </c:pt>
              </c:strCache>
            </c:strRef>
          </c:cat>
          <c:val>
            <c:numRef>
              <c:f>dhap4!$W$2:$W$33</c:f>
              <c:numCache>
                <c:formatCode>General</c:formatCode>
                <c:ptCount val="32"/>
                <c:pt idx="0">
                  <c:v>1.4262899447569053</c:v>
                </c:pt>
                <c:pt idx="1">
                  <c:v>1.4262899447569053</c:v>
                </c:pt>
                <c:pt idx="2">
                  <c:v>1.4262899447569053</c:v>
                </c:pt>
                <c:pt idx="3">
                  <c:v>1.4262899447569053</c:v>
                </c:pt>
                <c:pt idx="4">
                  <c:v>1.4262899447569053</c:v>
                </c:pt>
                <c:pt idx="5">
                  <c:v>1.4262899447569053</c:v>
                </c:pt>
                <c:pt idx="6">
                  <c:v>1.4262899447569053</c:v>
                </c:pt>
                <c:pt idx="7">
                  <c:v>1.4262899447569053</c:v>
                </c:pt>
                <c:pt idx="8">
                  <c:v>1.4262899447569053</c:v>
                </c:pt>
                <c:pt idx="9">
                  <c:v>1.4262899447569053</c:v>
                </c:pt>
                <c:pt idx="10">
                  <c:v>1.4262899447569053</c:v>
                </c:pt>
                <c:pt idx="11">
                  <c:v>1.4262899447569053</c:v>
                </c:pt>
                <c:pt idx="12">
                  <c:v>1.4262899447569053</c:v>
                </c:pt>
                <c:pt idx="13">
                  <c:v>1.4262899447569053</c:v>
                </c:pt>
                <c:pt idx="14">
                  <c:v>1.4262899447569053</c:v>
                </c:pt>
                <c:pt idx="15">
                  <c:v>1.4262899447569053</c:v>
                </c:pt>
                <c:pt idx="16">
                  <c:v>1.4262899447569053</c:v>
                </c:pt>
                <c:pt idx="17">
                  <c:v>1.4262899447569053</c:v>
                </c:pt>
                <c:pt idx="18">
                  <c:v>1.4262899447569053</c:v>
                </c:pt>
                <c:pt idx="19">
                  <c:v>1.4262899447569053</c:v>
                </c:pt>
                <c:pt idx="20">
                  <c:v>1.4262899447569053</c:v>
                </c:pt>
                <c:pt idx="21">
                  <c:v>1.4262899447569053</c:v>
                </c:pt>
                <c:pt idx="22">
                  <c:v>1.4262899447569053</c:v>
                </c:pt>
                <c:pt idx="23">
                  <c:v>1.4262899447569053</c:v>
                </c:pt>
                <c:pt idx="24">
                  <c:v>1.4262899447569053</c:v>
                </c:pt>
                <c:pt idx="25">
                  <c:v>1.42628994475691</c:v>
                </c:pt>
                <c:pt idx="26">
                  <c:v>1.42628994475691</c:v>
                </c:pt>
                <c:pt idx="27">
                  <c:v>1.42628994475691</c:v>
                </c:pt>
                <c:pt idx="28">
                  <c:v>1.42628994475691</c:v>
                </c:pt>
                <c:pt idx="29">
                  <c:v>1.42628994475691</c:v>
                </c:pt>
                <c:pt idx="30">
                  <c:v>1.42628994475691</c:v>
                </c:pt>
                <c:pt idx="31">
                  <c:v>1.42628994475691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964176"/>
        <c:axId val="162371280"/>
      </c:lineChart>
      <c:catAx>
        <c:axId val="166964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71280"/>
        <c:crosses val="autoZero"/>
        <c:auto val="1"/>
        <c:lblAlgn val="ctr"/>
        <c:lblOffset val="100"/>
        <c:noMultiLvlLbl val="0"/>
      </c:catAx>
      <c:valAx>
        <c:axId val="162371280"/>
        <c:scaling>
          <c:orientation val="minMax"/>
          <c:max val="1.5249999999999999"/>
          <c:min val="1.36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64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Graphs!$B$1</c:f>
              <c:strCache>
                <c:ptCount val="1"/>
                <c:pt idx="0">
                  <c:v>LSE:minLSE Ratio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Graphs!$A$2:$A$37</c:f>
              <c:strCache>
                <c:ptCount val="36"/>
                <c:pt idx="0">
                  <c:v>db1</c:v>
                </c:pt>
                <c:pt idx="1">
                  <c:v>db2</c:v>
                </c:pt>
                <c:pt idx="2">
                  <c:v>db3</c:v>
                </c:pt>
                <c:pt idx="3">
                  <c:v>db4</c:v>
                </c:pt>
                <c:pt idx="4">
                  <c:v>db6</c:v>
                </c:pt>
                <c:pt idx="5">
                  <c:v>db5</c:v>
                </c:pt>
                <c:pt idx="6">
                  <c:v>rand1</c:v>
                </c:pt>
                <c:pt idx="7">
                  <c:v>rand2</c:v>
                </c:pt>
                <c:pt idx="8">
                  <c:v>rand3</c:v>
                </c:pt>
                <c:pt idx="9">
                  <c:v>rand4</c:v>
                </c:pt>
                <c:pt idx="10">
                  <c:v>rand6</c:v>
                </c:pt>
                <c:pt idx="11">
                  <c:v>rand7</c:v>
                </c:pt>
                <c:pt idx="12">
                  <c:v>rand8</c:v>
                </c:pt>
                <c:pt idx="13">
                  <c:v>rand9</c:v>
                </c:pt>
                <c:pt idx="14">
                  <c:v>rand10</c:v>
                </c:pt>
                <c:pt idx="15">
                  <c:v>rand11</c:v>
                </c:pt>
                <c:pt idx="16">
                  <c:v>rand12</c:v>
                </c:pt>
                <c:pt idx="17">
                  <c:v>rand13</c:v>
                </c:pt>
                <c:pt idx="18">
                  <c:v>rand14</c:v>
                </c:pt>
                <c:pt idx="19">
                  <c:v>rand15</c:v>
                </c:pt>
                <c:pt idx="20">
                  <c:v>rand16</c:v>
                </c:pt>
                <c:pt idx="21">
                  <c:v>rand17</c:v>
                </c:pt>
                <c:pt idx="22">
                  <c:v>rand18</c:v>
                </c:pt>
                <c:pt idx="23">
                  <c:v>rand19</c:v>
                </c:pt>
                <c:pt idx="24">
                  <c:v>rand20</c:v>
                </c:pt>
                <c:pt idx="25">
                  <c:v>rand21</c:v>
                </c:pt>
                <c:pt idx="26">
                  <c:v>rand22</c:v>
                </c:pt>
                <c:pt idx="27">
                  <c:v>rand23</c:v>
                </c:pt>
                <c:pt idx="28">
                  <c:v>rand24</c:v>
                </c:pt>
                <c:pt idx="29">
                  <c:v>rand25</c:v>
                </c:pt>
                <c:pt idx="30">
                  <c:v>rand26</c:v>
                </c:pt>
                <c:pt idx="31">
                  <c:v>rand27</c:v>
                </c:pt>
                <c:pt idx="32">
                  <c:v>rand28</c:v>
                </c:pt>
                <c:pt idx="33">
                  <c:v>rand29</c:v>
                </c:pt>
                <c:pt idx="34">
                  <c:v>rand30</c:v>
                </c:pt>
                <c:pt idx="35">
                  <c:v>rand31</c:v>
                </c:pt>
              </c:strCache>
            </c:strRef>
          </c:cat>
          <c:val>
            <c:numRef>
              <c:f>Graphs!$B$2:$B$37</c:f>
              <c:numCache>
                <c:formatCode>0.0000</c:formatCode>
                <c:ptCount val="36"/>
                <c:pt idx="0" formatCode="General">
                  <c:v>1.4206000000000001</c:v>
                </c:pt>
                <c:pt idx="1">
                  <c:v>1.3580000000000001</c:v>
                </c:pt>
                <c:pt idx="2">
                  <c:v>1.41</c:v>
                </c:pt>
                <c:pt idx="3">
                  <c:v>1.3</c:v>
                </c:pt>
                <c:pt idx="4" formatCode="General">
                  <c:v>1.3973</c:v>
                </c:pt>
                <c:pt idx="5" formatCode="General">
                  <c:v>1.4262899447569053</c:v>
                </c:pt>
                <c:pt idx="6" formatCode="General">
                  <c:v>1.4529772496030113</c:v>
                </c:pt>
                <c:pt idx="7" formatCode="General">
                  <c:v>1.4277504444793809</c:v>
                </c:pt>
                <c:pt idx="8" formatCode="General">
                  <c:v>1.4302051790725405</c:v>
                </c:pt>
                <c:pt idx="9" formatCode="General">
                  <c:v>1.4932686836654068</c:v>
                </c:pt>
                <c:pt idx="10" formatCode="General">
                  <c:v>1.4312963121043751</c:v>
                </c:pt>
                <c:pt idx="11" formatCode="General">
                  <c:v>1.5202127530724623</c:v>
                </c:pt>
                <c:pt idx="12" formatCode="General">
                  <c:v>1.4772793948104261</c:v>
                </c:pt>
                <c:pt idx="13" formatCode="General">
                  <c:v>1.4247047673594277</c:v>
                </c:pt>
                <c:pt idx="14" formatCode="General">
                  <c:v>1.4920723175922099</c:v>
                </c:pt>
                <c:pt idx="15" formatCode="General">
                  <c:v>1.4741303710931064</c:v>
                </c:pt>
                <c:pt idx="16" formatCode="General">
                  <c:v>1.5080249002354402</c:v>
                </c:pt>
                <c:pt idx="17" formatCode="General">
                  <c:v>1.4373264328589175</c:v>
                </c:pt>
                <c:pt idx="18" formatCode="General">
                  <c:v>1.4585603192939989</c:v>
                </c:pt>
                <c:pt idx="19" formatCode="General">
                  <c:v>1.406274906534285</c:v>
                </c:pt>
                <c:pt idx="20" formatCode="General">
                  <c:v>1.4164661667032181</c:v>
                </c:pt>
                <c:pt idx="21" formatCode="General">
                  <c:v>1.4929661684491689</c:v>
                </c:pt>
                <c:pt idx="22" formatCode="General">
                  <c:v>1.4318481493703141</c:v>
                </c:pt>
                <c:pt idx="23" formatCode="General">
                  <c:v>1.4305504465900958</c:v>
                </c:pt>
                <c:pt idx="24" formatCode="General">
                  <c:v>1.4817458907365531</c:v>
                </c:pt>
                <c:pt idx="25" formatCode="General">
                  <c:v>1.4527745613945509</c:v>
                </c:pt>
                <c:pt idx="26" formatCode="General">
                  <c:v>1.4839400290137403</c:v>
                </c:pt>
                <c:pt idx="27" formatCode="General">
                  <c:v>1.4332184572675248</c:v>
                </c:pt>
                <c:pt idx="28" formatCode="General">
                  <c:v>1.3880085624760619</c:v>
                </c:pt>
                <c:pt idx="29" formatCode="General">
                  <c:v>1.4433091987442899</c:v>
                </c:pt>
                <c:pt idx="30" formatCode="General">
                  <c:v>1.4205617992424076</c:v>
                </c:pt>
                <c:pt idx="31" formatCode="General">
                  <c:v>1.4519850220020576</c:v>
                </c:pt>
                <c:pt idx="32" formatCode="General">
                  <c:v>1.4318485216486623</c:v>
                </c:pt>
                <c:pt idx="33" formatCode="General">
                  <c:v>1.4434426448330233</c:v>
                </c:pt>
                <c:pt idx="34" formatCode="General">
                  <c:v>1.4760844231147061</c:v>
                </c:pt>
                <c:pt idx="35" formatCode="General">
                  <c:v>1.5009483703776725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08280912"/>
        <c:axId val="108280352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Graphs!$C$2:$C$37</c:f>
              <c:numCache>
                <c:formatCode>General</c:formatCode>
                <c:ptCount val="36"/>
                <c:pt idx="0">
                  <c:v>1.4262899447569053</c:v>
                </c:pt>
                <c:pt idx="1">
                  <c:v>1.4262899447569053</c:v>
                </c:pt>
                <c:pt idx="2">
                  <c:v>1.4262899447569053</c:v>
                </c:pt>
                <c:pt idx="3">
                  <c:v>1.4262899447569053</c:v>
                </c:pt>
                <c:pt idx="4">
                  <c:v>1.4262899447569053</c:v>
                </c:pt>
                <c:pt idx="5">
                  <c:v>1.4262899447569053</c:v>
                </c:pt>
                <c:pt idx="6">
                  <c:v>1.4262899447569053</c:v>
                </c:pt>
                <c:pt idx="7">
                  <c:v>1.4262899447569053</c:v>
                </c:pt>
                <c:pt idx="8">
                  <c:v>1.4262899447569053</c:v>
                </c:pt>
                <c:pt idx="9">
                  <c:v>1.4262899447569053</c:v>
                </c:pt>
                <c:pt idx="10">
                  <c:v>1.4262899447569053</c:v>
                </c:pt>
                <c:pt idx="11">
                  <c:v>1.4262899447569053</c:v>
                </c:pt>
                <c:pt idx="12">
                  <c:v>1.4262899447569053</c:v>
                </c:pt>
                <c:pt idx="13">
                  <c:v>1.4262899447569053</c:v>
                </c:pt>
                <c:pt idx="14">
                  <c:v>1.4262899447569053</c:v>
                </c:pt>
                <c:pt idx="15">
                  <c:v>1.4262899447569053</c:v>
                </c:pt>
                <c:pt idx="16">
                  <c:v>1.4262899447569053</c:v>
                </c:pt>
                <c:pt idx="17">
                  <c:v>1.4262899447569053</c:v>
                </c:pt>
                <c:pt idx="18">
                  <c:v>1.4262899447569053</c:v>
                </c:pt>
                <c:pt idx="19">
                  <c:v>1.4262899447569053</c:v>
                </c:pt>
                <c:pt idx="20">
                  <c:v>1.4262899447569053</c:v>
                </c:pt>
                <c:pt idx="21">
                  <c:v>1.4262899447569053</c:v>
                </c:pt>
                <c:pt idx="22">
                  <c:v>1.4262899447569053</c:v>
                </c:pt>
                <c:pt idx="23">
                  <c:v>1.4262899447569053</c:v>
                </c:pt>
                <c:pt idx="24">
                  <c:v>1.4262899447569053</c:v>
                </c:pt>
                <c:pt idx="25">
                  <c:v>1.4262899447569053</c:v>
                </c:pt>
                <c:pt idx="26">
                  <c:v>1.4262899447569053</c:v>
                </c:pt>
                <c:pt idx="27">
                  <c:v>1.4262899447569053</c:v>
                </c:pt>
                <c:pt idx="28">
                  <c:v>1.4262899447569053</c:v>
                </c:pt>
                <c:pt idx="29">
                  <c:v>1.42628994475691</c:v>
                </c:pt>
                <c:pt idx="30">
                  <c:v>1.42628994475691</c:v>
                </c:pt>
                <c:pt idx="31">
                  <c:v>1.42628994475691</c:v>
                </c:pt>
                <c:pt idx="32">
                  <c:v>1.42628994475691</c:v>
                </c:pt>
                <c:pt idx="33">
                  <c:v>1.42628994475691</c:v>
                </c:pt>
                <c:pt idx="34">
                  <c:v>1.42628994475691</c:v>
                </c:pt>
                <c:pt idx="35">
                  <c:v>1.42628994475691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280912"/>
        <c:axId val="108280352"/>
      </c:lineChart>
      <c:catAx>
        <c:axId val="108280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280352"/>
        <c:crosses val="autoZero"/>
        <c:auto val="1"/>
        <c:lblAlgn val="ctr"/>
        <c:lblOffset val="100"/>
        <c:noMultiLvlLbl val="0"/>
      </c:catAx>
      <c:valAx>
        <c:axId val="108280352"/>
        <c:scaling>
          <c:orientation val="minMax"/>
          <c:min val="1.284999999999999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280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366711</xdr:colOff>
      <xdr:row>0</xdr:row>
      <xdr:rowOff>33336</xdr:rowOff>
    </xdr:from>
    <xdr:to>
      <xdr:col>36</xdr:col>
      <xdr:colOff>333374</xdr:colOff>
      <xdr:row>11</xdr:row>
      <xdr:rowOff>266699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619124</xdr:colOff>
      <xdr:row>3</xdr:row>
      <xdr:rowOff>90486</xdr:rowOff>
    </xdr:from>
    <xdr:to>
      <xdr:col>15</xdr:col>
      <xdr:colOff>209549</xdr:colOff>
      <xdr:row>23</xdr:row>
      <xdr:rowOff>95249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P6" sqref="P6:U6"/>
    </sheetView>
  </sheetViews>
  <sheetFormatPr defaultColWidth="8.85546875" defaultRowHeight="15" x14ac:dyDescent="0.25"/>
  <sheetData>
    <row r="1" spans="1:21" x14ac:dyDescent="0.25">
      <c r="A1" t="s">
        <v>72</v>
      </c>
      <c r="B1" t="s">
        <v>0</v>
      </c>
      <c r="C1" t="s">
        <v>1</v>
      </c>
      <c r="D1" s="1" t="s">
        <v>22</v>
      </c>
      <c r="E1" t="s">
        <v>2</v>
      </c>
      <c r="F1" s="2" t="s">
        <v>23</v>
      </c>
      <c r="G1" t="s">
        <v>3</v>
      </c>
      <c r="H1" s="3" t="s">
        <v>24</v>
      </c>
      <c r="I1" t="s">
        <v>4</v>
      </c>
      <c r="J1" s="4" t="s">
        <v>25</v>
      </c>
      <c r="K1" t="s">
        <v>5</v>
      </c>
      <c r="L1" s="5" t="s">
        <v>26</v>
      </c>
      <c r="M1" t="s">
        <v>6</v>
      </c>
      <c r="N1" s="6" t="s">
        <v>27</v>
      </c>
    </row>
    <row r="2" spans="1:21" ht="29.1" customHeight="1" x14ac:dyDescent="0.25">
      <c r="A2">
        <v>3</v>
      </c>
      <c r="B2" t="s">
        <v>30</v>
      </c>
      <c r="C2" s="8">
        <v>0.67752390214624714</v>
      </c>
      <c r="D2" s="12">
        <v>5.5110130174900523E-3</v>
      </c>
      <c r="E2" s="8">
        <v>0.68175986300664093</v>
      </c>
      <c r="F2" s="9">
        <v>1.4806196285606915E-2</v>
      </c>
      <c r="G2">
        <v>0.87884844531561512</v>
      </c>
      <c r="H2" s="3">
        <v>0.10948974766539471</v>
      </c>
      <c r="I2" s="8">
        <v>0.53073785325199385</v>
      </c>
      <c r="J2" s="11">
        <v>3.5488708176194858E-4</v>
      </c>
      <c r="K2">
        <v>1.1568418864133589</v>
      </c>
      <c r="L2" s="5">
        <v>0.59933047406826467</v>
      </c>
      <c r="M2">
        <v>1.6717059528311309</v>
      </c>
      <c r="N2" s="6">
        <v>8.9506884214993337E-2</v>
      </c>
      <c r="P2" s="29" t="s">
        <v>70</v>
      </c>
      <c r="Q2" s="29"/>
      <c r="R2" s="29"/>
      <c r="S2" s="29"/>
      <c r="T2" s="29"/>
      <c r="U2" s="29"/>
    </row>
    <row r="3" spans="1:21" ht="30" customHeight="1" x14ac:dyDescent="0.25">
      <c r="A3">
        <v>1</v>
      </c>
      <c r="B3" t="s">
        <v>7</v>
      </c>
      <c r="C3">
        <v>0.46909892114100937</v>
      </c>
      <c r="D3" s="1">
        <v>0.76238449002969422</v>
      </c>
      <c r="E3">
        <v>0.10955755869999696</v>
      </c>
      <c r="F3" s="2">
        <v>0.44624975588118604</v>
      </c>
      <c r="G3">
        <v>1.3105108179898408</v>
      </c>
      <c r="H3" s="3">
        <v>0.78551996118716727</v>
      </c>
      <c r="I3">
        <v>0.14662604109419095</v>
      </c>
      <c r="J3" s="4">
        <v>0.29160072506103646</v>
      </c>
      <c r="K3">
        <v>0.21191213888427143</v>
      </c>
      <c r="L3" s="5">
        <v>0.82577386681059739</v>
      </c>
      <c r="M3" s="8">
        <v>0.84670802683325153</v>
      </c>
      <c r="N3" s="7">
        <v>4.5710095337785986E-2</v>
      </c>
      <c r="P3" s="29" t="s">
        <v>63</v>
      </c>
      <c r="Q3" s="29"/>
      <c r="R3" s="29"/>
      <c r="S3" s="29"/>
      <c r="T3" s="29"/>
      <c r="U3" s="29"/>
    </row>
    <row r="4" spans="1:21" ht="30" customHeight="1" x14ac:dyDescent="0.25">
      <c r="A4">
        <v>1</v>
      </c>
      <c r="B4" t="s">
        <v>31</v>
      </c>
      <c r="C4">
        <v>0.93856513542813325</v>
      </c>
      <c r="D4" s="1">
        <v>0.93613510619891716</v>
      </c>
      <c r="E4">
        <v>1.3528194760601115</v>
      </c>
      <c r="F4" s="2">
        <v>0.70044300958679684</v>
      </c>
      <c r="G4" s="8">
        <v>1.0233121898392878</v>
      </c>
      <c r="H4" s="10">
        <v>3.4299277738216005E-2</v>
      </c>
      <c r="I4">
        <v>1.518796412766795</v>
      </c>
      <c r="J4" s="4">
        <v>4.5452305104784103E-3</v>
      </c>
      <c r="K4">
        <v>4.9125609961905328</v>
      </c>
      <c r="L4" s="5">
        <v>0.99298564404636214</v>
      </c>
      <c r="M4" s="8">
        <v>0.66734728059998927</v>
      </c>
      <c r="N4" s="7">
        <v>1.5870960591145199E-2</v>
      </c>
      <c r="P4" s="29" t="s">
        <v>54</v>
      </c>
      <c r="Q4" s="29"/>
      <c r="R4" s="29"/>
      <c r="S4" s="29"/>
      <c r="T4" s="29"/>
      <c r="U4" s="29"/>
    </row>
    <row r="5" spans="1:21" ht="44.1" customHeight="1" x14ac:dyDescent="0.25">
      <c r="A5">
        <v>1</v>
      </c>
      <c r="B5" t="s">
        <v>32</v>
      </c>
      <c r="C5" s="8">
        <v>0.6743450978679546</v>
      </c>
      <c r="D5" s="12">
        <v>2.9788438692341612E-2</v>
      </c>
      <c r="E5">
        <v>0.17855179754966474</v>
      </c>
      <c r="F5" s="2">
        <v>0.41932713361259688</v>
      </c>
      <c r="G5">
        <v>0.59160345400063408</v>
      </c>
      <c r="H5" s="3">
        <v>0.41651390890148793</v>
      </c>
      <c r="I5">
        <v>0.38835565571879177</v>
      </c>
      <c r="J5" s="4">
        <v>0.23049888214605413</v>
      </c>
      <c r="K5">
        <v>0.41919721199488796</v>
      </c>
      <c r="L5" s="5">
        <v>0.84466937018418375</v>
      </c>
      <c r="M5">
        <v>0.25729090399073767</v>
      </c>
      <c r="N5" s="6">
        <v>0.1668526823465297</v>
      </c>
      <c r="P5" s="29" t="s">
        <v>64</v>
      </c>
      <c r="Q5" s="29"/>
      <c r="R5" s="29"/>
      <c r="S5" s="29"/>
      <c r="T5" s="29"/>
      <c r="U5" s="29"/>
    </row>
    <row r="6" spans="1:21" ht="27.95" customHeight="1" x14ac:dyDescent="0.25">
      <c r="A6">
        <v>1</v>
      </c>
      <c r="B6" t="s">
        <v>8</v>
      </c>
      <c r="C6">
        <v>0.36416033250794566</v>
      </c>
      <c r="D6" s="1">
        <v>8.2901279432195649E-2</v>
      </c>
      <c r="E6" s="8">
        <v>0.77839555024688878</v>
      </c>
      <c r="F6" s="9">
        <v>9.0782211164155274E-3</v>
      </c>
      <c r="G6">
        <v>0.69862598879580384</v>
      </c>
      <c r="H6" s="3">
        <v>0.52024738694317452</v>
      </c>
      <c r="I6">
        <v>0.28319637123241742</v>
      </c>
      <c r="J6" s="4">
        <v>7.2269282640789106E-2</v>
      </c>
      <c r="K6">
        <v>1.1006982367912113</v>
      </c>
      <c r="L6" s="5">
        <v>0.76388269721491531</v>
      </c>
      <c r="M6">
        <v>1.1566981247546022</v>
      </c>
      <c r="N6" s="6">
        <v>0.45347930983877699</v>
      </c>
      <c r="P6" s="29" t="s">
        <v>73</v>
      </c>
      <c r="Q6" s="29"/>
      <c r="R6" s="29"/>
      <c r="S6" s="29"/>
      <c r="T6" s="29"/>
      <c r="U6" s="29"/>
    </row>
    <row r="7" spans="1:21" ht="27.95" customHeight="1" x14ac:dyDescent="0.25">
      <c r="A7">
        <v>2</v>
      </c>
      <c r="B7" t="s">
        <v>9</v>
      </c>
      <c r="C7">
        <v>0.89136503542569934</v>
      </c>
      <c r="D7" s="1">
        <v>6.622512495957672E-2</v>
      </c>
      <c r="E7">
        <v>0.25517991916666666</v>
      </c>
      <c r="F7" s="2">
        <v>0.61881514010194794</v>
      </c>
      <c r="G7" s="8">
        <v>0.88830155822140933</v>
      </c>
      <c r="H7" s="10">
        <v>1.6347989883004056E-2</v>
      </c>
      <c r="I7">
        <v>1.1365828605707986</v>
      </c>
      <c r="J7" s="4">
        <v>1.1178235493982839E-2</v>
      </c>
      <c r="K7">
        <v>0.75552647825274122</v>
      </c>
      <c r="L7" s="5">
        <v>0.41128551861352991</v>
      </c>
      <c r="M7" s="8">
        <v>1.4554926977400644</v>
      </c>
      <c r="N7" s="7">
        <v>2.5966862137770674E-2</v>
      </c>
      <c r="P7" s="29" t="s">
        <v>55</v>
      </c>
      <c r="Q7" s="29"/>
      <c r="R7" s="29"/>
      <c r="S7" s="29"/>
      <c r="T7" s="29"/>
      <c r="U7" s="29"/>
    </row>
    <row r="8" spans="1:21" ht="27.95" customHeight="1" x14ac:dyDescent="0.25">
      <c r="A8">
        <v>0</v>
      </c>
      <c r="B8" t="s">
        <v>33</v>
      </c>
      <c r="C8">
        <v>0.64241501283242819</v>
      </c>
      <c r="D8" s="1">
        <v>0.62968209024807109</v>
      </c>
      <c r="E8">
        <v>1.297978224994297</v>
      </c>
      <c r="F8" s="2">
        <v>0.27612345357056212</v>
      </c>
      <c r="G8">
        <v>1.2562026229728132</v>
      </c>
      <c r="H8" s="3">
        <v>0.27506746554800404</v>
      </c>
      <c r="I8">
        <v>0.5999380014741521</v>
      </c>
      <c r="J8" s="4">
        <v>0.50579751917041249</v>
      </c>
      <c r="K8">
        <v>0.72048105676960328</v>
      </c>
      <c r="L8" s="5">
        <v>0.91176683140218995</v>
      </c>
      <c r="M8">
        <v>0.26008448675458212</v>
      </c>
      <c r="N8" s="6">
        <v>0.52071115419199887</v>
      </c>
      <c r="P8" s="29" t="s">
        <v>68</v>
      </c>
      <c r="Q8" s="29"/>
      <c r="R8" s="29"/>
      <c r="S8" s="29"/>
      <c r="T8" s="29"/>
      <c r="U8" s="29"/>
    </row>
    <row r="9" spans="1:21" ht="27.95" customHeight="1" x14ac:dyDescent="0.25">
      <c r="A9">
        <v>0</v>
      </c>
      <c r="B9" t="s">
        <v>11</v>
      </c>
      <c r="C9">
        <v>0.48737209233226736</v>
      </c>
      <c r="D9" s="1">
        <v>0.41886387925431107</v>
      </c>
      <c r="E9">
        <v>0.21281844228270799</v>
      </c>
      <c r="F9" s="2">
        <v>0.54683519144140769</v>
      </c>
      <c r="G9">
        <v>0.35326105333333335</v>
      </c>
      <c r="H9" s="3">
        <v>0.60936795919082498</v>
      </c>
      <c r="I9">
        <v>0.19216769074505044</v>
      </c>
      <c r="J9" s="4">
        <v>0.51888455220311136</v>
      </c>
      <c r="K9">
        <v>0.23324275680800297</v>
      </c>
      <c r="L9" s="5">
        <v>0.92811381976317853</v>
      </c>
      <c r="M9">
        <v>0.19022465327568353</v>
      </c>
      <c r="N9" s="6">
        <v>0.11714483453331906</v>
      </c>
      <c r="P9" s="29" t="s">
        <v>69</v>
      </c>
      <c r="Q9" s="29"/>
      <c r="R9" s="29"/>
      <c r="S9" s="29"/>
      <c r="T9" s="29"/>
      <c r="U9" s="29"/>
    </row>
    <row r="10" spans="1:21" ht="30" customHeight="1" x14ac:dyDescent="0.25">
      <c r="A10">
        <v>1</v>
      </c>
      <c r="B10" t="s">
        <v>12</v>
      </c>
      <c r="C10">
        <v>2.1446123887951982</v>
      </c>
      <c r="D10" s="1">
        <v>0.73074475229926139</v>
      </c>
      <c r="E10">
        <v>1.1908451765763133</v>
      </c>
      <c r="F10" s="2">
        <v>0.48211950881768834</v>
      </c>
      <c r="G10">
        <v>1.354445229507937</v>
      </c>
      <c r="H10" s="3">
        <v>7.7299330333445257E-2</v>
      </c>
      <c r="I10">
        <v>0.4916199175</v>
      </c>
      <c r="J10" s="4">
        <v>0.41648763304756137</v>
      </c>
      <c r="K10">
        <v>1.4400059522211928</v>
      </c>
      <c r="L10" s="5">
        <v>0.9261816608813368</v>
      </c>
      <c r="M10" s="8">
        <v>0.61888656618839188</v>
      </c>
      <c r="N10" s="7">
        <v>1.5741522728162143E-2</v>
      </c>
      <c r="P10" s="29" t="s">
        <v>65</v>
      </c>
      <c r="Q10" s="29"/>
      <c r="R10" s="29"/>
      <c r="S10" s="29"/>
      <c r="T10" s="29"/>
      <c r="U10" s="29"/>
    </row>
    <row r="11" spans="1:21" ht="42" customHeight="1" x14ac:dyDescent="0.25">
      <c r="A11">
        <v>4</v>
      </c>
      <c r="B11" t="s">
        <v>13</v>
      </c>
      <c r="C11" s="8">
        <v>0.61932807797176104</v>
      </c>
      <c r="D11" s="12">
        <v>3.9736164584284007E-2</v>
      </c>
      <c r="E11" s="8">
        <v>0.69786529328739766</v>
      </c>
      <c r="F11" s="9">
        <v>2.2375311422214491E-3</v>
      </c>
      <c r="G11" s="8">
        <v>0.29690116158576435</v>
      </c>
      <c r="H11" s="10">
        <v>2.4759724199063249E-3</v>
      </c>
      <c r="I11">
        <v>2.818578361799227</v>
      </c>
      <c r="J11" s="4">
        <v>0.42442038054964182</v>
      </c>
      <c r="K11">
        <v>0.5935956166666666</v>
      </c>
      <c r="L11" s="5">
        <v>0.57583799773840871</v>
      </c>
      <c r="M11" s="8">
        <v>0.52611961283073205</v>
      </c>
      <c r="N11" s="7">
        <v>1.1238296525258832E-3</v>
      </c>
      <c r="P11" s="29" t="s">
        <v>59</v>
      </c>
      <c r="Q11" s="29"/>
      <c r="R11" s="29"/>
      <c r="S11" s="29"/>
      <c r="T11" s="29"/>
      <c r="U11" s="29"/>
    </row>
    <row r="12" spans="1:21" ht="27" customHeight="1" x14ac:dyDescent="0.25">
      <c r="A12">
        <v>1</v>
      </c>
      <c r="B12" t="s">
        <v>14</v>
      </c>
      <c r="C12">
        <v>0.48830573844945629</v>
      </c>
      <c r="D12" s="1">
        <v>0.3055589689617102</v>
      </c>
      <c r="E12">
        <v>0.44072606225979838</v>
      </c>
      <c r="F12" s="2">
        <v>0.220796800536256</v>
      </c>
      <c r="G12">
        <v>0.75971243593644699</v>
      </c>
      <c r="H12" s="3">
        <v>0.34273266373509859</v>
      </c>
      <c r="I12" s="8">
        <v>0.19309998814527782</v>
      </c>
      <c r="J12" s="11">
        <v>1.6849469393969432E-2</v>
      </c>
      <c r="K12">
        <v>0.46181384530357833</v>
      </c>
      <c r="L12" s="5">
        <v>0.80207673397527091</v>
      </c>
      <c r="M12">
        <v>0.2567763946191679</v>
      </c>
      <c r="N12" s="6">
        <v>8.3557084326203165E-2</v>
      </c>
      <c r="P12" s="29" t="s">
        <v>66</v>
      </c>
      <c r="Q12" s="29"/>
      <c r="R12" s="29"/>
      <c r="S12" s="29"/>
      <c r="T12" s="29"/>
      <c r="U12" s="29"/>
    </row>
    <row r="13" spans="1:21" ht="27.95" customHeight="1" x14ac:dyDescent="0.25">
      <c r="A13">
        <v>2</v>
      </c>
      <c r="B13" t="s">
        <v>15</v>
      </c>
      <c r="C13">
        <v>0.98618102634355431</v>
      </c>
      <c r="D13" s="1">
        <v>0.40967747091093981</v>
      </c>
      <c r="E13" s="8">
        <v>0.24745545286161263</v>
      </c>
      <c r="F13" s="9">
        <v>4.9361533574131249E-2</v>
      </c>
      <c r="G13">
        <v>0.96186518657978748</v>
      </c>
      <c r="H13" s="3">
        <v>7.5060611423136747E-2</v>
      </c>
      <c r="I13">
        <v>0.18573194587397981</v>
      </c>
      <c r="J13" s="4">
        <v>5.3349459021997975E-2</v>
      </c>
      <c r="K13">
        <v>1.0822835932304564</v>
      </c>
      <c r="L13" s="5">
        <v>0.83537027035043032</v>
      </c>
      <c r="M13" s="8">
        <v>0.31392550154769994</v>
      </c>
      <c r="N13" s="7">
        <v>2.0751052693414916E-3</v>
      </c>
      <c r="P13" s="29" t="s">
        <v>60</v>
      </c>
      <c r="Q13" s="29"/>
      <c r="R13" s="29"/>
      <c r="S13" s="29"/>
      <c r="T13" s="29"/>
      <c r="U13" s="29"/>
    </row>
    <row r="14" spans="1:21" ht="27" customHeight="1" x14ac:dyDescent="0.25">
      <c r="A14">
        <v>0</v>
      </c>
      <c r="B14" t="s">
        <v>17</v>
      </c>
      <c r="C14">
        <v>0.29377680238295456</v>
      </c>
      <c r="D14" s="1">
        <v>0.67306301760650822</v>
      </c>
      <c r="E14">
        <v>0.74926436008769881</v>
      </c>
      <c r="F14" s="2">
        <v>0.48391674975244947</v>
      </c>
      <c r="G14">
        <v>0.45313107539005143</v>
      </c>
      <c r="H14" s="3">
        <v>0.37967438937929715</v>
      </c>
      <c r="I14">
        <v>0.23121958769059472</v>
      </c>
      <c r="J14" s="4">
        <v>0.61551986182630147</v>
      </c>
      <c r="K14">
        <v>0.25372910264755733</v>
      </c>
      <c r="L14" s="5">
        <v>0.96518223885221111</v>
      </c>
      <c r="M14">
        <v>0.25889575279526172</v>
      </c>
      <c r="N14" s="6">
        <v>0.77989454444137885</v>
      </c>
      <c r="P14" s="29" t="s">
        <v>71</v>
      </c>
      <c r="Q14" s="29"/>
      <c r="R14" s="29"/>
      <c r="S14" s="29"/>
      <c r="T14" s="29"/>
      <c r="U14" s="29"/>
    </row>
    <row r="15" spans="1:21" ht="27.95" customHeight="1" x14ac:dyDescent="0.25">
      <c r="A15">
        <v>2</v>
      </c>
      <c r="B15" t="s">
        <v>19</v>
      </c>
      <c r="C15">
        <v>0.79260394721166594</v>
      </c>
      <c r="D15" s="1">
        <v>0.17429560214796186</v>
      </c>
      <c r="E15">
        <v>0.64368142124848149</v>
      </c>
      <c r="F15" s="2">
        <v>0.86844583111990625</v>
      </c>
      <c r="G15" s="8">
        <v>0.88029287457449901</v>
      </c>
      <c r="H15" s="10">
        <v>4.326839008078763E-2</v>
      </c>
      <c r="I15" s="8">
        <v>0.31834986773735724</v>
      </c>
      <c r="J15" s="11">
        <v>8.352158449405166E-3</v>
      </c>
      <c r="K15">
        <v>0.3113765361493816</v>
      </c>
      <c r="L15" s="5">
        <v>0.81524617305381997</v>
      </c>
      <c r="M15">
        <v>0.46976287341869044</v>
      </c>
      <c r="N15" s="6">
        <v>6.5292475138674921E-2</v>
      </c>
      <c r="P15" s="29" t="s">
        <v>61</v>
      </c>
      <c r="Q15" s="29"/>
      <c r="R15" s="29"/>
      <c r="S15" s="29"/>
      <c r="T15" s="29"/>
      <c r="U15" s="29"/>
    </row>
    <row r="16" spans="1:21" ht="27.95" customHeight="1" x14ac:dyDescent="0.25">
      <c r="A16">
        <v>2</v>
      </c>
      <c r="B16" t="s">
        <v>20</v>
      </c>
      <c r="C16" s="8">
        <v>0.41028880535104129</v>
      </c>
      <c r="D16" s="12">
        <v>4.0424970068182508E-3</v>
      </c>
      <c r="E16">
        <v>0.73896152292976114</v>
      </c>
      <c r="F16" s="2">
        <v>5.7965913592618816E-2</v>
      </c>
      <c r="G16">
        <v>1.7035365737773267</v>
      </c>
      <c r="H16" s="3">
        <v>0.21810499154952773</v>
      </c>
      <c r="I16" s="8">
        <v>0.76312636523039468</v>
      </c>
      <c r="J16" s="11">
        <v>1.173884103539654E-2</v>
      </c>
      <c r="K16">
        <v>0.66729923242414779</v>
      </c>
      <c r="L16" s="5">
        <v>0.21974386864794415</v>
      </c>
      <c r="M16">
        <v>0.52872104272861142</v>
      </c>
      <c r="N16" s="6">
        <v>0.26584607245743569</v>
      </c>
      <c r="P16" s="29" t="s">
        <v>62</v>
      </c>
      <c r="Q16" s="29"/>
      <c r="R16" s="29"/>
      <c r="S16" s="29"/>
      <c r="T16" s="29"/>
      <c r="U16" s="29"/>
    </row>
    <row r="17" spans="1:21" ht="27.95" customHeight="1" x14ac:dyDescent="0.25">
      <c r="A17">
        <v>1</v>
      </c>
      <c r="B17" t="s">
        <v>21</v>
      </c>
      <c r="C17" s="8">
        <v>2.3671295263550496</v>
      </c>
      <c r="D17" s="12">
        <v>8.8957362296602279E-3</v>
      </c>
      <c r="E17">
        <v>0.68927831304678</v>
      </c>
      <c r="F17" s="2">
        <v>0.31603437363464665</v>
      </c>
      <c r="G17">
        <v>2.6360098939078873</v>
      </c>
      <c r="H17" s="3">
        <v>0.25026771463926739</v>
      </c>
      <c r="I17">
        <v>1.1206184627239668</v>
      </c>
      <c r="J17" s="4">
        <v>1.0134377750596144</v>
      </c>
      <c r="K17">
        <v>0.4380358815876419</v>
      </c>
      <c r="L17" s="5">
        <v>0.88243598341370977</v>
      </c>
      <c r="M17">
        <v>3.9408423933333334</v>
      </c>
      <c r="N17" s="6">
        <v>0.45617091532496512</v>
      </c>
      <c r="P17" s="29" t="s">
        <v>67</v>
      </c>
      <c r="Q17" s="29"/>
      <c r="R17" s="29"/>
      <c r="S17" s="29"/>
      <c r="T17" s="29"/>
      <c r="U17" s="29"/>
    </row>
    <row r="20" spans="1:21" x14ac:dyDescent="0.25">
      <c r="B20" t="s">
        <v>56</v>
      </c>
    </row>
    <row r="21" spans="1:21" x14ac:dyDescent="0.25">
      <c r="C21" t="s">
        <v>57</v>
      </c>
    </row>
    <row r="22" spans="1:21" x14ac:dyDescent="0.25">
      <c r="B22" t="s">
        <v>58</v>
      </c>
    </row>
  </sheetData>
  <mergeCells count="16">
    <mergeCell ref="P7:U7"/>
    <mergeCell ref="P2:U2"/>
    <mergeCell ref="P4:U4"/>
    <mergeCell ref="P3:U3"/>
    <mergeCell ref="P5:U5"/>
    <mergeCell ref="P6:U6"/>
    <mergeCell ref="P14:U14"/>
    <mergeCell ref="P15:U15"/>
    <mergeCell ref="P16:U16"/>
    <mergeCell ref="P17:U17"/>
    <mergeCell ref="P8:U8"/>
    <mergeCell ref="P9:U9"/>
    <mergeCell ref="P10:U10"/>
    <mergeCell ref="P11:U11"/>
    <mergeCell ref="P12:U12"/>
    <mergeCell ref="P13:U13"/>
  </mergeCells>
  <pageMargins left="0.7" right="0.7" top="0.75" bottom="0.75" header="0.3" footer="0.3"/>
  <pageSetup orientation="portrait" horizontalDpi="1200" verticalDpi="1200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workbookViewId="0">
      <selection activeCell="A38" sqref="A38"/>
    </sheetView>
  </sheetViews>
  <sheetFormatPr defaultColWidth="8.85546875" defaultRowHeight="15" x14ac:dyDescent="0.25"/>
  <sheetData>
    <row r="1" spans="1:13" x14ac:dyDescent="0.25">
      <c r="A1" t="s">
        <v>0</v>
      </c>
      <c r="B1" t="s">
        <v>1</v>
      </c>
      <c r="C1" s="14" t="s">
        <v>22</v>
      </c>
      <c r="D1" t="s">
        <v>2</v>
      </c>
      <c r="E1" s="15" t="s">
        <v>23</v>
      </c>
      <c r="F1" t="s">
        <v>3</v>
      </c>
      <c r="G1" s="16" t="s">
        <v>24</v>
      </c>
      <c r="H1" t="s">
        <v>4</v>
      </c>
      <c r="I1" s="17" t="s">
        <v>25</v>
      </c>
      <c r="J1" t="s">
        <v>5</v>
      </c>
      <c r="K1" s="18" t="s">
        <v>26</v>
      </c>
      <c r="L1" t="s">
        <v>6</v>
      </c>
      <c r="M1" s="19" t="s">
        <v>27</v>
      </c>
    </row>
    <row r="2" spans="1:13" x14ac:dyDescent="0.25">
      <c r="A2" t="s">
        <v>7</v>
      </c>
      <c r="B2">
        <v>0.44887506598607224</v>
      </c>
      <c r="C2" s="14">
        <v>0.762384490029694</v>
      </c>
      <c r="D2">
        <v>0.11679152299985701</v>
      </c>
      <c r="E2" s="15">
        <v>0.44624975588118598</v>
      </c>
      <c r="F2">
        <v>1.3945777206948742</v>
      </c>
      <c r="G2" s="16">
        <v>0.78551996118716705</v>
      </c>
      <c r="H2">
        <v>0.11868461300132331</v>
      </c>
      <c r="I2" s="17">
        <v>0.29160072506103601</v>
      </c>
      <c r="J2">
        <v>0.20064915001483941</v>
      </c>
      <c r="K2" s="18">
        <v>0.82577386681059695</v>
      </c>
      <c r="L2">
        <v>1.1723306527532082</v>
      </c>
      <c r="M2" s="7">
        <v>4.5710095337786E-2</v>
      </c>
    </row>
    <row r="3" spans="1:13" x14ac:dyDescent="0.25">
      <c r="A3" t="s">
        <v>8</v>
      </c>
      <c r="B3">
        <v>0.30196285537161383</v>
      </c>
      <c r="C3" s="14">
        <v>8.2901279432195593E-2</v>
      </c>
      <c r="D3">
        <v>0.81862212607462215</v>
      </c>
      <c r="E3" s="9">
        <v>9.0782211164155292E-3</v>
      </c>
      <c r="F3">
        <v>0.65921054312278338</v>
      </c>
      <c r="G3" s="16">
        <v>0.52024738694317496</v>
      </c>
      <c r="H3">
        <v>0.28924259661647339</v>
      </c>
      <c r="I3" s="17">
        <v>7.2269282640789106E-2</v>
      </c>
      <c r="J3">
        <v>1.1639984084447386</v>
      </c>
      <c r="K3" s="18">
        <v>0.76388269721491497</v>
      </c>
      <c r="L3">
        <v>1.3881660530428475</v>
      </c>
      <c r="M3" s="19">
        <v>0.45347930983877699</v>
      </c>
    </row>
    <row r="4" spans="1:13" x14ac:dyDescent="0.25">
      <c r="A4" t="s">
        <v>9</v>
      </c>
      <c r="B4">
        <v>0.83916390979889499</v>
      </c>
      <c r="C4" s="14">
        <v>6.6225124959576706E-2</v>
      </c>
      <c r="D4">
        <v>0.14496421249999999</v>
      </c>
      <c r="E4" s="15">
        <v>0.61881514010194805</v>
      </c>
      <c r="F4">
        <v>0.94028304806073892</v>
      </c>
      <c r="G4" s="10">
        <v>1.6347989883004101E-2</v>
      </c>
      <c r="H4">
        <v>1.4631270749168273</v>
      </c>
      <c r="I4" s="11">
        <v>1.1178235493982801E-2</v>
      </c>
      <c r="J4">
        <v>1.0610183419272048</v>
      </c>
      <c r="K4" s="18">
        <v>0.41128551861353002</v>
      </c>
      <c r="L4">
        <v>0.96160289963706613</v>
      </c>
      <c r="M4" s="7">
        <v>2.5966862137770701E-2</v>
      </c>
    </row>
    <row r="5" spans="1:13" x14ac:dyDescent="0.25">
      <c r="A5" t="s">
        <v>10</v>
      </c>
      <c r="B5">
        <v>0.5835028192295606</v>
      </c>
      <c r="C5" s="14">
        <v>0.33061324554751997</v>
      </c>
      <c r="D5">
        <v>1.0663353250105641</v>
      </c>
      <c r="E5" s="15">
        <v>0.58761063110676703</v>
      </c>
      <c r="F5">
        <v>0.75616131495641781</v>
      </c>
      <c r="G5" s="16">
        <v>0.876273721691745</v>
      </c>
      <c r="H5">
        <v>0.80157797607880088</v>
      </c>
      <c r="I5" s="17">
        <v>0.12610118972802201</v>
      </c>
      <c r="J5">
        <v>0.52720626920002767</v>
      </c>
      <c r="K5" s="18">
        <v>0.84451617033304205</v>
      </c>
      <c r="L5">
        <v>0.21266082901986916</v>
      </c>
      <c r="M5" s="19">
        <v>0.34787221257796602</v>
      </c>
    </row>
    <row r="6" spans="1:13" x14ac:dyDescent="0.25">
      <c r="A6" t="s">
        <v>11</v>
      </c>
      <c r="B6">
        <v>0.49281564903433728</v>
      </c>
      <c r="C6" s="14">
        <v>0.41886387925431101</v>
      </c>
      <c r="D6">
        <v>0.16737864137111971</v>
      </c>
      <c r="E6" s="15">
        <v>0.54683519144140802</v>
      </c>
      <c r="F6">
        <v>0.35326105333333335</v>
      </c>
      <c r="G6" s="16">
        <v>0.60936795919082498</v>
      </c>
      <c r="H6">
        <v>0.20856423761654189</v>
      </c>
      <c r="I6" s="17">
        <v>0.51888455220311103</v>
      </c>
      <c r="J6">
        <v>0.33762974306727234</v>
      </c>
      <c r="K6" s="18">
        <v>0.92811381976317897</v>
      </c>
      <c r="L6">
        <v>0.16882953333304904</v>
      </c>
      <c r="M6" s="19">
        <v>0.117144834533319</v>
      </c>
    </row>
    <row r="7" spans="1:13" x14ac:dyDescent="0.25">
      <c r="A7" t="s">
        <v>12</v>
      </c>
      <c r="B7">
        <v>1.8026876831827532</v>
      </c>
      <c r="C7" s="14">
        <v>0.73074475229926095</v>
      </c>
      <c r="D7">
        <v>1.1261922668626931</v>
      </c>
      <c r="E7" s="15">
        <v>0.482119508817688</v>
      </c>
      <c r="F7">
        <v>0.97129556172451348</v>
      </c>
      <c r="G7" s="16">
        <v>7.7299330333445299E-2</v>
      </c>
      <c r="H7">
        <v>0.4916199175</v>
      </c>
      <c r="I7" s="17">
        <v>0.41648763304756098</v>
      </c>
      <c r="J7">
        <v>1.4864579046462769</v>
      </c>
      <c r="K7" s="18">
        <v>0.92618166088133702</v>
      </c>
      <c r="L7">
        <v>0.9567932188550029</v>
      </c>
      <c r="M7" s="7">
        <v>1.5741522728162101E-2</v>
      </c>
    </row>
    <row r="8" spans="1:13" x14ac:dyDescent="0.25">
      <c r="A8" t="s">
        <v>13</v>
      </c>
      <c r="B8">
        <v>0.66559062819046</v>
      </c>
      <c r="C8" s="12">
        <v>3.9736164584284001E-2</v>
      </c>
      <c r="D8">
        <v>0.68661267955579808</v>
      </c>
      <c r="E8" s="9">
        <v>2.23753114222145E-3</v>
      </c>
      <c r="F8">
        <v>0.31964301009164725</v>
      </c>
      <c r="G8" s="10">
        <v>2.4759724199063201E-3</v>
      </c>
      <c r="H8">
        <v>2.6989134515264293</v>
      </c>
      <c r="I8" s="17">
        <v>0.42442038054964198</v>
      </c>
      <c r="J8">
        <v>0.5935956166666666</v>
      </c>
      <c r="K8" s="18">
        <v>0.57583799773840905</v>
      </c>
      <c r="L8">
        <v>0.39130706078319127</v>
      </c>
      <c r="M8" s="7">
        <v>1.1238296525258799E-3</v>
      </c>
    </row>
    <row r="9" spans="1:13" x14ac:dyDescent="0.25">
      <c r="A9" t="s">
        <v>14</v>
      </c>
      <c r="B9">
        <v>0.44645128063676898</v>
      </c>
      <c r="C9" s="14">
        <v>0.30555896896170998</v>
      </c>
      <c r="D9">
        <v>0.26927936002024205</v>
      </c>
      <c r="E9" s="15">
        <v>0.220796800536256</v>
      </c>
      <c r="F9">
        <v>0.78125894950035712</v>
      </c>
      <c r="G9" s="16">
        <v>0.34273266373509897</v>
      </c>
      <c r="H9">
        <v>0.18057609616799611</v>
      </c>
      <c r="I9" s="11">
        <v>1.6849469393969401E-2</v>
      </c>
      <c r="J9">
        <v>0.37631876113589918</v>
      </c>
      <c r="K9" s="18">
        <v>0.80207673397527102</v>
      </c>
      <c r="L9">
        <v>0.27683268229423585</v>
      </c>
      <c r="M9" s="19">
        <v>8.3557084326203193E-2</v>
      </c>
    </row>
    <row r="10" spans="1:13" x14ac:dyDescent="0.25">
      <c r="A10" t="s">
        <v>15</v>
      </c>
      <c r="B10">
        <v>0.98599816526241146</v>
      </c>
      <c r="C10" s="14">
        <v>0.40967747091093998</v>
      </c>
      <c r="D10">
        <v>0.26160550162575291</v>
      </c>
      <c r="E10" s="9">
        <v>4.93615335741312E-2</v>
      </c>
      <c r="F10">
        <v>0.98024166760690967</v>
      </c>
      <c r="G10" s="16">
        <v>7.5060611423136706E-2</v>
      </c>
      <c r="H10">
        <v>0.17581423189686915</v>
      </c>
      <c r="I10" s="17">
        <v>5.3349459021998002E-2</v>
      </c>
      <c r="J10">
        <v>1.1726561743716</v>
      </c>
      <c r="K10" s="18">
        <v>0.83537027035042999</v>
      </c>
      <c r="L10">
        <v>0.29226903575767799</v>
      </c>
      <c r="M10" s="7">
        <v>2.0751052693414899E-3</v>
      </c>
    </row>
    <row r="11" spans="1:13" x14ac:dyDescent="0.25">
      <c r="A11" t="s">
        <v>16</v>
      </c>
      <c r="B11">
        <v>1.9212686872927367</v>
      </c>
      <c r="C11" s="14">
        <v>0.312866167848105</v>
      </c>
      <c r="D11">
        <v>1.1214622140564605</v>
      </c>
      <c r="E11" s="15">
        <v>0.36919882166698498</v>
      </c>
      <c r="F11">
        <v>0.32044304691475267</v>
      </c>
      <c r="G11" s="16">
        <v>0.32044779172975002</v>
      </c>
      <c r="H11">
        <v>0.14471867840895367</v>
      </c>
      <c r="I11" s="17">
        <v>1.01926877470356</v>
      </c>
      <c r="J11">
        <v>0.66917577627132319</v>
      </c>
      <c r="K11" s="18">
        <v>0.41730594570108798</v>
      </c>
      <c r="L11">
        <v>1.3191792245378569</v>
      </c>
      <c r="M11" s="19">
        <v>0.32964773522541801</v>
      </c>
    </row>
    <row r="12" spans="1:13" x14ac:dyDescent="0.25">
      <c r="A12" t="s">
        <v>17</v>
      </c>
      <c r="B12">
        <v>0.29710026100099385</v>
      </c>
      <c r="C12" s="14">
        <v>0.673063017606508</v>
      </c>
      <c r="D12">
        <v>0.71027802855623701</v>
      </c>
      <c r="E12" s="15">
        <v>0.48391674975244903</v>
      </c>
      <c r="F12">
        <v>0.43907404197667926</v>
      </c>
      <c r="G12" s="16">
        <v>0.37967438937929698</v>
      </c>
      <c r="H12">
        <v>0.19977489334451826</v>
      </c>
      <c r="I12" s="17">
        <v>0.61551986182630103</v>
      </c>
      <c r="J12">
        <v>0.22831413345809679</v>
      </c>
      <c r="K12" s="18">
        <v>0.96518223885221099</v>
      </c>
      <c r="L12">
        <v>0.24702636578206885</v>
      </c>
      <c r="M12" s="19">
        <v>0.77989454444137896</v>
      </c>
    </row>
    <row r="13" spans="1:13" x14ac:dyDescent="0.25">
      <c r="A13" t="s">
        <v>18</v>
      </c>
      <c r="B13">
        <v>0.50016448574116457</v>
      </c>
      <c r="C13" s="14">
        <v>9.5712795892028399E-2</v>
      </c>
      <c r="D13">
        <v>0.25630458952666907</v>
      </c>
      <c r="E13" s="15">
        <v>0.44634237725270698</v>
      </c>
      <c r="F13">
        <v>0.28046184004096325</v>
      </c>
      <c r="G13" s="16">
        <v>0.31255665386579601</v>
      </c>
      <c r="H13">
        <v>0.45892743524673629</v>
      </c>
      <c r="I13" s="17">
        <v>0.98678976939878205</v>
      </c>
      <c r="J13">
        <v>0.29481138423063324</v>
      </c>
      <c r="K13" s="18">
        <v>0.517815470814041</v>
      </c>
      <c r="L13">
        <v>0.34600107061658364</v>
      </c>
      <c r="M13" s="19">
        <v>0.297478016852251</v>
      </c>
    </row>
    <row r="14" spans="1:13" x14ac:dyDescent="0.25">
      <c r="A14" t="s">
        <v>19</v>
      </c>
      <c r="B14">
        <v>0.64936333620945197</v>
      </c>
      <c r="C14" s="14">
        <v>0.174295602147962</v>
      </c>
      <c r="D14">
        <v>0.70542166663850736</v>
      </c>
      <c r="E14" s="15">
        <v>0.86844583111990603</v>
      </c>
      <c r="F14">
        <v>0.54075408622459342</v>
      </c>
      <c r="G14" s="10">
        <v>4.3268390080787603E-2</v>
      </c>
      <c r="H14">
        <v>0.32705669450544167</v>
      </c>
      <c r="I14" s="11">
        <v>8.3521584494051695E-3</v>
      </c>
      <c r="J14">
        <v>0.2785495912531385</v>
      </c>
      <c r="K14" s="18">
        <v>0.81524617305381997</v>
      </c>
      <c r="L14">
        <v>0.38826247910729333</v>
      </c>
      <c r="M14" s="19">
        <v>6.5292475138674894E-2</v>
      </c>
    </row>
    <row r="15" spans="1:13" x14ac:dyDescent="0.25">
      <c r="A15" t="s">
        <v>20</v>
      </c>
      <c r="B15">
        <v>0.37451602153086466</v>
      </c>
      <c r="C15" s="12">
        <v>4.0424970068182499E-3</v>
      </c>
      <c r="D15">
        <v>0.74321675126597364</v>
      </c>
      <c r="E15" s="15">
        <v>5.7965913592618802E-2</v>
      </c>
      <c r="F15">
        <v>0.28328468256137962</v>
      </c>
      <c r="G15" s="16">
        <v>0.218104991549528</v>
      </c>
      <c r="H15">
        <v>0.45098343096854082</v>
      </c>
      <c r="I15" s="11">
        <v>1.17388410353965E-2</v>
      </c>
      <c r="J15">
        <v>0.68224489856649273</v>
      </c>
      <c r="K15" s="18">
        <v>0.21974386864794401</v>
      </c>
      <c r="L15">
        <v>0.54348737917505929</v>
      </c>
      <c r="M15" s="19">
        <v>0.26584607245743602</v>
      </c>
    </row>
    <row r="16" spans="1:13" x14ac:dyDescent="0.25">
      <c r="A16" t="s">
        <v>21</v>
      </c>
      <c r="B16">
        <v>2.2680778291341559</v>
      </c>
      <c r="C16" s="12">
        <v>8.8957362296602296E-3</v>
      </c>
      <c r="D16">
        <v>0.69057563378095166</v>
      </c>
      <c r="E16" s="15">
        <v>0.31603437363464698</v>
      </c>
      <c r="F16">
        <v>1.3192589361531024</v>
      </c>
      <c r="G16" s="16">
        <v>0.250267714639267</v>
      </c>
      <c r="H16">
        <v>1.1270818363384507</v>
      </c>
      <c r="I16" s="17">
        <v>1.01343777505961</v>
      </c>
      <c r="J16">
        <v>0.42858239837407969</v>
      </c>
      <c r="K16" s="18">
        <v>0.88243598341370999</v>
      </c>
      <c r="L16">
        <v>3.1590337508333337</v>
      </c>
      <c r="M16" s="19">
        <v>0.45617091532496501</v>
      </c>
    </row>
    <row r="20" spans="1:12" x14ac:dyDescent="0.25">
      <c r="A20" t="s">
        <v>82</v>
      </c>
    </row>
    <row r="21" spans="1:12" x14ac:dyDescent="0.25">
      <c r="A21" t="s">
        <v>7</v>
      </c>
      <c r="B21">
        <f>B2-dhap4!B2</f>
        <v>-0.56598653390244813</v>
      </c>
      <c r="D21">
        <f>D2-dhap4!D2</f>
        <v>-1.0820378223789775</v>
      </c>
      <c r="F21">
        <f>F2-dhap4!F2</f>
        <v>-6.0606941627737276E-2</v>
      </c>
      <c r="H21">
        <f>H2-dhap4!H2</f>
        <v>-1.2510959755474853</v>
      </c>
      <c r="J21">
        <f>J2-dhap4!J2</f>
        <v>-0.86016032621750538</v>
      </c>
      <c r="L21">
        <f>L2-dhap4!L2</f>
        <v>-0.30134397336197094</v>
      </c>
    </row>
    <row r="22" spans="1:12" x14ac:dyDescent="0.25">
      <c r="A22" t="s">
        <v>8</v>
      </c>
      <c r="B22">
        <f>B3-dhap4!B3</f>
        <v>-0.81846594027237396</v>
      </c>
      <c r="D22">
        <f>D3-dhap4!D3</f>
        <v>-0.64674306441052776</v>
      </c>
      <c r="F22">
        <f>F3-dhap4!F3</f>
        <v>-0.79186693548771625</v>
      </c>
      <c r="H22">
        <f>H3-dhap4!H3</f>
        <v>-1.4631127651339684</v>
      </c>
      <c r="J22">
        <f>J3-dhap4!J3</f>
        <v>-4.7053338625882679E-2</v>
      </c>
      <c r="L22">
        <f>L3-dhap4!L3</f>
        <v>-7.6731441302564374E-3</v>
      </c>
    </row>
    <row r="23" spans="1:12" x14ac:dyDescent="0.25">
      <c r="A23" t="s">
        <v>9</v>
      </c>
      <c r="B23">
        <f>B4-dhap4!B4</f>
        <v>-0.61948883341569894</v>
      </c>
      <c r="D23">
        <f>D4-dhap4!D4</f>
        <v>-1.5744223426702637</v>
      </c>
      <c r="F23">
        <f>F4-dhap4!F4</f>
        <v>-0.242181672677793</v>
      </c>
      <c r="H23">
        <f>H4-dhap4!H4</f>
        <v>0.2539362309785349</v>
      </c>
      <c r="J23">
        <f>J4-dhap4!J4</f>
        <v>-4.5395429801455833E-2</v>
      </c>
      <c r="L23">
        <f>L4-dhap4!L4</f>
        <v>-0.44254040848319864</v>
      </c>
    </row>
    <row r="24" spans="1:12" x14ac:dyDescent="0.25">
      <c r="A24" t="s">
        <v>10</v>
      </c>
      <c r="B24">
        <f>B5-dhap4!B5</f>
        <v>-1.2704103963640456</v>
      </c>
      <c r="D24">
        <f>D5-dhap4!D5</f>
        <v>-0.77927654601002083</v>
      </c>
      <c r="F24">
        <f>F5-dhap4!F5</f>
        <v>-0.27207281151803409</v>
      </c>
      <c r="H24">
        <f>H5-dhap4!H5</f>
        <v>-1.153370965653985</v>
      </c>
      <c r="J24">
        <f>J5-dhap4!J5</f>
        <v>-0.66162813861385672</v>
      </c>
      <c r="L24">
        <f>L5-dhap4!L5</f>
        <v>-0.96608409062968381</v>
      </c>
    </row>
    <row r="25" spans="1:12" x14ac:dyDescent="0.25">
      <c r="A25" t="s">
        <v>11</v>
      </c>
      <c r="B25">
        <f>B6-dhap4!B6</f>
        <v>-0.67651855989977772</v>
      </c>
      <c r="D25">
        <f>D6-dhap4!D6</f>
        <v>-1.0494121955948017</v>
      </c>
      <c r="F25">
        <f>F6-dhap4!F6</f>
        <v>-0.80099285302372358</v>
      </c>
      <c r="H25">
        <f>H6-dhap4!H6</f>
        <v>-0.9181855214094431</v>
      </c>
      <c r="J25">
        <f>J6-dhap4!J6</f>
        <v>-0.87170989811545696</v>
      </c>
      <c r="L25">
        <f>L6-dhap4!L6</f>
        <v>-1.4016578731833704</v>
      </c>
    </row>
    <row r="26" spans="1:12" x14ac:dyDescent="0.25">
      <c r="A26" t="s">
        <v>12</v>
      </c>
      <c r="B26">
        <f>B7-dhap4!B7</f>
        <v>0.60789648716357614</v>
      </c>
      <c r="D26">
        <f>D7-dhap4!D7</f>
        <v>6.5539094173622692E-2</v>
      </c>
      <c r="F26">
        <f>F7-dhap4!F7</f>
        <v>-1.0816546019336344</v>
      </c>
      <c r="H26">
        <f>H7-dhap4!H7</f>
        <v>-1.0208378535236642</v>
      </c>
      <c r="J26">
        <f>J7-dhap4!J7</f>
        <v>0.4258646163404245</v>
      </c>
      <c r="L26">
        <f>L7-dhap4!L7</f>
        <v>-0.7621110467920883</v>
      </c>
    </row>
    <row r="27" spans="1:12" x14ac:dyDescent="0.25">
      <c r="A27" t="s">
        <v>13</v>
      </c>
      <c r="B27">
        <f>B8-dhap4!B8</f>
        <v>-0.38656569657938156</v>
      </c>
      <c r="D27">
        <f>D8-dhap4!D8</f>
        <v>-0.55937883300993851</v>
      </c>
      <c r="F27">
        <f>F8-dhap4!F8</f>
        <v>-0.6850208770876578</v>
      </c>
      <c r="H27">
        <f>H8-dhap4!H8</f>
        <v>1.6410274805606431</v>
      </c>
      <c r="J27">
        <f>J8-dhap4!J8</f>
        <v>-2.2192373532709508</v>
      </c>
      <c r="L27">
        <f>L8-dhap4!L8</f>
        <v>-1.1093970135712083</v>
      </c>
    </row>
    <row r="28" spans="1:12" x14ac:dyDescent="0.25">
      <c r="A28" t="s">
        <v>14</v>
      </c>
      <c r="B28">
        <f>B9-dhap4!B9</f>
        <v>-0.64559595785192803</v>
      </c>
      <c r="D28">
        <f>D9-dhap4!D9</f>
        <v>-1.4292194481548164</v>
      </c>
      <c r="F28">
        <f>F9-dhap4!F9</f>
        <v>-0.44471477360374301</v>
      </c>
      <c r="H28">
        <f>H9-dhap4!H9</f>
        <v>-1.1854593803154971</v>
      </c>
      <c r="J28">
        <f>J9-dhap4!J9</f>
        <v>-0.93063867506960785</v>
      </c>
      <c r="L28">
        <f>L9-dhap4!L9</f>
        <v>-0.86508973987951465</v>
      </c>
    </row>
    <row r="29" spans="1:12" x14ac:dyDescent="0.25">
      <c r="A29" t="s">
        <v>15</v>
      </c>
      <c r="B29">
        <f>B10-dhap4!B10</f>
        <v>-1.435316375431972E-2</v>
      </c>
      <c r="D29">
        <f>D10-dhap4!D10</f>
        <v>-0.99586648295506841</v>
      </c>
      <c r="F29">
        <f>F10-dhap4!F10</f>
        <v>-0.30116245156838994</v>
      </c>
      <c r="H29">
        <f>H10-dhap4!H10</f>
        <v>-1.2756506244335317</v>
      </c>
      <c r="J29">
        <f>J10-dhap4!J10</f>
        <v>-1.2158923962710899E-2</v>
      </c>
      <c r="L29">
        <f>L10-dhap4!L10</f>
        <v>-2.4344627613616643</v>
      </c>
    </row>
    <row r="30" spans="1:12" x14ac:dyDescent="0.25">
      <c r="A30" t="s">
        <v>16</v>
      </c>
      <c r="B30">
        <f>B11-dhap4!B11</f>
        <v>0.33107593020702697</v>
      </c>
      <c r="D30">
        <f>D11-dhap4!D11</f>
        <v>-0.3955456294970221</v>
      </c>
      <c r="F30">
        <f>F11-dhap4!F11</f>
        <v>-2.8357849502868304</v>
      </c>
      <c r="H30">
        <f>H11-dhap4!H11</f>
        <v>-1.3925088213258534</v>
      </c>
      <c r="J30">
        <f>J11-dhap4!J11</f>
        <v>-5.2381808849359315</v>
      </c>
      <c r="L30">
        <f>L11-dhap4!L11</f>
        <v>6.7216022022444255E-2</v>
      </c>
    </row>
    <row r="31" spans="1:12" x14ac:dyDescent="0.25">
      <c r="A31" t="s">
        <v>17</v>
      </c>
      <c r="B31">
        <f>B12-dhap4!B12</f>
        <v>-0.98576944952370393</v>
      </c>
      <c r="D31">
        <f>D12-dhap4!D12</f>
        <v>-0.81272973201600551</v>
      </c>
      <c r="F31">
        <f>F12-dhap4!F12</f>
        <v>-0.79172418392482924</v>
      </c>
      <c r="H31">
        <f>H12-dhap4!H12</f>
        <v>-1.21723306600571</v>
      </c>
      <c r="J31">
        <f>J12-dhap4!J12</f>
        <v>-1.2328420011753876</v>
      </c>
      <c r="L31">
        <f>L12-dhap4!L12</f>
        <v>-0.82969418785814097</v>
      </c>
    </row>
    <row r="32" spans="1:12" x14ac:dyDescent="0.25">
      <c r="A32" t="s">
        <v>18</v>
      </c>
      <c r="B32">
        <f>B13-dhap4!B13</f>
        <v>-0.65418427301107707</v>
      </c>
      <c r="D32">
        <f>D13-dhap4!D13</f>
        <v>-0.81122998492410137</v>
      </c>
      <c r="F32">
        <f>F13-dhap4!F13</f>
        <v>-0.76806532827841245</v>
      </c>
      <c r="H32">
        <f>H13-dhap4!H13</f>
        <v>-0.65968929869583248</v>
      </c>
      <c r="J32">
        <f>J13-dhap4!J13</f>
        <v>-0.80724286902999487</v>
      </c>
      <c r="L32">
        <f>L13-dhap4!L13</f>
        <v>-1.127268544245926</v>
      </c>
    </row>
    <row r="33" spans="1:12" x14ac:dyDescent="0.25">
      <c r="A33" t="s">
        <v>19</v>
      </c>
      <c r="B33">
        <f>B14-dhap4!B14</f>
        <v>-0.48955488637136857</v>
      </c>
      <c r="D33">
        <f>D14-dhap4!D14</f>
        <v>-0.39213377239791858</v>
      </c>
      <c r="F33">
        <f>F14-dhap4!F14</f>
        <v>-2.63131828015963</v>
      </c>
      <c r="H33">
        <f>H14-dhap4!H14</f>
        <v>-2.1119861800484867</v>
      </c>
      <c r="J33">
        <f>J14-dhap4!J14</f>
        <v>-0.81563638739525135</v>
      </c>
      <c r="L33">
        <f>L14-dhap4!L14</f>
        <v>-1.431683986909194</v>
      </c>
    </row>
    <row r="34" spans="1:12" x14ac:dyDescent="0.25">
      <c r="A34" t="s">
        <v>20</v>
      </c>
      <c r="B34">
        <f>B15-dhap4!B15</f>
        <v>-0.76459605098382366</v>
      </c>
      <c r="D34">
        <f>D15-dhap4!D15</f>
        <v>-0.39602474380324082</v>
      </c>
      <c r="F34">
        <f>F15-dhap4!F15</f>
        <v>-16.523209116365926</v>
      </c>
      <c r="H34">
        <f>H15-dhap4!H15</f>
        <v>-1.716666126594022</v>
      </c>
      <c r="J34">
        <f>J15-dhap4!J15</f>
        <v>-0.32680650574725145</v>
      </c>
      <c r="L34">
        <f>L15-dhap4!L15</f>
        <v>-0.69102005363080521</v>
      </c>
    </row>
    <row r="35" spans="1:12" x14ac:dyDescent="0.25">
      <c r="A35" t="s">
        <v>21</v>
      </c>
      <c r="B35">
        <f>B16-dhap4!B16</f>
        <v>-1.8247660769501985</v>
      </c>
      <c r="D35">
        <f>D16-dhap4!D16</f>
        <v>-0.60068147859283938</v>
      </c>
      <c r="F35">
        <f>F16-dhap4!F16</f>
        <v>-1.6427593417255124</v>
      </c>
      <c r="H35">
        <f>H16-dhap4!H16</f>
        <v>-0.18115894502711227</v>
      </c>
      <c r="J35">
        <f>J16-dhap4!J16</f>
        <v>-1.4968189233475149</v>
      </c>
      <c r="L35">
        <f>L16-dhap4!L16</f>
        <v>1.4115341439038946</v>
      </c>
    </row>
    <row r="37" spans="1:12" x14ac:dyDescent="0.25">
      <c r="A37" t="s">
        <v>111</v>
      </c>
    </row>
    <row r="38" spans="1:12" x14ac:dyDescent="0.25">
      <c r="A38">
        <v>1.4302051790725405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workbookViewId="0">
      <selection activeCell="A38" sqref="A38"/>
    </sheetView>
  </sheetViews>
  <sheetFormatPr defaultColWidth="8.85546875" defaultRowHeight="15" x14ac:dyDescent="0.25"/>
  <sheetData>
    <row r="1" spans="1:13" x14ac:dyDescent="0.25">
      <c r="A1" t="s">
        <v>0</v>
      </c>
      <c r="B1" t="s">
        <v>1</v>
      </c>
      <c r="C1" s="14" t="s">
        <v>22</v>
      </c>
      <c r="D1" t="s">
        <v>2</v>
      </c>
      <c r="E1" s="15" t="s">
        <v>23</v>
      </c>
      <c r="F1" t="s">
        <v>3</v>
      </c>
      <c r="G1" s="16" t="s">
        <v>24</v>
      </c>
      <c r="H1" t="s">
        <v>4</v>
      </c>
      <c r="I1" s="17" t="s">
        <v>25</v>
      </c>
      <c r="J1" t="s">
        <v>5</v>
      </c>
      <c r="K1" s="18" t="s">
        <v>26</v>
      </c>
      <c r="L1" t="s">
        <v>6</v>
      </c>
      <c r="M1" s="19" t="s">
        <v>27</v>
      </c>
    </row>
    <row r="2" spans="1:13" x14ac:dyDescent="0.25">
      <c r="A2" t="s">
        <v>7</v>
      </c>
      <c r="B2">
        <v>0.46461161120783445</v>
      </c>
      <c r="C2" s="14">
        <v>0.762384490029694</v>
      </c>
      <c r="D2">
        <v>0.12589539619988108</v>
      </c>
      <c r="E2" s="15">
        <v>0.44624975588118598</v>
      </c>
      <c r="F2">
        <v>1.4294503711637578</v>
      </c>
      <c r="G2" s="16">
        <v>0.78551996118716705</v>
      </c>
      <c r="H2">
        <v>0.15014357142951618</v>
      </c>
      <c r="I2" s="17">
        <v>0.29160072506103601</v>
      </c>
      <c r="J2">
        <v>0.20405016522018923</v>
      </c>
      <c r="K2" s="18">
        <v>0.82577386681059695</v>
      </c>
      <c r="L2">
        <v>1.0510521426545893</v>
      </c>
      <c r="M2" s="7">
        <v>4.5710095337786E-2</v>
      </c>
    </row>
    <row r="3" spans="1:13" x14ac:dyDescent="0.25">
      <c r="A3" t="s">
        <v>8</v>
      </c>
      <c r="B3">
        <v>0.33625857440104723</v>
      </c>
      <c r="C3" s="14">
        <v>8.2901279432195593E-2</v>
      </c>
      <c r="D3">
        <v>1.0340418772590381</v>
      </c>
      <c r="E3" s="9">
        <v>9.0782211164155292E-3</v>
      </c>
      <c r="F3">
        <v>0.55826676143926512</v>
      </c>
      <c r="G3" s="16">
        <v>0.52024738694317496</v>
      </c>
      <c r="H3">
        <v>0.26694239592955177</v>
      </c>
      <c r="I3" s="17">
        <v>7.2269282640789106E-2</v>
      </c>
      <c r="J3">
        <v>1.052832444343329</v>
      </c>
      <c r="K3" s="18">
        <v>0.76388269721491497</v>
      </c>
      <c r="L3">
        <v>1.2097516667624466</v>
      </c>
      <c r="M3" s="19">
        <v>0.45347930983877699</v>
      </c>
    </row>
    <row r="4" spans="1:13" x14ac:dyDescent="0.25">
      <c r="A4" t="s">
        <v>9</v>
      </c>
      <c r="B4">
        <v>0.74164798592279757</v>
      </c>
      <c r="C4" s="14">
        <v>6.6225124959576706E-2</v>
      </c>
      <c r="D4">
        <v>0.14496421249999999</v>
      </c>
      <c r="E4" s="15">
        <v>0.61881514010194805</v>
      </c>
      <c r="F4">
        <v>0.9439204162491498</v>
      </c>
      <c r="G4" s="10">
        <v>1.6347989883004101E-2</v>
      </c>
      <c r="H4">
        <v>1.3158774311919885</v>
      </c>
      <c r="I4" s="11">
        <v>1.1178235493982801E-2</v>
      </c>
      <c r="J4">
        <v>0.76833487718117677</v>
      </c>
      <c r="K4" s="18">
        <v>0.41128551861353002</v>
      </c>
      <c r="L4">
        <v>0.560352874315866</v>
      </c>
      <c r="M4" s="7">
        <v>2.5966862137770701E-2</v>
      </c>
    </row>
    <row r="5" spans="1:13" x14ac:dyDescent="0.25">
      <c r="A5" t="s">
        <v>10</v>
      </c>
      <c r="B5">
        <v>0.53617565437504178</v>
      </c>
      <c r="C5" s="14">
        <v>0.33061324554751997</v>
      </c>
      <c r="D5">
        <v>0.59293562298947899</v>
      </c>
      <c r="E5" s="15">
        <v>0.58761063110676703</v>
      </c>
      <c r="F5">
        <v>0.78374588810153722</v>
      </c>
      <c r="G5" s="16">
        <v>0.876273721691745</v>
      </c>
      <c r="H5">
        <v>0.81119214546738772</v>
      </c>
      <c r="I5" s="17">
        <v>0.12610118972802201</v>
      </c>
      <c r="J5">
        <v>0.45508672699838965</v>
      </c>
      <c r="K5" s="18">
        <v>0.84451617033304205</v>
      </c>
      <c r="L5">
        <v>0.24931281477137146</v>
      </c>
      <c r="M5" s="19">
        <v>0.34787221257796602</v>
      </c>
    </row>
    <row r="6" spans="1:13" x14ac:dyDescent="0.25">
      <c r="A6" t="s">
        <v>11</v>
      </c>
      <c r="B6">
        <v>0.47846521113725926</v>
      </c>
      <c r="C6" s="14">
        <v>0.41886387925431101</v>
      </c>
      <c r="D6">
        <v>0.17403899818941052</v>
      </c>
      <c r="E6" s="15">
        <v>0.54683519144140802</v>
      </c>
      <c r="F6">
        <v>0.35326105333333335</v>
      </c>
      <c r="G6" s="16">
        <v>0.60936795919082498</v>
      </c>
      <c r="H6">
        <v>0.2003139564168781</v>
      </c>
      <c r="I6" s="17">
        <v>0.51888455220311103</v>
      </c>
      <c r="J6">
        <v>0.2196058116211731</v>
      </c>
      <c r="K6" s="18">
        <v>0.92811381976317897</v>
      </c>
      <c r="L6">
        <v>0.20038805804358659</v>
      </c>
      <c r="M6" s="19">
        <v>0.117144834533319</v>
      </c>
    </row>
    <row r="7" spans="1:13" x14ac:dyDescent="0.25">
      <c r="A7" t="s">
        <v>12</v>
      </c>
      <c r="B7">
        <v>1.8300406543649845</v>
      </c>
      <c r="C7" s="14">
        <v>0.73074475229926095</v>
      </c>
      <c r="D7">
        <v>1.3213303018673093</v>
      </c>
      <c r="E7" s="15">
        <v>0.482119508817688</v>
      </c>
      <c r="F7">
        <v>2.3916826128815072</v>
      </c>
      <c r="G7" s="16">
        <v>7.7299330333445299E-2</v>
      </c>
      <c r="H7">
        <v>0.4916199175</v>
      </c>
      <c r="I7" s="17">
        <v>0.41648763304756098</v>
      </c>
      <c r="J7">
        <v>1.7014939711627577</v>
      </c>
      <c r="K7" s="18">
        <v>0.92618166088133702</v>
      </c>
      <c r="L7">
        <v>0.9575282659762413</v>
      </c>
      <c r="M7" s="7">
        <v>1.5741522728162101E-2</v>
      </c>
    </row>
    <row r="8" spans="1:13" x14ac:dyDescent="0.25">
      <c r="A8" t="s">
        <v>13</v>
      </c>
      <c r="B8">
        <v>0.62452215831341951</v>
      </c>
      <c r="C8" s="12">
        <v>3.9736164584284001E-2</v>
      </c>
      <c r="D8">
        <v>0.78501768479755751</v>
      </c>
      <c r="E8" s="9">
        <v>2.23753114222145E-3</v>
      </c>
      <c r="F8">
        <v>0.30787191640954631</v>
      </c>
      <c r="G8" s="10">
        <v>2.4759724199063201E-3</v>
      </c>
      <c r="H8">
        <v>2.84891055150359</v>
      </c>
      <c r="I8" s="17">
        <v>0.42442038054964198</v>
      </c>
      <c r="J8">
        <v>0.5935956166666666</v>
      </c>
      <c r="K8" s="18">
        <v>0.57583799773840905</v>
      </c>
      <c r="L8">
        <v>0.47787328809671026</v>
      </c>
      <c r="M8" s="7">
        <v>1.1238296525258799E-3</v>
      </c>
    </row>
    <row r="9" spans="1:13" x14ac:dyDescent="0.25">
      <c r="A9" t="s">
        <v>14</v>
      </c>
      <c r="B9">
        <v>0.49304151285401093</v>
      </c>
      <c r="C9" s="14">
        <v>0.30555896896170998</v>
      </c>
      <c r="D9">
        <v>0.35294605313617122</v>
      </c>
      <c r="E9" s="15">
        <v>0.220796800536256</v>
      </c>
      <c r="F9">
        <v>0.76216163988746388</v>
      </c>
      <c r="G9" s="16">
        <v>0.34273266373509897</v>
      </c>
      <c r="H9">
        <v>0.32535500399853673</v>
      </c>
      <c r="I9" s="11">
        <v>1.6849469393969401E-2</v>
      </c>
      <c r="J9">
        <v>0.40353896057106758</v>
      </c>
      <c r="K9" s="18">
        <v>0.80207673397527102</v>
      </c>
      <c r="L9">
        <v>0.23685661072957565</v>
      </c>
      <c r="M9" s="19">
        <v>8.3557084326203193E-2</v>
      </c>
    </row>
    <row r="10" spans="1:13" x14ac:dyDescent="0.25">
      <c r="A10" t="s">
        <v>15</v>
      </c>
      <c r="B10">
        <v>0.98939182046101404</v>
      </c>
      <c r="C10" s="14">
        <v>0.40967747091093998</v>
      </c>
      <c r="D10">
        <v>0.26604175533966384</v>
      </c>
      <c r="E10" s="9">
        <v>4.93615335741312E-2</v>
      </c>
      <c r="F10">
        <v>0.95894372964591124</v>
      </c>
      <c r="G10" s="16">
        <v>7.5060611423136706E-2</v>
      </c>
      <c r="H10">
        <v>0.13631895420257475</v>
      </c>
      <c r="I10" s="17">
        <v>5.3349459021998002E-2</v>
      </c>
      <c r="J10">
        <v>1.1563609352936137</v>
      </c>
      <c r="K10" s="18">
        <v>0.83537027035042999</v>
      </c>
      <c r="L10">
        <v>0.32827540305385222</v>
      </c>
      <c r="M10" s="7">
        <v>2.0751052693414899E-3</v>
      </c>
    </row>
    <row r="11" spans="1:13" x14ac:dyDescent="0.25">
      <c r="A11" t="s">
        <v>16</v>
      </c>
      <c r="B11">
        <v>2.0126870049846484</v>
      </c>
      <c r="C11" s="14">
        <v>0.312866167848105</v>
      </c>
      <c r="D11">
        <v>0.87304718381783575</v>
      </c>
      <c r="E11" s="15">
        <v>0.36919882166698498</v>
      </c>
      <c r="F11">
        <v>0.28375488138087501</v>
      </c>
      <c r="G11" s="16">
        <v>0.32044779172975002</v>
      </c>
      <c r="H11">
        <v>0.14470026848728643</v>
      </c>
      <c r="I11" s="17">
        <v>1.01926877470356</v>
      </c>
      <c r="J11">
        <v>0.58299659350313338</v>
      </c>
      <c r="K11" s="18">
        <v>0.41730594570108798</v>
      </c>
      <c r="L11">
        <v>1.3068718559678623</v>
      </c>
      <c r="M11" s="19">
        <v>0.32964773522541801</v>
      </c>
    </row>
    <row r="12" spans="1:13" x14ac:dyDescent="0.25">
      <c r="A12" t="s">
        <v>17</v>
      </c>
      <c r="B12">
        <v>0.28167774766315445</v>
      </c>
      <c r="C12" s="14">
        <v>0.673063017606508</v>
      </c>
      <c r="D12">
        <v>0.75382527741157768</v>
      </c>
      <c r="E12" s="15">
        <v>0.48391674975244903</v>
      </c>
      <c r="F12">
        <v>0.4371350335295518</v>
      </c>
      <c r="G12" s="16">
        <v>0.37967438937929698</v>
      </c>
      <c r="H12">
        <v>0.19275040449712419</v>
      </c>
      <c r="I12" s="17">
        <v>0.61551986182630103</v>
      </c>
      <c r="J12">
        <v>0.2286973554841969</v>
      </c>
      <c r="K12" s="18">
        <v>0.96518223885221099</v>
      </c>
      <c r="L12">
        <v>0.24666519615064067</v>
      </c>
      <c r="M12" s="19">
        <v>0.77989454444137896</v>
      </c>
    </row>
    <row r="13" spans="1:13" x14ac:dyDescent="0.25">
      <c r="A13" t="s">
        <v>18</v>
      </c>
      <c r="B13">
        <v>0.44579270392103781</v>
      </c>
      <c r="C13" s="14">
        <v>9.5712795892028399E-2</v>
      </c>
      <c r="D13">
        <v>0.2939862575314679</v>
      </c>
      <c r="E13" s="15">
        <v>0.44634237725270698</v>
      </c>
      <c r="F13">
        <v>0.2712575279775486</v>
      </c>
      <c r="G13" s="16">
        <v>0.31255665386579601</v>
      </c>
      <c r="H13">
        <v>0.4765260710811931</v>
      </c>
      <c r="I13" s="17">
        <v>0.98678976939878205</v>
      </c>
      <c r="J13">
        <v>0.26018844102660454</v>
      </c>
      <c r="K13" s="18">
        <v>0.517815470814041</v>
      </c>
      <c r="L13">
        <v>0.30657028177955947</v>
      </c>
      <c r="M13" s="19">
        <v>0.297478016852251</v>
      </c>
    </row>
    <row r="14" spans="1:13" x14ac:dyDescent="0.25">
      <c r="A14" t="s">
        <v>19</v>
      </c>
      <c r="B14">
        <v>0.91614239056852798</v>
      </c>
      <c r="C14" s="14">
        <v>0.174295602147962</v>
      </c>
      <c r="D14">
        <v>0.66453999813909426</v>
      </c>
      <c r="E14" s="15">
        <v>0.86844583111990603</v>
      </c>
      <c r="F14">
        <v>1.211107396015906</v>
      </c>
      <c r="G14" s="10">
        <v>4.3268390080787603E-2</v>
      </c>
      <c r="H14">
        <v>0.74334378019907377</v>
      </c>
      <c r="I14" s="11">
        <v>8.3521584494051695E-3</v>
      </c>
      <c r="J14">
        <v>0.54841791979338794</v>
      </c>
      <c r="K14" s="18">
        <v>0.81524617305381997</v>
      </c>
      <c r="L14">
        <v>0.95247747128597104</v>
      </c>
      <c r="M14" s="19">
        <v>6.5292475138674894E-2</v>
      </c>
    </row>
    <row r="15" spans="1:13" x14ac:dyDescent="0.25">
      <c r="A15" t="s">
        <v>20</v>
      </c>
      <c r="B15">
        <v>0.62121752738130964</v>
      </c>
      <c r="C15" s="12">
        <v>4.0424970068182499E-3</v>
      </c>
      <c r="D15">
        <v>0.93602561817212537</v>
      </c>
      <c r="E15" s="15">
        <v>5.7965913592618802E-2</v>
      </c>
      <c r="F15">
        <v>0.86163538593380296</v>
      </c>
      <c r="G15" s="16">
        <v>0.218104991549528</v>
      </c>
      <c r="H15">
        <v>0.4081847905712897</v>
      </c>
      <c r="I15" s="11">
        <v>1.17388410353965E-2</v>
      </c>
      <c r="J15">
        <v>0.70242209358025365</v>
      </c>
      <c r="K15" s="18">
        <v>0.21974386864794401</v>
      </c>
      <c r="L15">
        <v>0.48056171042129331</v>
      </c>
      <c r="M15" s="19">
        <v>0.26584607245743602</v>
      </c>
    </row>
    <row r="16" spans="1:13" x14ac:dyDescent="0.25">
      <c r="A16" t="s">
        <v>21</v>
      </c>
      <c r="B16">
        <v>1.8253737795469531</v>
      </c>
      <c r="C16" s="12">
        <v>8.8957362296602296E-3</v>
      </c>
      <c r="D16">
        <v>0.68487394122549816</v>
      </c>
      <c r="E16" s="15">
        <v>0.31603437363464698</v>
      </c>
      <c r="F16">
        <v>1.5431639616190607</v>
      </c>
      <c r="G16" s="16">
        <v>0.250267714639267</v>
      </c>
      <c r="H16">
        <v>0.89169877617241478</v>
      </c>
      <c r="I16" s="17">
        <v>1.01343777505961</v>
      </c>
      <c r="J16">
        <v>0.35049266317162459</v>
      </c>
      <c r="K16" s="18">
        <v>0.88243598341370999</v>
      </c>
      <c r="L16">
        <v>3.1590337508333337</v>
      </c>
      <c r="M16" s="19">
        <v>0.45617091532496501</v>
      </c>
    </row>
    <row r="20" spans="1:12" x14ac:dyDescent="0.25">
      <c r="A20" t="s">
        <v>83</v>
      </c>
    </row>
    <row r="21" spans="1:12" x14ac:dyDescent="0.25">
      <c r="A21" t="s">
        <v>7</v>
      </c>
      <c r="B21">
        <f>B2-dhap4!B2</f>
        <v>-0.55024998868068598</v>
      </c>
      <c r="D21">
        <f>D2-dhap4!D2</f>
        <v>-1.0729339491789536</v>
      </c>
      <c r="F21">
        <f>F2-dhap4!F2</f>
        <v>-2.5734291158853617E-2</v>
      </c>
      <c r="H21">
        <f>H2-dhap4!H2</f>
        <v>-1.2196370171192923</v>
      </c>
      <c r="J21">
        <f>J2-dhap4!J2</f>
        <v>-0.85675931101215552</v>
      </c>
      <c r="L21">
        <f>L2-dhap4!L2</f>
        <v>-0.42262248346058984</v>
      </c>
    </row>
    <row r="22" spans="1:12" x14ac:dyDescent="0.25">
      <c r="A22" t="s">
        <v>8</v>
      </c>
      <c r="B22">
        <f>B3-dhap4!B3</f>
        <v>-0.78417022124294056</v>
      </c>
      <c r="D22">
        <f>D3-dhap4!D3</f>
        <v>-0.43132331322611184</v>
      </c>
      <c r="F22">
        <f>F3-dhap4!F3</f>
        <v>-0.8928107171712345</v>
      </c>
      <c r="H22">
        <f>H3-dhap4!H3</f>
        <v>-1.4854129658208899</v>
      </c>
      <c r="J22">
        <f>J3-dhap4!J3</f>
        <v>-0.15821930272729223</v>
      </c>
      <c r="L22">
        <f>L3-dhap4!L3</f>
        <v>-0.18608753041065729</v>
      </c>
    </row>
    <row r="23" spans="1:12" x14ac:dyDescent="0.25">
      <c r="A23" t="s">
        <v>9</v>
      </c>
      <c r="B23">
        <f>B4-dhap4!B4</f>
        <v>-0.71700475729179636</v>
      </c>
      <c r="D23">
        <f>D4-dhap4!D4</f>
        <v>-1.5744223426702637</v>
      </c>
      <c r="F23">
        <f>F4-dhap4!F4</f>
        <v>-0.23854430448938213</v>
      </c>
      <c r="H23">
        <f>H4-dhap4!H4</f>
        <v>0.10668658725369617</v>
      </c>
      <c r="J23">
        <f>J4-dhap4!J4</f>
        <v>-0.33807889454748385</v>
      </c>
      <c r="L23">
        <f>L4-dhap4!L4</f>
        <v>-0.84379043380439878</v>
      </c>
    </row>
    <row r="24" spans="1:12" x14ac:dyDescent="0.25">
      <c r="A24" t="s">
        <v>10</v>
      </c>
      <c r="B24">
        <f>B5-dhap4!B5</f>
        <v>-1.3177375612185644</v>
      </c>
      <c r="D24">
        <f>D5-dhap4!D5</f>
        <v>-1.252676248031106</v>
      </c>
      <c r="F24">
        <f>F5-dhap4!F5</f>
        <v>-0.24448823837291467</v>
      </c>
      <c r="H24">
        <f>H5-dhap4!H5</f>
        <v>-1.1437567962653983</v>
      </c>
      <c r="J24">
        <f>J5-dhap4!J5</f>
        <v>-0.7337476808154948</v>
      </c>
      <c r="L24">
        <f>L5-dhap4!L5</f>
        <v>-0.92943210487818151</v>
      </c>
    </row>
    <row r="25" spans="1:12" x14ac:dyDescent="0.25">
      <c r="A25" t="s">
        <v>11</v>
      </c>
      <c r="B25">
        <f>B6-dhap4!B6</f>
        <v>-0.69086899779685573</v>
      </c>
      <c r="D25">
        <f>D6-dhap4!D6</f>
        <v>-1.0427518387765109</v>
      </c>
      <c r="F25">
        <f>F6-dhap4!F6</f>
        <v>-0.80099285302372358</v>
      </c>
      <c r="H25">
        <f>H6-dhap4!H6</f>
        <v>-0.92643580260910685</v>
      </c>
      <c r="J25">
        <f>J6-dhap4!J6</f>
        <v>-0.9897338295615562</v>
      </c>
      <c r="L25">
        <f>L6-dhap4!L6</f>
        <v>-1.3700993484728328</v>
      </c>
    </row>
    <row r="26" spans="1:12" x14ac:dyDescent="0.25">
      <c r="A26" t="s">
        <v>12</v>
      </c>
      <c r="B26">
        <f>B7-dhap4!B7</f>
        <v>0.63524945834580748</v>
      </c>
      <c r="D26">
        <f>D7-dhap4!D7</f>
        <v>0.26067712917823882</v>
      </c>
      <c r="F26">
        <f>F7-dhap4!F7</f>
        <v>0.33873244922335921</v>
      </c>
      <c r="H26">
        <f>H7-dhap4!H7</f>
        <v>-1.0208378535236642</v>
      </c>
      <c r="J26">
        <f>J7-dhap4!J7</f>
        <v>0.64090068285690527</v>
      </c>
      <c r="L26">
        <f>L7-dhap4!L7</f>
        <v>-0.7613759996708499</v>
      </c>
    </row>
    <row r="27" spans="1:12" x14ac:dyDescent="0.25">
      <c r="A27" t="s">
        <v>13</v>
      </c>
      <c r="B27">
        <f>B8-dhap4!B8</f>
        <v>-0.42763416645642205</v>
      </c>
      <c r="D27">
        <f>D8-dhap4!D8</f>
        <v>-0.46097382776817908</v>
      </c>
      <c r="F27">
        <f>F8-dhap4!F8</f>
        <v>-0.69679197076975874</v>
      </c>
      <c r="H27">
        <f>H8-dhap4!H8</f>
        <v>1.7910245805378038</v>
      </c>
      <c r="J27">
        <f>J8-dhap4!J8</f>
        <v>-2.2192373532709508</v>
      </c>
      <c r="L27">
        <f>L8-dhap4!L8</f>
        <v>-1.0228307862576893</v>
      </c>
    </row>
    <row r="28" spans="1:12" x14ac:dyDescent="0.25">
      <c r="A28" t="s">
        <v>14</v>
      </c>
      <c r="B28">
        <f>B9-dhap4!B9</f>
        <v>-0.59900572563468613</v>
      </c>
      <c r="D28">
        <f>D9-dhap4!D9</f>
        <v>-1.3455527550388873</v>
      </c>
      <c r="F28">
        <f>F9-dhap4!F9</f>
        <v>-0.46381208321663625</v>
      </c>
      <c r="H28">
        <f>H9-dhap4!H9</f>
        <v>-1.0406804724849565</v>
      </c>
      <c r="J28">
        <f>J9-dhap4!J9</f>
        <v>-0.90341847563443944</v>
      </c>
      <c r="L28">
        <f>L9-dhap4!L9</f>
        <v>-0.90506581144417486</v>
      </c>
    </row>
    <row r="29" spans="1:12" x14ac:dyDescent="0.25">
      <c r="A29" t="s">
        <v>15</v>
      </c>
      <c r="B29">
        <f>B10-dhap4!B10</f>
        <v>-1.0959508555717146E-2</v>
      </c>
      <c r="D29">
        <f>D10-dhap4!D10</f>
        <v>-0.99143022924115742</v>
      </c>
      <c r="F29">
        <f>F10-dhap4!F10</f>
        <v>-0.32246038952938838</v>
      </c>
      <c r="H29">
        <f>H10-dhap4!H10</f>
        <v>-1.3151459021278262</v>
      </c>
      <c r="J29">
        <f>J10-dhap4!J10</f>
        <v>-2.8454163040697145E-2</v>
      </c>
      <c r="L29">
        <f>L10-dhap4!L10</f>
        <v>-2.3984563940654899</v>
      </c>
    </row>
    <row r="30" spans="1:12" x14ac:dyDescent="0.25">
      <c r="A30" t="s">
        <v>16</v>
      </c>
      <c r="B30">
        <f>B11-dhap4!B11</f>
        <v>0.42249424789893864</v>
      </c>
      <c r="D30">
        <f>D11-dhap4!D11</f>
        <v>-0.64396065973564687</v>
      </c>
      <c r="F30">
        <f>F11-dhap4!F11</f>
        <v>-2.872473115820708</v>
      </c>
      <c r="H30">
        <f>H11-dhap4!H11</f>
        <v>-1.3925272312475205</v>
      </c>
      <c r="J30">
        <f>J11-dhap4!J11</f>
        <v>-5.324360067704121</v>
      </c>
      <c r="L30">
        <f>L11-dhap4!L11</f>
        <v>5.4908653452449663E-2</v>
      </c>
    </row>
    <row r="31" spans="1:12" x14ac:dyDescent="0.25">
      <c r="A31" t="s">
        <v>17</v>
      </c>
      <c r="B31">
        <f>B12-dhap4!B12</f>
        <v>-1.0011919628615433</v>
      </c>
      <c r="D31">
        <f>D12-dhap4!D12</f>
        <v>-0.76918248316066484</v>
      </c>
      <c r="F31">
        <f>F12-dhap4!F12</f>
        <v>-0.79366319237195659</v>
      </c>
      <c r="H31">
        <f>H12-dhap4!H12</f>
        <v>-1.2242575548531041</v>
      </c>
      <c r="J31">
        <f>J12-dhap4!J12</f>
        <v>-1.2324587791492874</v>
      </c>
      <c r="L31">
        <f>L12-dhap4!L12</f>
        <v>-0.83005535748956916</v>
      </c>
    </row>
    <row r="32" spans="1:12" x14ac:dyDescent="0.25">
      <c r="A32" t="s">
        <v>18</v>
      </c>
      <c r="B32">
        <f>B13-dhap4!B13</f>
        <v>-0.70855605483120376</v>
      </c>
      <c r="D32">
        <f>D13-dhap4!D13</f>
        <v>-0.77354831691930259</v>
      </c>
      <c r="F32">
        <f>F13-dhap4!F13</f>
        <v>-0.77726964034182711</v>
      </c>
      <c r="H32">
        <f>H13-dhap4!H13</f>
        <v>-0.64209066286137562</v>
      </c>
      <c r="J32">
        <f>J13-dhap4!J13</f>
        <v>-0.84186581223402357</v>
      </c>
      <c r="L32">
        <f>L13-dhap4!L13</f>
        <v>-1.1666993330829503</v>
      </c>
    </row>
    <row r="33" spans="1:12" x14ac:dyDescent="0.25">
      <c r="A33" t="s">
        <v>19</v>
      </c>
      <c r="B33">
        <f>B14-dhap4!B14</f>
        <v>-0.22277583201229256</v>
      </c>
      <c r="D33">
        <f>D14-dhap4!D14</f>
        <v>-0.43301544089733168</v>
      </c>
      <c r="F33">
        <f>F14-dhap4!F14</f>
        <v>-1.9609649703683174</v>
      </c>
      <c r="H33">
        <f>H14-dhap4!H14</f>
        <v>-1.6956990943548549</v>
      </c>
      <c r="J33">
        <f>J14-dhap4!J14</f>
        <v>-0.5457680588550019</v>
      </c>
      <c r="L33">
        <f>L14-dhap4!L14</f>
        <v>-0.8674689947305162</v>
      </c>
    </row>
    <row r="34" spans="1:12" x14ac:dyDescent="0.25">
      <c r="A34" t="s">
        <v>20</v>
      </c>
      <c r="B34">
        <f>B15-dhap4!B15</f>
        <v>-0.51789454513337874</v>
      </c>
      <c r="D34">
        <f>D15-dhap4!D15</f>
        <v>-0.20321587689708909</v>
      </c>
      <c r="F34">
        <f>F15-dhap4!F15</f>
        <v>-15.944858412993502</v>
      </c>
      <c r="H34">
        <f>H15-dhap4!H15</f>
        <v>-1.7594647669912731</v>
      </c>
      <c r="J34">
        <f>J15-dhap4!J15</f>
        <v>-0.30662931073349053</v>
      </c>
      <c r="L34">
        <f>L15-dhap4!L15</f>
        <v>-0.75394572238457114</v>
      </c>
    </row>
    <row r="35" spans="1:12" x14ac:dyDescent="0.25">
      <c r="A35" t="s">
        <v>21</v>
      </c>
      <c r="B35">
        <f>B16-dhap4!B16</f>
        <v>-2.2674701265374013</v>
      </c>
      <c r="D35">
        <f>D16-dhap4!D16</f>
        <v>-0.60638317114829288</v>
      </c>
      <c r="F35">
        <f>F16-dhap4!F16</f>
        <v>-1.4188543162595542</v>
      </c>
      <c r="H35">
        <f>H16-dhap4!H16</f>
        <v>-0.41654200519314821</v>
      </c>
      <c r="J35">
        <f>J16-dhap4!J16</f>
        <v>-1.5749086585499701</v>
      </c>
      <c r="L35">
        <f>L16-dhap4!L16</f>
        <v>1.4115341439038946</v>
      </c>
    </row>
    <row r="37" spans="1:12" x14ac:dyDescent="0.25">
      <c r="A37" t="s">
        <v>80</v>
      </c>
    </row>
    <row r="38" spans="1:12" x14ac:dyDescent="0.25">
      <c r="A38">
        <v>1.4932686836654068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workbookViewId="0">
      <selection activeCell="L8" sqref="L7:L8"/>
    </sheetView>
  </sheetViews>
  <sheetFormatPr defaultColWidth="8.85546875" defaultRowHeight="15" x14ac:dyDescent="0.25"/>
  <sheetData>
    <row r="1" spans="1:13" x14ac:dyDescent="0.25">
      <c r="A1" t="s">
        <v>0</v>
      </c>
      <c r="B1" t="s">
        <v>1</v>
      </c>
      <c r="C1" s="14" t="s">
        <v>22</v>
      </c>
      <c r="D1" t="s">
        <v>2</v>
      </c>
      <c r="E1" s="15" t="s">
        <v>23</v>
      </c>
      <c r="F1" t="s">
        <v>3</v>
      </c>
      <c r="G1" s="16" t="s">
        <v>24</v>
      </c>
      <c r="H1" t="s">
        <v>4</v>
      </c>
      <c r="I1" s="17" t="s">
        <v>25</v>
      </c>
      <c r="J1" t="s">
        <v>5</v>
      </c>
      <c r="K1" s="18" t="s">
        <v>26</v>
      </c>
      <c r="L1" t="s">
        <v>6</v>
      </c>
      <c r="M1" s="19" t="s">
        <v>27</v>
      </c>
    </row>
    <row r="2" spans="1:13" x14ac:dyDescent="0.25">
      <c r="A2" t="s">
        <v>7</v>
      </c>
      <c r="B2">
        <f>0.464611611207834/minMSE_dhap4_calculated!B2</f>
        <v>1.1378438931694577</v>
      </c>
      <c r="C2" s="14">
        <v>0.762384490029694</v>
      </c>
      <c r="D2">
        <f>0.125895396199881/minMSE_dhap4_calculated!C2</f>
        <v>1.5708209468102685</v>
      </c>
      <c r="E2" s="15">
        <v>0.44624975588118598</v>
      </c>
      <c r="F2">
        <f>1.42945037116376/minMSE_dhap4_calculated!D2</f>
        <v>1.5926864757375674</v>
      </c>
      <c r="G2" s="16">
        <v>0.78551996118716705</v>
      </c>
      <c r="H2">
        <f>0.150143571429516/minMSE_dhap4_calculated!E2</f>
        <v>1.4090008550745943</v>
      </c>
      <c r="I2" s="17">
        <v>0.29160072506103601</v>
      </c>
      <c r="J2">
        <f>0.204050165220189/minMSE_dhap4_calculated!F2</f>
        <v>1.0277799544888391</v>
      </c>
      <c r="K2" s="18">
        <v>0.82577386681059695</v>
      </c>
      <c r="L2">
        <f>1.05105214265459/minMSE_dhap4_calculated!G2</f>
        <v>1.8287907045172012</v>
      </c>
      <c r="M2" s="7">
        <v>4.5710095337786E-2</v>
      </c>
    </row>
    <row r="3" spans="1:13" x14ac:dyDescent="0.25">
      <c r="A3" t="s">
        <v>8</v>
      </c>
      <c r="B3">
        <f>0.336258574401047/minMSE_dhap4_calculated!B3</f>
        <v>1.4856792380271031</v>
      </c>
      <c r="C3" s="14">
        <v>8.2901279432195593E-2</v>
      </c>
      <c r="D3">
        <f>1.03404187725904/minMSE_dhap4_calculated!C3</f>
        <v>5.0446154555015275</v>
      </c>
      <c r="E3" s="9">
        <v>9.0782211164155292E-3</v>
      </c>
      <c r="F3">
        <f>0.558266761439265/minMSE_dhap4_calculated!D3</f>
        <v>1.2771910637668562</v>
      </c>
      <c r="G3" s="16">
        <v>0.52024738694317496</v>
      </c>
      <c r="H3">
        <f>0.266942395929552/minMSE_dhap4_calculated!E3</f>
        <v>1.4793826966877457</v>
      </c>
      <c r="I3" s="17">
        <v>7.2269282640789106E-2</v>
      </c>
      <c r="J3">
        <f>1.05283244434333/minMSE_dhap4_calculated!F3</f>
        <v>1.0684846813374638</v>
      </c>
      <c r="K3" s="18">
        <v>0.76388269721491497</v>
      </c>
      <c r="L3">
        <f>1.20975166676245/minMSE_dhap4_calculated!G3</f>
        <v>1.4130128567566953</v>
      </c>
      <c r="M3" s="19">
        <v>0.45347930983877699</v>
      </c>
    </row>
    <row r="4" spans="1:13" x14ac:dyDescent="0.25">
      <c r="A4" t="s">
        <v>9</v>
      </c>
      <c r="B4">
        <f>0.741647985922798/minMSE_dhap4_calculated!B4</f>
        <v>1.3042855911193623</v>
      </c>
      <c r="C4" s="14">
        <v>6.6225124959576706E-2</v>
      </c>
      <c r="D4">
        <f>0.1449642125/minMSE_dhap4_calculated!C4</f>
        <v>1.7193865551702636</v>
      </c>
      <c r="E4" s="15">
        <v>0.61881514010194805</v>
      </c>
      <c r="F4">
        <f>0.94392041624915/minMSE_dhap4_calculated!D4</f>
        <v>1.2860085214580057</v>
      </c>
      <c r="G4" s="10">
        <v>1.6347989883004101E-2</v>
      </c>
      <c r="H4">
        <f>1.31587743119199/minMSE_dhap4_calculated!E4</f>
        <v>1.4539622270287915</v>
      </c>
      <c r="I4" s="11">
        <v>1.1178235493982801E-2</v>
      </c>
      <c r="J4">
        <f>0.768334877181177/minMSE_dhap4_calculated!F4</f>
        <v>1.1044297023049259</v>
      </c>
      <c r="K4" s="18">
        <v>0.41128551861353002</v>
      </c>
      <c r="L4">
        <f>0.560352874315866/minMSE_dhap4_calculated!G4</f>
        <v>1.1614152752019964</v>
      </c>
      <c r="M4" s="7">
        <v>2.5966862137770701E-2</v>
      </c>
    </row>
    <row r="5" spans="1:13" x14ac:dyDescent="0.25">
      <c r="A5" t="s">
        <v>10</v>
      </c>
      <c r="B5">
        <f>0.536175654375042/minMSE_dhap4_calculated!B5</f>
        <v>1.9413478097944543</v>
      </c>
      <c r="C5" s="14">
        <v>0.33061324554751997</v>
      </c>
      <c r="D5">
        <f>0.592935622989479/minMSE_dhap4_calculated!C5</f>
        <v>1.210640534140931</v>
      </c>
      <c r="E5" s="15">
        <v>0.58761063110676703</v>
      </c>
      <c r="F5">
        <f>0.783745888101537/minMSE_dhap4_calculated!D5</f>
        <v>1.0477094008563534</v>
      </c>
      <c r="G5" s="16">
        <v>0.876273721691745</v>
      </c>
      <c r="H5">
        <f>0.811192145467388/minMSE_dhap4_calculated!E5</f>
        <v>1.7904364873772525</v>
      </c>
      <c r="I5" s="17">
        <v>0.12610118972802201</v>
      </c>
      <c r="J5">
        <f>0.45508672699839/minMSE_dhap4_calculated!F5</f>
        <v>1.0749768496093275</v>
      </c>
      <c r="K5" s="18">
        <v>0.84451617033304205</v>
      </c>
      <c r="L5">
        <f>0.249312814771371/minMSE_dhap4_calculated!G5</f>
        <v>1.2849630296379833</v>
      </c>
      <c r="M5" s="19">
        <v>0.34787221257796602</v>
      </c>
    </row>
    <row r="6" spans="1:13" x14ac:dyDescent="0.25">
      <c r="A6" t="s">
        <v>11</v>
      </c>
      <c r="B6">
        <f>0.478465211137259/minMSE_dhap4_calculated!B6</f>
        <v>1.1795345585711279</v>
      </c>
      <c r="C6" s="14">
        <v>0.41886387925431101</v>
      </c>
      <c r="D6">
        <f>0.174038998189411/minMSE_dhap4_calculated!C6</f>
        <v>1.0514936815824036</v>
      </c>
      <c r="E6" s="15">
        <v>0.54683519144140802</v>
      </c>
      <c r="F6">
        <f>0.353261053333333/minMSE_dhap4_calculated!D6</f>
        <v>1.1542539063570569</v>
      </c>
      <c r="G6" s="16">
        <v>0.60936795919082498</v>
      </c>
      <c r="H6">
        <f>0.200313956416878/minMSE_dhap4_calculated!E6</f>
        <v>1.2085276768095934</v>
      </c>
      <c r="I6" s="17">
        <v>0.51888455220311103</v>
      </c>
      <c r="J6">
        <f>0.219605811621173/minMSE_dhap4_calculated!F6</f>
        <v>1.1203610515606366</v>
      </c>
      <c r="K6" s="18">
        <v>0.92811381976317897</v>
      </c>
      <c r="L6">
        <f>0.200388058043587/minMSE_dhap4_calculated!G6</f>
        <v>1.8273431999938174</v>
      </c>
      <c r="M6" s="19">
        <v>0.117144834533319</v>
      </c>
    </row>
    <row r="7" spans="1:13" x14ac:dyDescent="0.25">
      <c r="A7" t="s">
        <v>12</v>
      </c>
      <c r="B7">
        <f>1.83004065436498/minMSE_dhap4_calculated!B7</f>
        <v>1.0169292161256551</v>
      </c>
      <c r="C7" s="14">
        <v>0.73074475229926095</v>
      </c>
      <c r="D7">
        <f>1.32133030186731/minMSE_dhap4_calculated!C7</f>
        <v>1.2070968101631916</v>
      </c>
      <c r="E7" s="15">
        <v>0.482119508817688</v>
      </c>
      <c r="F7">
        <f>2.39168261288151/minMSE_dhap4_calculated!D7</f>
        <v>3.6516598911845457</v>
      </c>
      <c r="G7" s="16">
        <v>7.7299330333445299E-2</v>
      </c>
      <c r="H7">
        <f>0.4916199175/minMSE_dhap4_calculated!E7</f>
        <v>1.5124577710236642</v>
      </c>
      <c r="I7" s="17">
        <v>0.41648763304756098</v>
      </c>
      <c r="J7">
        <f>1.70149397116276/minMSE_dhap4_calculated!F7</f>
        <v>1.2696007833656799</v>
      </c>
      <c r="K7" s="18">
        <v>0.92618166088133702</v>
      </c>
      <c r="L7">
        <f>0.957528265976241/minMSE_dhap4_calculated!G7</f>
        <v>2.9408386881188129</v>
      </c>
      <c r="M7" s="7">
        <v>1.5741522728162101E-2</v>
      </c>
    </row>
    <row r="8" spans="1:13" x14ac:dyDescent="0.25">
      <c r="A8" t="s">
        <v>13</v>
      </c>
      <c r="B8">
        <f>0.62452215831342/minMSE_dhap4_calculated!B8</f>
        <v>1.0637056966008522</v>
      </c>
      <c r="C8" s="12">
        <v>3.9736164584284001E-2</v>
      </c>
      <c r="D8">
        <f>0.785017684797558/minMSE_dhap4_calculated!C8</f>
        <v>1.4298920582706147</v>
      </c>
      <c r="E8" s="9">
        <v>2.23753114222145E-3</v>
      </c>
      <c r="F8">
        <f>0.307871916409546/minMSE_dhap4_calculated!D8</f>
        <v>1.0424262563917472</v>
      </c>
      <c r="G8" s="10">
        <v>2.4759724199063201E-3</v>
      </c>
      <c r="H8">
        <f>2.84891055150359/minMSE_dhap4_calculated!E8</f>
        <v>1.0658455575285175</v>
      </c>
      <c r="I8" s="17">
        <v>0.42442038054964198</v>
      </c>
      <c r="J8">
        <f>0.593595616666667/minMSE_dhap4_calculated!F8</f>
        <v>2.8128329699376176</v>
      </c>
      <c r="K8" s="18">
        <v>0.57583799773840905</v>
      </c>
      <c r="L8">
        <f>0.47787328809671/minMSE_dhap4_calculated!G8</f>
        <v>1.3688163486440359</v>
      </c>
      <c r="M8" s="7">
        <v>1.1238296525258799E-3</v>
      </c>
    </row>
    <row r="9" spans="1:13" x14ac:dyDescent="0.25">
      <c r="A9" t="s">
        <v>14</v>
      </c>
      <c r="B9">
        <f>0.493041512854011/minMSE_dhap4_calculated!B9</f>
        <v>1.1617219889984487</v>
      </c>
      <c r="C9" s="14">
        <v>0.30555896896170998</v>
      </c>
      <c r="D9">
        <f>0.352946053136171/minMSE_dhap4_calculated!C9</f>
        <v>1.5584353260690342</v>
      </c>
      <c r="E9" s="15">
        <v>0.220796800536256</v>
      </c>
      <c r="F9">
        <f>0.762161639887464/minMSE_dhap4_calculated!D9</f>
        <v>1.2145902311896011</v>
      </c>
      <c r="G9" s="16">
        <v>0.34273266373509897</v>
      </c>
      <c r="H9">
        <f>0.325355003998537/minMSE_dhap4_calculated!E9</f>
        <v>2.1480072686400726</v>
      </c>
      <c r="I9" s="11">
        <v>1.6849469393969401E-2</v>
      </c>
      <c r="J9">
        <f>0.403538960571068/minMSE_dhap4_calculated!F9</f>
        <v>1.1745853350116007</v>
      </c>
      <c r="K9" s="18">
        <v>0.80207673397527102</v>
      </c>
      <c r="L9">
        <f>0.236856610729576/minMSE_dhap4_calculated!G9</f>
        <v>1.0820487294688699</v>
      </c>
      <c r="M9" s="19">
        <v>8.3557084326203193E-2</v>
      </c>
    </row>
    <row r="10" spans="1:13" x14ac:dyDescent="0.25">
      <c r="A10" t="s">
        <v>15</v>
      </c>
      <c r="B10">
        <f>0.989391820461014/minMSE_dhap4_calculated!B10</f>
        <v>1.0073900205063275</v>
      </c>
      <c r="C10" s="14">
        <v>0.40967747091093998</v>
      </c>
      <c r="D10">
        <f>0.266041755339664/minMSE_dhap4_calculated!C10</f>
        <v>1.0946254497477705</v>
      </c>
      <c r="E10" s="9">
        <v>4.93615335741312E-2</v>
      </c>
      <c r="F10">
        <f>0.958943729645911/minMSE_dhap4_calculated!D10</f>
        <v>1.2659871747639349</v>
      </c>
      <c r="G10" s="16">
        <v>7.5060611423136706E-2</v>
      </c>
      <c r="H10">
        <f>0.136318954202575/minMSE_dhap4_calculated!E10</f>
        <v>1.1104179151125646</v>
      </c>
      <c r="I10" s="17">
        <v>5.3349459021998002E-2</v>
      </c>
      <c r="J10">
        <f>1.15636093529361/minMSE_dhap4_calculated!F10</f>
        <v>1.1555109390395382</v>
      </c>
      <c r="K10" s="18">
        <v>0.83537027035042999</v>
      </c>
      <c r="L10">
        <f>0.328275403053852/minMSE_dhap4_calculated!G10</f>
        <v>3.3182430897285853</v>
      </c>
      <c r="M10" s="7">
        <v>2.0751052693414899E-3</v>
      </c>
    </row>
    <row r="11" spans="1:13" x14ac:dyDescent="0.25">
      <c r="A11" t="s">
        <v>16</v>
      </c>
      <c r="B11">
        <f>2.01268700498465/minMSE_dhap4_calculated!B11</f>
        <v>1.7817045479084155</v>
      </c>
      <c r="C11" s="14">
        <v>0.312866167848105</v>
      </c>
      <c r="D11">
        <f>0.873047183817836/minMSE_dhap4_calculated!C11</f>
        <v>1.5116696920992196</v>
      </c>
      <c r="E11" s="15">
        <v>0.36919882166698498</v>
      </c>
      <c r="F11">
        <f>0.283754881380875/minMSE_dhap4_calculated!D11</f>
        <v>2.3022862186630322</v>
      </c>
      <c r="G11" s="16">
        <v>0.32044779172975002</v>
      </c>
      <c r="H11">
        <f>0.144700268487286/minMSE_dhap4_calculated!E11</f>
        <v>1.2785325261855289</v>
      </c>
      <c r="I11" s="17">
        <v>1.01926877470356</v>
      </c>
      <c r="J11">
        <f>0.582996593503133/minMSE_dhap4_calculated!F11</f>
        <v>6.4524083997526436</v>
      </c>
      <c r="K11" s="18">
        <v>0.41730594570108798</v>
      </c>
      <c r="L11">
        <f>1.30687185596786/minMSE_dhap4_calculated!G11</f>
        <v>1.2142606946791046</v>
      </c>
      <c r="M11" s="19">
        <v>0.32964773522541801</v>
      </c>
    </row>
    <row r="12" spans="1:13" x14ac:dyDescent="0.25">
      <c r="A12" t="s">
        <v>17</v>
      </c>
      <c r="B12">
        <f>0.281677747663154/minMSE_dhap4_calculated!B12</f>
        <v>1.1693700686088235</v>
      </c>
      <c r="C12" s="14">
        <v>0.673063017606508</v>
      </c>
      <c r="D12">
        <f>0.753825277411578/minMSE_dhap4_calculated!C12</f>
        <v>1.6435129542838216</v>
      </c>
      <c r="E12" s="15">
        <v>0.48391674975244903</v>
      </c>
      <c r="F12">
        <f>0.437135033529552/minMSE_dhap4_calculated!D12</f>
        <v>1.1456092361573875</v>
      </c>
      <c r="G12" s="16">
        <v>0.37967438937929698</v>
      </c>
      <c r="H12">
        <f>0.192750404497124/minMSE_dhap4_calculated!E12</f>
        <v>1.4291105371479944</v>
      </c>
      <c r="I12" s="17">
        <v>0.61551986182630103</v>
      </c>
      <c r="J12">
        <f>0.228697355484197/minMSE_dhap4_calculated!F12</f>
        <v>1.0439299836996607</v>
      </c>
      <c r="K12" s="18">
        <v>0.96518223885221099</v>
      </c>
      <c r="L12">
        <f>0.246665196150641/minMSE_dhap4_calculated!G12</f>
        <v>1.0782999484713236</v>
      </c>
      <c r="M12" s="19">
        <v>0.77989454444137896</v>
      </c>
    </row>
    <row r="13" spans="1:13" x14ac:dyDescent="0.25">
      <c r="A13" t="s">
        <v>18</v>
      </c>
      <c r="B13">
        <f>0.445792703921038/minMSE_dhap4_calculated!B13</f>
        <v>1.275054155711298</v>
      </c>
      <c r="C13" s="14">
        <v>9.5712795892028399E-2</v>
      </c>
      <c r="D13">
        <f>0.293986257531468/minMSE_dhap4_calculated!C13</f>
        <v>1.3874337881247647</v>
      </c>
      <c r="E13" s="15">
        <v>0.44634237725270698</v>
      </c>
      <c r="F13">
        <f>0.271257527977549/minMSE_dhap4_calculated!D13</f>
        <v>1.0150132439549806</v>
      </c>
      <c r="G13" s="16">
        <v>0.31255665386579601</v>
      </c>
      <c r="H13">
        <f>0.476526071081193/minMSE_dhap4_calculated!E13</f>
        <v>1.1476025523843822</v>
      </c>
      <c r="I13" s="17">
        <v>0.98678976939878205</v>
      </c>
      <c r="J13">
        <f>0.260188441026605/minMSE_dhap4_calculated!F13</f>
        <v>1.1897753075947961</v>
      </c>
      <c r="K13" s="18">
        <v>0.517815470814041</v>
      </c>
      <c r="L13">
        <f>0.306570281779559/minMSE_dhap4_calculated!G13</f>
        <v>1.4362251000055857</v>
      </c>
      <c r="M13" s="19">
        <v>0.297478016852251</v>
      </c>
    </row>
    <row r="14" spans="1:13" x14ac:dyDescent="0.25">
      <c r="A14" t="s">
        <v>19</v>
      </c>
      <c r="B14">
        <f>0.916142390568528/minMSE_dhap4_calculated!B14</f>
        <v>1.4214340116058106</v>
      </c>
      <c r="C14" s="14">
        <v>0.174295602147962</v>
      </c>
      <c r="D14">
        <f>0.664539998139094/minMSE_dhap4_calculated!C13</f>
        <v>3.1362188651959584</v>
      </c>
      <c r="E14" s="15">
        <v>0.86844583111990603</v>
      </c>
      <c r="F14">
        <f>1.21110739601591/minMSE_dhap4_calculated!D14</f>
        <v>3.6855093856231962</v>
      </c>
      <c r="G14" s="10">
        <v>4.3268390080787603E-2</v>
      </c>
      <c r="H14">
        <f>0.743343780199074/minMSE_dhap4_calculated!E14</f>
        <v>7.1508358887119323</v>
      </c>
      <c r="I14" s="11">
        <v>8.3521584494051695E-3</v>
      </c>
      <c r="J14">
        <f>0.548417919793388/minMSE_dhap4_calculated!F14</f>
        <v>2.0922979167078122</v>
      </c>
      <c r="K14" s="18">
        <v>0.81524617305381997</v>
      </c>
      <c r="L14">
        <f>0.952477471285971/minMSE_dhap4_calculated!G14</f>
        <v>3.2867823898798121</v>
      </c>
      <c r="M14" s="19">
        <v>6.5292475138674894E-2</v>
      </c>
    </row>
    <row r="15" spans="1:13" x14ac:dyDescent="0.25">
      <c r="A15" t="s">
        <v>20</v>
      </c>
      <c r="B15">
        <f>0.62121752738131/minMSE_dhap4_calculated!B15</f>
        <v>1.7476661492794163</v>
      </c>
      <c r="C15" s="12">
        <v>4.0424970068182499E-3</v>
      </c>
      <c r="D15">
        <f>0.936025618172125/minMSE_dhap4_calculated!C15</f>
        <v>1.4529757366210012</v>
      </c>
      <c r="E15" s="15">
        <v>5.7965913592618802E-2</v>
      </c>
      <c r="F15">
        <f>0.861635385933803/minMSE_dhap4_calculated!D15</f>
        <v>9.7258856270807303</v>
      </c>
      <c r="G15" s="16">
        <v>0.218104991549528</v>
      </c>
      <c r="H15">
        <f>0.40818479057129/minMSE_dhap4_calculated!E15</f>
        <v>1.2223423163950609</v>
      </c>
      <c r="I15" s="11">
        <v>1.17388410353965E-2</v>
      </c>
      <c r="J15">
        <f>0.702422093580254/minMSE_dhap4_calculated!F15</f>
        <v>1.0724595528318188</v>
      </c>
      <c r="K15" s="18">
        <v>0.21974386864794401</v>
      </c>
      <c r="L15">
        <f>0.480561710421293/minMSE_dhap4_calculated!G15</f>
        <v>1.1771429460948997</v>
      </c>
      <c r="M15" s="19">
        <v>0.26584607245743602</v>
      </c>
    </row>
    <row r="16" spans="1:13" x14ac:dyDescent="0.25">
      <c r="A16" t="s">
        <v>21</v>
      </c>
      <c r="B16">
        <f>1.82537377954695/minMSE_dhap4_calculated!B16</f>
        <v>3.2429748889855095</v>
      </c>
      <c r="C16" s="12">
        <v>8.8957362296602296E-3</v>
      </c>
      <c r="D16">
        <f>0.684873941225498/minMSE_dhap4_calculated!C16</f>
        <v>1.3131448555251384</v>
      </c>
      <c r="E16" s="15">
        <v>0.31603437363464698</v>
      </c>
      <c r="F16">
        <f>1.54316396161906/minMSE_dhap4_calculated!D16</f>
        <v>3.5703865866816646</v>
      </c>
      <c r="G16" s="16">
        <v>0.250267714639267</v>
      </c>
      <c r="H16">
        <f>0.891698776172415/minMSE_dhap4_calculated!E16</f>
        <v>1.0334754409636584</v>
      </c>
      <c r="I16" s="17">
        <v>1.01343777505961</v>
      </c>
      <c r="J16">
        <f>0.350492663171625/minMSE_dhap4_calculated!F16</f>
        <v>1.4643128714142863</v>
      </c>
      <c r="K16" s="18">
        <v>0.88243598341370999</v>
      </c>
      <c r="L16">
        <f>3.15903375083333/minMSE_dhap4_calculated!G16</f>
        <v>1.7474996069294391</v>
      </c>
      <c r="M16" s="19">
        <v>0.45617091532496501</v>
      </c>
    </row>
    <row r="19" spans="1:12" x14ac:dyDescent="0.25">
      <c r="A19" t="s">
        <v>112</v>
      </c>
    </row>
    <row r="20" spans="1:12" x14ac:dyDescent="0.25">
      <c r="A20" t="s">
        <v>7</v>
      </c>
      <c r="B20">
        <f>B2-dhap4!B2</f>
        <v>0.12298229328093724</v>
      </c>
      <c r="D20">
        <f>D2-dhap4!D2</f>
        <v>0.37199160143143395</v>
      </c>
      <c r="F20">
        <f>F2-dhap4!F2</f>
        <v>0.13750181341495593</v>
      </c>
      <c r="H20">
        <f>H2-dhap4!H2</f>
        <v>3.9220266525785696E-2</v>
      </c>
      <c r="J20">
        <f>J2-dhap4!J2</f>
        <v>-3.3029521743505708E-2</v>
      </c>
      <c r="L20">
        <f>L2-dhap4!L2</f>
        <v>0.35511607840202197</v>
      </c>
    </row>
    <row r="21" spans="1:12" x14ac:dyDescent="0.25">
      <c r="A21" t="s">
        <v>8</v>
      </c>
      <c r="B21">
        <f>B3-dhap4!B3</f>
        <v>0.36525044238311533</v>
      </c>
      <c r="D21">
        <f>D3-dhap4!D3</f>
        <v>3.5792502650163778</v>
      </c>
      <c r="F21">
        <f>F3-dhap4!F3</f>
        <v>-0.17388641484364342</v>
      </c>
      <c r="H21">
        <f>H3-dhap4!H3</f>
        <v>-0.27297266506269602</v>
      </c>
      <c r="J21">
        <f>J3-dhap4!J3</f>
        <v>-0.14256706573315747</v>
      </c>
      <c r="L21">
        <f>L3-dhap4!L3</f>
        <v>1.7173659583591405E-2</v>
      </c>
    </row>
    <row r="22" spans="1:12" x14ac:dyDescent="0.25">
      <c r="A22" t="s">
        <v>9</v>
      </c>
      <c r="B22">
        <f>B4-dhap4!B4</f>
        <v>-0.15436715209523166</v>
      </c>
      <c r="D22">
        <f>D4-dhap4!D4</f>
        <v>0</v>
      </c>
      <c r="F22">
        <f>F4-dhap4!F4</f>
        <v>0.10354380071947378</v>
      </c>
      <c r="H22">
        <f>H4-dhap4!H4</f>
        <v>0.24477138309049917</v>
      </c>
      <c r="J22">
        <f>J4-dhap4!J4</f>
        <v>-1.9840694237347467E-3</v>
      </c>
      <c r="L22">
        <f>L4-dhap4!L4</f>
        <v>-0.24272803291826839</v>
      </c>
    </row>
    <row r="23" spans="1:12" x14ac:dyDescent="0.25">
      <c r="A23" t="s">
        <v>10</v>
      </c>
      <c r="B23">
        <f>B5-dhap4!B5</f>
        <v>8.7434594200848093E-2</v>
      </c>
      <c r="D23">
        <f>D5-dhap4!D5</f>
        <v>-0.6349713368796539</v>
      </c>
      <c r="F23">
        <f>F5-dhap4!F5</f>
        <v>1.9475274381901553E-2</v>
      </c>
      <c r="H23">
        <f>H5-dhap4!H5</f>
        <v>-0.16451245435553341</v>
      </c>
      <c r="J23">
        <f>J5-dhap4!J5</f>
        <v>-0.1138575582045569</v>
      </c>
      <c r="L23">
        <f>L5-dhap4!L5</f>
        <v>0.10621810998843029</v>
      </c>
    </row>
    <row r="24" spans="1:12" x14ac:dyDescent="0.25">
      <c r="A24" t="s">
        <v>11</v>
      </c>
      <c r="B24">
        <f>B6-dhap4!B6</f>
        <v>1.0200349637012884E-2</v>
      </c>
      <c r="D24">
        <f>D6-dhap4!D6</f>
        <v>-0.16529715538351786</v>
      </c>
      <c r="F24">
        <f>F6-dhap4!F6</f>
        <v>0</v>
      </c>
      <c r="H24">
        <f>H6-dhap4!H6</f>
        <v>8.1777917783608434E-2</v>
      </c>
      <c r="J24">
        <f>J6-dhap4!J6</f>
        <v>-8.8978589622092708E-2</v>
      </c>
      <c r="L24">
        <f>L6-dhap4!L6</f>
        <v>0.25685579347739806</v>
      </c>
    </row>
    <row r="25" spans="1:12" x14ac:dyDescent="0.25">
      <c r="A25" t="s">
        <v>12</v>
      </c>
      <c r="B25">
        <f>B7-dhap4!B7</f>
        <v>-0.17786197989352193</v>
      </c>
      <c r="D25">
        <f>D7-dhap4!D7</f>
        <v>0.14644363747412115</v>
      </c>
      <c r="F25">
        <f>F7-dhap4!F7</f>
        <v>1.5987097275263977</v>
      </c>
      <c r="H25">
        <f>H7-dhap4!H7</f>
        <v>0</v>
      </c>
      <c r="J25">
        <f>J7-dhap4!J7</f>
        <v>0.20900749505982752</v>
      </c>
      <c r="L25">
        <f>L7-dhap4!L7</f>
        <v>1.2219344224717217</v>
      </c>
    </row>
    <row r="26" spans="1:12" x14ac:dyDescent="0.25">
      <c r="A26" t="s">
        <v>13</v>
      </c>
      <c r="B26">
        <f>B8-dhap4!B8</f>
        <v>1.154937183101068E-2</v>
      </c>
      <c r="D26">
        <f>D8-dhap4!D8</f>
        <v>0.18390054570487813</v>
      </c>
      <c r="F26">
        <f>F8-dhap4!F8</f>
        <v>3.7762369212442248E-2</v>
      </c>
      <c r="H26">
        <f>H8-dhap4!H8</f>
        <v>7.9595865627313245E-3</v>
      </c>
      <c r="J26">
        <f>J8-dhap4!J8</f>
        <v>0</v>
      </c>
      <c r="L26">
        <f>L8-dhap4!L8</f>
        <v>-0.13188772571036367</v>
      </c>
    </row>
    <row r="27" spans="1:12" x14ac:dyDescent="0.25">
      <c r="A27" t="s">
        <v>14</v>
      </c>
      <c r="B27">
        <f>B9-dhap4!B9</f>
        <v>6.9674750509751693E-2</v>
      </c>
      <c r="D27">
        <f>D9-dhap4!D9</f>
        <v>-0.14006348210602426</v>
      </c>
      <c r="F27">
        <f>F9-dhap4!F9</f>
        <v>-1.1383491914499055E-2</v>
      </c>
      <c r="H27">
        <f>H9-dhap4!H9</f>
        <v>0.78197179215657941</v>
      </c>
      <c r="J27">
        <f>J9-dhap4!J9</f>
        <v>-0.1323721011939063</v>
      </c>
      <c r="L27">
        <f>L9-dhap4!L9</f>
        <v>-5.9873692704880632E-2</v>
      </c>
    </row>
    <row r="28" spans="1:12" x14ac:dyDescent="0.25">
      <c r="A28" t="s">
        <v>15</v>
      </c>
      <c r="B28">
        <f>B10-dhap4!B10</f>
        <v>7.0386914895963493E-3</v>
      </c>
      <c r="D28">
        <f>D10-dhap4!D10</f>
        <v>-0.16284653483305078</v>
      </c>
      <c r="F28">
        <f>F10-dhap4!F10</f>
        <v>-1.5416944411364764E-2</v>
      </c>
      <c r="H28">
        <f>H10-dhap4!H10</f>
        <v>-0.3410469412178363</v>
      </c>
      <c r="J28">
        <f>J10-dhap4!J10</f>
        <v>-2.9304159294772703E-2</v>
      </c>
      <c r="L28">
        <f>L10-dhap4!L10</f>
        <v>0.59151129260924318</v>
      </c>
    </row>
    <row r="29" spans="1:12" x14ac:dyDescent="0.25">
      <c r="A29" t="s">
        <v>16</v>
      </c>
      <c r="B29">
        <f>B11-dhap4!B11</f>
        <v>0.19151179082270575</v>
      </c>
      <c r="D29">
        <f>D11-dhap4!D11</f>
        <v>-5.3381514542629738E-3</v>
      </c>
      <c r="F29">
        <f>F11-dhap4!F11</f>
        <v>-0.8539417785385508</v>
      </c>
      <c r="H29">
        <f>H11-dhap4!H11</f>
        <v>-0.25869497354927806</v>
      </c>
      <c r="J29">
        <f>J11-dhap4!J11</f>
        <v>0.54505173854538924</v>
      </c>
      <c r="L29">
        <f>L11-dhap4!L11</f>
        <v>-3.7702507836308019E-2</v>
      </c>
    </row>
    <row r="30" spans="1:12" x14ac:dyDescent="0.25">
      <c r="A30" t="s">
        <v>17</v>
      </c>
      <c r="B30">
        <f>B12-dhap4!B12</f>
        <v>-0.11349964191587425</v>
      </c>
      <c r="D30">
        <f>D12-dhap4!D12</f>
        <v>0.12050519371157908</v>
      </c>
      <c r="F30">
        <f>F12-dhap4!F12</f>
        <v>-8.5188989744120924E-2</v>
      </c>
      <c r="H30">
        <f>H12-dhap4!H12</f>
        <v>1.2102577797766134E-2</v>
      </c>
      <c r="J30">
        <f>J12-dhap4!J12</f>
        <v>-0.41722615093382354</v>
      </c>
      <c r="L30">
        <f>L12-dhap4!L12</f>
        <v>1.5793948311138006E-3</v>
      </c>
    </row>
    <row r="31" spans="1:12" x14ac:dyDescent="0.25">
      <c r="A31" t="s">
        <v>18</v>
      </c>
      <c r="B31">
        <f>B13-dhap4!B13</f>
        <v>0.12070539695905635</v>
      </c>
      <c r="D31">
        <f>D13-dhap4!D13</f>
        <v>0.31989921367399421</v>
      </c>
      <c r="F31">
        <f>F13-dhap4!F13</f>
        <v>-3.3513924364395153E-2</v>
      </c>
      <c r="H31">
        <f>H13-dhap4!H13</f>
        <v>2.8985818441813471E-2</v>
      </c>
      <c r="J31">
        <f>J13-dhap4!J13</f>
        <v>8.7721054334167992E-2</v>
      </c>
      <c r="L31">
        <f>L13-dhap4!L13</f>
        <v>-3.704451485692406E-2</v>
      </c>
    </row>
    <row r="32" spans="1:12" x14ac:dyDescent="0.25">
      <c r="A32" t="s">
        <v>19</v>
      </c>
      <c r="B32">
        <f>B14-dhap4!B14</f>
        <v>0.28251578902499008</v>
      </c>
      <c r="D32">
        <f>D14-dhap4!D14</f>
        <v>2.0386634261595322</v>
      </c>
      <c r="F32">
        <f>F14-dhap4!F14</f>
        <v>0.51343701923897278</v>
      </c>
      <c r="H32">
        <f>H14-dhap4!H14</f>
        <v>4.7117930141580038</v>
      </c>
      <c r="J32">
        <f>J14-dhap4!J14</f>
        <v>0.99811193805942233</v>
      </c>
      <c r="L32">
        <f>L14-dhap4!L14</f>
        <v>1.4668359238633248</v>
      </c>
    </row>
    <row r="33" spans="1:12" x14ac:dyDescent="0.25">
      <c r="A33" t="s">
        <v>20</v>
      </c>
      <c r="B33">
        <f>B15-dhap4!B15</f>
        <v>0.60855407676472795</v>
      </c>
      <c r="D33">
        <f>D15-dhap4!D15</f>
        <v>0.31373424155178675</v>
      </c>
      <c r="F33">
        <f>F15-dhap4!F15</f>
        <v>-7.0806081718465759</v>
      </c>
      <c r="H33">
        <f>H15-dhap4!H15</f>
        <v>-0.94530724116750187</v>
      </c>
      <c r="J33">
        <f>J15-dhap4!J15</f>
        <v>6.3408148518074636E-2</v>
      </c>
      <c r="L33">
        <f>L15-dhap4!L15</f>
        <v>-5.7364486710964835E-2</v>
      </c>
    </row>
    <row r="34" spans="1:12" x14ac:dyDescent="0.25">
      <c r="A34" t="s">
        <v>21</v>
      </c>
      <c r="B34">
        <f>B16-dhap4!B16</f>
        <v>-0.84986901709884499</v>
      </c>
      <c r="D34">
        <f>D16-dhap4!D16</f>
        <v>2.1887743151347339E-2</v>
      </c>
      <c r="F34">
        <f>F16-dhap4!F16</f>
        <v>0.60836830880304982</v>
      </c>
      <c r="H34">
        <f>H16-dhap4!H16</f>
        <v>-0.27476534040190459</v>
      </c>
      <c r="J34">
        <f>J16-dhap4!J16</f>
        <v>-0.46108845030730827</v>
      </c>
      <c r="L34">
        <f>L16-dhap4!L16</f>
        <v>0</v>
      </c>
    </row>
    <row r="36" spans="1:12" x14ac:dyDescent="0.25">
      <c r="A36" t="s">
        <v>111</v>
      </c>
    </row>
    <row r="37" spans="1:12" x14ac:dyDescent="0.25">
      <c r="A37">
        <v>1.4932686836654068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workbookViewId="0">
      <selection activeCell="A38" sqref="A38"/>
    </sheetView>
  </sheetViews>
  <sheetFormatPr defaultColWidth="8.85546875" defaultRowHeight="15" x14ac:dyDescent="0.25"/>
  <sheetData>
    <row r="1" spans="1:13" x14ac:dyDescent="0.25">
      <c r="A1" t="s">
        <v>0</v>
      </c>
      <c r="B1" t="s">
        <v>1</v>
      </c>
      <c r="C1" s="14" t="s">
        <v>22</v>
      </c>
      <c r="D1" t="s">
        <v>2</v>
      </c>
      <c r="E1" s="15" t="s">
        <v>23</v>
      </c>
      <c r="F1" t="s">
        <v>3</v>
      </c>
      <c r="G1" s="16" t="s">
        <v>24</v>
      </c>
      <c r="H1" t="s">
        <v>4</v>
      </c>
      <c r="I1" s="17" t="s">
        <v>25</v>
      </c>
      <c r="J1" t="s">
        <v>5</v>
      </c>
      <c r="K1" s="18" t="s">
        <v>26</v>
      </c>
      <c r="L1" t="s">
        <v>6</v>
      </c>
      <c r="M1" s="19" t="s">
        <v>27</v>
      </c>
    </row>
    <row r="2" spans="1:13" x14ac:dyDescent="0.25">
      <c r="A2" t="s">
        <v>7</v>
      </c>
      <c r="B2">
        <v>0.47005549588058376</v>
      </c>
      <c r="C2" s="14">
        <v>0.762384490029694</v>
      </c>
      <c r="D2">
        <v>0.11336968517883352</v>
      </c>
      <c r="E2" s="15">
        <v>0.44624975588118598</v>
      </c>
      <c r="F2">
        <v>1.1809756595630621</v>
      </c>
      <c r="G2" s="16">
        <v>0.78551996118716705</v>
      </c>
      <c r="H2">
        <v>0.16200073274271773</v>
      </c>
      <c r="I2" s="17">
        <v>0.29160072506103601</v>
      </c>
      <c r="J2">
        <v>0.20932312149238821</v>
      </c>
      <c r="K2" s="18">
        <v>0.82577386681059695</v>
      </c>
      <c r="L2">
        <v>1.1489061906706179</v>
      </c>
      <c r="M2" s="7">
        <v>4.5710095337786E-2</v>
      </c>
    </row>
    <row r="3" spans="1:13" x14ac:dyDescent="0.25">
      <c r="A3" t="s">
        <v>8</v>
      </c>
      <c r="B3">
        <v>0.28859276404151663</v>
      </c>
      <c r="C3" s="14">
        <v>8.2901279432195593E-2</v>
      </c>
      <c r="D3">
        <v>0.42896998823824667</v>
      </c>
      <c r="E3" s="9">
        <v>9.0782211164155292E-3</v>
      </c>
      <c r="F3">
        <v>0.66654682466525916</v>
      </c>
      <c r="G3" s="16">
        <v>0.52024738694317496</v>
      </c>
      <c r="H3">
        <v>0.36093353529032041</v>
      </c>
      <c r="I3" s="17">
        <v>7.2269282640789106E-2</v>
      </c>
      <c r="J3">
        <v>1.13469538841521</v>
      </c>
      <c r="K3" s="18">
        <v>0.76388269721491497</v>
      </c>
      <c r="L3">
        <v>1.3074518519334943</v>
      </c>
      <c r="M3" s="19">
        <v>0.45347930983877699</v>
      </c>
    </row>
    <row r="4" spans="1:13" x14ac:dyDescent="0.25">
      <c r="A4" t="s">
        <v>9</v>
      </c>
      <c r="B4">
        <v>0.64536505100517927</v>
      </c>
      <c r="C4" s="14">
        <v>6.6225124959576706E-2</v>
      </c>
      <c r="D4">
        <v>0.14496421249999999</v>
      </c>
      <c r="E4" s="15">
        <v>0.61881514010194805</v>
      </c>
      <c r="F4">
        <v>0.80275483513863932</v>
      </c>
      <c r="G4" s="10">
        <v>1.6347989883004101E-2</v>
      </c>
      <c r="H4">
        <v>1.0798353002993204</v>
      </c>
      <c r="I4" s="11">
        <v>1.1178235493982801E-2</v>
      </c>
      <c r="J4">
        <v>0.78525141861547976</v>
      </c>
      <c r="K4" s="18">
        <v>0.41128551861353002</v>
      </c>
      <c r="L4">
        <v>0.56700576460991892</v>
      </c>
      <c r="M4" s="7">
        <v>2.5966862137770701E-2</v>
      </c>
    </row>
    <row r="5" spans="1:13" x14ac:dyDescent="0.25">
      <c r="A5" t="s">
        <v>10</v>
      </c>
      <c r="B5">
        <v>0.49171747165381269</v>
      </c>
      <c r="C5" s="14">
        <v>0.33061324554751997</v>
      </c>
      <c r="D5">
        <v>0.87509964039465216</v>
      </c>
      <c r="E5" s="15">
        <v>0.58761063110676703</v>
      </c>
      <c r="F5">
        <v>0.75236039055458381</v>
      </c>
      <c r="G5" s="16">
        <v>0.876273721691745</v>
      </c>
      <c r="H5">
        <v>0.7914543880321081</v>
      </c>
      <c r="I5" s="17">
        <v>0.12610118972802201</v>
      </c>
      <c r="J5">
        <v>0.49118687529625754</v>
      </c>
      <c r="K5" s="18">
        <v>0.84451617033304205</v>
      </c>
      <c r="L5">
        <v>0.23752396449289126</v>
      </c>
      <c r="M5" s="19">
        <v>0.34787221257796602</v>
      </c>
    </row>
    <row r="6" spans="1:13" x14ac:dyDescent="0.25">
      <c r="A6" t="s">
        <v>11</v>
      </c>
      <c r="B6">
        <v>0.53765374461340609</v>
      </c>
      <c r="C6" s="14">
        <v>0.41886387925431101</v>
      </c>
      <c r="D6">
        <v>0.23868647317479283</v>
      </c>
      <c r="E6" s="15">
        <v>0.54683519144140802</v>
      </c>
      <c r="F6">
        <v>0.35326105333333335</v>
      </c>
      <c r="G6" s="16">
        <v>0.60936795919082498</v>
      </c>
      <c r="H6">
        <v>0.2113126317623745</v>
      </c>
      <c r="I6" s="17">
        <v>0.51888455220311103</v>
      </c>
      <c r="J6">
        <v>0.30271058466002859</v>
      </c>
      <c r="K6" s="18">
        <v>0.92811381976317897</v>
      </c>
      <c r="L6">
        <v>0.15776373632131332</v>
      </c>
      <c r="M6" s="19">
        <v>0.117144834533319</v>
      </c>
    </row>
    <row r="7" spans="1:13" x14ac:dyDescent="0.25">
      <c r="A7" t="s">
        <v>12</v>
      </c>
      <c r="B7">
        <v>1.8867990472993859</v>
      </c>
      <c r="C7" s="14">
        <v>0.73074475229926095</v>
      </c>
      <c r="D7">
        <v>1.4393428465527383</v>
      </c>
      <c r="E7" s="15">
        <v>0.482119508817688</v>
      </c>
      <c r="F7">
        <v>2.2145398913402596</v>
      </c>
      <c r="G7" s="16">
        <v>7.7299330333445299E-2</v>
      </c>
      <c r="H7">
        <v>0.4916199175</v>
      </c>
      <c r="I7" s="17">
        <v>0.41648763304756098</v>
      </c>
      <c r="J7">
        <v>1.7146751485342884</v>
      </c>
      <c r="K7" s="18">
        <v>0.92618166088133702</v>
      </c>
      <c r="L7">
        <v>0.95919722413928021</v>
      </c>
      <c r="M7" s="7">
        <v>1.5741522728162101E-2</v>
      </c>
    </row>
    <row r="8" spans="1:13" x14ac:dyDescent="0.25">
      <c r="A8" t="s">
        <v>13</v>
      </c>
      <c r="B8">
        <v>0.61757242859481998</v>
      </c>
      <c r="C8" s="12">
        <v>3.9736164584284001E-2</v>
      </c>
      <c r="D8">
        <v>0.6567311622089923</v>
      </c>
      <c r="E8" s="9">
        <v>2.23753114222145E-3</v>
      </c>
      <c r="F8">
        <v>0.33881744881550779</v>
      </c>
      <c r="G8" s="10">
        <v>2.4759724199063201E-3</v>
      </c>
      <c r="H8">
        <v>2.7382634959514438</v>
      </c>
      <c r="I8" s="17">
        <v>0.42442038054964198</v>
      </c>
      <c r="J8">
        <v>0.5935956166666666</v>
      </c>
      <c r="K8" s="18">
        <v>0.57583799773840905</v>
      </c>
      <c r="L8">
        <v>0.47251059045101323</v>
      </c>
      <c r="M8" s="7">
        <v>1.1238296525258799E-3</v>
      </c>
    </row>
    <row r="9" spans="1:13" x14ac:dyDescent="0.25">
      <c r="A9" t="s">
        <v>14</v>
      </c>
      <c r="B9">
        <v>0.45440484809340986</v>
      </c>
      <c r="C9" s="14">
        <v>0.30555896896170998</v>
      </c>
      <c r="D9">
        <v>0.31663441558199396</v>
      </c>
      <c r="E9" s="15">
        <v>0.220796800536256</v>
      </c>
      <c r="F9">
        <v>0.70542691017070902</v>
      </c>
      <c r="G9" s="16">
        <v>0.34273266373509897</v>
      </c>
      <c r="H9">
        <v>0.17182277324535697</v>
      </c>
      <c r="I9" s="11">
        <v>1.6849469393969401E-2</v>
      </c>
      <c r="J9">
        <v>0.39849376615083759</v>
      </c>
      <c r="K9" s="18">
        <v>0.80207673397527102</v>
      </c>
      <c r="L9">
        <v>0.33960944209982341</v>
      </c>
      <c r="M9" s="19">
        <v>8.3557084326203193E-2</v>
      </c>
    </row>
    <row r="10" spans="1:13" x14ac:dyDescent="0.25">
      <c r="A10" t="s">
        <v>15</v>
      </c>
      <c r="B10">
        <v>0.98826453267491821</v>
      </c>
      <c r="C10" s="14">
        <v>0.40967747091093998</v>
      </c>
      <c r="D10">
        <v>0.26494419610801051</v>
      </c>
      <c r="E10" s="9">
        <v>4.93615335741312E-2</v>
      </c>
      <c r="F10">
        <v>1.0300713805800574</v>
      </c>
      <c r="G10" s="16">
        <v>7.5060611423136706E-2</v>
      </c>
      <c r="H10">
        <v>0.14386878116238741</v>
      </c>
      <c r="I10" s="17">
        <v>5.3349459021998002E-2</v>
      </c>
      <c r="J10">
        <v>1.1897511156752618</v>
      </c>
      <c r="K10" s="18">
        <v>0.83537027035042999</v>
      </c>
      <c r="L10">
        <v>0.30888327169618607</v>
      </c>
      <c r="M10" s="7">
        <v>2.0751052693414899E-3</v>
      </c>
    </row>
    <row r="11" spans="1:13" x14ac:dyDescent="0.25">
      <c r="A11" t="s">
        <v>16</v>
      </c>
      <c r="B11">
        <v>2.0491024221913068</v>
      </c>
      <c r="C11" s="14">
        <v>0.312866167848105</v>
      </c>
      <c r="D11">
        <v>0.86510885705555951</v>
      </c>
      <c r="E11" s="15">
        <v>0.36919882166698498</v>
      </c>
      <c r="F11">
        <v>0.22825534427481395</v>
      </c>
      <c r="G11" s="16">
        <v>0.32044779172975002</v>
      </c>
      <c r="H11">
        <v>0.14694748954219736</v>
      </c>
      <c r="I11" s="17">
        <v>1.01926877470356</v>
      </c>
      <c r="J11">
        <v>0.66021296118293538</v>
      </c>
      <c r="K11" s="18">
        <v>0.41730594570108798</v>
      </c>
      <c r="L11">
        <v>1.3298537910905175</v>
      </c>
      <c r="M11" s="19">
        <v>0.32964773522541801</v>
      </c>
    </row>
    <row r="12" spans="1:13" x14ac:dyDescent="0.25">
      <c r="A12" t="s">
        <v>17</v>
      </c>
      <c r="B12">
        <v>0.27185858022752318</v>
      </c>
      <c r="C12" s="14">
        <v>0.673063017606508</v>
      </c>
      <c r="D12">
        <v>0.77572475133926988</v>
      </c>
      <c r="E12" s="15">
        <v>0.48391674975244903</v>
      </c>
      <c r="F12">
        <v>0.5543849635739323</v>
      </c>
      <c r="G12" s="16">
        <v>0.37967438937929698</v>
      </c>
      <c r="H12">
        <v>0.1708899638114186</v>
      </c>
      <c r="I12" s="17">
        <v>0.61551986182630103</v>
      </c>
      <c r="J12">
        <v>0.3620399760835204</v>
      </c>
      <c r="K12" s="18">
        <v>0.96518223885221099</v>
      </c>
      <c r="L12">
        <v>0.23647509736373692</v>
      </c>
      <c r="M12" s="19">
        <v>0.77989454444137896</v>
      </c>
    </row>
    <row r="13" spans="1:13" x14ac:dyDescent="0.25">
      <c r="A13" t="s">
        <v>18</v>
      </c>
      <c r="B13">
        <v>0.47742708211642171</v>
      </c>
      <c r="C13" s="14">
        <v>9.5712795892028399E-2</v>
      </c>
      <c r="D13">
        <v>0.37928888384628462</v>
      </c>
      <c r="E13" s="15">
        <v>0.44634237725270698</v>
      </c>
      <c r="F13">
        <v>0.29253955016615019</v>
      </c>
      <c r="G13" s="16">
        <v>0.31255665386579601</v>
      </c>
      <c r="H13">
        <v>0.46960335528302832</v>
      </c>
      <c r="I13" s="17">
        <v>0.98678976939878205</v>
      </c>
      <c r="J13">
        <v>0.27108963098460093</v>
      </c>
      <c r="K13" s="18">
        <v>0.517815470814041</v>
      </c>
      <c r="L13">
        <v>0.31152531935319122</v>
      </c>
      <c r="M13" s="19">
        <v>0.297478016852251</v>
      </c>
    </row>
    <row r="14" spans="1:13" x14ac:dyDescent="0.25">
      <c r="A14" t="s">
        <v>19</v>
      </c>
      <c r="B14">
        <v>0.77280207079121432</v>
      </c>
      <c r="C14" s="14">
        <v>0.174295602147962</v>
      </c>
      <c r="D14">
        <v>0.62568562607219447</v>
      </c>
      <c r="E14" s="15">
        <v>0.86844583111990603</v>
      </c>
      <c r="F14">
        <v>0.55638403753689059</v>
      </c>
      <c r="G14" s="10">
        <v>4.3268390080787603E-2</v>
      </c>
      <c r="H14">
        <v>0.64853118369513429</v>
      </c>
      <c r="I14" s="11">
        <v>8.3521584494051695E-3</v>
      </c>
      <c r="J14">
        <v>0.29670735829767519</v>
      </c>
      <c r="K14" s="18">
        <v>0.81524617305381997</v>
      </c>
      <c r="L14">
        <v>0.67439747535258654</v>
      </c>
      <c r="M14" s="19">
        <v>6.5292475138674894E-2</v>
      </c>
    </row>
    <row r="15" spans="1:13" x14ac:dyDescent="0.25">
      <c r="A15" t="s">
        <v>20</v>
      </c>
      <c r="B15">
        <v>0.43281141266447343</v>
      </c>
      <c r="C15" s="12">
        <v>4.0424970068182499E-3</v>
      </c>
      <c r="D15">
        <v>0.88987364975997651</v>
      </c>
      <c r="E15" s="15">
        <v>5.7965913592618802E-2</v>
      </c>
      <c r="F15">
        <v>0.12833028922643475</v>
      </c>
      <c r="G15" s="16">
        <v>0.218104991549528</v>
      </c>
      <c r="H15">
        <v>0.67444146680960648</v>
      </c>
      <c r="I15" s="11">
        <v>1.17388410353965E-2</v>
      </c>
      <c r="J15">
        <v>0.69398917287790951</v>
      </c>
      <c r="K15" s="18">
        <v>0.21974386864794401</v>
      </c>
      <c r="L15">
        <v>0.65918946955230739</v>
      </c>
      <c r="M15" s="19">
        <v>0.26584607245743602</v>
      </c>
    </row>
    <row r="16" spans="1:13" x14ac:dyDescent="0.25">
      <c r="A16" t="s">
        <v>21</v>
      </c>
      <c r="B16">
        <v>1.8432878437943168</v>
      </c>
      <c r="C16" s="12">
        <v>8.8957362296602296E-3</v>
      </c>
      <c r="D16">
        <v>0.63812530484746366</v>
      </c>
      <c r="E16" s="15">
        <v>0.31603437363464698</v>
      </c>
      <c r="F16">
        <v>0.79055650679874045</v>
      </c>
      <c r="G16" s="16">
        <v>0.250267714639267</v>
      </c>
      <c r="H16">
        <v>0.92738227771512161</v>
      </c>
      <c r="I16" s="17">
        <v>1.01343777505961</v>
      </c>
      <c r="J16">
        <v>0.70347040323189791</v>
      </c>
      <c r="K16" s="18">
        <v>0.88243598341370999</v>
      </c>
      <c r="L16">
        <v>3.1590337508333337</v>
      </c>
      <c r="M16" s="19">
        <v>0.45617091532496501</v>
      </c>
    </row>
    <row r="20" spans="1:12" x14ac:dyDescent="0.25">
      <c r="A20" t="s">
        <v>113</v>
      </c>
    </row>
    <row r="21" spans="1:12" x14ac:dyDescent="0.25">
      <c r="A21" t="s">
        <v>7</v>
      </c>
      <c r="B21">
        <f>B2-dhap4!B2</f>
        <v>-0.54480610400793661</v>
      </c>
      <c r="D21">
        <f>D2-dhap4!D2</f>
        <v>-1.0854596602000011</v>
      </c>
      <c r="F21">
        <f>F2-dhap4!F2</f>
        <v>-0.2742090027595494</v>
      </c>
      <c r="H21">
        <f>H2-dhap4!H2</f>
        <v>-1.2077798558060908</v>
      </c>
      <c r="J21">
        <f>J2-dhap4!J2</f>
        <v>-0.8514863547399566</v>
      </c>
      <c r="L21">
        <f>L2-dhap4!L2</f>
        <v>-0.32476843544456124</v>
      </c>
    </row>
    <row r="22" spans="1:12" x14ac:dyDescent="0.25">
      <c r="A22" t="s">
        <v>8</v>
      </c>
      <c r="B22">
        <f>B3-dhap4!B3</f>
        <v>-0.8318360316024711</v>
      </c>
      <c r="D22">
        <f>D3-dhap4!D3</f>
        <v>-1.0363952022469032</v>
      </c>
      <c r="F22">
        <f>F3-dhap4!F3</f>
        <v>-0.78453065394524046</v>
      </c>
      <c r="H22">
        <f>H3-dhap4!H3</f>
        <v>-1.3914218264601212</v>
      </c>
      <c r="J22">
        <f>J3-dhap4!J3</f>
        <v>-7.6356358655411238E-2</v>
      </c>
      <c r="L22">
        <f>L3-dhap4!L3</f>
        <v>-8.838734523960956E-2</v>
      </c>
    </row>
    <row r="23" spans="1:12" x14ac:dyDescent="0.25">
      <c r="A23" t="s">
        <v>9</v>
      </c>
      <c r="B23">
        <f>B4-dhap4!B4</f>
        <v>-0.81328769220941466</v>
      </c>
      <c r="D23">
        <f>D4-dhap4!D4</f>
        <v>-1.5744223426702637</v>
      </c>
      <c r="F23">
        <f>F4-dhap4!F4</f>
        <v>-0.3797098855998926</v>
      </c>
      <c r="H23">
        <f>H4-dhap4!H4</f>
        <v>-0.12935554363897195</v>
      </c>
      <c r="J23">
        <f>J4-dhap4!J4</f>
        <v>-0.32116235311318087</v>
      </c>
      <c r="L23">
        <f>L4-dhap4!L4</f>
        <v>-0.83713754351034586</v>
      </c>
    </row>
    <row r="24" spans="1:12" x14ac:dyDescent="0.25">
      <c r="A24" t="s">
        <v>10</v>
      </c>
      <c r="B24">
        <f>B5-dhap4!B5</f>
        <v>-1.3621957439397936</v>
      </c>
      <c r="D24">
        <f>D5-dhap4!D5</f>
        <v>-0.97051223062593273</v>
      </c>
      <c r="F24">
        <f>F5-dhap4!F5</f>
        <v>-0.27587373591986808</v>
      </c>
      <c r="H24">
        <f>H5-dhap4!H5</f>
        <v>-1.1634945537006778</v>
      </c>
      <c r="J24">
        <f>J5-dhap4!J5</f>
        <v>-0.69764753251762679</v>
      </c>
      <c r="L24">
        <f>L5-dhap4!L5</f>
        <v>-0.94122095515666171</v>
      </c>
    </row>
    <row r="25" spans="1:12" x14ac:dyDescent="0.25">
      <c r="A25" t="s">
        <v>11</v>
      </c>
      <c r="B25">
        <f>B6-dhap4!B6</f>
        <v>-0.6316804643207089</v>
      </c>
      <c r="D25">
        <f>D6-dhap4!D6</f>
        <v>-0.97810436379112864</v>
      </c>
      <c r="F25">
        <f>F6-dhap4!F6</f>
        <v>-0.80099285302372358</v>
      </c>
      <c r="H25">
        <f>H6-dhap4!H6</f>
        <v>-0.91543712726361048</v>
      </c>
      <c r="J25">
        <f>J6-dhap4!J6</f>
        <v>-0.90662905652270065</v>
      </c>
      <c r="L25">
        <f>L6-dhap4!L6</f>
        <v>-1.412723670195106</v>
      </c>
    </row>
    <row r="26" spans="1:12" x14ac:dyDescent="0.25">
      <c r="A26" t="s">
        <v>12</v>
      </c>
      <c r="B26">
        <f>B7-dhap4!B7</f>
        <v>0.69200785128020881</v>
      </c>
      <c r="D26">
        <f>D7-dhap4!D7</f>
        <v>0.37868967386366781</v>
      </c>
      <c r="F26">
        <f>F7-dhap4!F7</f>
        <v>0.16158972768211166</v>
      </c>
      <c r="H26">
        <f>H7-dhap4!H7</f>
        <v>-1.0208378535236642</v>
      </c>
      <c r="J26">
        <f>J7-dhap4!J7</f>
        <v>0.65408186022843595</v>
      </c>
      <c r="L26">
        <f>L7-dhap4!L7</f>
        <v>-0.75970704150781099</v>
      </c>
    </row>
    <row r="27" spans="1:12" x14ac:dyDescent="0.25">
      <c r="A27" t="s">
        <v>13</v>
      </c>
      <c r="B27">
        <f>B8-dhap4!B8</f>
        <v>-0.43458389617502158</v>
      </c>
      <c r="D27">
        <f>D8-dhap4!D8</f>
        <v>-0.58926035035674429</v>
      </c>
      <c r="F27">
        <f>F8-dhap4!F8</f>
        <v>-0.6658464383637972</v>
      </c>
      <c r="H27">
        <f>H8-dhap4!H8</f>
        <v>1.6803775249856576</v>
      </c>
      <c r="J27">
        <f>J8-dhap4!J8</f>
        <v>-2.2192373532709508</v>
      </c>
      <c r="L27">
        <f>L8-dhap4!L8</f>
        <v>-1.0281934839033864</v>
      </c>
    </row>
    <row r="28" spans="1:12" x14ac:dyDescent="0.25">
      <c r="A28" t="s">
        <v>14</v>
      </c>
      <c r="B28">
        <f>B9-dhap4!B9</f>
        <v>-0.63764239039528714</v>
      </c>
      <c r="D28">
        <f>D9-dhap4!D9</f>
        <v>-1.3818643925930645</v>
      </c>
      <c r="F28">
        <f>F9-dhap4!F9</f>
        <v>-0.52054681293339111</v>
      </c>
      <c r="H28">
        <f>H9-dhap4!H9</f>
        <v>-1.1942127032381362</v>
      </c>
      <c r="J28">
        <f>J9-dhap4!J9</f>
        <v>-0.90846367005466933</v>
      </c>
      <c r="L28">
        <f>L9-dhap4!L9</f>
        <v>-0.80231298007392704</v>
      </c>
    </row>
    <row r="29" spans="1:12" x14ac:dyDescent="0.25">
      <c r="A29" t="s">
        <v>15</v>
      </c>
      <c r="B29">
        <f>B10-dhap4!B10</f>
        <v>-1.2086796341812978E-2</v>
      </c>
      <c r="D29">
        <f>D10-dhap4!D10</f>
        <v>-0.99252778847281076</v>
      </c>
      <c r="F29">
        <f>F10-dhap4!F10</f>
        <v>-0.25133273859524219</v>
      </c>
      <c r="H29">
        <f>H10-dhap4!H10</f>
        <v>-1.3075960751680136</v>
      </c>
      <c r="J29">
        <f>J10-dhap4!J10</f>
        <v>4.9360173409509489E-3</v>
      </c>
      <c r="L29">
        <f>L10-dhap4!L10</f>
        <v>-2.4178485254231559</v>
      </c>
    </row>
    <row r="30" spans="1:12" x14ac:dyDescent="0.25">
      <c r="A30" t="s">
        <v>16</v>
      </c>
      <c r="B30">
        <f>B11-dhap4!B11</f>
        <v>0.45890966510559705</v>
      </c>
      <c r="D30">
        <f>D11-dhap4!D11</f>
        <v>-0.65189898649792311</v>
      </c>
      <c r="F30">
        <f>F11-dhap4!F11</f>
        <v>-2.9279726529267691</v>
      </c>
      <c r="H30">
        <f>H11-dhap4!H11</f>
        <v>-1.3902800101926096</v>
      </c>
      <c r="J30">
        <f>J11-dhap4!J11</f>
        <v>-5.2471437000243188</v>
      </c>
      <c r="L30">
        <f>L11-dhap4!L11</f>
        <v>7.7890588575104891E-2</v>
      </c>
    </row>
    <row r="31" spans="1:12" x14ac:dyDescent="0.25">
      <c r="A31" t="s">
        <v>17</v>
      </c>
      <c r="B31">
        <f>B12-dhap4!B12</f>
        <v>-1.0110111302971747</v>
      </c>
      <c r="D31">
        <f>D12-dhap4!D12</f>
        <v>-0.74728300923297264</v>
      </c>
      <c r="F31">
        <f>F12-dhap4!F12</f>
        <v>-0.67641326232757615</v>
      </c>
      <c r="H31">
        <f>H12-dhap4!H12</f>
        <v>-1.2461179955388098</v>
      </c>
      <c r="J31">
        <f>J12-dhap4!J12</f>
        <v>-1.0991161585499638</v>
      </c>
      <c r="L31">
        <f>L12-dhap4!L12</f>
        <v>-0.84024545627647285</v>
      </c>
    </row>
    <row r="32" spans="1:12" x14ac:dyDescent="0.25">
      <c r="A32" t="s">
        <v>18</v>
      </c>
      <c r="B32">
        <f>B13-dhap4!B13</f>
        <v>-0.67692167663581992</v>
      </c>
      <c r="D32">
        <f>D13-dhap4!D13</f>
        <v>-0.68824569060448582</v>
      </c>
      <c r="F32">
        <f>F13-dhap4!F13</f>
        <v>-0.75598761815322557</v>
      </c>
      <c r="H32">
        <f>H13-dhap4!H13</f>
        <v>-0.64901337865954045</v>
      </c>
      <c r="J32">
        <f>J13-dhap4!J13</f>
        <v>-0.83096462227602719</v>
      </c>
      <c r="L32">
        <f>L13-dhap4!L13</f>
        <v>-1.1617442955093185</v>
      </c>
    </row>
    <row r="33" spans="1:12" x14ac:dyDescent="0.25">
      <c r="A33" t="s">
        <v>19</v>
      </c>
      <c r="B33">
        <f>B14-dhap4!B14</f>
        <v>-0.36611615178960621</v>
      </c>
      <c r="D33">
        <f>D14-dhap4!D14</f>
        <v>-0.47186981296423147</v>
      </c>
      <c r="F33">
        <f>F14-dhap4!F14</f>
        <v>-2.6156883288473329</v>
      </c>
      <c r="H33">
        <f>H14-dhap4!H14</f>
        <v>-1.7905116908587941</v>
      </c>
      <c r="J33">
        <f>J14-dhap4!J14</f>
        <v>-0.79747862035071471</v>
      </c>
      <c r="L33">
        <f>L14-dhap4!L14</f>
        <v>-1.1455489906639007</v>
      </c>
    </row>
    <row r="34" spans="1:12" x14ac:dyDescent="0.25">
      <c r="A34" t="s">
        <v>20</v>
      </c>
      <c r="B34">
        <f>B15-dhap4!B15</f>
        <v>-0.70630065985021495</v>
      </c>
      <c r="D34">
        <f>D15-dhap4!D15</f>
        <v>-0.24936784530923795</v>
      </c>
      <c r="F34">
        <f>F15-dhap4!F15</f>
        <v>-16.678163509700873</v>
      </c>
      <c r="H34">
        <f>H15-dhap4!H15</f>
        <v>-1.4932080907529564</v>
      </c>
      <c r="J34">
        <f>J15-dhap4!J15</f>
        <v>-0.31506223143583467</v>
      </c>
      <c r="L34">
        <f>L15-dhap4!L15</f>
        <v>-0.57531796325355711</v>
      </c>
    </row>
    <row r="35" spans="1:12" x14ac:dyDescent="0.25">
      <c r="A35" t="s">
        <v>21</v>
      </c>
      <c r="B35">
        <f>B16-dhap4!B16</f>
        <v>-2.2495560622900377</v>
      </c>
      <c r="D35">
        <f>D16-dhap4!D16</f>
        <v>-0.65313180752632738</v>
      </c>
      <c r="F35">
        <f>F16-dhap4!F16</f>
        <v>-2.1714617710798745</v>
      </c>
      <c r="H35">
        <f>H16-dhap4!H16</f>
        <v>-0.38085850365044138</v>
      </c>
      <c r="J35">
        <f>J16-dhap4!J16</f>
        <v>-1.2219309184896967</v>
      </c>
      <c r="L35">
        <f>L16-dhap4!L16</f>
        <v>1.4115341439038946</v>
      </c>
    </row>
    <row r="37" spans="1:12" x14ac:dyDescent="0.25">
      <c r="A37" t="s">
        <v>80</v>
      </c>
    </row>
    <row r="38" spans="1:12" x14ac:dyDescent="0.25">
      <c r="A38">
        <v>1.4312963121043751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topLeftCell="A6" workbookViewId="0">
      <selection activeCell="L16" sqref="L16"/>
    </sheetView>
  </sheetViews>
  <sheetFormatPr defaultColWidth="8.85546875" defaultRowHeight="15" x14ac:dyDescent="0.25"/>
  <sheetData>
    <row r="1" spans="1:13" x14ac:dyDescent="0.25">
      <c r="A1" t="s">
        <v>0</v>
      </c>
      <c r="B1" t="s">
        <v>1</v>
      </c>
      <c r="C1" s="14" t="s">
        <v>22</v>
      </c>
      <c r="D1" t="s">
        <v>2</v>
      </c>
      <c r="E1" s="15" t="s">
        <v>23</v>
      </c>
      <c r="F1" t="s">
        <v>3</v>
      </c>
      <c r="G1" s="16" t="s">
        <v>24</v>
      </c>
      <c r="H1" t="s">
        <v>4</v>
      </c>
      <c r="I1" s="17" t="s">
        <v>25</v>
      </c>
      <c r="J1" t="s">
        <v>5</v>
      </c>
      <c r="K1" s="18" t="s">
        <v>26</v>
      </c>
      <c r="L1" t="s">
        <v>6</v>
      </c>
      <c r="M1" s="19" t="s">
        <v>27</v>
      </c>
    </row>
    <row r="2" spans="1:13" x14ac:dyDescent="0.25">
      <c r="A2" t="s">
        <v>7</v>
      </c>
      <c r="B2">
        <f>0.455265702149953/0.408326321</f>
        <v>1.1149555606285615</v>
      </c>
      <c r="C2" s="14">
        <v>0.762384490029694</v>
      </c>
      <c r="D2">
        <f>0.101524295297176/minMSE_dhap4_calculated!C2</f>
        <v>1.2667380577583507</v>
      </c>
      <c r="E2" s="15">
        <v>0.44624975588118598</v>
      </c>
      <c r="F2">
        <f>1.36296467273976/minMSE_dhap4_calculated!D2</f>
        <v>1.5186084420779151</v>
      </c>
      <c r="G2" s="16">
        <v>0.78551996118716705</v>
      </c>
      <c r="H2">
        <f>0.12789699260294/minMSE_dhap4_calculated!E2</f>
        <v>1.2002310203711157</v>
      </c>
      <c r="I2" s="17">
        <v>0.29160072506103601</v>
      </c>
      <c r="J2">
        <f>0.20716643420896/minMSE_dhap4_calculated!F2</f>
        <v>1.0434762848299484</v>
      </c>
      <c r="K2" s="18">
        <v>0.82577386681059695</v>
      </c>
      <c r="L2">
        <f>1.14030282046129/minMSE_dhap4_calculated!G2</f>
        <v>1.984083485265941</v>
      </c>
      <c r="M2" s="7">
        <v>4.5710095337786E-2</v>
      </c>
    </row>
    <row r="3" spans="1:13" x14ac:dyDescent="0.25">
      <c r="A3" t="s">
        <v>8</v>
      </c>
      <c r="B3">
        <f>0.448833891046675/minMSE_dhap4_calculated!B3</f>
        <v>1.9830667349932345</v>
      </c>
      <c r="C3" s="14">
        <v>8.2901279432195593E-2</v>
      </c>
      <c r="D3">
        <f>1.02586186746052/minMSE_dhap4_calculated!C3</f>
        <v>5.0047089442051478</v>
      </c>
      <c r="E3" s="9">
        <v>9.0782211164155292E-3</v>
      </c>
      <c r="F3">
        <f>0.483796628736715/minMSE_dhap4_calculated!D3</f>
        <v>1.1068198459640632</v>
      </c>
      <c r="G3" s="16">
        <v>0.52024738694317496</v>
      </c>
      <c r="H3">
        <f>0.49097997371648/minMSE_dhap4_calculated!E3</f>
        <v>2.7209888298449711</v>
      </c>
      <c r="I3" s="17">
        <v>7.2269282640789106E-2</v>
      </c>
      <c r="J3">
        <f>1.31021224772682/minMSE_dhap4_calculated!F3</f>
        <v>1.3296908957531239</v>
      </c>
      <c r="K3" s="18">
        <v>0.76388269721491497</v>
      </c>
      <c r="L3">
        <f>1.73632813813905/minMSE_dhap4_calculated!G3</f>
        <v>2.0280641474996699</v>
      </c>
      <c r="M3" s="19">
        <v>0.45347930983877699</v>
      </c>
    </row>
    <row r="4" spans="1:13" x14ac:dyDescent="0.25">
      <c r="A4" t="s">
        <v>9</v>
      </c>
      <c r="B4">
        <f>0.865152291352409/minMSE_dhap4_calculated!B4</f>
        <v>1.5214841665494783</v>
      </c>
      <c r="C4" s="14">
        <v>6.6225124959576706E-2</v>
      </c>
      <c r="D4">
        <f>0.1449642125/minMSE_dhap4_calculated!C4</f>
        <v>1.7193865551702636</v>
      </c>
      <c r="E4" s="15">
        <v>0.61881514010194805</v>
      </c>
      <c r="F4">
        <f>0.871422672727748/minMSE_dhap4_calculated!D4</f>
        <v>1.1872367242280251</v>
      </c>
      <c r="G4" s="10">
        <v>1.6347989883004101E-2</v>
      </c>
      <c r="H4">
        <f>1.06415255223447/minMSE_dhap4_calculated!E4</f>
        <v>1.1758219862040147</v>
      </c>
      <c r="I4" s="11">
        <v>1.1178235493982801E-2</v>
      </c>
      <c r="J4">
        <f>0.744311557472623/minMSE_dhap4_calculated!F4</f>
        <v>1.0698977962024285</v>
      </c>
      <c r="K4" s="18">
        <v>0.41128551861353002</v>
      </c>
      <c r="L4">
        <f>0.598857716496376/minMSE_dhap4_calculated!G4</f>
        <v>1.2412223288060047</v>
      </c>
      <c r="M4" s="7">
        <v>2.5966862137770701E-2</v>
      </c>
    </row>
    <row r="5" spans="1:13" x14ac:dyDescent="0.25">
      <c r="A5" t="s">
        <v>10</v>
      </c>
      <c r="B5">
        <f>0.578322433929312/minMSE_dhap4_calculated!B5</f>
        <v>2.0939499608058458</v>
      </c>
      <c r="C5" s="14">
        <v>0.33061324554751997</v>
      </c>
      <c r="D5">
        <f>0.997344535468316/minMSE_dhap4_calculated!C5</f>
        <v>2.0363521339032875</v>
      </c>
      <c r="E5" s="15">
        <v>0.58761063110676703</v>
      </c>
      <c r="F5">
        <f>0.755256955264317/minMSE_dhap4_calculated!D5</f>
        <v>1.0096254718596458</v>
      </c>
      <c r="G5" s="16">
        <v>0.876273721691745</v>
      </c>
      <c r="H5">
        <f>0.7993534940127/minMSE_dhap4_calculated!E5</f>
        <v>1.7643066072443492</v>
      </c>
      <c r="I5" s="17">
        <v>0.12610118972802201</v>
      </c>
      <c r="J5">
        <f>0.547316394538967/minMSE_dhap4_calculated!F5</f>
        <v>1.292835889593229</v>
      </c>
      <c r="K5" s="18">
        <v>0.84451617033304205</v>
      </c>
      <c r="L5">
        <f>0.211386732781157/minMSE_dhap4_calculated!G5</f>
        <v>1.0894912755641526</v>
      </c>
      <c r="M5" s="19">
        <v>0.34787221257796602</v>
      </c>
    </row>
    <row r="6" spans="1:13" x14ac:dyDescent="0.25">
      <c r="A6" t="s">
        <v>11</v>
      </c>
      <c r="B6">
        <f>0.489549659222867/minMSE_dhap4_calculated!B6</f>
        <v>1.2068604524403721</v>
      </c>
      <c r="C6" s="14">
        <v>0.41886387925431101</v>
      </c>
      <c r="D6">
        <f>0.184400791671093/minMSE_dhap4_calculated!C6</f>
        <v>1.1140966641851457</v>
      </c>
      <c r="E6" s="15">
        <v>0.54683519144140802</v>
      </c>
      <c r="F6">
        <f>0.353261053333333/minMSE_dhap4_calculated!D6</f>
        <v>1.1542539063570569</v>
      </c>
      <c r="G6" s="16">
        <v>0.60936795919082498</v>
      </c>
      <c r="H6">
        <f>0.189270958910027/minMSE_dhap4_calculated!E6</f>
        <v>1.1419034217617094</v>
      </c>
      <c r="I6" s="17">
        <v>0.51888455220311103</v>
      </c>
      <c r="J6">
        <f>0.280172439127213/minMSE_dhap4_calculated!F6</f>
        <v>1.4293532862434004</v>
      </c>
      <c r="K6" s="18">
        <v>0.92811381976317897</v>
      </c>
      <c r="L6">
        <f>0.149988937063832/minMSE_dhap4_calculated!G6</f>
        <v>1.3677524843235809</v>
      </c>
      <c r="M6" s="19">
        <v>0.117144834533319</v>
      </c>
    </row>
    <row r="7" spans="1:13" x14ac:dyDescent="0.25">
      <c r="A7" t="s">
        <v>12</v>
      </c>
      <c r="B7">
        <f>1.91477630144886/minMSE_dhap4_calculated!B7</f>
        <v>1.0640156865608221</v>
      </c>
      <c r="C7" s="14">
        <v>0.73074475229926095</v>
      </c>
      <c r="D7">
        <f>1.42607670199609/minMSE_dhap4_calculated!C7</f>
        <v>1.3027875282923707</v>
      </c>
      <c r="E7" s="15">
        <v>0.482119508817688</v>
      </c>
      <c r="F7">
        <f>1.90372286006083/minMSE_dhap4_calculated!D7</f>
        <v>2.9066350085807438</v>
      </c>
      <c r="G7" s="16">
        <v>7.7299330333445299E-2</v>
      </c>
      <c r="H7">
        <f>0.4916199175/minMSE_dhap4_calculated!E7</f>
        <v>1.5124577710236642</v>
      </c>
      <c r="I7" s="17">
        <v>0.41648763304756098</v>
      </c>
      <c r="J7">
        <f>1.62756883499883/minMSE_dhap4_calculated!F7</f>
        <v>1.2144401936869511</v>
      </c>
      <c r="K7" s="18">
        <v>0.92618166088133702</v>
      </c>
      <c r="L7">
        <f>0.580418759266209/minMSE_dhap4_calculated!G7</f>
        <v>1.7826293000548776</v>
      </c>
      <c r="M7" s="7">
        <v>1.5741522728162101E-2</v>
      </c>
    </row>
    <row r="8" spans="1:13" x14ac:dyDescent="0.25">
      <c r="A8" t="s">
        <v>13</v>
      </c>
      <c r="B8">
        <f>0.608750004986076/minMSE_dhap4_calculated!B8</f>
        <v>1.0368420711575765</v>
      </c>
      <c r="C8" s="12">
        <v>3.9736164584284001E-2</v>
      </c>
      <c r="D8">
        <f>0.748023374439627/minMSE_dhap4_calculated!C8</f>
        <v>1.3625077539340247</v>
      </c>
      <c r="E8" s="9">
        <v>2.23753114222145E-3</v>
      </c>
      <c r="F8">
        <f>0.322375488159997/minMSE_dhap4_calculated!D8</f>
        <v>1.0915340288071431</v>
      </c>
      <c r="G8" s="10">
        <v>2.4759724199063201E-3</v>
      </c>
      <c r="H8">
        <f>2.88863499351529/minMSE_dhap4_calculated!E8</f>
        <v>1.0807074211349841</v>
      </c>
      <c r="I8" s="17">
        <v>0.42442038054964198</v>
      </c>
      <c r="J8">
        <f>0.593595616666667/minMSE_dhap4_calculated!F8</f>
        <v>2.8128329699376176</v>
      </c>
      <c r="K8" s="18">
        <v>0.57583799773840905</v>
      </c>
      <c r="L8">
        <f>0.439583977240331/minMSE_dhap4_calculated!G8</f>
        <v>1.2591407589343253</v>
      </c>
      <c r="M8" s="7">
        <v>1.1238296525258799E-3</v>
      </c>
    </row>
    <row r="9" spans="1:13" x14ac:dyDescent="0.25">
      <c r="A9" t="s">
        <v>14</v>
      </c>
      <c r="B9">
        <f>0.464092471373271/minMSE_dhap4_calculated!B9</f>
        <v>1.093511225458621</v>
      </c>
      <c r="C9" s="14">
        <v>0.30555896896170998</v>
      </c>
      <c r="D9">
        <f>0.331922355266638/minMSE_dhap4_calculated!C9</f>
        <v>1.4656050672990297</v>
      </c>
      <c r="E9" s="15">
        <v>0.220796800536256</v>
      </c>
      <c r="F9">
        <f>0.789858248307749/minMSE_dhap4_calculated!D9</f>
        <v>1.2587278894812579</v>
      </c>
      <c r="G9" s="16">
        <v>0.34273266373509897</v>
      </c>
      <c r="H9">
        <f>0.236547108537746/minMSE_dhap4_calculated!E9</f>
        <v>1.5616938490890873</v>
      </c>
      <c r="I9" s="11">
        <v>1.6849469393969401E-2</v>
      </c>
      <c r="J9">
        <f>0.541871620560773/minMSE_dhap4_calculated!F9</f>
        <v>1.5772317450313793</v>
      </c>
      <c r="K9" s="18">
        <v>0.80207673397527102</v>
      </c>
      <c r="L9">
        <f>0.240330066780216/minMSE_dhap4_calculated!G9</f>
        <v>1.0979167632758389</v>
      </c>
      <c r="M9" s="19">
        <v>8.3557084326203193E-2</v>
      </c>
    </row>
    <row r="10" spans="1:13" x14ac:dyDescent="0.25">
      <c r="A10" t="s">
        <v>15</v>
      </c>
      <c r="B10">
        <f>0.982472462856314/minMSE_dhap4_calculated!B10</f>
        <v>1.0003447916544843</v>
      </c>
      <c r="C10" s="14">
        <v>0.40967747091093998</v>
      </c>
      <c r="D10">
        <f>0.266968959246635/minMSE_dhap4_calculated!C10</f>
        <v>1.0984404185385914</v>
      </c>
      <c r="E10" s="9">
        <v>4.93615335741312E-2</v>
      </c>
      <c r="F10">
        <f>0.960852474899002/minMSE_dhap4_calculated!D10</f>
        <v>1.2685070796713867</v>
      </c>
      <c r="G10" s="16">
        <v>7.5060611423136706E-2</v>
      </c>
      <c r="H10">
        <f>0.130736417674032/minMSE_dhap4_calculated!E10</f>
        <v>1.0649440585287429</v>
      </c>
      <c r="I10" s="17">
        <v>5.3349459021998002E-2</v>
      </c>
      <c r="J10">
        <f>1.16705193228971/minMSE_dhap4_calculated!F10</f>
        <v>1.1661940774967325</v>
      </c>
      <c r="K10" s="18">
        <v>0.83537027035042999</v>
      </c>
      <c r="L10">
        <f>0.265576987314093/minMSE_dhap4_calculated!G10</f>
        <v>2.6844807583751886</v>
      </c>
      <c r="M10" s="7">
        <v>2.0751052693414899E-3</v>
      </c>
    </row>
    <row r="11" spans="1:13" x14ac:dyDescent="0.25">
      <c r="A11" t="s">
        <v>16</v>
      </c>
      <c r="B11">
        <f>2.11882807699814/minMSE_dhap4_calculated!B11</f>
        <v>1.8756645279042876</v>
      </c>
      <c r="C11" s="14">
        <v>0.312866167848105</v>
      </c>
      <c r="D11">
        <f>0.997452463991286/minMSE_dhap4_calculated!C11</f>
        <v>1.7270757950694291</v>
      </c>
      <c r="E11" s="15">
        <v>0.36919882166698498</v>
      </c>
      <c r="F11">
        <f>0.290444565555956/minMSE_dhap4_calculated!D11</f>
        <v>2.3565639375468321</v>
      </c>
      <c r="G11" s="16">
        <v>0.32044779172975002</v>
      </c>
      <c r="H11">
        <f>0.13740262283241/minMSE_dhap4_calculated!E11</f>
        <v>1.2140524983882395</v>
      </c>
      <c r="I11" s="17">
        <v>1.01926877470356</v>
      </c>
      <c r="J11">
        <f>0.614957591854393/minMSE_dhap4_calculated!F11</f>
        <v>6.8061418804012606</v>
      </c>
      <c r="K11" s="18">
        <v>0.41730594570108798</v>
      </c>
      <c r="L11">
        <f>1.26146677258817/minMSE_dhap4_calculated!G11</f>
        <v>1.1720732316659437</v>
      </c>
      <c r="M11" s="19">
        <v>0.32964773522541801</v>
      </c>
    </row>
    <row r="12" spans="1:13" x14ac:dyDescent="0.25">
      <c r="A12" t="s">
        <v>17</v>
      </c>
      <c r="B12">
        <f>0.284315967289924/minMSE_dhap4_calculated!B12</f>
        <v>1.1803224959537426</v>
      </c>
      <c r="C12" s="14">
        <v>0.673063017606508</v>
      </c>
      <c r="D12">
        <f>0.766035800879769/minMSE_dhap4_calculated!C12</f>
        <v>1.6701347114733216</v>
      </c>
      <c r="E12" s="15">
        <v>0.48391674975244903</v>
      </c>
      <c r="F12">
        <f>0.463403784934791/minMSE_dhap4_calculated!D12</f>
        <v>1.2144523210713989</v>
      </c>
      <c r="G12" s="16">
        <v>0.37967438937929698</v>
      </c>
      <c r="H12">
        <f>0.265370564611725/minMSE_dhap4_calculated!E12</f>
        <v>1.9675386473245378</v>
      </c>
      <c r="I12" s="17">
        <v>0.61551986182630103</v>
      </c>
      <c r="J12">
        <f>0.22687676427942/minMSE_dhap4_calculated!F12</f>
        <v>1.0356195695162402</v>
      </c>
      <c r="K12" s="18">
        <v>0.96518223885221099</v>
      </c>
      <c r="L12">
        <f>0.259514245986344/minMSE_dhap4_calculated!G12</f>
        <v>1.1344697283671568</v>
      </c>
      <c r="M12" s="19">
        <v>0.77989454444137896</v>
      </c>
    </row>
    <row r="13" spans="1:13" x14ac:dyDescent="0.25">
      <c r="A13" t="s">
        <v>18</v>
      </c>
      <c r="B13">
        <f>0.473591416440472/minMSE_dhap4_calculated!B13</f>
        <v>1.3545639000601115</v>
      </c>
      <c r="C13" s="14">
        <v>9.5712795892028399E-2</v>
      </c>
      <c r="D13">
        <f>0.330453386866257/minMSE_dhap4_calculated!C13</f>
        <v>1.5595361435880515</v>
      </c>
      <c r="E13" s="15">
        <v>0.44634237725270698</v>
      </c>
      <c r="F13">
        <f>0.299618551847353/minMSE_dhap4_calculated!D13</f>
        <v>1.1211368050395487</v>
      </c>
      <c r="G13" s="16">
        <v>0.31255665386579601</v>
      </c>
      <c r="H13">
        <f>0.467514170224468/minMSE_dhap4_calculated!E13</f>
        <v>1.1258994787171903</v>
      </c>
      <c r="I13" s="17">
        <v>0.98678976939878205</v>
      </c>
      <c r="J13">
        <f>0.284212954366288/minMSE_dhap4_calculated!F13</f>
        <v>1.2996332729823279</v>
      </c>
      <c r="K13" s="18">
        <v>0.517815470814041</v>
      </c>
      <c r="L13">
        <f>0.317011281416753/minMSE_dhap4_calculated!G13</f>
        <v>1.4851392532661094</v>
      </c>
      <c r="M13" s="19">
        <v>0.297478016852251</v>
      </c>
    </row>
    <row r="14" spans="1:13" x14ac:dyDescent="0.25">
      <c r="A14" t="s">
        <v>19</v>
      </c>
      <c r="B14">
        <f>0.732946409351159/minMSE_dhap4_calculated!B14</f>
        <v>1.1371976296059871</v>
      </c>
      <c r="C14" s="14">
        <v>0.174295602147962</v>
      </c>
      <c r="D14">
        <f>0.631374161828899/minMSE_dhap4_calculated!C14</f>
        <v>1.1109921642760623</v>
      </c>
      <c r="E14" s="15">
        <v>0.86844583111990603</v>
      </c>
      <c r="F14">
        <f>1.06976583244705/minMSE_dhap4_calculated!D14</f>
        <v>3.2553942192677527</v>
      </c>
      <c r="G14" s="10">
        <v>4.3268390080787603E-2</v>
      </c>
      <c r="H14">
        <f>0.409302214962185/minMSE_dhap4_calculated!E14</f>
        <v>3.9374150239032626</v>
      </c>
      <c r="I14" s="11">
        <v>8.3521584494051695E-3</v>
      </c>
      <c r="J14">
        <f>0.395523694956264/minMSE_dhap4_calculated!F14</f>
        <v>1.5089831551772439</v>
      </c>
      <c r="K14" s="18">
        <v>0.81524617305381997</v>
      </c>
      <c r="L14">
        <f>0.596076235479857/minMSE_dhap4_calculated!G14</f>
        <v>2.0569230589316749</v>
      </c>
      <c r="M14" s="19">
        <v>6.5292475138674894E-2</v>
      </c>
    </row>
    <row r="15" spans="1:13" x14ac:dyDescent="0.25">
      <c r="A15" t="s">
        <v>20</v>
      </c>
      <c r="B15">
        <f>0.451913067458998/minMSE_dhap4_calculated!B15</f>
        <v>1.2713633077038611</v>
      </c>
      <c r="C15" s="12">
        <v>4.0424970068182499E-3</v>
      </c>
      <c r="D15">
        <f>0.866919332074143/minMSE_dhap4_calculated!C15</f>
        <v>1.3457032912957996</v>
      </c>
      <c r="E15" s="15">
        <v>5.7965913592618802E-2</v>
      </c>
      <c r="F15">
        <f>1.50542619165959/minMSE_dhap4_calculated!D15</f>
        <v>16.992806004856632</v>
      </c>
      <c r="G15" s="16">
        <v>0.218104991549528</v>
      </c>
      <c r="H15">
        <f>0.893565614228987/minMSE_dhap4_calculated!E15</f>
        <v>2.6758543874673686</v>
      </c>
      <c r="I15" s="11">
        <v>1.17388410353965E-2</v>
      </c>
      <c r="J15">
        <f>0.772275090901929/minMSE_dhap4_calculated!F15</f>
        <v>1.1791112583465551</v>
      </c>
      <c r="K15" s="18">
        <v>0.21974386864794401</v>
      </c>
      <c r="L15">
        <f>0.638326760023878/minMSE_dhap4_calculated!G15</f>
        <v>1.5635907451032458</v>
      </c>
      <c r="M15" s="19">
        <v>0.26584607245743602</v>
      </c>
    </row>
    <row r="16" spans="1:13" x14ac:dyDescent="0.25">
      <c r="A16" t="s">
        <v>21</v>
      </c>
      <c r="B16">
        <f>1.84638276025314/minMSE_dhap4_calculated!B16</f>
        <v>3.2802996263279431</v>
      </c>
      <c r="C16" s="12">
        <v>8.8957362296602296E-3</v>
      </c>
      <c r="D16">
        <f>0.687683469439146/minMSE_dhap4_calculated!C16</f>
        <v>1.3185317118473441</v>
      </c>
      <c r="E16" s="15">
        <v>0.31603437363464698</v>
      </c>
      <c r="F16">
        <f>1.4337688513662/minMSE_dhap4_calculated!D16</f>
        <v>3.3172813794517206</v>
      </c>
      <c r="G16" s="16">
        <v>0.250267714639267</v>
      </c>
      <c r="H16">
        <f>1.33945552164259/minMSE_dhap4_calculated!E16</f>
        <v>1.5524237812939665</v>
      </c>
      <c r="I16" s="17">
        <v>1.01343777505961</v>
      </c>
      <c r="J16">
        <f>0.309122495951788/minMSE_dhap4_calculated!F16</f>
        <v>1.2914736804184248</v>
      </c>
      <c r="K16" s="18">
        <v>0.88243598341370999</v>
      </c>
      <c r="L16">
        <f>3.15903375083333/minMSE_dhap4_calculated!G16</f>
        <v>1.7474996069294391</v>
      </c>
      <c r="M16" s="19">
        <v>0.45617091532496501</v>
      </c>
    </row>
    <row r="19" spans="1:12" x14ac:dyDescent="0.25">
      <c r="A19" t="s">
        <v>114</v>
      </c>
    </row>
    <row r="20" spans="1:12" x14ac:dyDescent="0.25">
      <c r="A20" t="s">
        <v>7</v>
      </c>
      <c r="B20">
        <f>B2-dhap4!B2</f>
        <v>0.10009396074004107</v>
      </c>
      <c r="D20">
        <f>D2-dhap4!D2</f>
        <v>6.7908712379516123E-2</v>
      </c>
      <c r="F20">
        <f>F2-dhap4!F2</f>
        <v>6.3423779755303666E-2</v>
      </c>
      <c r="H20">
        <f>H2-dhap4!H2</f>
        <v>-0.16954956817769284</v>
      </c>
      <c r="J20">
        <f>J2-dhap4!J2</f>
        <v>-1.733319140239642E-2</v>
      </c>
      <c r="L20">
        <f>L2-dhap4!L2</f>
        <v>0.51040885915076184</v>
      </c>
    </row>
    <row r="21" spans="1:12" x14ac:dyDescent="0.25">
      <c r="A21" t="s">
        <v>8</v>
      </c>
      <c r="B21">
        <f>B3-dhap4!B3</f>
        <v>0.86263793934924671</v>
      </c>
      <c r="D21">
        <f>D3-dhap4!D3</f>
        <v>3.5393437537199981</v>
      </c>
      <c r="F21">
        <f>F3-dhap4!F3</f>
        <v>-0.34425763264643638</v>
      </c>
      <c r="H21">
        <f>H3-dhap4!H3</f>
        <v>0.96863346809452944</v>
      </c>
      <c r="J21">
        <f>J3-dhap4!J3</f>
        <v>0.11863914868250269</v>
      </c>
      <c r="L21">
        <f>L3-dhap4!L3</f>
        <v>0.632224950326566</v>
      </c>
    </row>
    <row r="22" spans="1:12" x14ac:dyDescent="0.25">
      <c r="A22" t="s">
        <v>9</v>
      </c>
      <c r="B22">
        <f>B4-dhap4!B4</f>
        <v>6.283142333488434E-2</v>
      </c>
      <c r="D22">
        <f>D4-dhap4!D4</f>
        <v>0</v>
      </c>
      <c r="F22">
        <f>F4-dhap4!F4</f>
        <v>4.7720034894931374E-3</v>
      </c>
      <c r="H22">
        <f>H4-dhap4!H4</f>
        <v>-3.3368857734277668E-2</v>
      </c>
      <c r="J22">
        <f>J4-dhap4!J4</f>
        <v>-3.6515975526232092E-2</v>
      </c>
      <c r="L22">
        <f>L4-dhap4!L4</f>
        <v>-0.16292097931426008</v>
      </c>
    </row>
    <row r="23" spans="1:12" x14ac:dyDescent="0.25">
      <c r="A23" t="s">
        <v>10</v>
      </c>
      <c r="B23">
        <f>B5-dhap4!B5</f>
        <v>0.24003674521223961</v>
      </c>
      <c r="D23">
        <f>D5-dhap4!D5</f>
        <v>0.19074026288270263</v>
      </c>
      <c r="F23">
        <f>F5-dhap4!F5</f>
        <v>-1.8608654614806097E-2</v>
      </c>
      <c r="H23">
        <f>H5-dhap4!H5</f>
        <v>-0.1906423344884367</v>
      </c>
      <c r="J23">
        <f>J5-dhap4!J5</f>
        <v>0.10400148177934465</v>
      </c>
      <c r="L23">
        <f>L5-dhap4!L5</f>
        <v>-8.9253644085400374E-2</v>
      </c>
    </row>
    <row r="24" spans="1:12" x14ac:dyDescent="0.25">
      <c r="A24" t="s">
        <v>11</v>
      </c>
      <c r="B24">
        <f>B6-dhap4!B6</f>
        <v>3.7526243506257106E-2</v>
      </c>
      <c r="D24">
        <f>D6-dhap4!D6</f>
        <v>-0.10269417278077575</v>
      </c>
      <c r="F24">
        <f>F6-dhap4!F6</f>
        <v>0</v>
      </c>
      <c r="H24">
        <f>H6-dhap4!H6</f>
        <v>1.5153662735724494E-2</v>
      </c>
      <c r="J24">
        <f>J6-dhap4!J6</f>
        <v>0.22001364506067111</v>
      </c>
      <c r="L24">
        <f>L6-dhap4!L6</f>
        <v>-0.20273492219283851</v>
      </c>
    </row>
    <row r="25" spans="1:12" x14ac:dyDescent="0.25">
      <c r="A25" t="s">
        <v>12</v>
      </c>
      <c r="B25">
        <f>B7-dhap4!B7</f>
        <v>-0.13077550945835492</v>
      </c>
      <c r="D25">
        <f>D7-dhap4!D7</f>
        <v>0.24213435560330021</v>
      </c>
      <c r="F25">
        <f>F7-dhap4!F7</f>
        <v>0.85368484492259578</v>
      </c>
      <c r="H25">
        <f>H7-dhap4!H7</f>
        <v>0</v>
      </c>
      <c r="J25">
        <f>J7-dhap4!J7</f>
        <v>0.15384690538109869</v>
      </c>
      <c r="L25">
        <f>L7-dhap4!L7</f>
        <v>6.3725034407786429E-2</v>
      </c>
    </row>
    <row r="26" spans="1:12" x14ac:dyDescent="0.25">
      <c r="A26" t="s">
        <v>13</v>
      </c>
      <c r="B26">
        <f>B8-dhap4!B8</f>
        <v>-1.5314253612265016E-2</v>
      </c>
      <c r="D26">
        <f>D8-dhap4!D8</f>
        <v>0.11651624136828809</v>
      </c>
      <c r="F26">
        <f>F8-dhap4!F8</f>
        <v>8.6870141627838127E-2</v>
      </c>
      <c r="H26">
        <f>H8-dhap4!H8</f>
        <v>2.2821450169197899E-2</v>
      </c>
      <c r="J26">
        <f>J8-dhap4!J8</f>
        <v>0</v>
      </c>
      <c r="L26">
        <f>L8-dhap4!L8</f>
        <v>-0.24156331542007425</v>
      </c>
    </row>
    <row r="27" spans="1:12" x14ac:dyDescent="0.25">
      <c r="A27" t="s">
        <v>14</v>
      </c>
      <c r="B27">
        <f>B9-dhap4!B9</f>
        <v>1.4639869699240027E-3</v>
      </c>
      <c r="D27">
        <f>D9-dhap4!D9</f>
        <v>-0.23289374087602877</v>
      </c>
      <c r="F27">
        <f>F9-dhap4!F9</f>
        <v>3.2754166377157778E-2</v>
      </c>
      <c r="H27">
        <f>H9-dhap4!H9</f>
        <v>0.19565837260559404</v>
      </c>
      <c r="J27">
        <f>J9-dhap4!J9</f>
        <v>0.27027430882587233</v>
      </c>
      <c r="L27">
        <f>L9-dhap4!L9</f>
        <v>-4.4005658897911637E-2</v>
      </c>
    </row>
    <row r="28" spans="1:12" x14ac:dyDescent="0.25">
      <c r="A28" t="s">
        <v>15</v>
      </c>
      <c r="B28">
        <f>B10-dhap4!B10</f>
        <v>-6.5373622468722914E-6</v>
      </c>
      <c r="D28">
        <f>D10-dhap4!D10</f>
        <v>-0.1590315660422299</v>
      </c>
      <c r="F28">
        <f>F10-dhap4!F10</f>
        <v>-1.2897039503912966E-2</v>
      </c>
      <c r="H28">
        <f>H10-dhap4!H10</f>
        <v>-0.38652079780165804</v>
      </c>
      <c r="J28">
        <f>J10-dhap4!J10</f>
        <v>-1.8621020837578328E-2</v>
      </c>
      <c r="L28">
        <f>L10-dhap4!L10</f>
        <v>-4.225103874415348E-2</v>
      </c>
    </row>
    <row r="29" spans="1:12" x14ac:dyDescent="0.25">
      <c r="A29" t="s">
        <v>16</v>
      </c>
      <c r="B29">
        <f>B11-dhap4!B11</f>
        <v>0.28547177081857789</v>
      </c>
      <c r="D29">
        <f>D11-dhap4!D11</f>
        <v>0.21006795151594648</v>
      </c>
      <c r="F29">
        <f>F11-dhap4!F11</f>
        <v>-0.79966405965475085</v>
      </c>
      <c r="H29">
        <f>H11-dhap4!H11</f>
        <v>-0.32317500134656751</v>
      </c>
      <c r="J29">
        <f>J11-dhap4!J11</f>
        <v>0.89878521919400622</v>
      </c>
      <c r="L29">
        <f>L11-dhap4!L11</f>
        <v>-7.9889970849468916E-2</v>
      </c>
    </row>
    <row r="30" spans="1:12" x14ac:dyDescent="0.25">
      <c r="A30" t="s">
        <v>17</v>
      </c>
      <c r="B30">
        <f>B12-dhap4!B12</f>
        <v>-0.10254721457095517</v>
      </c>
      <c r="D30">
        <f>D12-dhap4!D12</f>
        <v>0.14712695090107908</v>
      </c>
      <c r="F30">
        <f>F12-dhap4!F12</f>
        <v>-1.6345904830109559E-2</v>
      </c>
      <c r="H30">
        <f>H12-dhap4!H12</f>
        <v>0.55053068797430948</v>
      </c>
      <c r="J30">
        <f>J12-dhap4!J12</f>
        <v>-0.42553656511724403</v>
      </c>
      <c r="L30">
        <f>L12-dhap4!L12</f>
        <v>5.7749174726946961E-2</v>
      </c>
    </row>
    <row r="31" spans="1:12" x14ac:dyDescent="0.25">
      <c r="A31" t="s">
        <v>18</v>
      </c>
      <c r="B31">
        <f>B13-dhap4!B13</f>
        <v>0.20021514130786988</v>
      </c>
      <c r="D31">
        <f>D13-dhap4!D13</f>
        <v>0.49200156913728099</v>
      </c>
      <c r="F31">
        <f>F13-dhap4!F13</f>
        <v>7.2609636720172954E-2</v>
      </c>
      <c r="H31">
        <f>H13-dhap4!H13</f>
        <v>7.2827447746215412E-3</v>
      </c>
      <c r="J31">
        <f>J13-dhap4!J13</f>
        <v>0.19757901972169978</v>
      </c>
      <c r="L31">
        <f>L13-dhap4!L13</f>
        <v>1.1869638403599669E-2</v>
      </c>
    </row>
    <row r="32" spans="1:12" x14ac:dyDescent="0.25">
      <c r="A32" t="s">
        <v>19</v>
      </c>
      <c r="B32">
        <f>B14-dhap4!B14</f>
        <v>-1.7205929748334015E-3</v>
      </c>
      <c r="D32">
        <f>D14-dhap4!D14</f>
        <v>1.3436725239636349E-2</v>
      </c>
      <c r="F32">
        <f>F14-dhap4!F14</f>
        <v>8.3321852883529335E-2</v>
      </c>
      <c r="H32">
        <f>H14-dhap4!H14</f>
        <v>1.498372149349334</v>
      </c>
      <c r="J32">
        <f>J14-dhap4!J14</f>
        <v>0.41479717652885406</v>
      </c>
      <c r="L32">
        <f>L14-dhap4!L14</f>
        <v>0.23697659291518769</v>
      </c>
    </row>
    <row r="33" spans="1:12" x14ac:dyDescent="0.25">
      <c r="A33" t="s">
        <v>20</v>
      </c>
      <c r="B33">
        <f>B15-dhap4!B15</f>
        <v>0.1322512351891727</v>
      </c>
      <c r="D33">
        <f>D15-dhap4!D15</f>
        <v>0.20646179622658511</v>
      </c>
      <c r="F33">
        <f>F15-dhap4!F15</f>
        <v>0.18631220592932607</v>
      </c>
      <c r="H33">
        <f>H15-dhap4!H15</f>
        <v>0.50820482990480587</v>
      </c>
      <c r="J33">
        <f>J15-dhap4!J15</f>
        <v>0.17005985403281088</v>
      </c>
      <c r="L33">
        <f>L15-dhap4!L15</f>
        <v>0.3290833122973813</v>
      </c>
    </row>
    <row r="34" spans="1:12" x14ac:dyDescent="0.25">
      <c r="A34" t="s">
        <v>21</v>
      </c>
      <c r="B34">
        <f>B16-dhap4!B16</f>
        <v>-0.8125442797564113</v>
      </c>
      <c r="D34">
        <f>D16-dhap4!D16</f>
        <v>2.7274599473553041E-2</v>
      </c>
      <c r="F34">
        <f>F16-dhap4!F16</f>
        <v>0.35526310157310581</v>
      </c>
      <c r="H34">
        <f>H16-dhap4!H16</f>
        <v>0.24418299992840353</v>
      </c>
      <c r="J34">
        <f>J16-dhap4!J16</f>
        <v>-0.63392764130316981</v>
      </c>
      <c r="L34">
        <f>L16-dhap4!L16</f>
        <v>0</v>
      </c>
    </row>
    <row r="37" spans="1:12" x14ac:dyDescent="0.25">
      <c r="A37" t="s">
        <v>80</v>
      </c>
    </row>
    <row r="38" spans="1:12" x14ac:dyDescent="0.25">
      <c r="A38">
        <v>1.5202127530724623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workbookViewId="0">
      <selection activeCell="A38" sqref="A38"/>
    </sheetView>
  </sheetViews>
  <sheetFormatPr defaultColWidth="8.85546875" defaultRowHeight="15" x14ac:dyDescent="0.25"/>
  <sheetData>
    <row r="1" spans="1:13" x14ac:dyDescent="0.25">
      <c r="A1" t="s">
        <v>0</v>
      </c>
      <c r="B1" t="s">
        <v>1</v>
      </c>
      <c r="C1" s="14" t="s">
        <v>22</v>
      </c>
      <c r="D1" t="s">
        <v>2</v>
      </c>
      <c r="E1" s="15" t="s">
        <v>23</v>
      </c>
      <c r="F1" t="s">
        <v>3</v>
      </c>
      <c r="G1" s="16" t="s">
        <v>24</v>
      </c>
      <c r="H1" t="s">
        <v>4</v>
      </c>
      <c r="I1" s="17" t="s">
        <v>25</v>
      </c>
      <c r="J1" t="s">
        <v>5</v>
      </c>
      <c r="K1" s="18" t="s">
        <v>26</v>
      </c>
      <c r="L1" t="s">
        <v>6</v>
      </c>
      <c r="M1" s="19" t="s">
        <v>27</v>
      </c>
    </row>
    <row r="2" spans="1:13" x14ac:dyDescent="0.25">
      <c r="A2" t="s">
        <v>7</v>
      </c>
      <c r="B2">
        <v>0.4570424340327699</v>
      </c>
      <c r="C2" s="14">
        <v>0.762384490029694</v>
      </c>
      <c r="D2">
        <v>0.12037579452151748</v>
      </c>
      <c r="E2" s="15">
        <v>0.44624975588118598</v>
      </c>
      <c r="F2">
        <v>1.4072999158855606</v>
      </c>
      <c r="G2" s="16">
        <v>0.78551996118716705</v>
      </c>
      <c r="H2">
        <v>0.1282173837266459</v>
      </c>
      <c r="I2" s="17">
        <v>0.29160072506103601</v>
      </c>
      <c r="J2">
        <v>0.20203319709993198</v>
      </c>
      <c r="K2" s="18">
        <v>0.82577386681059695</v>
      </c>
      <c r="L2">
        <v>1.1179254938902299</v>
      </c>
      <c r="M2" s="7">
        <v>4.5710095337786E-2</v>
      </c>
    </row>
    <row r="3" spans="1:13" x14ac:dyDescent="0.25">
      <c r="A3" t="s">
        <v>8</v>
      </c>
      <c r="B3">
        <v>0.38607310227086156</v>
      </c>
      <c r="C3" s="14">
        <v>8.2901279432195593E-2</v>
      </c>
      <c r="D3">
        <v>0.49031546656673236</v>
      </c>
      <c r="E3" s="9">
        <v>9.0782211164155292E-3</v>
      </c>
      <c r="F3">
        <v>0.61315928333968872</v>
      </c>
      <c r="G3" s="16">
        <v>0.52024738694317496</v>
      </c>
      <c r="H3">
        <v>0.33062088561727265</v>
      </c>
      <c r="I3" s="17">
        <v>7.2269282640789106E-2</v>
      </c>
      <c r="J3">
        <v>1.1256696610350123</v>
      </c>
      <c r="K3" s="18">
        <v>0.76388269721491497</v>
      </c>
      <c r="L3">
        <v>0.88910522848737272</v>
      </c>
      <c r="M3" s="19">
        <v>0.45347930983877699</v>
      </c>
    </row>
    <row r="4" spans="1:13" x14ac:dyDescent="0.25">
      <c r="A4" t="s">
        <v>9</v>
      </c>
      <c r="B4">
        <v>0.86305488530178931</v>
      </c>
      <c r="C4" s="14">
        <v>6.6225124959576706E-2</v>
      </c>
      <c r="D4">
        <v>0.14496421249999999</v>
      </c>
      <c r="E4" s="15">
        <v>0.61881514010194805</v>
      </c>
      <c r="F4">
        <v>0.81710702821541048</v>
      </c>
      <c r="G4" s="10">
        <v>1.6347989883004101E-2</v>
      </c>
      <c r="H4">
        <v>1.1291090038827467</v>
      </c>
      <c r="I4" s="11">
        <v>1.1178235493982801E-2</v>
      </c>
      <c r="J4">
        <v>0.72469213978581382</v>
      </c>
      <c r="K4" s="18">
        <v>0.41128551861353002</v>
      </c>
      <c r="L4">
        <v>0.70388464424094332</v>
      </c>
      <c r="M4" s="7">
        <v>2.5966862137770701E-2</v>
      </c>
    </row>
    <row r="5" spans="1:13" x14ac:dyDescent="0.25">
      <c r="A5" t="s">
        <v>10</v>
      </c>
      <c r="B5">
        <v>0.49409860890733176</v>
      </c>
      <c r="C5" s="14">
        <v>0.33061324554751997</v>
      </c>
      <c r="D5">
        <v>0.84610923481533995</v>
      </c>
      <c r="E5" s="15">
        <v>0.58761063110676703</v>
      </c>
      <c r="F5">
        <v>0.7682399088757802</v>
      </c>
      <c r="G5" s="16">
        <v>0.876273721691745</v>
      </c>
      <c r="H5">
        <v>0.88998598695904019</v>
      </c>
      <c r="I5" s="17">
        <v>0.12610118972802201</v>
      </c>
      <c r="J5">
        <v>0.5167165760856548</v>
      </c>
      <c r="K5" s="18">
        <v>0.84451617033304205</v>
      </c>
      <c r="L5">
        <v>0.21893695139567684</v>
      </c>
      <c r="M5" s="19">
        <v>0.34787221257796602</v>
      </c>
    </row>
    <row r="6" spans="1:13" x14ac:dyDescent="0.25">
      <c r="A6" t="s">
        <v>11</v>
      </c>
      <c r="B6">
        <v>0.45099378782739963</v>
      </c>
      <c r="C6" s="14">
        <v>0.41886387925431101</v>
      </c>
      <c r="D6">
        <v>0.24046063030904699</v>
      </c>
      <c r="E6" s="15">
        <v>0.54683519144140802</v>
      </c>
      <c r="F6">
        <v>0.35326105333333335</v>
      </c>
      <c r="G6" s="16">
        <v>0.60936795919082498</v>
      </c>
      <c r="H6">
        <v>0.23761340914008347</v>
      </c>
      <c r="I6" s="17">
        <v>0.51888455220311103</v>
      </c>
      <c r="J6">
        <v>0.28454738372396021</v>
      </c>
      <c r="K6" s="18">
        <v>0.92811381976317897</v>
      </c>
      <c r="L6">
        <v>0.11874132038494715</v>
      </c>
      <c r="M6" s="19">
        <v>0.117144834533319</v>
      </c>
    </row>
    <row r="7" spans="1:13" x14ac:dyDescent="0.25">
      <c r="A7" t="s">
        <v>12</v>
      </c>
      <c r="B7">
        <v>1.8903157858603452</v>
      </c>
      <c r="C7" s="14">
        <v>0.73074475229926095</v>
      </c>
      <c r="D7">
        <v>1.3448981447962789</v>
      </c>
      <c r="E7" s="15">
        <v>0.482119508817688</v>
      </c>
      <c r="F7">
        <v>2.0262993071546407</v>
      </c>
      <c r="G7" s="16">
        <v>7.7299330333445299E-2</v>
      </c>
      <c r="H7">
        <v>0.4916199175</v>
      </c>
      <c r="I7" s="17">
        <v>0.41648763304756098</v>
      </c>
      <c r="J7">
        <v>1.5388323365505192</v>
      </c>
      <c r="K7" s="18">
        <v>0.92618166088133702</v>
      </c>
      <c r="L7">
        <v>0.42468588662821677</v>
      </c>
      <c r="M7" s="7">
        <v>1.5741522728162101E-2</v>
      </c>
    </row>
    <row r="8" spans="1:13" x14ac:dyDescent="0.25">
      <c r="A8" t="s">
        <v>13</v>
      </c>
      <c r="B8">
        <v>0.62266925266029838</v>
      </c>
      <c r="C8" s="12">
        <v>3.9736164584284001E-2</v>
      </c>
      <c r="D8">
        <v>0.70517931172765558</v>
      </c>
      <c r="E8" s="9">
        <v>2.23753114222145E-3</v>
      </c>
      <c r="F8">
        <v>0.29756596062253249</v>
      </c>
      <c r="G8" s="10">
        <v>2.4759724199063201E-3</v>
      </c>
      <c r="H8">
        <v>2.7192826840337805</v>
      </c>
      <c r="I8" s="17">
        <v>0.42442038054964198</v>
      </c>
      <c r="J8">
        <v>0.5935956166666666</v>
      </c>
      <c r="K8" s="18">
        <v>0.57583799773840905</v>
      </c>
      <c r="L8">
        <v>0.48668153358906124</v>
      </c>
      <c r="M8" s="7">
        <v>1.1238296525258799E-3</v>
      </c>
    </row>
    <row r="9" spans="1:13" x14ac:dyDescent="0.25">
      <c r="A9" t="s">
        <v>14</v>
      </c>
      <c r="B9">
        <v>0.52847978610737512</v>
      </c>
      <c r="C9" s="14">
        <v>0.30555896896170998</v>
      </c>
      <c r="D9">
        <v>0.28260087490910268</v>
      </c>
      <c r="E9" s="15">
        <v>0.220796800536256</v>
      </c>
      <c r="F9">
        <v>0.87526690379360039</v>
      </c>
      <c r="G9" s="16">
        <v>0.34273266373509897</v>
      </c>
      <c r="H9">
        <v>0.27943369760414599</v>
      </c>
      <c r="I9" s="11">
        <v>1.6849469393969401E-2</v>
      </c>
      <c r="J9">
        <v>0.56344304320963046</v>
      </c>
      <c r="K9" s="18">
        <v>0.80207673397527102</v>
      </c>
      <c r="L9">
        <v>0.29829042282732354</v>
      </c>
      <c r="M9" s="19">
        <v>8.3557084326203193E-2</v>
      </c>
    </row>
    <row r="10" spans="1:13" x14ac:dyDescent="0.25">
      <c r="A10" t="s">
        <v>15</v>
      </c>
      <c r="B10">
        <v>0.98748854947855613</v>
      </c>
      <c r="C10" s="14">
        <v>0.40967747091093998</v>
      </c>
      <c r="D10">
        <v>0.25305857316281671</v>
      </c>
      <c r="E10" s="9">
        <v>4.93615335741312E-2</v>
      </c>
      <c r="F10">
        <v>1.0075260474433694</v>
      </c>
      <c r="G10" s="16">
        <v>7.5060611423136706E-2</v>
      </c>
      <c r="H10">
        <v>0.16892077458528132</v>
      </c>
      <c r="I10" s="17">
        <v>5.3349459021998002E-2</v>
      </c>
      <c r="J10">
        <v>1.1186311290318578</v>
      </c>
      <c r="K10" s="18">
        <v>0.83537027035042999</v>
      </c>
      <c r="L10">
        <v>0.33713474443839914</v>
      </c>
      <c r="M10" s="7">
        <v>2.0751052693414899E-3</v>
      </c>
    </row>
    <row r="11" spans="1:13" x14ac:dyDescent="0.25">
      <c r="A11" t="s">
        <v>16</v>
      </c>
      <c r="B11">
        <v>2.0723983272211695</v>
      </c>
      <c r="C11" s="14">
        <v>0.312866167848105</v>
      </c>
      <c r="D11">
        <v>1.0618062068574554</v>
      </c>
      <c r="E11" s="15">
        <v>0.36919882166698498</v>
      </c>
      <c r="F11">
        <v>0.31449475474130523</v>
      </c>
      <c r="G11" s="16">
        <v>0.32044779172975002</v>
      </c>
      <c r="H11">
        <v>0.13013267751786017</v>
      </c>
      <c r="I11" s="17">
        <v>1.01926877470356</v>
      </c>
      <c r="J11">
        <v>0.69624082447441804</v>
      </c>
      <c r="K11" s="18">
        <v>0.41730594570108798</v>
      </c>
      <c r="L11">
        <v>1.2581624112126215</v>
      </c>
      <c r="M11" s="19">
        <v>0.32964773522541801</v>
      </c>
    </row>
    <row r="12" spans="1:13" x14ac:dyDescent="0.25">
      <c r="A12" t="s">
        <v>17</v>
      </c>
      <c r="B12">
        <v>0.31582211774710284</v>
      </c>
      <c r="C12" s="14">
        <v>0.673063017606508</v>
      </c>
      <c r="D12">
        <v>0.67657950369687414</v>
      </c>
      <c r="E12" s="15">
        <v>0.48391674975244903</v>
      </c>
      <c r="F12">
        <v>0.47234624626061072</v>
      </c>
      <c r="G12" s="16">
        <v>0.37967438937929698</v>
      </c>
      <c r="H12">
        <v>0.18172984535154471</v>
      </c>
      <c r="I12" s="17">
        <v>0.61551986182630103</v>
      </c>
      <c r="J12">
        <v>0.2779084672105393</v>
      </c>
      <c r="K12" s="18">
        <v>0.96518223885221099</v>
      </c>
      <c r="L12">
        <v>0.25622320880467297</v>
      </c>
      <c r="M12" s="19">
        <v>0.77989454444137896</v>
      </c>
    </row>
    <row r="13" spans="1:13" x14ac:dyDescent="0.25">
      <c r="A13" t="s">
        <v>18</v>
      </c>
      <c r="B13">
        <v>0.47389113053248649</v>
      </c>
      <c r="C13" s="14">
        <v>9.5712795892028399E-2</v>
      </c>
      <c r="D13">
        <v>0.33796608606292233</v>
      </c>
      <c r="E13" s="15">
        <v>0.44634237725270698</v>
      </c>
      <c r="F13">
        <v>0.2818830175548846</v>
      </c>
      <c r="G13" s="16">
        <v>0.31255665386579601</v>
      </c>
      <c r="H13">
        <v>0.44859600292205615</v>
      </c>
      <c r="I13" s="17">
        <v>0.98678976939878205</v>
      </c>
      <c r="J13">
        <v>0.28236164838026506</v>
      </c>
      <c r="K13" s="18">
        <v>0.517815470814041</v>
      </c>
      <c r="L13">
        <v>0.34170183164358864</v>
      </c>
      <c r="M13" s="19">
        <v>0.297478016852251</v>
      </c>
    </row>
    <row r="14" spans="1:13" x14ac:dyDescent="0.25">
      <c r="A14" t="s">
        <v>19</v>
      </c>
      <c r="B14">
        <v>0.67436830887653798</v>
      </c>
      <c r="C14" s="14">
        <v>0.174295602147962</v>
      </c>
      <c r="D14">
        <v>0.63745397500241907</v>
      </c>
      <c r="E14" s="15">
        <v>0.86844583111990603</v>
      </c>
      <c r="F14">
        <v>1.1657738527729562</v>
      </c>
      <c r="G14" s="10">
        <v>4.3268390080787603E-2</v>
      </c>
      <c r="H14">
        <v>0.29627031227268047</v>
      </c>
      <c r="I14" s="11">
        <v>8.3521584494051695E-3</v>
      </c>
      <c r="J14">
        <v>0.36627728312937213</v>
      </c>
      <c r="K14" s="18">
        <v>0.81524617305381997</v>
      </c>
      <c r="L14">
        <v>0.65203867816722405</v>
      </c>
      <c r="M14" s="19">
        <v>6.5292475138674894E-2</v>
      </c>
    </row>
    <row r="15" spans="1:13" x14ac:dyDescent="0.25">
      <c r="A15" t="s">
        <v>20</v>
      </c>
      <c r="B15">
        <v>0.38832027777793443</v>
      </c>
      <c r="C15" s="12">
        <v>4.0424970068182499E-3</v>
      </c>
      <c r="D15">
        <v>0.77401988038596015</v>
      </c>
      <c r="E15" s="15">
        <v>5.7965913592618802E-2</v>
      </c>
      <c r="F15">
        <v>1.5724621793462015</v>
      </c>
      <c r="G15" s="16">
        <v>0.218104991549528</v>
      </c>
      <c r="H15">
        <v>0.6847220306356423</v>
      </c>
      <c r="I15" s="11">
        <v>1.17388410353965E-2</v>
      </c>
      <c r="J15">
        <v>0.8335527246245551</v>
      </c>
      <c r="K15" s="18">
        <v>0.21974386864794401</v>
      </c>
      <c r="L15">
        <v>0.41834842598201422</v>
      </c>
      <c r="M15" s="19">
        <v>0.26584607245743602</v>
      </c>
    </row>
    <row r="16" spans="1:13" x14ac:dyDescent="0.25">
      <c r="A16" t="s">
        <v>21</v>
      </c>
      <c r="B16">
        <v>2.5764572586748296</v>
      </c>
      <c r="C16" s="12">
        <v>8.8957362296602296E-3</v>
      </c>
      <c r="D16">
        <v>0.64589717595337048</v>
      </c>
      <c r="E16" s="15">
        <v>0.31603437363464698</v>
      </c>
      <c r="F16">
        <v>1.1312676668193913</v>
      </c>
      <c r="G16" s="16">
        <v>0.250267714639267</v>
      </c>
      <c r="H16">
        <v>1.0471059388595061</v>
      </c>
      <c r="I16" s="17">
        <v>1.01343777505961</v>
      </c>
      <c r="J16">
        <v>0.48110244652530926</v>
      </c>
      <c r="K16" s="18">
        <v>0.88243598341370999</v>
      </c>
      <c r="L16">
        <v>3.1590337508333337</v>
      </c>
      <c r="M16" s="19">
        <v>0.45617091532496501</v>
      </c>
    </row>
    <row r="20" spans="1:12" x14ac:dyDescent="0.25">
      <c r="A20" t="s">
        <v>115</v>
      </c>
    </row>
    <row r="21" spans="1:12" x14ac:dyDescent="0.25">
      <c r="A21" t="s">
        <v>7</v>
      </c>
      <c r="B21">
        <f>B2-dhap4!B2</f>
        <v>-0.55781916585575053</v>
      </c>
      <c r="D21">
        <f>rand8!D2-dhap4!D2</f>
        <v>-1.0784535508573172</v>
      </c>
      <c r="F21">
        <f>F2-dhap4!F2</f>
        <v>-4.7884746437050874E-2</v>
      </c>
      <c r="H21">
        <f>H2-dhap4!H2</f>
        <v>-1.2415632048221628</v>
      </c>
      <c r="J21">
        <f>J2-dhap4!J2</f>
        <v>-0.85877627913241283</v>
      </c>
      <c r="L21">
        <f>L2-dhap4!L2</f>
        <v>-0.3557491322249493</v>
      </c>
    </row>
    <row r="22" spans="1:12" x14ac:dyDescent="0.25">
      <c r="A22" t="s">
        <v>8</v>
      </c>
      <c r="B22">
        <f>B3-dhap4!B3</f>
        <v>-0.73435569337312623</v>
      </c>
      <c r="D22">
        <f>rand8!D3-dhap4!D3</f>
        <v>-0.97504972391841749</v>
      </c>
      <c r="F22">
        <f>F3-dhap4!F3</f>
        <v>-0.83791819527081091</v>
      </c>
      <c r="H22">
        <f>H3-dhap4!H3</f>
        <v>-1.4217344761331692</v>
      </c>
      <c r="J22">
        <f>J3-dhap4!J3</f>
        <v>-8.5382086035608928E-2</v>
      </c>
      <c r="L22">
        <f>L3-dhap4!L3</f>
        <v>-0.50673396868573117</v>
      </c>
    </row>
    <row r="23" spans="1:12" x14ac:dyDescent="0.25">
      <c r="A23" t="s">
        <v>9</v>
      </c>
      <c r="B23">
        <f>B4-dhap4!B4</f>
        <v>-0.59559785791280462</v>
      </c>
      <c r="D23">
        <f>rand8!D4-dhap4!D4</f>
        <v>-1.5744223426702637</v>
      </c>
      <c r="F23">
        <f>F4-dhap4!F4</f>
        <v>-0.36535769252312145</v>
      </c>
      <c r="H23">
        <f>H4-dhap4!H4</f>
        <v>-8.0081840055545639E-2</v>
      </c>
      <c r="J23">
        <f>J4-dhap4!J4</f>
        <v>-0.38172163194284681</v>
      </c>
      <c r="L23">
        <f>L4-dhap4!L4</f>
        <v>-0.70025866387932145</v>
      </c>
    </row>
    <row r="24" spans="1:12" x14ac:dyDescent="0.25">
      <c r="A24" t="s">
        <v>10</v>
      </c>
      <c r="B24">
        <f>B5-dhap4!B5</f>
        <v>-1.3598146066862744</v>
      </c>
      <c r="D24">
        <f>rand8!D5-dhap4!D5</f>
        <v>-0.99950263620524493</v>
      </c>
      <c r="F24">
        <f>F5-dhap4!F5</f>
        <v>-0.2599942175986717</v>
      </c>
      <c r="H24">
        <f>H5-dhap4!H5</f>
        <v>-1.0649629547737458</v>
      </c>
      <c r="J24">
        <f>J5-dhap4!J5</f>
        <v>-0.67211783172822959</v>
      </c>
      <c r="L24">
        <f>L5-dhap4!L5</f>
        <v>-0.95980796825387615</v>
      </c>
    </row>
    <row r="25" spans="1:12" x14ac:dyDescent="0.25">
      <c r="A25" t="s">
        <v>11</v>
      </c>
      <c r="B25">
        <f>B6-dhap4!B6</f>
        <v>-0.71834042110671537</v>
      </c>
      <c r="D25">
        <f>rand8!D6-dhap4!D6</f>
        <v>-0.97633020665687453</v>
      </c>
      <c r="F25">
        <f>F6-dhap4!F6</f>
        <v>-0.80099285302372358</v>
      </c>
      <c r="H25">
        <f>H6-dhap4!H6</f>
        <v>-0.88913634988590151</v>
      </c>
      <c r="J25">
        <f>J6-dhap4!J6</f>
        <v>-0.92479225745876903</v>
      </c>
      <c r="L25">
        <f>L6-dhap4!L6</f>
        <v>-1.4517460861314722</v>
      </c>
    </row>
    <row r="26" spans="1:12" x14ac:dyDescent="0.25">
      <c r="A26" t="s">
        <v>12</v>
      </c>
      <c r="B26">
        <f>B7-dhap4!B7</f>
        <v>0.69552458984116816</v>
      </c>
      <c r="D26">
        <f>rand8!D7-dhap4!D7</f>
        <v>0.28424497210720845</v>
      </c>
      <c r="F26">
        <f>F7-dhap4!F7</f>
        <v>-2.6650856503507292E-2</v>
      </c>
      <c r="H26">
        <f>H7-dhap4!H7</f>
        <v>-1.0208378535236642</v>
      </c>
      <c r="J26">
        <f>J7-dhap4!J7</f>
        <v>0.47823904824466679</v>
      </c>
      <c r="L26">
        <f>L7-dhap4!L7</f>
        <v>-1.2942183790188744</v>
      </c>
    </row>
    <row r="27" spans="1:12" x14ac:dyDescent="0.25">
      <c r="A27" t="s">
        <v>13</v>
      </c>
      <c r="B27">
        <f>B8-dhap4!B8</f>
        <v>-0.42948707210954318</v>
      </c>
      <c r="D27">
        <f>rand8!D8-dhap4!D8</f>
        <v>-0.54081220083808101</v>
      </c>
      <c r="F27">
        <f>F8-dhap4!F8</f>
        <v>-0.7070979265567725</v>
      </c>
      <c r="H27">
        <f>H8-dhap4!H8</f>
        <v>1.6613967130679943</v>
      </c>
      <c r="J27">
        <f>J8-dhap4!J8</f>
        <v>-2.2192373532709508</v>
      </c>
      <c r="L27">
        <f>L8-dhap4!L8</f>
        <v>-1.0140225407653383</v>
      </c>
    </row>
    <row r="28" spans="1:12" x14ac:dyDescent="0.25">
      <c r="A28" t="s">
        <v>14</v>
      </c>
      <c r="B28">
        <f>B9-dhap4!B9</f>
        <v>-0.56356745238132189</v>
      </c>
      <c r="D28">
        <f>rand8!D9-dhap4!D9</f>
        <v>-1.4158979332659558</v>
      </c>
      <c r="F28">
        <f>F9-dhap4!F9</f>
        <v>-0.35070681931049974</v>
      </c>
      <c r="H28">
        <f>H9-dhap4!H9</f>
        <v>-1.0866017788793472</v>
      </c>
      <c r="J28">
        <f>J9-dhap4!J9</f>
        <v>-0.74351439299587652</v>
      </c>
      <c r="L28">
        <f>L9-dhap4!L9</f>
        <v>-0.84363199934642696</v>
      </c>
    </row>
    <row r="29" spans="1:12" x14ac:dyDescent="0.25">
      <c r="A29" t="s">
        <v>15</v>
      </c>
      <c r="B29">
        <f>B10-dhap4!B10</f>
        <v>-1.2862779538175051E-2</v>
      </c>
      <c r="D29">
        <f>rand8!D10-dhap4!D10</f>
        <v>-1.0044134114180046</v>
      </c>
      <c r="F29">
        <f>F10-dhap4!F10</f>
        <v>-0.27387807173193024</v>
      </c>
      <c r="H29">
        <f>H10-dhap4!H10</f>
        <v>-1.2825440817451197</v>
      </c>
      <c r="J29">
        <f>J10-dhap4!J10</f>
        <v>-6.6183969302453072E-2</v>
      </c>
      <c r="L29">
        <f>L10-dhap4!L10</f>
        <v>-2.3895970526809429</v>
      </c>
    </row>
    <row r="30" spans="1:12" x14ac:dyDescent="0.25">
      <c r="A30" t="s">
        <v>16</v>
      </c>
      <c r="B30">
        <f>B11-dhap4!B11</f>
        <v>0.48220557013545973</v>
      </c>
      <c r="D30">
        <f>rand8!D11-dhap4!D11</f>
        <v>-0.4552016366960272</v>
      </c>
      <c r="F30">
        <f>F11-dhap4!F11</f>
        <v>-2.8417332424602777</v>
      </c>
      <c r="H30">
        <f>H11-dhap4!H11</f>
        <v>-1.4070948222169468</v>
      </c>
      <c r="J30">
        <f>J11-dhap4!J11</f>
        <v>-5.2111158367328363</v>
      </c>
      <c r="L30">
        <f>L11-dhap4!L11</f>
        <v>6.1992086972089133E-3</v>
      </c>
    </row>
    <row r="31" spans="1:12" x14ac:dyDescent="0.25">
      <c r="A31" t="s">
        <v>17</v>
      </c>
      <c r="B31">
        <f>B12-dhap4!B12</f>
        <v>-0.967047592777595</v>
      </c>
      <c r="D31">
        <f>rand8!D12-dhap4!D12</f>
        <v>-0.84642825687536838</v>
      </c>
      <c r="F31">
        <f>F12-dhap4!F12</f>
        <v>-0.75845197964089772</v>
      </c>
      <c r="H31">
        <f>H12-dhap4!H12</f>
        <v>-1.2352781139986835</v>
      </c>
      <c r="J31">
        <f>J12-dhap4!J12</f>
        <v>-1.1832476674229451</v>
      </c>
      <c r="L31">
        <f>L12-dhap4!L12</f>
        <v>-0.82049734483553682</v>
      </c>
    </row>
    <row r="32" spans="1:12" x14ac:dyDescent="0.25">
      <c r="A32" t="s">
        <v>18</v>
      </c>
      <c r="B32">
        <f>B13-dhap4!B13</f>
        <v>-0.6804576282197552</v>
      </c>
      <c r="D32">
        <f>rand8!D13-dhap4!D13</f>
        <v>-0.72956848838784816</v>
      </c>
      <c r="F32">
        <f>F13-dhap4!F13</f>
        <v>-0.76664415076449122</v>
      </c>
      <c r="H32">
        <f>H13-dhap4!H13</f>
        <v>-0.67002073102051263</v>
      </c>
      <c r="J32">
        <f>J13-dhap4!J13</f>
        <v>-0.819692604880363</v>
      </c>
      <c r="L32">
        <f>L13-dhap4!L13</f>
        <v>-1.131567783218921</v>
      </c>
    </row>
    <row r="33" spans="1:12" x14ac:dyDescent="0.25">
      <c r="A33" t="s">
        <v>19</v>
      </c>
      <c r="B33">
        <f>B14-dhap4!B14</f>
        <v>-0.46454991370428256</v>
      </c>
      <c r="D33">
        <f>rand8!D14-dhap4!D14</f>
        <v>-0.46010146403400687</v>
      </c>
      <c r="F33">
        <f>F14-dhap4!F14</f>
        <v>-2.0062985136112674</v>
      </c>
      <c r="H33">
        <f>H14-dhap4!H14</f>
        <v>-2.1427725622812481</v>
      </c>
      <c r="J33">
        <f>J14-dhap4!J14</f>
        <v>-0.72790869551901771</v>
      </c>
      <c r="L33">
        <f>L14-dhap4!L14</f>
        <v>-1.1679077878492632</v>
      </c>
    </row>
    <row r="34" spans="1:12" x14ac:dyDescent="0.25">
      <c r="A34" t="s">
        <v>20</v>
      </c>
      <c r="B34">
        <f>B15-dhap4!B15</f>
        <v>-0.75079179473675395</v>
      </c>
      <c r="D34">
        <f>rand8!D15-dhap4!D15</f>
        <v>-0.36522161468325431</v>
      </c>
      <c r="F34">
        <f>F15-dhap4!F15</f>
        <v>-15.234031619581105</v>
      </c>
      <c r="H34">
        <f>H15-dhap4!H15</f>
        <v>-1.4829275269269204</v>
      </c>
      <c r="J34">
        <f>J15-dhap4!J15</f>
        <v>-0.17549867968918909</v>
      </c>
      <c r="L34">
        <f>L15-dhap4!L15</f>
        <v>-0.81615900682385023</v>
      </c>
    </row>
    <row r="35" spans="1:12" x14ac:dyDescent="0.25">
      <c r="A35" t="s">
        <v>21</v>
      </c>
      <c r="B35">
        <f>B16-dhap4!B16</f>
        <v>-1.5163866474095249</v>
      </c>
      <c r="D35">
        <f>rand8!D16-dhap4!D16</f>
        <v>-0.64535993642042055</v>
      </c>
      <c r="F35">
        <f>F16-dhap4!F16</f>
        <v>-1.8307506110592235</v>
      </c>
      <c r="H35">
        <f>H16-dhap4!H16</f>
        <v>-0.2611348425060569</v>
      </c>
      <c r="J35">
        <f>J16-dhap4!J16</f>
        <v>-1.4442988751962853</v>
      </c>
      <c r="L35">
        <f>L16-dhap4!L16</f>
        <v>1.4115341439038946</v>
      </c>
    </row>
    <row r="37" spans="1:12" x14ac:dyDescent="0.25">
      <c r="A37" t="s">
        <v>80</v>
      </c>
    </row>
    <row r="38" spans="1:12" x14ac:dyDescent="0.25">
      <c r="A38">
        <v>1.4772793948104261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workbookViewId="0">
      <selection activeCell="A37" sqref="A37"/>
    </sheetView>
  </sheetViews>
  <sheetFormatPr defaultColWidth="8.85546875" defaultRowHeight="15" x14ac:dyDescent="0.25"/>
  <sheetData>
    <row r="1" spans="1:13" x14ac:dyDescent="0.25">
      <c r="A1" t="s">
        <v>0</v>
      </c>
      <c r="B1" t="s">
        <v>1</v>
      </c>
      <c r="C1" s="14" t="s">
        <v>22</v>
      </c>
      <c r="D1" t="s">
        <v>2</v>
      </c>
      <c r="E1" s="15" t="s">
        <v>23</v>
      </c>
      <c r="F1" t="s">
        <v>3</v>
      </c>
      <c r="G1" s="16" t="s">
        <v>24</v>
      </c>
      <c r="H1" t="s">
        <v>4</v>
      </c>
      <c r="I1" s="17" t="s">
        <v>25</v>
      </c>
      <c r="J1" t="s">
        <v>5</v>
      </c>
      <c r="K1" s="18" t="s">
        <v>26</v>
      </c>
      <c r="L1" t="s">
        <v>6</v>
      </c>
      <c r="M1" s="19" t="s">
        <v>27</v>
      </c>
    </row>
    <row r="2" spans="1:13" x14ac:dyDescent="0.25">
      <c r="A2" t="s">
        <v>7</v>
      </c>
      <c r="B2">
        <v>0.46013775457545125</v>
      </c>
      <c r="C2" s="14">
        <v>0.762384490029694</v>
      </c>
      <c r="D2">
        <v>0.12516627418643192</v>
      </c>
      <c r="E2" s="15">
        <v>0.44624975588118598</v>
      </c>
      <c r="F2">
        <v>1.4165826305859242</v>
      </c>
      <c r="G2" s="16">
        <v>0.78551996118716705</v>
      </c>
      <c r="H2">
        <v>0.11760892575892823</v>
      </c>
      <c r="I2" s="17">
        <v>0.29160072506103601</v>
      </c>
      <c r="J2">
        <v>0.20307259974183767</v>
      </c>
      <c r="K2" s="18">
        <v>0.82577386681059695</v>
      </c>
      <c r="L2">
        <v>1.1423138234625356</v>
      </c>
      <c r="M2" s="7">
        <v>4.5710095337786E-2</v>
      </c>
    </row>
    <row r="3" spans="1:13" x14ac:dyDescent="0.25">
      <c r="A3" t="s">
        <v>8</v>
      </c>
      <c r="B3">
        <v>0.30427103914539583</v>
      </c>
      <c r="C3" s="14">
        <v>8.2901279432195593E-2</v>
      </c>
      <c r="D3">
        <v>0.36683207588847511</v>
      </c>
      <c r="E3" s="9">
        <v>9.0782211164155292E-3</v>
      </c>
      <c r="F3">
        <v>0.44990407975059316</v>
      </c>
      <c r="G3" s="16">
        <v>0.52024738694317496</v>
      </c>
      <c r="H3">
        <v>0.58122924413503985</v>
      </c>
      <c r="I3" s="17">
        <v>7.2269282640789106E-2</v>
      </c>
      <c r="J3">
        <v>1.1882259906969226</v>
      </c>
      <c r="K3" s="18">
        <v>0.76388269721491497</v>
      </c>
      <c r="L3">
        <v>1.3679870385296953</v>
      </c>
      <c r="M3" s="19">
        <v>0.45347930983877699</v>
      </c>
    </row>
    <row r="4" spans="1:13" x14ac:dyDescent="0.25">
      <c r="A4" t="s">
        <v>9</v>
      </c>
      <c r="B4">
        <v>0.72993845135008917</v>
      </c>
      <c r="C4" s="14">
        <v>6.6225124959576706E-2</v>
      </c>
      <c r="D4">
        <v>0.14496421249999999</v>
      </c>
      <c r="E4" s="15">
        <v>0.61881514010194805</v>
      </c>
      <c r="F4">
        <v>0.82520841924736754</v>
      </c>
      <c r="G4" s="10">
        <v>1.6347989883004101E-2</v>
      </c>
      <c r="H4">
        <v>1.1322825563547814</v>
      </c>
      <c r="I4" s="11">
        <v>1.1178235493982801E-2</v>
      </c>
      <c r="J4">
        <v>0.96800021860432739</v>
      </c>
      <c r="K4" s="18">
        <v>0.41128551861353002</v>
      </c>
      <c r="L4">
        <v>0.68493553376285099</v>
      </c>
      <c r="M4" s="7">
        <v>2.5966862137770701E-2</v>
      </c>
    </row>
    <row r="5" spans="1:13" x14ac:dyDescent="0.25">
      <c r="A5" t="s">
        <v>10</v>
      </c>
      <c r="B5">
        <v>0.37040343891344357</v>
      </c>
      <c r="C5" s="14">
        <v>0.33061324554751997</v>
      </c>
      <c r="D5">
        <v>0.51534813328096529</v>
      </c>
      <c r="E5" s="15">
        <v>0.58761063110676703</v>
      </c>
      <c r="F5">
        <v>0.76814935525623385</v>
      </c>
      <c r="G5" s="16">
        <v>0.876273721691745</v>
      </c>
      <c r="H5">
        <v>0.78355919332920221</v>
      </c>
      <c r="I5" s="17">
        <v>0.12610118972802201</v>
      </c>
      <c r="J5">
        <v>0.58704093544672975</v>
      </c>
      <c r="K5" s="18">
        <v>0.84451617033304205</v>
      </c>
      <c r="L5">
        <v>0.1986061508549101</v>
      </c>
      <c r="M5" s="19">
        <v>0.34787221257796602</v>
      </c>
    </row>
    <row r="6" spans="1:13" x14ac:dyDescent="0.25">
      <c r="A6" t="s">
        <v>11</v>
      </c>
      <c r="B6">
        <v>0.54326876982210293</v>
      </c>
      <c r="C6" s="14">
        <v>0.41886387925431101</v>
      </c>
      <c r="D6">
        <v>0.21903094219250327</v>
      </c>
      <c r="E6" s="15">
        <v>0.54683519144140802</v>
      </c>
      <c r="F6">
        <v>0.35326105333333335</v>
      </c>
      <c r="G6" s="16">
        <v>0.60936795919082498</v>
      </c>
      <c r="H6">
        <v>0.21287370608540798</v>
      </c>
      <c r="I6" s="17">
        <v>0.51888455220311103</v>
      </c>
      <c r="J6">
        <v>0.33737026481479354</v>
      </c>
      <c r="K6" s="18">
        <v>0.92811381976317897</v>
      </c>
      <c r="L6">
        <v>0.13351423920273742</v>
      </c>
      <c r="M6" s="19">
        <v>0.117144834533319</v>
      </c>
    </row>
    <row r="7" spans="1:13" x14ac:dyDescent="0.25">
      <c r="A7" t="s">
        <v>12</v>
      </c>
      <c r="B7">
        <v>1.8225939999949328</v>
      </c>
      <c r="C7" s="14">
        <v>0.73074475229926095</v>
      </c>
      <c r="D7">
        <v>1.2126661604741584</v>
      </c>
      <c r="E7" s="15">
        <v>0.482119508817688</v>
      </c>
      <c r="F7">
        <v>0.9817406751804757</v>
      </c>
      <c r="G7" s="16">
        <v>7.7299330333445299E-2</v>
      </c>
      <c r="H7">
        <v>0.4916199175</v>
      </c>
      <c r="I7" s="17">
        <v>0.41648763304756098</v>
      </c>
      <c r="J7">
        <v>1.490172560056515</v>
      </c>
      <c r="K7" s="18">
        <v>0.92618166088133702</v>
      </c>
      <c r="L7">
        <v>1.0766023844498778</v>
      </c>
      <c r="M7" s="7">
        <v>1.5741522728162101E-2</v>
      </c>
    </row>
    <row r="8" spans="1:13" x14ac:dyDescent="0.25">
      <c r="A8" t="s">
        <v>13</v>
      </c>
      <c r="B8">
        <v>0.619493113623238</v>
      </c>
      <c r="C8" s="12">
        <v>3.9736164584284001E-2</v>
      </c>
      <c r="D8">
        <v>0.66029410474595573</v>
      </c>
      <c r="E8" s="9">
        <v>2.23753114222145E-3</v>
      </c>
      <c r="F8">
        <v>0.32337164030772342</v>
      </c>
      <c r="G8" s="10">
        <v>2.4759724199063201E-3</v>
      </c>
      <c r="H8">
        <v>2.8058789782898619</v>
      </c>
      <c r="I8" s="17">
        <v>0.42442038054964198</v>
      </c>
      <c r="J8">
        <v>0.5935956166666666</v>
      </c>
      <c r="K8" s="18">
        <v>0.57583799773840905</v>
      </c>
      <c r="L8">
        <v>0.51117429060851605</v>
      </c>
      <c r="M8" s="7">
        <v>1.1238296525258799E-3</v>
      </c>
    </row>
    <row r="9" spans="1:13" x14ac:dyDescent="0.25">
      <c r="A9" t="s">
        <v>14</v>
      </c>
      <c r="B9">
        <v>0.45599030414764841</v>
      </c>
      <c r="C9" s="14">
        <v>0.30555896896170998</v>
      </c>
      <c r="D9">
        <v>0.33735065974961764</v>
      </c>
      <c r="E9" s="15">
        <v>0.220796800536256</v>
      </c>
      <c r="F9">
        <v>0.80232429718474363</v>
      </c>
      <c r="G9" s="16">
        <v>0.34273266373509897</v>
      </c>
      <c r="H9">
        <v>0.23670610216905674</v>
      </c>
      <c r="I9" s="11">
        <v>1.6849469393969401E-2</v>
      </c>
      <c r="J9">
        <v>0.53480727374229198</v>
      </c>
      <c r="K9" s="18">
        <v>0.80207673397527102</v>
      </c>
      <c r="L9">
        <v>0.26011033858201077</v>
      </c>
      <c r="M9" s="19">
        <v>8.3557084326203193E-2</v>
      </c>
    </row>
    <row r="10" spans="1:13" x14ac:dyDescent="0.25">
      <c r="A10" t="s">
        <v>15</v>
      </c>
      <c r="B10">
        <v>0.99179507052685889</v>
      </c>
      <c r="C10" s="14">
        <v>0.40967747091093998</v>
      </c>
      <c r="D10">
        <v>0.27070426563184413</v>
      </c>
      <c r="E10" s="9">
        <v>4.93615335741312E-2</v>
      </c>
      <c r="F10">
        <v>0.9471779620724341</v>
      </c>
      <c r="G10" s="16">
        <v>7.5060611423136706E-2</v>
      </c>
      <c r="H10">
        <v>0.19046571395216208</v>
      </c>
      <c r="I10" s="17">
        <v>5.3349459021998002E-2</v>
      </c>
      <c r="J10">
        <v>1.1606867459574755</v>
      </c>
      <c r="K10" s="18">
        <v>0.83537027035042999</v>
      </c>
      <c r="L10">
        <v>0.30980927955722209</v>
      </c>
      <c r="M10" s="7">
        <v>2.0751052693414899E-3</v>
      </c>
    </row>
    <row r="11" spans="1:13" x14ac:dyDescent="0.25">
      <c r="A11" t="s">
        <v>16</v>
      </c>
      <c r="B11">
        <v>2.2656704560313372</v>
      </c>
      <c r="C11" s="14">
        <v>0.312866167848105</v>
      </c>
      <c r="D11">
        <v>0.97606031323127052</v>
      </c>
      <c r="E11" s="15">
        <v>0.36919882166698498</v>
      </c>
      <c r="F11">
        <v>0.24967873387138032</v>
      </c>
      <c r="G11" s="16">
        <v>0.32044779172975002</v>
      </c>
      <c r="H11">
        <v>0.15666828385825013</v>
      </c>
      <c r="I11" s="17">
        <v>1.01926877470356</v>
      </c>
      <c r="J11">
        <v>0.61605139725023617</v>
      </c>
      <c r="K11" s="18">
        <v>0.41730594570108798</v>
      </c>
      <c r="L11">
        <v>1.2396213775526217</v>
      </c>
      <c r="M11" s="19">
        <v>0.32964773522541801</v>
      </c>
    </row>
    <row r="12" spans="1:13" x14ac:dyDescent="0.25">
      <c r="A12" t="s">
        <v>17</v>
      </c>
      <c r="B12">
        <v>0.32902448406444079</v>
      </c>
      <c r="C12" s="14">
        <v>0.673063017606508</v>
      </c>
      <c r="D12">
        <v>0.64620377168963528</v>
      </c>
      <c r="E12" s="15">
        <v>0.48391674975244903</v>
      </c>
      <c r="F12">
        <v>0.39830422933110415</v>
      </c>
      <c r="G12" s="16">
        <v>0.37967438937929698</v>
      </c>
      <c r="H12">
        <v>0.18581198955813982</v>
      </c>
      <c r="I12" s="17">
        <v>0.61551986182630103</v>
      </c>
      <c r="J12">
        <v>0.28523257518239947</v>
      </c>
      <c r="K12" s="18">
        <v>0.96518223885221099</v>
      </c>
      <c r="L12">
        <v>0.2628295341723248</v>
      </c>
      <c r="M12" s="19">
        <v>0.77989454444137896</v>
      </c>
    </row>
    <row r="13" spans="1:13" x14ac:dyDescent="0.25">
      <c r="A13" t="s">
        <v>18</v>
      </c>
      <c r="B13">
        <v>0.44035491040122982</v>
      </c>
      <c r="C13" s="14">
        <v>9.5712795892028399E-2</v>
      </c>
      <c r="D13">
        <v>0.21994678009178747</v>
      </c>
      <c r="E13" s="15">
        <v>0.44634237725270698</v>
      </c>
      <c r="F13">
        <v>0.33534507700715294</v>
      </c>
      <c r="G13" s="16">
        <v>0.31255665386579601</v>
      </c>
      <c r="H13">
        <v>0.47232525706542167</v>
      </c>
      <c r="I13" s="17">
        <v>0.98678976939878205</v>
      </c>
      <c r="J13">
        <v>0.27852546177626353</v>
      </c>
      <c r="K13" s="18">
        <v>0.517815470814041</v>
      </c>
      <c r="L13">
        <v>0.30553320914949494</v>
      </c>
      <c r="M13" s="19">
        <v>0.297478016852251</v>
      </c>
    </row>
    <row r="14" spans="1:13" x14ac:dyDescent="0.25">
      <c r="A14" t="s">
        <v>19</v>
      </c>
      <c r="B14">
        <v>0.89738866449636945</v>
      </c>
      <c r="C14" s="14">
        <v>0.174295602147962</v>
      </c>
      <c r="D14">
        <v>0.66573332971156962</v>
      </c>
      <c r="E14" s="15">
        <v>0.86844583111990603</v>
      </c>
      <c r="F14">
        <v>1.1205386470365313</v>
      </c>
      <c r="G14" s="10">
        <v>4.3268390080787603E-2</v>
      </c>
      <c r="H14">
        <v>0.72606761433631029</v>
      </c>
      <c r="I14" s="11">
        <v>8.3521584494051695E-3</v>
      </c>
      <c r="J14">
        <v>0.44796203408024576</v>
      </c>
      <c r="K14" s="18">
        <v>0.81524617305381997</v>
      </c>
      <c r="L14">
        <v>0.8956941525953277</v>
      </c>
      <c r="M14" s="19">
        <v>6.5292475138674894E-2</v>
      </c>
    </row>
    <row r="15" spans="1:13" x14ac:dyDescent="0.25">
      <c r="A15" t="s">
        <v>20</v>
      </c>
      <c r="B15">
        <v>0.38332626632007849</v>
      </c>
      <c r="C15" s="12">
        <v>4.0424970068182499E-3</v>
      </c>
      <c r="D15">
        <v>0.72239056581891614</v>
      </c>
      <c r="E15" s="15">
        <v>5.7965913592618802E-2</v>
      </c>
      <c r="F15">
        <v>0.14205818350714047</v>
      </c>
      <c r="G15" s="16">
        <v>0.218104991549528</v>
      </c>
      <c r="H15">
        <v>0.46981096079416923</v>
      </c>
      <c r="I15" s="11">
        <v>1.17388410353965E-2</v>
      </c>
      <c r="J15">
        <v>0.70852099614493724</v>
      </c>
      <c r="K15" s="18">
        <v>0.21974386864794401</v>
      </c>
      <c r="L15">
        <v>0.50428216437695106</v>
      </c>
      <c r="M15" s="19">
        <v>0.26584607245743602</v>
      </c>
    </row>
    <row r="16" spans="1:13" x14ac:dyDescent="0.25">
      <c r="A16" t="s">
        <v>21</v>
      </c>
      <c r="B16">
        <v>1.8701371747359585</v>
      </c>
      <c r="C16" s="12">
        <v>8.8957362296602296E-3</v>
      </c>
      <c r="D16">
        <v>0.60259468521929371</v>
      </c>
      <c r="E16" s="15">
        <v>0.31603437363464698</v>
      </c>
      <c r="F16">
        <v>1.10512661187091</v>
      </c>
      <c r="G16" s="16">
        <v>0.250267714639267</v>
      </c>
      <c r="H16">
        <v>0.90000934110225561</v>
      </c>
      <c r="I16" s="17">
        <v>1.01343777505961</v>
      </c>
      <c r="J16">
        <v>0.72568389277438772</v>
      </c>
      <c r="K16" s="18">
        <v>0.88243598341370999</v>
      </c>
      <c r="L16">
        <v>3.1590337508333337</v>
      </c>
      <c r="M16" s="19">
        <v>0.45617091532496501</v>
      </c>
    </row>
    <row r="19" spans="1:12" x14ac:dyDescent="0.25">
      <c r="A19" t="s">
        <v>116</v>
      </c>
    </row>
    <row r="20" spans="1:12" x14ac:dyDescent="0.25">
      <c r="A20" t="s">
        <v>7</v>
      </c>
      <c r="B20">
        <f>B2-dhap4!B2</f>
        <v>-0.55472384531306917</v>
      </c>
      <c r="D20">
        <f>D2-dhap4!D2</f>
        <v>-1.0736630711924027</v>
      </c>
      <c r="F20">
        <f>F2-dhap4!F2</f>
        <v>-3.8602031736687303E-2</v>
      </c>
      <c r="H20">
        <f>H2-dhap4!H2</f>
        <v>-1.2521716627898805</v>
      </c>
      <c r="J20">
        <f>J2-dhap4!J2</f>
        <v>-0.85773687649050712</v>
      </c>
      <c r="L20">
        <f>L2-dhap4!L2</f>
        <v>-0.33136080265264356</v>
      </c>
    </row>
    <row r="21" spans="1:12" x14ac:dyDescent="0.25">
      <c r="A21" t="s">
        <v>8</v>
      </c>
      <c r="B21">
        <f>B3-dhap4!B3</f>
        <v>-0.81615775649859201</v>
      </c>
      <c r="D21">
        <f>D3-dhap4!D3</f>
        <v>-1.0985331145966748</v>
      </c>
      <c r="F21">
        <f>F3-dhap4!F3</f>
        <v>-1.0011733988599065</v>
      </c>
      <c r="H21">
        <f>H3-dhap4!H3</f>
        <v>-1.171126117615402</v>
      </c>
      <c r="J21">
        <f>J3-dhap4!J3</f>
        <v>-2.2825756373698658E-2</v>
      </c>
      <c r="L21">
        <f>L3-dhap4!L3</f>
        <v>-2.785215864340862E-2</v>
      </c>
    </row>
    <row r="22" spans="1:12" x14ac:dyDescent="0.25">
      <c r="A22" t="s">
        <v>9</v>
      </c>
      <c r="B22">
        <f>B4-dhap4!B4</f>
        <v>-0.72871429186450476</v>
      </c>
      <c r="D22">
        <f>D4-dhap4!D4</f>
        <v>-1.5744223426702637</v>
      </c>
      <c r="F22">
        <f>F4-dhap4!F4</f>
        <v>-0.35725630149116439</v>
      </c>
      <c r="H22">
        <f>H4-dhap4!H4</f>
        <v>-7.6908287583510981E-2</v>
      </c>
      <c r="J22">
        <f>J4-dhap4!J4</f>
        <v>-0.13841355312433323</v>
      </c>
      <c r="L22">
        <f>L4-dhap4!L4</f>
        <v>-0.71920777435741379</v>
      </c>
    </row>
    <row r="23" spans="1:12" x14ac:dyDescent="0.25">
      <c r="A23" t="s">
        <v>10</v>
      </c>
      <c r="B23">
        <f>B5-dhap4!B5</f>
        <v>-1.4835097766801626</v>
      </c>
      <c r="D23">
        <f>D5-dhap4!D5</f>
        <v>-1.3302637377396196</v>
      </c>
      <c r="F23">
        <f>F5-dhap4!F5</f>
        <v>-0.26008477121821805</v>
      </c>
      <c r="H23">
        <f>H5-dhap4!H5</f>
        <v>-1.1713897484035836</v>
      </c>
      <c r="J23">
        <f>J5-dhap4!J5</f>
        <v>-0.60179347236715464</v>
      </c>
      <c r="L23">
        <f>L5-dhap4!L5</f>
        <v>-0.9801387687946429</v>
      </c>
    </row>
    <row r="24" spans="1:12" x14ac:dyDescent="0.25">
      <c r="A24" t="s">
        <v>11</v>
      </c>
      <c r="B24">
        <f>B6-dhap4!B6</f>
        <v>-0.62606543911201207</v>
      </c>
      <c r="D24">
        <f>D6-dhap4!D6</f>
        <v>-0.9977598947734182</v>
      </c>
      <c r="F24">
        <f>F6-dhap4!F6</f>
        <v>-0.80099285302372358</v>
      </c>
      <c r="H24">
        <f>H6-dhap4!H6</f>
        <v>-0.91387605294057694</v>
      </c>
      <c r="J24">
        <f>J6-dhap4!J6</f>
        <v>-0.8719693763679357</v>
      </c>
      <c r="L24">
        <f>L6-dhap4!L6</f>
        <v>-1.4369731673136821</v>
      </c>
    </row>
    <row r="25" spans="1:12" x14ac:dyDescent="0.25">
      <c r="A25" t="s">
        <v>12</v>
      </c>
      <c r="B25">
        <f>B7-dhap4!B7</f>
        <v>0.62780280397575572</v>
      </c>
      <c r="D25">
        <f>D7-dhap4!D7</f>
        <v>0.15201298778508798</v>
      </c>
      <c r="F25">
        <f>F7-dhap4!F7</f>
        <v>-1.0712094884776722</v>
      </c>
      <c r="H25">
        <f>H7-dhap4!H7</f>
        <v>-1.0208378535236642</v>
      </c>
      <c r="J25">
        <f>J7-dhap4!J7</f>
        <v>0.42957927175066257</v>
      </c>
      <c r="L25">
        <f>L7-dhap4!L7</f>
        <v>-0.64230188119721343</v>
      </c>
    </row>
    <row r="26" spans="1:12" x14ac:dyDescent="0.25">
      <c r="A26" t="s">
        <v>13</v>
      </c>
      <c r="B26">
        <f>B8-dhap4!B8</f>
        <v>-0.43266321114660355</v>
      </c>
      <c r="D26">
        <f>D8-dhap4!D8</f>
        <v>-0.58569740781978086</v>
      </c>
      <c r="F26">
        <f>F8-dhap4!F8</f>
        <v>-0.68129224687158163</v>
      </c>
      <c r="H26">
        <f>H8-dhap4!H8</f>
        <v>1.7479930073240757</v>
      </c>
      <c r="J26">
        <f>J8-dhap4!J8</f>
        <v>-2.2192373532709508</v>
      </c>
      <c r="L26">
        <f>L8-dhap4!L8</f>
        <v>-0.98952978374588352</v>
      </c>
    </row>
    <row r="27" spans="1:12" x14ac:dyDescent="0.25">
      <c r="A27" t="s">
        <v>14</v>
      </c>
      <c r="B27">
        <f>B9-dhap4!B9</f>
        <v>-0.6360569343410486</v>
      </c>
      <c r="D27">
        <f>D9-dhap4!D9</f>
        <v>-1.3611481484254409</v>
      </c>
      <c r="F27">
        <f>F9-dhap4!F9</f>
        <v>-0.4236494259193565</v>
      </c>
      <c r="H27">
        <f>H9-dhap4!H9</f>
        <v>-1.1293293743144366</v>
      </c>
      <c r="J27">
        <f>J9-dhap4!J9</f>
        <v>-0.772150162463215</v>
      </c>
      <c r="L27">
        <f>L9-dhap4!L9</f>
        <v>-0.88181208359173979</v>
      </c>
    </row>
    <row r="28" spans="1:12" x14ac:dyDescent="0.25">
      <c r="A28" t="s">
        <v>15</v>
      </c>
      <c r="B28">
        <f>B10-dhap4!B10</f>
        <v>-8.5562584898722926E-3</v>
      </c>
      <c r="D28">
        <f>D10-dhap4!D10</f>
        <v>-0.98676771894897719</v>
      </c>
      <c r="F28">
        <f>F10-dhap4!F10</f>
        <v>-0.33422615710286552</v>
      </c>
      <c r="H28">
        <f>H10-dhap4!H10</f>
        <v>-1.2609991423782387</v>
      </c>
      <c r="J28">
        <f>J10-dhap4!J10</f>
        <v>-2.4128352376835416E-2</v>
      </c>
      <c r="L28">
        <f>L10-dhap4!L10</f>
        <v>-2.4169225175621198</v>
      </c>
    </row>
    <row r="29" spans="1:12" x14ac:dyDescent="0.25">
      <c r="A29" t="s">
        <v>16</v>
      </c>
      <c r="B29">
        <f>B11-dhap4!B11</f>
        <v>0.67547769894562748</v>
      </c>
      <c r="D29">
        <f>D11-dhap4!D11</f>
        <v>-0.5409475303222121</v>
      </c>
      <c r="F29">
        <f>F11-dhap4!F11</f>
        <v>-2.9065492633302026</v>
      </c>
      <c r="H29">
        <f>H11-dhap4!H11</f>
        <v>-1.3805592158765569</v>
      </c>
      <c r="J29">
        <f>J11-dhap4!J11</f>
        <v>-5.2913052639570184</v>
      </c>
      <c r="L29">
        <f>L11-dhap4!L11</f>
        <v>-1.2341824962790904E-2</v>
      </c>
    </row>
    <row r="30" spans="1:12" x14ac:dyDescent="0.25">
      <c r="A30" t="s">
        <v>17</v>
      </c>
      <c r="B30">
        <f>B12-dhap4!B12</f>
        <v>-0.95384522646025705</v>
      </c>
      <c r="D30">
        <f>D12-dhap4!D12</f>
        <v>-0.87680398888260724</v>
      </c>
      <c r="F30">
        <f>F12-dhap4!F12</f>
        <v>-0.83249399657040435</v>
      </c>
      <c r="H30">
        <f>H12-dhap4!H12</f>
        <v>-1.2311959697920885</v>
      </c>
      <c r="J30">
        <f>J12-dhap4!J12</f>
        <v>-1.1759235594510848</v>
      </c>
      <c r="L30">
        <f>L12-dhap4!L12</f>
        <v>-0.813891019467885</v>
      </c>
    </row>
    <row r="31" spans="1:12" x14ac:dyDescent="0.25">
      <c r="A31" t="s">
        <v>18</v>
      </c>
      <c r="B31">
        <f>B13-dhap4!B13</f>
        <v>-0.71399384835101176</v>
      </c>
      <c r="D31">
        <f>D13-dhap4!D13</f>
        <v>-0.84758779435898302</v>
      </c>
      <c r="F31">
        <f>F13-dhap4!F13</f>
        <v>-0.71318209131222288</v>
      </c>
      <c r="H31">
        <f>H13-dhap4!H13</f>
        <v>-0.64629147687714705</v>
      </c>
      <c r="J31">
        <f>J13-dhap4!J13</f>
        <v>-0.82352879148436453</v>
      </c>
      <c r="L31">
        <f>L13-dhap4!L13</f>
        <v>-1.1677364057130148</v>
      </c>
    </row>
    <row r="32" spans="1:12" x14ac:dyDescent="0.25">
      <c r="A32" t="s">
        <v>19</v>
      </c>
      <c r="B32">
        <f>B14-dhap4!B14</f>
        <v>-0.24152955808445109</v>
      </c>
      <c r="D32">
        <f>D14-dhap4!D14</f>
        <v>-0.43182210932485632</v>
      </c>
      <c r="F32">
        <f>F14-dhap4!F14</f>
        <v>-2.0515337193476921</v>
      </c>
      <c r="H32">
        <f>H14-dhap4!H14</f>
        <v>-1.7129752602176183</v>
      </c>
      <c r="J32">
        <f>J14-dhap4!J14</f>
        <v>-0.64622394456814414</v>
      </c>
      <c r="L32">
        <f>L14-dhap4!L14</f>
        <v>-0.92425231342115954</v>
      </c>
    </row>
    <row r="33" spans="1:12" x14ac:dyDescent="0.25">
      <c r="A33" t="s">
        <v>20</v>
      </c>
      <c r="B33">
        <f>B15-dhap4!B15</f>
        <v>-0.75578580619460989</v>
      </c>
      <c r="D33">
        <f>D15-dhap4!D15</f>
        <v>-0.41685092925029832</v>
      </c>
      <c r="F33">
        <f>F15-dhap4!F15</f>
        <v>-16.664435615420167</v>
      </c>
      <c r="H33">
        <f>H15-dhap4!H15</f>
        <v>-1.6978385967683935</v>
      </c>
      <c r="J33">
        <f>J15-dhap4!J15</f>
        <v>-0.30053040816880694</v>
      </c>
      <c r="L33">
        <f>L15-dhap4!L15</f>
        <v>-0.73022526842891344</v>
      </c>
    </row>
    <row r="34" spans="1:12" x14ac:dyDescent="0.25">
      <c r="A34" t="s">
        <v>21</v>
      </c>
      <c r="B34">
        <f>B16-dhap4!B16</f>
        <v>-2.2227067313483957</v>
      </c>
      <c r="D34">
        <f>D16-dhap4!D16</f>
        <v>-0.68866242715449733</v>
      </c>
      <c r="F34">
        <f>F16-dhap4!F16</f>
        <v>-1.8568916660077048</v>
      </c>
      <c r="H34">
        <f>H16-dhap4!H16</f>
        <v>-0.40823144026330738</v>
      </c>
      <c r="J34">
        <f>J16-dhap4!J16</f>
        <v>-1.1997174289472068</v>
      </c>
      <c r="L34">
        <f>L16-dhap4!L16</f>
        <v>1.4115341439038946</v>
      </c>
    </row>
    <row r="36" spans="1:12" x14ac:dyDescent="0.25">
      <c r="A36" t="s">
        <v>111</v>
      </c>
    </row>
    <row r="37" spans="1:12" x14ac:dyDescent="0.25">
      <c r="A37">
        <v>1.4247047673594277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workbookViewId="0">
      <selection activeCell="A38" sqref="A38"/>
    </sheetView>
  </sheetViews>
  <sheetFormatPr defaultColWidth="8.85546875" defaultRowHeight="15" x14ac:dyDescent="0.25"/>
  <sheetData>
    <row r="1" spans="1:13" x14ac:dyDescent="0.25">
      <c r="A1" t="s">
        <v>0</v>
      </c>
      <c r="B1" t="s">
        <v>1</v>
      </c>
      <c r="C1" s="14" t="s">
        <v>22</v>
      </c>
      <c r="D1" t="s">
        <v>2</v>
      </c>
      <c r="E1" s="15" t="s">
        <v>23</v>
      </c>
      <c r="F1" t="s">
        <v>3</v>
      </c>
      <c r="G1" s="16" t="s">
        <v>24</v>
      </c>
      <c r="H1" t="s">
        <v>4</v>
      </c>
      <c r="I1" s="17" t="s">
        <v>25</v>
      </c>
      <c r="J1" t="s">
        <v>5</v>
      </c>
      <c r="K1" s="18" t="s">
        <v>26</v>
      </c>
      <c r="L1" t="s">
        <v>6</v>
      </c>
      <c r="M1" s="19" t="s">
        <v>27</v>
      </c>
    </row>
    <row r="2" spans="1:13" x14ac:dyDescent="0.25">
      <c r="A2" t="s">
        <v>7</v>
      </c>
      <c r="B2">
        <v>0.49404112613157153</v>
      </c>
      <c r="C2" s="14">
        <v>0.762384490029694</v>
      </c>
      <c r="D2">
        <v>0.14345709873644061</v>
      </c>
      <c r="E2" s="15">
        <v>0.44624975588118598</v>
      </c>
      <c r="F2">
        <v>1.1516632056586409</v>
      </c>
      <c r="G2" s="16">
        <v>0.78551996118716705</v>
      </c>
      <c r="H2">
        <v>0.12477459467317296</v>
      </c>
      <c r="I2" s="17">
        <v>0.29160072506103601</v>
      </c>
      <c r="J2">
        <v>0.19971148891980275</v>
      </c>
      <c r="K2" s="18">
        <v>0.82577386681059695</v>
      </c>
      <c r="L2">
        <v>0.9962398677292521</v>
      </c>
      <c r="M2" s="7">
        <v>4.5710095337786E-2</v>
      </c>
    </row>
    <row r="3" spans="1:13" x14ac:dyDescent="0.25">
      <c r="A3" t="s">
        <v>8</v>
      </c>
      <c r="B3">
        <v>0.44755714110845585</v>
      </c>
      <c r="C3" s="14">
        <v>8.2901279432195593E-2</v>
      </c>
      <c r="D3">
        <v>1.0343087499399364</v>
      </c>
      <c r="E3" s="9">
        <v>9.0782211164155292E-3</v>
      </c>
      <c r="F3">
        <v>0.48195278182297435</v>
      </c>
      <c r="G3" s="16">
        <v>0.52024738694317496</v>
      </c>
      <c r="H3">
        <v>0.49455376469076623</v>
      </c>
      <c r="I3" s="17">
        <v>7.2269282640789106E-2</v>
      </c>
      <c r="J3">
        <v>1.3062229718056859</v>
      </c>
      <c r="K3" s="18">
        <v>0.76388269721491497</v>
      </c>
      <c r="L3">
        <v>1.7314417633461234</v>
      </c>
      <c r="M3" s="19">
        <v>0.45347930983877699</v>
      </c>
    </row>
    <row r="4" spans="1:13" x14ac:dyDescent="0.25">
      <c r="A4" t="s">
        <v>9</v>
      </c>
      <c r="B4">
        <v>0.79972252002904021</v>
      </c>
      <c r="C4" s="14">
        <v>6.6225124959576706E-2</v>
      </c>
      <c r="D4">
        <v>0.14496421249999999</v>
      </c>
      <c r="E4" s="15">
        <v>0.61881514010194805</v>
      </c>
      <c r="F4">
        <v>0.75060908567653073</v>
      </c>
      <c r="G4" s="10">
        <v>1.6347989883004101E-2</v>
      </c>
      <c r="H4">
        <v>0.98434595762820865</v>
      </c>
      <c r="I4" s="11">
        <v>1.1178235493982801E-2</v>
      </c>
      <c r="J4">
        <v>0.74499290969129206</v>
      </c>
      <c r="K4" s="18">
        <v>0.41128551861353002</v>
      </c>
      <c r="L4">
        <v>0.53068478140787489</v>
      </c>
      <c r="M4" s="7">
        <v>2.5966862137770701E-2</v>
      </c>
    </row>
    <row r="5" spans="1:13" x14ac:dyDescent="0.25">
      <c r="A5" t="s">
        <v>10</v>
      </c>
      <c r="B5">
        <v>0.45409976506232386</v>
      </c>
      <c r="C5" s="14">
        <v>0.33061324554751997</v>
      </c>
      <c r="D5">
        <v>0.52681475176884629</v>
      </c>
      <c r="E5" s="15">
        <v>0.58761063110676703</v>
      </c>
      <c r="F5">
        <v>0.77132153290946992</v>
      </c>
      <c r="G5" s="16">
        <v>0.876273721691745</v>
      </c>
      <c r="H5">
        <v>0.8190309929895595</v>
      </c>
      <c r="I5" s="17">
        <v>0.12610118972802201</v>
      </c>
      <c r="J5">
        <v>0.48878935872619172</v>
      </c>
      <c r="K5" s="18">
        <v>0.84451617033304205</v>
      </c>
      <c r="L5">
        <v>0.24555065768683706</v>
      </c>
      <c r="M5" s="19">
        <v>0.34787221257796602</v>
      </c>
    </row>
    <row r="6" spans="1:13" x14ac:dyDescent="0.25">
      <c r="A6" t="s">
        <v>11</v>
      </c>
      <c r="B6">
        <v>0.51528945915747359</v>
      </c>
      <c r="C6" s="14">
        <v>0.41886387925431101</v>
      </c>
      <c r="D6">
        <v>0.20767044353451</v>
      </c>
      <c r="E6" s="15">
        <v>0.54683519144140802</v>
      </c>
      <c r="F6">
        <v>0.35326105333333335</v>
      </c>
      <c r="G6" s="16">
        <v>0.60936795919082498</v>
      </c>
      <c r="H6">
        <v>0.20443027357760371</v>
      </c>
      <c r="I6" s="17">
        <v>0.51888455220311103</v>
      </c>
      <c r="J6">
        <v>0.26495493355788141</v>
      </c>
      <c r="K6" s="18">
        <v>0.92811381976317897</v>
      </c>
      <c r="L6">
        <v>0.12290729324547328</v>
      </c>
      <c r="M6" s="19">
        <v>0.117144834533319</v>
      </c>
    </row>
    <row r="7" spans="1:13" x14ac:dyDescent="0.25">
      <c r="A7" t="s">
        <v>12</v>
      </c>
      <c r="B7">
        <v>1.8927745380300307</v>
      </c>
      <c r="C7" s="14">
        <v>0.73074475229926095</v>
      </c>
      <c r="D7">
        <v>1.4519551153142398</v>
      </c>
      <c r="E7" s="15">
        <v>0.482119508817688</v>
      </c>
      <c r="F7">
        <v>2.1879203246923451</v>
      </c>
      <c r="G7" s="16">
        <v>7.7299330333445299E-2</v>
      </c>
      <c r="H7">
        <v>0.4916199175</v>
      </c>
      <c r="I7" s="17">
        <v>0.41648763304756098</v>
      </c>
      <c r="J7">
        <v>1.7263079720634222</v>
      </c>
      <c r="K7" s="18">
        <v>0.92618166088133702</v>
      </c>
      <c r="L7">
        <v>0.9545628982900608</v>
      </c>
      <c r="M7" s="7">
        <v>1.5741522728162101E-2</v>
      </c>
    </row>
    <row r="8" spans="1:13" x14ac:dyDescent="0.25">
      <c r="A8" t="s">
        <v>13</v>
      </c>
      <c r="B8">
        <v>0.63517038466301012</v>
      </c>
      <c r="C8" s="12">
        <v>3.9736164584284001E-2</v>
      </c>
      <c r="D8">
        <v>0.78192450319454165</v>
      </c>
      <c r="E8" s="9">
        <v>2.23753114222145E-3</v>
      </c>
      <c r="F8">
        <v>0.31129809101852762</v>
      </c>
      <c r="G8" s="10">
        <v>2.4759724199063201E-3</v>
      </c>
      <c r="H8">
        <v>2.8108915927496176</v>
      </c>
      <c r="I8" s="17">
        <v>0.42442038054964198</v>
      </c>
      <c r="J8">
        <v>0.5935956166666666</v>
      </c>
      <c r="K8" s="18">
        <v>0.57583799773840905</v>
      </c>
      <c r="L8">
        <v>0.51909243899656743</v>
      </c>
      <c r="M8" s="7">
        <v>1.1238296525258799E-3</v>
      </c>
    </row>
    <row r="9" spans="1:13" x14ac:dyDescent="0.25">
      <c r="A9" t="s">
        <v>14</v>
      </c>
      <c r="B9">
        <v>0.46517698921233624</v>
      </c>
      <c r="C9" s="14">
        <v>0.30555896896170998</v>
      </c>
      <c r="D9">
        <v>0.3143167680751055</v>
      </c>
      <c r="E9" s="15">
        <v>0.220796800536256</v>
      </c>
      <c r="F9">
        <v>0.83700904028404333</v>
      </c>
      <c r="G9" s="16">
        <v>0.34273266373509897</v>
      </c>
      <c r="H9">
        <v>0.25243102599483658</v>
      </c>
      <c r="I9" s="11">
        <v>1.6849469393969401E-2</v>
      </c>
      <c r="J9">
        <v>0.48403180831409615</v>
      </c>
      <c r="K9" s="18">
        <v>0.80207673397527102</v>
      </c>
      <c r="L9">
        <v>0.26931281585930494</v>
      </c>
      <c r="M9" s="19">
        <v>8.3557084326203193E-2</v>
      </c>
    </row>
    <row r="10" spans="1:13" x14ac:dyDescent="0.25">
      <c r="A10" t="s">
        <v>15</v>
      </c>
      <c r="B10">
        <v>0.99356591469001754</v>
      </c>
      <c r="C10" s="14">
        <v>0.40967747091093998</v>
      </c>
      <c r="D10">
        <v>0.27868706999559612</v>
      </c>
      <c r="E10" s="9">
        <v>4.93615335741312E-2</v>
      </c>
      <c r="F10">
        <v>0.86646397943025188</v>
      </c>
      <c r="G10" s="16">
        <v>7.5060611423136706E-2</v>
      </c>
      <c r="H10">
        <v>0.14958505510122977</v>
      </c>
      <c r="I10" s="17">
        <v>5.3349459021998002E-2</v>
      </c>
      <c r="J10">
        <v>1.2123457193365239</v>
      </c>
      <c r="K10" s="18">
        <v>0.83537027035042999</v>
      </c>
      <c r="L10">
        <v>0.29475690495535284</v>
      </c>
      <c r="M10" s="7">
        <v>2.0751052693414899E-3</v>
      </c>
    </row>
    <row r="11" spans="1:13" x14ac:dyDescent="0.25">
      <c r="A11" t="s">
        <v>16</v>
      </c>
      <c r="B11">
        <v>1.9651612000269492</v>
      </c>
      <c r="C11" s="14">
        <v>0.312866167848105</v>
      </c>
      <c r="D11">
        <v>0.89909828459722929</v>
      </c>
      <c r="E11" s="15">
        <v>0.36919882166698498</v>
      </c>
      <c r="F11">
        <v>0.19141594184631017</v>
      </c>
      <c r="G11" s="16">
        <v>0.32044779172975002</v>
      </c>
      <c r="H11">
        <v>0.18026664221161337</v>
      </c>
      <c r="I11" s="17">
        <v>1.01926877470356</v>
      </c>
      <c r="J11">
        <v>0.51237818318770867</v>
      </c>
      <c r="K11" s="18">
        <v>0.41730594570108798</v>
      </c>
      <c r="L11">
        <v>1.4632019351389358</v>
      </c>
      <c r="M11" s="19">
        <v>0.32964773522541801</v>
      </c>
    </row>
    <row r="12" spans="1:13" x14ac:dyDescent="0.25">
      <c r="A12" t="s">
        <v>17</v>
      </c>
      <c r="B12">
        <v>0.32481809789798272</v>
      </c>
      <c r="C12" s="14">
        <v>0.673063017606508</v>
      </c>
      <c r="D12">
        <v>0.65900132552925228</v>
      </c>
      <c r="E12" s="15">
        <v>0.48391674975244903</v>
      </c>
      <c r="F12">
        <v>0.39825332390334167</v>
      </c>
      <c r="G12" s="16">
        <v>0.37967438937929698</v>
      </c>
      <c r="H12">
        <v>0.18910501053667572</v>
      </c>
      <c r="I12" s="17">
        <v>0.61551986182630103</v>
      </c>
      <c r="J12">
        <v>0.30627105142595662</v>
      </c>
      <c r="K12" s="18">
        <v>0.96518223885221099</v>
      </c>
      <c r="L12">
        <v>0.26968598482574635</v>
      </c>
      <c r="M12" s="19">
        <v>0.77989454444137896</v>
      </c>
    </row>
    <row r="13" spans="1:13" x14ac:dyDescent="0.25">
      <c r="A13" t="s">
        <v>18</v>
      </c>
      <c r="B13">
        <v>0.51493507735535748</v>
      </c>
      <c r="C13" s="14">
        <v>9.5712795892028399E-2</v>
      </c>
      <c r="D13">
        <v>0.26940515830173672</v>
      </c>
      <c r="E13" s="15">
        <v>0.44634237725270698</v>
      </c>
      <c r="F13">
        <v>0.34146528060374015</v>
      </c>
      <c r="G13" s="16">
        <v>0.31255665386579601</v>
      </c>
      <c r="H13">
        <v>0.54765893889935013</v>
      </c>
      <c r="I13" s="17">
        <v>0.98678976939878205</v>
      </c>
      <c r="J13">
        <v>0.33675040585833776</v>
      </c>
      <c r="K13" s="18">
        <v>0.517815470814041</v>
      </c>
      <c r="L13">
        <v>0.32974915268539745</v>
      </c>
      <c r="M13" s="19">
        <v>0.297478016852251</v>
      </c>
    </row>
    <row r="14" spans="1:13" x14ac:dyDescent="0.25">
      <c r="A14" t="s">
        <v>19</v>
      </c>
      <c r="B14">
        <v>0.8949920062066874</v>
      </c>
      <c r="C14" s="14">
        <v>0.174295602147962</v>
      </c>
      <c r="D14">
        <v>0.66093389284418103</v>
      </c>
      <c r="E14" s="15">
        <v>0.86844583111990603</v>
      </c>
      <c r="F14">
        <v>1.2522331789867887</v>
      </c>
      <c r="G14" s="10">
        <v>4.3268390080787603E-2</v>
      </c>
      <c r="H14">
        <v>0.7302072104611943</v>
      </c>
      <c r="I14" s="11">
        <v>8.3521584494051695E-3</v>
      </c>
      <c r="J14">
        <v>0.44705515040309279</v>
      </c>
      <c r="K14" s="18">
        <v>0.81524617305381997</v>
      </c>
      <c r="L14">
        <v>0.88877905239078936</v>
      </c>
      <c r="M14" s="19">
        <v>6.5292475138674894E-2</v>
      </c>
    </row>
    <row r="15" spans="1:13" x14ac:dyDescent="0.25">
      <c r="A15" t="s">
        <v>20</v>
      </c>
      <c r="B15">
        <v>0.38553661737928979</v>
      </c>
      <c r="C15" s="12">
        <v>4.0424970068182499E-3</v>
      </c>
      <c r="D15">
        <v>0.82929889161666559</v>
      </c>
      <c r="E15" s="15">
        <v>5.7965913592618802E-2</v>
      </c>
      <c r="F15">
        <v>0.71605042252475049</v>
      </c>
      <c r="G15" s="16">
        <v>0.218104991549528</v>
      </c>
      <c r="H15">
        <v>0.41093512227459866</v>
      </c>
      <c r="I15" s="11">
        <v>1.17388410353965E-2</v>
      </c>
      <c r="J15">
        <v>0.80165769813741772</v>
      </c>
      <c r="K15" s="18">
        <v>0.21974386864794401</v>
      </c>
      <c r="L15">
        <v>0.53469538420884855</v>
      </c>
      <c r="M15" s="19">
        <v>0.26584607245743602</v>
      </c>
    </row>
    <row r="16" spans="1:13" x14ac:dyDescent="0.25">
      <c r="A16" t="s">
        <v>21</v>
      </c>
      <c r="B16">
        <v>1.761045418673258</v>
      </c>
      <c r="C16" s="12">
        <v>8.8957362296602296E-3</v>
      </c>
      <c r="D16">
        <v>0.66660263215310189</v>
      </c>
      <c r="E16" s="15">
        <v>0.31603437363464698</v>
      </c>
      <c r="F16">
        <v>1.0883698315906594</v>
      </c>
      <c r="G16" s="16">
        <v>0.250267714639267</v>
      </c>
      <c r="H16">
        <v>1.4464518820410486</v>
      </c>
      <c r="I16" s="17">
        <v>1.01343777505961</v>
      </c>
      <c r="J16">
        <v>0.32228881982867774</v>
      </c>
      <c r="K16" s="18">
        <v>0.88243598341370999</v>
      </c>
      <c r="L16">
        <v>3.1590337508333337</v>
      </c>
      <c r="M16" s="19">
        <v>0.45617091532496501</v>
      </c>
    </row>
    <row r="20" spans="1:12" x14ac:dyDescent="0.25">
      <c r="A20" t="s">
        <v>117</v>
      </c>
    </row>
    <row r="21" spans="1:12" x14ac:dyDescent="0.25">
      <c r="A21" t="s">
        <v>7</v>
      </c>
      <c r="B21">
        <f>B2-dhap4!B2</f>
        <v>-0.52082047375694884</v>
      </c>
      <c r="D21">
        <f>D2-dhap4!D2</f>
        <v>-1.055372246642394</v>
      </c>
      <c r="F21">
        <f>F2-dhap4!F2</f>
        <v>-0.30352145666397057</v>
      </c>
      <c r="H21">
        <f>H2-dhap4!H2</f>
        <v>-1.2450059938756357</v>
      </c>
      <c r="J21">
        <f>J2-dhap4!J2</f>
        <v>-0.86109798731254206</v>
      </c>
      <c r="L21">
        <f>L2-dhap4!L2</f>
        <v>-0.47743475838592708</v>
      </c>
    </row>
    <row r="22" spans="1:12" x14ac:dyDescent="0.25">
      <c r="A22" t="s">
        <v>8</v>
      </c>
      <c r="B22">
        <f>B3-dhap4!B3</f>
        <v>-0.67287165453553199</v>
      </c>
      <c r="D22">
        <f>D3-dhap4!D3</f>
        <v>-0.43105644054521353</v>
      </c>
      <c r="F22">
        <f>F3-dhap4!F3</f>
        <v>-0.96912469678752533</v>
      </c>
      <c r="H22">
        <f>H3-dhap4!H3</f>
        <v>-1.2578015970596754</v>
      </c>
      <c r="J22">
        <f>J3-dhap4!J3</f>
        <v>9.5171224735064675E-2</v>
      </c>
      <c r="L22">
        <f>L3-dhap4!L3</f>
        <v>0.33560256617301953</v>
      </c>
    </row>
    <row r="23" spans="1:12" x14ac:dyDescent="0.25">
      <c r="A23" t="s">
        <v>9</v>
      </c>
      <c r="B23">
        <f>B4-dhap4!B4</f>
        <v>-0.65893022318555372</v>
      </c>
      <c r="D23">
        <f>D4-dhap4!D4</f>
        <v>-1.5744223426702637</v>
      </c>
      <c r="F23">
        <f>F4-dhap4!F4</f>
        <v>-0.4318556350620012</v>
      </c>
      <c r="H23">
        <f>H4-dhap4!H4</f>
        <v>-0.2248448863100837</v>
      </c>
      <c r="J23">
        <f>J4-dhap4!J4</f>
        <v>-0.36142086203736856</v>
      </c>
      <c r="L23">
        <f>L4-dhap4!L4</f>
        <v>-0.87345852671238988</v>
      </c>
    </row>
    <row r="24" spans="1:12" x14ac:dyDescent="0.25">
      <c r="A24" t="s">
        <v>10</v>
      </c>
      <c r="B24">
        <f>B5-dhap4!B5</f>
        <v>-1.3998134505312825</v>
      </c>
      <c r="D24">
        <f>D5-dhap4!D5</f>
        <v>-1.3187971192517387</v>
      </c>
      <c r="F24">
        <f>F5-dhap4!F5</f>
        <v>-0.25691259356498197</v>
      </c>
      <c r="H24">
        <f>H5-dhap4!H5</f>
        <v>-1.1359179487432263</v>
      </c>
      <c r="J24">
        <f>J5-dhap4!J5</f>
        <v>-0.70004504908769261</v>
      </c>
      <c r="L24">
        <f>L5-dhap4!L5</f>
        <v>-0.93319426196271593</v>
      </c>
    </row>
    <row r="25" spans="1:12" x14ac:dyDescent="0.25">
      <c r="A25" t="s">
        <v>11</v>
      </c>
      <c r="B25">
        <f>B6-dhap4!B6</f>
        <v>-0.6540447497766414</v>
      </c>
      <c r="D25">
        <f>D6-dhap4!D6</f>
        <v>-1.0091203934314115</v>
      </c>
      <c r="F25">
        <f>F6-dhap4!F6</f>
        <v>-0.80099285302372358</v>
      </c>
      <c r="H25">
        <f>H6-dhap4!H6</f>
        <v>-0.92231948544838127</v>
      </c>
      <c r="J25">
        <f>J6-dhap4!J6</f>
        <v>-0.94438470762484794</v>
      </c>
      <c r="L25">
        <f>L6-dhap4!L6</f>
        <v>-1.447580113270946</v>
      </c>
    </row>
    <row r="26" spans="1:12" x14ac:dyDescent="0.25">
      <c r="A26" t="s">
        <v>12</v>
      </c>
      <c r="B26">
        <f>B7-dhap4!B7</f>
        <v>0.69798334201085366</v>
      </c>
      <c r="D26">
        <f>D7-dhap4!D7</f>
        <v>0.39130194262516937</v>
      </c>
      <c r="F26">
        <f>F7-dhap4!F7</f>
        <v>0.13497016103419712</v>
      </c>
      <c r="H26">
        <f>H7-dhap4!H7</f>
        <v>-1.0208378535236642</v>
      </c>
      <c r="J26">
        <f>J7-dhap4!J7</f>
        <v>0.66571468375756981</v>
      </c>
      <c r="L26">
        <f>L7-dhap4!L7</f>
        <v>-0.7643413673570304</v>
      </c>
    </row>
    <row r="27" spans="1:12" x14ac:dyDescent="0.25">
      <c r="A27" t="s">
        <v>13</v>
      </c>
      <c r="B27">
        <f>B8-dhap4!B8</f>
        <v>-0.41698594010683143</v>
      </c>
      <c r="D27">
        <f>D8-dhap4!D8</f>
        <v>-0.46406700937119494</v>
      </c>
      <c r="F27">
        <f>F8-dhap4!F8</f>
        <v>-0.69336579616077731</v>
      </c>
      <c r="H27">
        <f>H8-dhap4!H8</f>
        <v>1.7530056217838315</v>
      </c>
      <c r="J27">
        <f>J8-dhap4!J8</f>
        <v>-2.2192373532709508</v>
      </c>
      <c r="L27">
        <f>L8-dhap4!L8</f>
        <v>-0.98161163535783214</v>
      </c>
    </row>
    <row r="28" spans="1:12" x14ac:dyDescent="0.25">
      <c r="A28" t="s">
        <v>14</v>
      </c>
      <c r="B28">
        <f>B9-dhap4!B9</f>
        <v>-0.6268702492763607</v>
      </c>
      <c r="D28">
        <f>D9-dhap4!D9</f>
        <v>-1.3841820400999529</v>
      </c>
      <c r="F28">
        <f>F9-dhap4!F9</f>
        <v>-0.38896468282005681</v>
      </c>
      <c r="H28">
        <f>H9-dhap4!H9</f>
        <v>-1.1136044504886566</v>
      </c>
      <c r="J28">
        <f>J9-dhap4!J9</f>
        <v>-0.82292562789141077</v>
      </c>
      <c r="L28">
        <f>L9-dhap4!L9</f>
        <v>-0.87260960631444551</v>
      </c>
    </row>
    <row r="29" spans="1:12" x14ac:dyDescent="0.25">
      <c r="A29" t="s">
        <v>15</v>
      </c>
      <c r="B29">
        <f>B10-dhap4!B10</f>
        <v>-6.7854143267136457E-3</v>
      </c>
      <c r="D29">
        <f>D10-dhap4!D10</f>
        <v>-0.97878491458522521</v>
      </c>
      <c r="F29">
        <f>F10-dhap4!F10</f>
        <v>-0.41494013974504773</v>
      </c>
      <c r="H29">
        <f>H10-dhap4!H10</f>
        <v>-1.301879801229171</v>
      </c>
      <c r="J29">
        <f>J10-dhap4!J10</f>
        <v>2.753062100221304E-2</v>
      </c>
      <c r="L29">
        <f>L10-dhap4!L10</f>
        <v>-2.4319748921639892</v>
      </c>
    </row>
    <row r="30" spans="1:12" x14ac:dyDescent="0.25">
      <c r="A30" t="s">
        <v>16</v>
      </c>
      <c r="B30">
        <f>B11-dhap4!B11</f>
        <v>0.37496844294123943</v>
      </c>
      <c r="D30">
        <f>D11-dhap4!D11</f>
        <v>-0.61790955895625332</v>
      </c>
      <c r="F30">
        <f>F11-dhap4!F11</f>
        <v>-2.9648120553552726</v>
      </c>
      <c r="H30">
        <f>H11-dhap4!H11</f>
        <v>-1.3569608575231937</v>
      </c>
      <c r="J30">
        <f>J11-dhap4!J11</f>
        <v>-5.3949784780195458</v>
      </c>
      <c r="L30">
        <f>L11-dhap4!L11</f>
        <v>0.21123873262352322</v>
      </c>
    </row>
    <row r="31" spans="1:12" x14ac:dyDescent="0.25">
      <c r="A31" t="s">
        <v>17</v>
      </c>
      <c r="B31">
        <f>B12-dhap4!B12</f>
        <v>-0.95805161262671512</v>
      </c>
      <c r="D31">
        <f>D12-dhap4!D12</f>
        <v>-0.86400643504299024</v>
      </c>
      <c r="F31">
        <f>F12-dhap4!F12</f>
        <v>-0.83254490199816678</v>
      </c>
      <c r="H31">
        <f>H12-dhap4!H12</f>
        <v>-1.2279029488135524</v>
      </c>
      <c r="J31">
        <f>J12-dhap4!J12</f>
        <v>-1.1548850832075277</v>
      </c>
      <c r="L31">
        <f>L12-dhap4!L12</f>
        <v>-0.80703456881446345</v>
      </c>
    </row>
    <row r="32" spans="1:12" x14ac:dyDescent="0.25">
      <c r="A32" t="s">
        <v>18</v>
      </c>
      <c r="B32">
        <f>B13-dhap4!B13</f>
        <v>-0.63941368139688415</v>
      </c>
      <c r="D32">
        <f>D13-dhap4!D13</f>
        <v>-0.79812941614903377</v>
      </c>
      <c r="F32">
        <f>F13-dhap4!F13</f>
        <v>-0.70706188771563561</v>
      </c>
      <c r="H32">
        <f>H13-dhap4!H13</f>
        <v>-0.57095779504321864</v>
      </c>
      <c r="J32">
        <f>J13-dhap4!J13</f>
        <v>-0.7653038474022904</v>
      </c>
      <c r="L32">
        <f>L13-dhap4!L13</f>
        <v>-1.1435204621771122</v>
      </c>
    </row>
    <row r="33" spans="1:12" x14ac:dyDescent="0.25">
      <c r="A33" t="s">
        <v>19</v>
      </c>
      <c r="B33">
        <f>B14-dhap4!B14</f>
        <v>-0.24392621637413314</v>
      </c>
      <c r="D33">
        <f>D14-dhap4!D14</f>
        <v>-0.43662154619224491</v>
      </c>
      <c r="F33">
        <f>F14-dhap4!F14</f>
        <v>-1.9198391873974348</v>
      </c>
      <c r="H33">
        <f>H14-dhap4!H14</f>
        <v>-1.7088356640927342</v>
      </c>
      <c r="J33">
        <f>J14-dhap4!J14</f>
        <v>-0.647130828245297</v>
      </c>
      <c r="L33">
        <f>L14-dhap4!L14</f>
        <v>-0.93116741362569788</v>
      </c>
    </row>
    <row r="34" spans="1:12" x14ac:dyDescent="0.25">
      <c r="A34" t="s">
        <v>20</v>
      </c>
      <c r="B34">
        <f>B15-dhap4!B15</f>
        <v>-0.75357545513539859</v>
      </c>
      <c r="D34">
        <f>D15-dhap4!D15</f>
        <v>-0.30994260345254887</v>
      </c>
      <c r="F34">
        <f>F15-dhap4!F15</f>
        <v>-16.090443376402554</v>
      </c>
      <c r="H34">
        <f>H15-dhap4!H15</f>
        <v>-1.756714435287964</v>
      </c>
      <c r="J34">
        <f>J15-dhap4!J15</f>
        <v>-0.20739370617632646</v>
      </c>
      <c r="L34">
        <f>L15-dhap4!L15</f>
        <v>-0.69981204859701596</v>
      </c>
    </row>
    <row r="35" spans="1:12" x14ac:dyDescent="0.25">
      <c r="A35" t="s">
        <v>21</v>
      </c>
      <c r="B35">
        <f>B16-dhap4!B16</f>
        <v>-2.3317984874110964</v>
      </c>
      <c r="D35">
        <f>D16-dhap4!D16</f>
        <v>-0.62465448022068915</v>
      </c>
      <c r="F35">
        <f>F16-dhap4!F16</f>
        <v>-1.8736484462879555</v>
      </c>
      <c r="H35">
        <f>H16-dhap4!H16</f>
        <v>0.13821110067548559</v>
      </c>
      <c r="J35">
        <f>J16-dhap4!J16</f>
        <v>-1.6031125018929169</v>
      </c>
      <c r="L35">
        <f>L16-dhap4!L16</f>
        <v>1.4115341439038946</v>
      </c>
    </row>
    <row r="37" spans="1:12" x14ac:dyDescent="0.25">
      <c r="A37" t="s">
        <v>111</v>
      </c>
    </row>
    <row r="38" spans="1:12" x14ac:dyDescent="0.25">
      <c r="A38">
        <v>1.4920723175922053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8"/>
  <sheetViews>
    <sheetView workbookViewId="0">
      <selection activeCell="O3" sqref="O3"/>
    </sheetView>
  </sheetViews>
  <sheetFormatPr defaultColWidth="8.85546875" defaultRowHeight="15" x14ac:dyDescent="0.25"/>
  <sheetData>
    <row r="1" spans="1:15" x14ac:dyDescent="0.25">
      <c r="A1" t="s">
        <v>0</v>
      </c>
      <c r="B1" t="s">
        <v>1</v>
      </c>
      <c r="C1" s="14" t="s">
        <v>22</v>
      </c>
      <c r="D1" t="s">
        <v>2</v>
      </c>
      <c r="E1" s="15" t="s">
        <v>23</v>
      </c>
      <c r="F1" t="s">
        <v>3</v>
      </c>
      <c r="G1" s="16" t="s">
        <v>24</v>
      </c>
      <c r="H1" t="s">
        <v>4</v>
      </c>
      <c r="I1" s="17" t="s">
        <v>25</v>
      </c>
      <c r="J1" t="s">
        <v>5</v>
      </c>
      <c r="K1" s="18" t="s">
        <v>26</v>
      </c>
      <c r="L1" t="s">
        <v>6</v>
      </c>
      <c r="M1" s="19" t="s">
        <v>27</v>
      </c>
    </row>
    <row r="2" spans="1:15" x14ac:dyDescent="0.25">
      <c r="A2" t="s">
        <v>7</v>
      </c>
      <c r="B2">
        <v>0.42643116536262948</v>
      </c>
      <c r="C2" s="14">
        <v>0.762384490029694</v>
      </c>
      <c r="D2">
        <v>0.22821128680848327</v>
      </c>
      <c r="E2" s="15">
        <v>0.44624975588118598</v>
      </c>
      <c r="F2">
        <v>1.4131661434607261</v>
      </c>
      <c r="G2" s="16">
        <v>0.78551996118716705</v>
      </c>
      <c r="H2">
        <v>0.10821547293271416</v>
      </c>
      <c r="I2" s="17">
        <v>0.29160072506103601</v>
      </c>
      <c r="J2">
        <v>0.21768043574711723</v>
      </c>
      <c r="K2" s="18">
        <v>0.82577386681059695</v>
      </c>
      <c r="L2">
        <v>1.3251218348071847</v>
      </c>
      <c r="M2" s="7">
        <v>4.5710095337786E-2</v>
      </c>
    </row>
    <row r="3" spans="1:15" x14ac:dyDescent="0.25">
      <c r="A3" t="s">
        <v>8</v>
      </c>
      <c r="B3">
        <v>0.31840148347703451</v>
      </c>
      <c r="C3" s="14">
        <v>8.2901279432195593E-2</v>
      </c>
      <c r="D3">
        <v>0.34367877158106791</v>
      </c>
      <c r="E3" s="9">
        <v>9.0782211164155292E-3</v>
      </c>
      <c r="F3">
        <v>0.478469512543088</v>
      </c>
      <c r="G3" s="16">
        <v>0.52024738694317496</v>
      </c>
      <c r="H3">
        <v>0.32180387020582818</v>
      </c>
      <c r="I3" s="17">
        <v>7.2269282640789106E-2</v>
      </c>
      <c r="J3">
        <v>1.2374892235091715</v>
      </c>
      <c r="K3" s="18">
        <v>0.76388269721491497</v>
      </c>
      <c r="L3">
        <v>1.2261114325556945</v>
      </c>
      <c r="M3" s="19">
        <v>0.45347930983877699</v>
      </c>
      <c r="O3" t="s">
        <v>119</v>
      </c>
    </row>
    <row r="4" spans="1:15" x14ac:dyDescent="0.25">
      <c r="A4" t="s">
        <v>9</v>
      </c>
      <c r="B4">
        <v>0.65844837242472043</v>
      </c>
      <c r="C4" s="14">
        <v>6.6225124959576706E-2</v>
      </c>
      <c r="D4">
        <v>0.14496421249999999</v>
      </c>
      <c r="E4" s="15">
        <v>0.61881514010194805</v>
      </c>
      <c r="F4">
        <v>0.91368571518963282</v>
      </c>
      <c r="G4" s="10">
        <v>1.6347989883004101E-2</v>
      </c>
      <c r="H4">
        <v>1.1012478713276501</v>
      </c>
      <c r="I4" s="11">
        <v>1.1178235493982801E-2</v>
      </c>
      <c r="J4">
        <v>1.1401106721553935</v>
      </c>
      <c r="K4" s="18">
        <v>0.41128551861353002</v>
      </c>
      <c r="L4">
        <v>0.92780888015655372</v>
      </c>
      <c r="M4" s="7">
        <v>2.5966862137770701E-2</v>
      </c>
    </row>
    <row r="5" spans="1:15" x14ac:dyDescent="0.25">
      <c r="A5" t="s">
        <v>10</v>
      </c>
      <c r="B5">
        <v>0.52693305866499407</v>
      </c>
      <c r="C5" s="14">
        <v>0.33061324554751997</v>
      </c>
      <c r="D5">
        <v>1.0196372500444675</v>
      </c>
      <c r="E5" s="15">
        <v>0.58761063110676703</v>
      </c>
      <c r="F5">
        <v>0.76928539013497721</v>
      </c>
      <c r="G5" s="16">
        <v>0.876273721691745</v>
      </c>
      <c r="H5">
        <v>0.68080346944094405</v>
      </c>
      <c r="I5" s="17">
        <v>0.12610118972802201</v>
      </c>
      <c r="J5">
        <v>0.54266511379954996</v>
      </c>
      <c r="K5" s="18">
        <v>0.84451617033304205</v>
      </c>
      <c r="L5">
        <v>0.22989258043157301</v>
      </c>
      <c r="M5" s="19">
        <v>0.34787221257796602</v>
      </c>
    </row>
    <row r="6" spans="1:15" x14ac:dyDescent="0.25">
      <c r="A6" t="s">
        <v>11</v>
      </c>
      <c r="B6">
        <v>0.53199460952249611</v>
      </c>
      <c r="C6" s="14">
        <v>0.41886387925431101</v>
      </c>
      <c r="D6">
        <v>0.22404460464285483</v>
      </c>
      <c r="E6" s="15">
        <v>0.54683519144140802</v>
      </c>
      <c r="F6">
        <v>0.35326105333333335</v>
      </c>
      <c r="G6" s="16">
        <v>0.60936795919082498</v>
      </c>
      <c r="H6">
        <v>0.21275361445225061</v>
      </c>
      <c r="I6" s="17">
        <v>0.51888455220311103</v>
      </c>
      <c r="J6">
        <v>0.31500410806426127</v>
      </c>
      <c r="K6" s="18">
        <v>0.92811381976317897</v>
      </c>
      <c r="L6">
        <v>0.1493531703258191</v>
      </c>
      <c r="M6" s="19">
        <v>0.117144834533319</v>
      </c>
    </row>
    <row r="7" spans="1:15" x14ac:dyDescent="0.25">
      <c r="A7" t="s">
        <v>12</v>
      </c>
      <c r="B7">
        <v>2.1308213264650773</v>
      </c>
      <c r="C7" s="14">
        <v>0.73074475229926095</v>
      </c>
      <c r="D7">
        <v>1.193361228019344</v>
      </c>
      <c r="E7" s="15">
        <v>0.482119508817688</v>
      </c>
      <c r="F7">
        <v>1.4218392111783025</v>
      </c>
      <c r="G7" s="16">
        <v>7.7299330333445299E-2</v>
      </c>
      <c r="H7">
        <v>0.4916199175</v>
      </c>
      <c r="I7" s="17">
        <v>0.41648763304756098</v>
      </c>
      <c r="J7">
        <v>1.3734469036367303</v>
      </c>
      <c r="K7" s="18">
        <v>0.92618166088133702</v>
      </c>
      <c r="L7">
        <v>0.47535333521884882</v>
      </c>
      <c r="M7" s="7">
        <v>1.5741522728162101E-2</v>
      </c>
    </row>
    <row r="8" spans="1:15" x14ac:dyDescent="0.25">
      <c r="A8" t="s">
        <v>13</v>
      </c>
      <c r="B8">
        <v>0.60950164284577857</v>
      </c>
      <c r="C8" s="12">
        <v>3.9736164584284001E-2</v>
      </c>
      <c r="D8">
        <v>0.67018750208023981</v>
      </c>
      <c r="E8" s="9">
        <v>2.23753114222145E-3</v>
      </c>
      <c r="F8">
        <v>0.30218129284215284</v>
      </c>
      <c r="G8" s="10">
        <v>2.4759724199063201E-3</v>
      </c>
      <c r="H8">
        <v>2.8422927479738314</v>
      </c>
      <c r="I8" s="17">
        <v>0.42442038054964198</v>
      </c>
      <c r="J8">
        <v>0.5935956166666666</v>
      </c>
      <c r="K8" s="18">
        <v>0.57583799773840905</v>
      </c>
      <c r="L8">
        <v>0.51116208876875369</v>
      </c>
      <c r="M8" s="7">
        <v>1.1238296525258799E-3</v>
      </c>
    </row>
    <row r="9" spans="1:15" x14ac:dyDescent="0.25">
      <c r="A9" t="s">
        <v>14</v>
      </c>
      <c r="B9">
        <v>0.51547510540622299</v>
      </c>
      <c r="C9" s="14">
        <v>0.30555896896170998</v>
      </c>
      <c r="D9">
        <v>0.29844030717513081</v>
      </c>
      <c r="E9" s="15">
        <v>0.220796800536256</v>
      </c>
      <c r="F9">
        <v>0.84886747988460032</v>
      </c>
      <c r="G9" s="16">
        <v>0.34273266373509897</v>
      </c>
      <c r="H9">
        <v>0.25697642360285572</v>
      </c>
      <c r="I9" s="11">
        <v>1.6849469393969401E-2</v>
      </c>
      <c r="J9">
        <v>0.57682860432675309</v>
      </c>
      <c r="K9" s="18">
        <v>0.80207673397527102</v>
      </c>
      <c r="L9">
        <v>0.27581322293552851</v>
      </c>
      <c r="M9" s="19">
        <v>8.3557084326203193E-2</v>
      </c>
    </row>
    <row r="10" spans="1:15" x14ac:dyDescent="0.25">
      <c r="A10" t="s">
        <v>15</v>
      </c>
      <c r="B10">
        <v>0.98378812828888995</v>
      </c>
      <c r="C10" s="14">
        <v>0.40967747091093998</v>
      </c>
      <c r="D10">
        <v>0.25949148380764414</v>
      </c>
      <c r="E10" s="9">
        <v>4.93615335741312E-2</v>
      </c>
      <c r="F10">
        <v>0.97545938840005686</v>
      </c>
      <c r="G10" s="16">
        <v>7.5060611423136706E-2</v>
      </c>
      <c r="H10">
        <v>0.17679409769187041</v>
      </c>
      <c r="I10" s="17">
        <v>5.3349459021998002E-2</v>
      </c>
      <c r="J10">
        <v>1.150215562530976</v>
      </c>
      <c r="K10" s="18">
        <v>0.83537027035042999</v>
      </c>
      <c r="L10">
        <v>0.292900809715477</v>
      </c>
      <c r="M10" s="7">
        <v>2.0751052693414899E-3</v>
      </c>
    </row>
    <row r="11" spans="1:15" x14ac:dyDescent="0.25">
      <c r="A11" t="s">
        <v>16</v>
      </c>
      <c r="B11">
        <v>1.9516230339349769</v>
      </c>
      <c r="C11" s="14">
        <v>0.312866167848105</v>
      </c>
      <c r="D11">
        <v>1.067425349389229</v>
      </c>
      <c r="E11" s="15">
        <v>0.36919882166698498</v>
      </c>
      <c r="F11">
        <v>0.14797113475031512</v>
      </c>
      <c r="G11" s="16">
        <v>0.32044779172975002</v>
      </c>
      <c r="H11">
        <v>0.12376780297667961</v>
      </c>
      <c r="I11" s="17">
        <v>1.01926877470356</v>
      </c>
      <c r="J11">
        <v>0.74444632239592012</v>
      </c>
      <c r="K11" s="18">
        <v>0.41730594570108798</v>
      </c>
      <c r="L11">
        <v>1.2524421778543402</v>
      </c>
      <c r="M11" s="19">
        <v>0.32964773522541801</v>
      </c>
    </row>
    <row r="12" spans="1:15" x14ac:dyDescent="0.25">
      <c r="A12" t="s">
        <v>17</v>
      </c>
      <c r="B12">
        <v>0.26852122551683189</v>
      </c>
      <c r="C12" s="14">
        <v>0.673063017606508</v>
      </c>
      <c r="D12">
        <v>0.64472804299405917</v>
      </c>
      <c r="E12" s="15">
        <v>0.48391674975244903</v>
      </c>
      <c r="F12">
        <v>0.42959732121782884</v>
      </c>
      <c r="G12" s="16">
        <v>0.37967438937929698</v>
      </c>
      <c r="H12">
        <v>0.20268005907575426</v>
      </c>
      <c r="I12" s="17">
        <v>0.61551986182630103</v>
      </c>
      <c r="J12">
        <v>0.32928881673633775</v>
      </c>
      <c r="K12" s="18">
        <v>0.96518223885221099</v>
      </c>
      <c r="L12">
        <v>0.24986205813980963</v>
      </c>
      <c r="M12" s="19">
        <v>0.77989454444137896</v>
      </c>
    </row>
    <row r="13" spans="1:15" x14ac:dyDescent="0.25">
      <c r="A13" t="s">
        <v>18</v>
      </c>
      <c r="B13">
        <v>0.49819409255399416</v>
      </c>
      <c r="C13" s="14">
        <v>9.5712795892028399E-2</v>
      </c>
      <c r="D13">
        <v>0.26820537827722829</v>
      </c>
      <c r="E13" s="15">
        <v>0.44634237725270698</v>
      </c>
      <c r="F13">
        <v>0.28916711859604044</v>
      </c>
      <c r="G13" s="16">
        <v>0.31255665386579601</v>
      </c>
      <c r="H13">
        <v>0.4698566753052556</v>
      </c>
      <c r="I13" s="17">
        <v>0.98678976939878205</v>
      </c>
      <c r="J13">
        <v>0.29784091811629065</v>
      </c>
      <c r="K13" s="18">
        <v>0.517815470814041</v>
      </c>
      <c r="L13">
        <v>0.32519225657825374</v>
      </c>
      <c r="M13" s="19">
        <v>0.297478016852251</v>
      </c>
    </row>
    <row r="14" spans="1:15" x14ac:dyDescent="0.25">
      <c r="A14" t="s">
        <v>19</v>
      </c>
      <c r="B14">
        <v>0.89516073774566807</v>
      </c>
      <c r="C14" s="14">
        <v>0.174295602147962</v>
      </c>
      <c r="D14">
        <v>0.66334067113841844</v>
      </c>
      <c r="E14" s="15">
        <v>0.86844583111990603</v>
      </c>
      <c r="F14">
        <v>1.1359333541678647</v>
      </c>
      <c r="G14" s="10">
        <v>4.3268390080787603E-2</v>
      </c>
      <c r="H14">
        <v>0.72743233567536647</v>
      </c>
      <c r="I14" s="11">
        <v>8.3521584494051695E-3</v>
      </c>
      <c r="J14">
        <v>0.441950864963705</v>
      </c>
      <c r="K14" s="18">
        <v>0.81524617305381997</v>
      </c>
      <c r="L14">
        <v>0.89308699176222606</v>
      </c>
      <c r="M14" s="19">
        <v>6.5292475138674894E-2</v>
      </c>
    </row>
    <row r="15" spans="1:15" x14ac:dyDescent="0.25">
      <c r="A15" t="s">
        <v>20</v>
      </c>
      <c r="B15">
        <v>0.56376823321920366</v>
      </c>
      <c r="C15" s="12">
        <v>4.0424970068182499E-3</v>
      </c>
      <c r="D15">
        <v>0.69560957492787423</v>
      </c>
      <c r="E15" s="15">
        <v>5.7965913592618802E-2</v>
      </c>
      <c r="F15">
        <v>0.9679375772638501</v>
      </c>
      <c r="G15" s="16">
        <v>0.218104991549528</v>
      </c>
      <c r="H15">
        <v>0.37177227355308462</v>
      </c>
      <c r="I15" s="11">
        <v>1.17388410353965E-2</v>
      </c>
      <c r="J15">
        <v>0.67886646496360858</v>
      </c>
      <c r="K15" s="18">
        <v>0.21974386864794401</v>
      </c>
      <c r="L15">
        <v>0.68458218552761529</v>
      </c>
      <c r="M15" s="19">
        <v>0.26584607245743602</v>
      </c>
    </row>
    <row r="16" spans="1:15" x14ac:dyDescent="0.25">
      <c r="A16" t="s">
        <v>21</v>
      </c>
      <c r="B16">
        <v>1.6015464745112877</v>
      </c>
      <c r="C16" s="12">
        <v>8.8957362296602296E-3</v>
      </c>
      <c r="D16">
        <v>0.80165594252598515</v>
      </c>
      <c r="E16" s="15">
        <v>0.31603437363464698</v>
      </c>
      <c r="F16">
        <v>1.7714828089593686</v>
      </c>
      <c r="G16" s="16">
        <v>0.250267714639267</v>
      </c>
      <c r="H16">
        <v>0.92070611124015489</v>
      </c>
      <c r="I16" s="17">
        <v>1.01343777505961</v>
      </c>
      <c r="J16">
        <v>0.36821351151469717</v>
      </c>
      <c r="K16" s="18">
        <v>0.88243598341370999</v>
      </c>
      <c r="L16">
        <v>3.1590337508333337</v>
      </c>
      <c r="M16" s="19">
        <v>0.45617091532496501</v>
      </c>
    </row>
    <row r="20" spans="1:12" x14ac:dyDescent="0.25">
      <c r="A20" t="s">
        <v>118</v>
      </c>
    </row>
    <row r="21" spans="1:12" x14ac:dyDescent="0.25">
      <c r="A21" t="s">
        <v>7</v>
      </c>
      <c r="B21">
        <f>B2-dhap4!B2</f>
        <v>-0.58843043452589094</v>
      </c>
      <c r="D21">
        <f>D2-dhap4!D2</f>
        <v>-0.97061805857035133</v>
      </c>
      <c r="F21">
        <f>F2-dhap4!F2</f>
        <v>-4.2018518861885346E-2</v>
      </c>
      <c r="H21">
        <f>H2-dhap4!H2</f>
        <v>-1.2615651156160945</v>
      </c>
      <c r="J21">
        <f>J2-dhap4!J2</f>
        <v>-0.84312904048522752</v>
      </c>
      <c r="L21">
        <f>L2-dhap4!L2</f>
        <v>-0.14855279130799448</v>
      </c>
    </row>
    <row r="22" spans="1:12" x14ac:dyDescent="0.25">
      <c r="A22" t="s">
        <v>8</v>
      </c>
      <c r="B22">
        <f>B3-dhap4!B3</f>
        <v>-0.80202731216695322</v>
      </c>
      <c r="D22">
        <f>D3-dhap4!D3</f>
        <v>-1.121686418904082</v>
      </c>
      <c r="F22">
        <f>F3-dhap4!F3</f>
        <v>-0.97260796606741162</v>
      </c>
      <c r="H22">
        <f>H3-dhap4!H3</f>
        <v>-1.4305514915446136</v>
      </c>
      <c r="J22">
        <f>J3-dhap4!J3</f>
        <v>2.6437476438550211E-2</v>
      </c>
      <c r="L22">
        <f>L3-dhap4!L3</f>
        <v>-0.16972776461740935</v>
      </c>
    </row>
    <row r="23" spans="1:12" x14ac:dyDescent="0.25">
      <c r="A23" t="s">
        <v>9</v>
      </c>
      <c r="B23">
        <f>B4-dhap4!B4</f>
        <v>-0.8002043707898735</v>
      </c>
      <c r="D23">
        <f>D4-dhap4!D4</f>
        <v>-1.5744223426702637</v>
      </c>
      <c r="F23">
        <f>F4-dhap4!F4</f>
        <v>-0.26877900554889911</v>
      </c>
      <c r="H23">
        <f>H4-dhap4!H4</f>
        <v>-0.10794297261064223</v>
      </c>
      <c r="J23">
        <f>J4-dhap4!J4</f>
        <v>3.3696900426732901E-2</v>
      </c>
      <c r="L23">
        <f>L4-dhap4!L4</f>
        <v>-0.47633442796371106</v>
      </c>
    </row>
    <row r="24" spans="1:12" x14ac:dyDescent="0.25">
      <c r="A24" t="s">
        <v>10</v>
      </c>
      <c r="B24">
        <f>B5-dhap4!B5</f>
        <v>-1.3269801569286122</v>
      </c>
      <c r="D24">
        <f>D5-dhap4!D5</f>
        <v>-0.8259746209761174</v>
      </c>
      <c r="F24">
        <f>F5-dhap4!F5</f>
        <v>-0.25894873633947468</v>
      </c>
      <c r="H24">
        <f>H5-dhap4!H5</f>
        <v>-1.2741454722918419</v>
      </c>
      <c r="J24">
        <f>J5-dhap4!J5</f>
        <v>-0.64616929401433443</v>
      </c>
      <c r="L24">
        <f>L5-dhap4!L5</f>
        <v>-0.94885233921797996</v>
      </c>
    </row>
    <row r="25" spans="1:12" x14ac:dyDescent="0.25">
      <c r="A25" t="s">
        <v>11</v>
      </c>
      <c r="B25">
        <f>B6-dhap4!B6</f>
        <v>-0.63733959941161888</v>
      </c>
      <c r="D25">
        <f>D6-dhap4!D6</f>
        <v>-0.99274623232306669</v>
      </c>
      <c r="F25">
        <f>F6-dhap4!F6</f>
        <v>-0.80099285302372358</v>
      </c>
      <c r="H25">
        <f>H6-dhap4!H6</f>
        <v>-0.91399614457373435</v>
      </c>
      <c r="J25">
        <f>J6-dhap4!J6</f>
        <v>-0.89433553311846803</v>
      </c>
      <c r="L25">
        <f>L6-dhap4!L6</f>
        <v>-1.4211342361906003</v>
      </c>
    </row>
    <row r="26" spans="1:12" x14ac:dyDescent="0.25">
      <c r="A26" t="s">
        <v>12</v>
      </c>
      <c r="B26">
        <f>B7-dhap4!B7</f>
        <v>0.93603013044590022</v>
      </c>
      <c r="D26">
        <f>D7-dhap4!D7</f>
        <v>0.13270805533027352</v>
      </c>
      <c r="F26">
        <f>F7-dhap4!F7</f>
        <v>-0.6311109524798455</v>
      </c>
      <c r="H26">
        <f>H7-dhap4!H7</f>
        <v>-1.0208378535236642</v>
      </c>
      <c r="J26">
        <f>J7-dhap4!J7</f>
        <v>0.31285361533087785</v>
      </c>
      <c r="L26">
        <f>L7-dhap4!L7</f>
        <v>-1.2435509304282424</v>
      </c>
    </row>
    <row r="27" spans="1:12" x14ac:dyDescent="0.25">
      <c r="A27" t="s">
        <v>13</v>
      </c>
      <c r="B27">
        <f>B8-dhap4!B8</f>
        <v>-0.44265468192406299</v>
      </c>
      <c r="D27">
        <f>D8-dhap4!D8</f>
        <v>-0.57580401048549679</v>
      </c>
      <c r="F27">
        <f>F8-dhap4!F8</f>
        <v>-0.70248259433715221</v>
      </c>
      <c r="H27">
        <f>H8-dhap4!H8</f>
        <v>1.7844067770080452</v>
      </c>
      <c r="J27">
        <f>J8-dhap4!J8</f>
        <v>-2.2192373532709508</v>
      </c>
      <c r="L27">
        <f>L8-dhap4!L8</f>
        <v>-0.98954198558564588</v>
      </c>
    </row>
    <row r="28" spans="1:12" x14ac:dyDescent="0.25">
      <c r="A28" t="s">
        <v>14</v>
      </c>
      <c r="B28">
        <f>B9-dhap4!B9</f>
        <v>-0.57657213308247401</v>
      </c>
      <c r="D28">
        <f>D9-dhap4!D9</f>
        <v>-1.4000585009999278</v>
      </c>
      <c r="F28">
        <f>F9-dhap4!F9</f>
        <v>-0.37710624321949981</v>
      </c>
      <c r="H28">
        <f>H9-dhap4!H9</f>
        <v>-1.1090590528806374</v>
      </c>
      <c r="J28">
        <f>J9-dhap4!J9</f>
        <v>-0.73012883187875388</v>
      </c>
      <c r="L28">
        <f>L9-dhap4!L9</f>
        <v>-0.86610919923822194</v>
      </c>
    </row>
    <row r="29" spans="1:12" x14ac:dyDescent="0.25">
      <c r="A29" t="s">
        <v>15</v>
      </c>
      <c r="B29">
        <f>B10-dhap4!B10</f>
        <v>-1.6563200727841232E-2</v>
      </c>
      <c r="D29">
        <f>D10-dhap4!D10</f>
        <v>-0.99798050077317724</v>
      </c>
      <c r="F29">
        <f>F10-dhap4!F10</f>
        <v>-0.30594473077524276</v>
      </c>
      <c r="H29">
        <f>H10-dhap4!H10</f>
        <v>-1.2746707586385304</v>
      </c>
      <c r="J29">
        <f>J10-dhap4!J10</f>
        <v>-3.4599535803334858E-2</v>
      </c>
      <c r="L29">
        <f>L10-dhap4!L10</f>
        <v>-2.4338309874038653</v>
      </c>
    </row>
    <row r="30" spans="1:12" x14ac:dyDescent="0.25">
      <c r="A30" t="s">
        <v>16</v>
      </c>
      <c r="B30">
        <f>B11-dhap4!B11</f>
        <v>0.36143027684926721</v>
      </c>
      <c r="D30">
        <f>D11-dhap4!D11</f>
        <v>-0.44958249416425367</v>
      </c>
      <c r="F30">
        <f>F11-dhap4!F11</f>
        <v>-3.008256862451268</v>
      </c>
      <c r="H30">
        <f>H11-dhap4!H11</f>
        <v>-1.4134596967581274</v>
      </c>
      <c r="J30">
        <f>J11-dhap4!J11</f>
        <v>-5.1629103388113347</v>
      </c>
      <c r="L30">
        <f>L11-dhap4!L11</f>
        <v>4.789753389276008E-4</v>
      </c>
    </row>
    <row r="31" spans="1:12" x14ac:dyDescent="0.25">
      <c r="A31" t="s">
        <v>17</v>
      </c>
      <c r="B31">
        <f>B12-dhap4!B12</f>
        <v>-1.0143484850078659</v>
      </c>
      <c r="D31">
        <f>D12-dhap4!D12</f>
        <v>-0.87827971757818335</v>
      </c>
      <c r="F31">
        <f>F12-dhap4!F12</f>
        <v>-0.80120090468367966</v>
      </c>
      <c r="H31">
        <f>H12-dhap4!H12</f>
        <v>-1.214327900274474</v>
      </c>
      <c r="J31">
        <f>J12-dhap4!J12</f>
        <v>-1.1318673178971466</v>
      </c>
      <c r="L31">
        <f>L12-dhap4!L12</f>
        <v>-0.82685849550040014</v>
      </c>
    </row>
    <row r="32" spans="1:12" x14ac:dyDescent="0.25">
      <c r="A32" t="s">
        <v>18</v>
      </c>
      <c r="B32">
        <f>B13-dhap4!B13</f>
        <v>-0.65615466619824747</v>
      </c>
      <c r="D32">
        <f>D13-dhap4!D13</f>
        <v>-0.79932919617354226</v>
      </c>
      <c r="F32">
        <f>F13-dhap4!F13</f>
        <v>-0.75936004972333526</v>
      </c>
      <c r="H32">
        <f>H13-dhap4!H13</f>
        <v>-0.64876005863731323</v>
      </c>
      <c r="J32">
        <f>J13-dhap4!J13</f>
        <v>-0.80421333514433746</v>
      </c>
      <c r="L32">
        <f>L13-dhap4!L13</f>
        <v>-1.1480773582842561</v>
      </c>
    </row>
    <row r="33" spans="1:12" x14ac:dyDescent="0.25">
      <c r="A33" t="s">
        <v>19</v>
      </c>
      <c r="B33">
        <f>B14-dhap4!B14</f>
        <v>-0.24375748483515247</v>
      </c>
      <c r="D33">
        <f>D14-dhap4!D14</f>
        <v>-0.4342147678980075</v>
      </c>
      <c r="F33">
        <f>F14-dhap4!F14</f>
        <v>-2.036139012216359</v>
      </c>
      <c r="H33">
        <f>H14-dhap4!H14</f>
        <v>-1.7116105388785621</v>
      </c>
      <c r="J33">
        <f>J14-dhap4!J14</f>
        <v>-0.6522351136846849</v>
      </c>
      <c r="L33">
        <f>L14-dhap4!L14</f>
        <v>-0.92685947425426118</v>
      </c>
    </row>
    <row r="34" spans="1:12" x14ac:dyDescent="0.25">
      <c r="A34" t="s">
        <v>20</v>
      </c>
      <c r="B34">
        <f>B15-dhap4!B15</f>
        <v>-0.57534383929548472</v>
      </c>
      <c r="D34">
        <f>D15-dhap4!D15</f>
        <v>-0.44363192014134023</v>
      </c>
      <c r="F34">
        <f>F15-dhap4!F15</f>
        <v>-15.838556221663456</v>
      </c>
      <c r="H34">
        <f>H15-dhap4!H15</f>
        <v>-1.7958772840094781</v>
      </c>
      <c r="J34">
        <f>J15-dhap4!J15</f>
        <v>-0.3301849393501356</v>
      </c>
      <c r="L34">
        <f>L15-dhap4!L15</f>
        <v>-0.54992524727824921</v>
      </c>
    </row>
    <row r="35" spans="1:12" x14ac:dyDescent="0.25">
      <c r="A35" t="s">
        <v>21</v>
      </c>
      <c r="B35">
        <f>B16-dhap4!B16</f>
        <v>-2.4912974315730665</v>
      </c>
      <c r="D35">
        <f>D16-dhap4!D16</f>
        <v>-0.48960116984780588</v>
      </c>
      <c r="F35">
        <f>F16-dhap4!F16</f>
        <v>-1.1905354689192462</v>
      </c>
      <c r="H35">
        <f>H16-dhap4!H16</f>
        <v>-0.3875346701254081</v>
      </c>
      <c r="J35">
        <f>J16-dhap4!J16</f>
        <v>-1.5571878102068974</v>
      </c>
      <c r="L35">
        <f>L16-dhap4!L16</f>
        <v>1.4115341439038946</v>
      </c>
    </row>
    <row r="37" spans="1:12" x14ac:dyDescent="0.25">
      <c r="A37" t="s">
        <v>111</v>
      </c>
    </row>
    <row r="38" spans="1:12" x14ac:dyDescent="0.25">
      <c r="A38">
        <v>1.4741303710931064</v>
      </c>
    </row>
  </sheetData>
  <pageMargins left="0.7" right="0.7" top="0.75" bottom="0.75" header="0.3" footer="0.3"/>
  <pageSetup orientation="portrait" horizontalDpi="1200" verticalDpi="1200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workbookViewId="0">
      <selection activeCell="B2" sqref="B2"/>
    </sheetView>
  </sheetViews>
  <sheetFormatPr defaultColWidth="8.85546875" defaultRowHeight="15" x14ac:dyDescent="0.25"/>
  <sheetData>
    <row r="1" spans="1:13" x14ac:dyDescent="0.25">
      <c r="A1" t="s">
        <v>0</v>
      </c>
      <c r="B1" t="s">
        <v>1</v>
      </c>
      <c r="C1" s="14" t="s">
        <v>22</v>
      </c>
      <c r="D1" t="s">
        <v>2</v>
      </c>
      <c r="E1" s="15" t="s">
        <v>23</v>
      </c>
      <c r="F1" t="s">
        <v>3</v>
      </c>
      <c r="G1" s="16" t="s">
        <v>24</v>
      </c>
      <c r="H1" t="s">
        <v>4</v>
      </c>
      <c r="I1" s="17" t="s">
        <v>25</v>
      </c>
      <c r="J1" t="s">
        <v>5</v>
      </c>
      <c r="K1" s="18" t="s">
        <v>26</v>
      </c>
      <c r="L1" t="s">
        <v>6</v>
      </c>
      <c r="M1" s="19" t="s">
        <v>27</v>
      </c>
    </row>
    <row r="2" spans="1:13" x14ac:dyDescent="0.25">
      <c r="A2" t="s">
        <v>7</v>
      </c>
      <c r="B2">
        <f>0.44850463265741/minMSE_dhap4_calculated!B2</f>
        <v>1.0983975540360753</v>
      </c>
      <c r="C2" s="14">
        <v>0.762384490029694</v>
      </c>
      <c r="D2">
        <f>0.100402723199954/minMSE_dhap4_calculated!C2</f>
        <v>1.2527439881032769</v>
      </c>
      <c r="E2" s="15">
        <v>0.44624975588118598</v>
      </c>
      <c r="F2">
        <f>1.30180414973973/minMSE_dhap4_calculated!D2</f>
        <v>1.450463692322189</v>
      </c>
      <c r="G2" s="16">
        <v>0.78551996118716705</v>
      </c>
      <c r="H2">
        <f>0.141689839400637/minMSE_dhap4_calculated!E2</f>
        <v>1.3296680168860895</v>
      </c>
      <c r="I2" s="17">
        <v>0.29160072506103601</v>
      </c>
      <c r="J2">
        <f>0.203290875101077/minMSE_dhap4_calculated!F2</f>
        <v>1.0239554872887138</v>
      </c>
      <c r="K2" s="18">
        <v>0.82577386681059695</v>
      </c>
      <c r="L2">
        <f>1.20375903842674/minMSE_dhap4_calculated!G2</f>
        <v>2.0944948881350087</v>
      </c>
      <c r="M2" s="7">
        <v>4.5710095337786E-2</v>
      </c>
    </row>
    <row r="3" spans="1:13" x14ac:dyDescent="0.25">
      <c r="A3" t="s">
        <v>8</v>
      </c>
      <c r="B3">
        <f>0.450385607618919/minMSE_dhap4_calculated!B3</f>
        <v>1.9899226288504896</v>
      </c>
      <c r="C3" s="14">
        <v>8.2901279432195593E-2</v>
      </c>
      <c r="D3">
        <f>1.01592698861388/minMSE_dhap4_calculated!C3</f>
        <v>4.9562412327125109</v>
      </c>
      <c r="E3" s="9">
        <v>9.0782211164155292E-3</v>
      </c>
      <c r="F3">
        <f>0.486023819301516/minMSE_dhap4_calculated!D3</f>
        <v>1.1119151661284525</v>
      </c>
      <c r="G3" s="16">
        <v>0.52024738694317496</v>
      </c>
      <c r="H3">
        <f>0.486802929952241/minMSE_dhap4_calculated!E3</f>
        <v>2.697839842039552</v>
      </c>
      <c r="I3" s="17">
        <v>7.2269282640789106E-2</v>
      </c>
      <c r="J3">
        <f>1.31496383357415/minMSE_dhap4_calculated!F3</f>
        <v>1.3345131224210138</v>
      </c>
      <c r="K3" s="18">
        <v>0.76388269721491497</v>
      </c>
      <c r="L3">
        <f>1.74220901668233/minMSE_dhap4_calculated!G3</f>
        <v>2.034933125008846</v>
      </c>
      <c r="M3" s="19">
        <v>0.45347930983877699</v>
      </c>
    </row>
    <row r="4" spans="1:13" x14ac:dyDescent="0.25">
      <c r="A4" t="s">
        <v>9</v>
      </c>
      <c r="B4">
        <f>0.634923458540195/minMSE_dhap4_calculated!B4</f>
        <v>1.1165964637620573</v>
      </c>
      <c r="C4" s="14">
        <v>6.6225124959576706E-2</v>
      </c>
      <c r="D4">
        <f>0.1449642125/minMSE_dhap4_calculated!C4</f>
        <v>1.7193865551702636</v>
      </c>
      <c r="E4" s="15">
        <v>0.61881514010194805</v>
      </c>
      <c r="F4">
        <f>0.845197952259346/minMSE_dhap4_calculated!D4</f>
        <v>1.1515078498285998</v>
      </c>
      <c r="G4" s="10">
        <v>1.6347989883004101E-2</v>
      </c>
      <c r="H4">
        <f>1.11994077469022/minMSE_dhap4_calculated!E4</f>
        <v>1.2374644813490698</v>
      </c>
      <c r="I4" s="11">
        <v>1.1178235493982801E-2</v>
      </c>
      <c r="J4">
        <f>0.782853009373967/minMSE_dhap4_calculated!F4</f>
        <v>1.1252985407397138</v>
      </c>
      <c r="K4" s="18">
        <v>0.41128551861353002</v>
      </c>
      <c r="L4">
        <f>0.54448015863867/minMSE_dhap4_calculated!G4</f>
        <v>1.1285166941624316</v>
      </c>
      <c r="M4" s="7">
        <v>2.5966862137770701E-2</v>
      </c>
    </row>
    <row r="5" spans="1:13" x14ac:dyDescent="0.25">
      <c r="A5" t="s">
        <v>10</v>
      </c>
      <c r="B5">
        <f>0.469705713796787/minMSE_dhap4_calculated!B5</f>
        <v>1.7006780358018785</v>
      </c>
      <c r="C5" s="14">
        <v>0.33061324554751997</v>
      </c>
      <c r="D5">
        <f>0.840801649315685/minMSE_dhap4_calculated!C5</f>
        <v>1.7167269402738825</v>
      </c>
      <c r="E5" s="15">
        <v>0.58761063110676703</v>
      </c>
      <c r="F5">
        <f>0.787999847665528/minMSE_dhap4_calculated!D5</f>
        <v>1.0533960825904702</v>
      </c>
      <c r="G5" s="16">
        <v>0.876273721691745</v>
      </c>
      <c r="H5">
        <f>0.959715564476173/minMSE_dhap4_calculated!E5</f>
        <v>2.1182524679796431</v>
      </c>
      <c r="I5" s="17">
        <v>0.12610118972802201</v>
      </c>
      <c r="J5">
        <f>0.478039003117653/minMSE_dhap4_calculated!F5</f>
        <v>1.1291932527920467</v>
      </c>
      <c r="K5" s="18">
        <v>0.84451617033304205</v>
      </c>
      <c r="L5">
        <f>0.250096491443724/minMSE_dhap4_calculated!G5</f>
        <v>1.2890021142397385</v>
      </c>
      <c r="M5" s="19">
        <v>0.34787221257796602</v>
      </c>
    </row>
    <row r="6" spans="1:13" x14ac:dyDescent="0.25">
      <c r="A6" t="s">
        <v>11</v>
      </c>
      <c r="B6">
        <f>0.490956904157049/minMSE_dhap4_calculated!B6</f>
        <v>1.2103296577109004</v>
      </c>
      <c r="C6" s="14">
        <v>0.41886387925431101</v>
      </c>
      <c r="D6">
        <f>0.178935284692724/minMSE_dhap4_calculated!C6</f>
        <v>1.0810756395056944</v>
      </c>
      <c r="E6" s="15">
        <v>0.54683519144140802</v>
      </c>
      <c r="F6">
        <f>0.353261053333333/minMSE_dhap4_calculated!D6</f>
        <v>1.1542539063570569</v>
      </c>
      <c r="G6" s="16">
        <v>0.60936795919082498</v>
      </c>
      <c r="H6">
        <f>0.20567755451815/minMSE_dhap4_calculated!E6</f>
        <v>1.2408871632309022</v>
      </c>
      <c r="I6" s="17">
        <v>0.51888455220311103</v>
      </c>
      <c r="J6">
        <f>0.215031902260197/minMSE_dhap4_calculated!F6</f>
        <v>1.0970263781128959</v>
      </c>
      <c r="K6" s="18">
        <v>0.92811381976317897</v>
      </c>
      <c r="L6">
        <f>0.159740733896626/minMSE_dhap4_calculated!G6</f>
        <v>1.4566793385688139</v>
      </c>
      <c r="M6" s="19">
        <v>0.117144834533319</v>
      </c>
    </row>
    <row r="7" spans="1:13" x14ac:dyDescent="0.25">
      <c r="A7" t="s">
        <v>12</v>
      </c>
      <c r="B7">
        <f>1.89902351413274/minMSE_dhap4_calculated!B7</f>
        <v>1.0552620724709019</v>
      </c>
      <c r="C7" s="14">
        <v>0.73074475229926095</v>
      </c>
      <c r="D7">
        <f>1.43963917771812/minMSE_dhap4_calculated!C7</f>
        <v>1.3151774819313979</v>
      </c>
      <c r="E7" s="15">
        <v>0.482119508817688</v>
      </c>
      <c r="F7">
        <f>1.97503165290818/minMSE_dhap4_calculated!D7</f>
        <v>3.0155104326553994</v>
      </c>
      <c r="G7" s="16">
        <v>7.7299330333445299E-2</v>
      </c>
      <c r="H7">
        <f>0.4916199175/minMSE_dhap4_calculated!E7</f>
        <v>1.5124577710236642</v>
      </c>
      <c r="I7" s="17">
        <v>0.41648763304756098</v>
      </c>
      <c r="J7">
        <f>1.59863698279935/minMSE_dhap4_calculated!F7</f>
        <v>1.1928521640851899</v>
      </c>
      <c r="K7" s="18">
        <v>0.92618166088133702</v>
      </c>
      <c r="L7">
        <f>0.626022201097636/minMSE_dhap4_calculated!G7</f>
        <v>1.922690299624956</v>
      </c>
      <c r="M7" s="7">
        <v>1.5741522728162101E-2</v>
      </c>
    </row>
    <row r="8" spans="1:13" x14ac:dyDescent="0.25">
      <c r="A8" t="s">
        <v>13</v>
      </c>
      <c r="B8">
        <f>0.620772581074797/minMSE_dhap4_calculated!B8</f>
        <v>1.0573192992321194</v>
      </c>
      <c r="C8" s="12">
        <v>3.9736164584284001E-2</v>
      </c>
      <c r="D8">
        <f>0.725105677144519/minMSE_dhap4_calculated!C8</f>
        <v>1.3207636837165804</v>
      </c>
      <c r="E8" s="9">
        <v>2.23753114222145E-3</v>
      </c>
      <c r="F8">
        <f>0.307202787117573/minMSE_dhap4_calculated!D8</f>
        <v>1.0401606455786272</v>
      </c>
      <c r="G8" s="10">
        <v>2.4759724199063201E-3</v>
      </c>
      <c r="H8">
        <f>2.7355144412658/minMSE_dhap4_calculated!E8</f>
        <v>1.0234213612777177</v>
      </c>
      <c r="I8" s="17">
        <v>0.42442038054964198</v>
      </c>
      <c r="J8">
        <f>0.593595616666667/minMSE_dhap4_calculated!F8</f>
        <v>2.8128329699376176</v>
      </c>
      <c r="K8" s="18">
        <v>0.57583799773840905</v>
      </c>
      <c r="L8">
        <f>0.516400664750578/minMSE_dhap4_calculated!G8</f>
        <v>1.4791738520822872</v>
      </c>
      <c r="M8" s="7">
        <v>1.1238296525258799E-3</v>
      </c>
    </row>
    <row r="9" spans="1:13" x14ac:dyDescent="0.25">
      <c r="A9" t="s">
        <v>14</v>
      </c>
      <c r="B9">
        <f>0.487428275078357/minMSE_dhap4_calculated!B9</f>
        <v>1.1484958780454249</v>
      </c>
      <c r="C9" s="14">
        <v>0.30555896896170998</v>
      </c>
      <c r="D9">
        <f>0.263396827942/minMSE_dhap4_calculated!C9</f>
        <v>1.163030207568206</v>
      </c>
      <c r="E9" s="15">
        <v>0.220796800536256</v>
      </c>
      <c r="F9">
        <f>0.730218526974499/minMSE_dhap4_calculated!D9</f>
        <v>1.1636852907315607</v>
      </c>
      <c r="G9" s="16">
        <v>0.34273266373509897</v>
      </c>
      <c r="H9">
        <f>0.155701016639789/minMSE_dhap4_calculated!E9</f>
        <v>1.0279445878091353</v>
      </c>
      <c r="I9" s="11">
        <v>1.6849469393969401E-2</v>
      </c>
      <c r="J9">
        <f>0.541763171252373/minMSE_dhap4_calculated!F9</f>
        <v>1.5769160804247737</v>
      </c>
      <c r="K9" s="18">
        <v>0.80207673397527102</v>
      </c>
      <c r="L9">
        <f>0.297830036398027/minMSE_dhap4_calculated!G9</f>
        <v>1.3605979224708689</v>
      </c>
      <c r="M9" s="19">
        <v>8.3557084326203193E-2</v>
      </c>
    </row>
    <row r="10" spans="1:13" x14ac:dyDescent="0.25">
      <c r="A10" t="s">
        <v>15</v>
      </c>
      <c r="B10">
        <f>0.990311324167736/minMSE_dhap4_calculated!B10</f>
        <v>1.0083262510661664</v>
      </c>
      <c r="C10" s="14">
        <v>0.40967747091093998</v>
      </c>
      <c r="D10">
        <f>0.271383495620401/minMSE_dhap4_calculated!C10</f>
        <v>1.116603972817475</v>
      </c>
      <c r="E10" s="9">
        <v>4.93615335741312E-2</v>
      </c>
      <c r="F10">
        <f>0.925441332284/minMSE_dhap4_calculated!D10</f>
        <v>1.2217576709121443</v>
      </c>
      <c r="G10" s="16">
        <v>7.5060611423136706E-2</v>
      </c>
      <c r="H10">
        <f>0.206597599951872/minMSE_dhap4_calculated!E10</f>
        <v>1.6828890563883443</v>
      </c>
      <c r="I10" s="17">
        <v>5.3349459021998002E-2</v>
      </c>
      <c r="J10">
        <f>1.19630713992445/minMSE_dhap4_calculated!F10</f>
        <v>1.1954277807584499</v>
      </c>
      <c r="K10" s="18">
        <v>0.83537027035042999</v>
      </c>
      <c r="L10">
        <f>0.310498356361737/minMSE_dhap4_calculated!G10</f>
        <v>3.1385507893212465</v>
      </c>
      <c r="M10" s="7">
        <v>2.0751052693414899E-3</v>
      </c>
    </row>
    <row r="11" spans="1:13" x14ac:dyDescent="0.25">
      <c r="A11" t="s">
        <v>16</v>
      </c>
      <c r="B11">
        <f>2.17462713402348/minMSE_dhap4_calculated!B11</f>
        <v>1.9250599050418309</v>
      </c>
      <c r="C11" s="14">
        <v>0.312866167848105</v>
      </c>
      <c r="D11">
        <f>1.01378047421248/minMSE_dhap4_calculated!C11</f>
        <v>1.7553475295657579</v>
      </c>
      <c r="E11" s="15">
        <v>0.36919882166698498</v>
      </c>
      <c r="F11">
        <f>0.26891582812509/minMSE_dhap4_calculated!D11</f>
        <v>2.181887416561215</v>
      </c>
      <c r="G11" s="16">
        <v>0.32044779172975002</v>
      </c>
      <c r="H11">
        <f>0.148019968878876/minMSE_dhap4_calculated!E11</f>
        <v>1.3078645030519822</v>
      </c>
      <c r="I11" s="17">
        <v>1.01926877470356</v>
      </c>
      <c r="J11">
        <f>0.629478765366663/minMSE_dhap4_calculated!F11</f>
        <v>6.9668572996489599</v>
      </c>
      <c r="K11" s="18">
        <v>0.41730594570108798</v>
      </c>
      <c r="L11">
        <f>1.21739829886841/minMSE_dhap4_calculated!G11</f>
        <v>1.1311276597890636</v>
      </c>
      <c r="M11" s="19">
        <v>0.32964773522541801</v>
      </c>
    </row>
    <row r="12" spans="1:13" x14ac:dyDescent="0.25">
      <c r="A12" t="s">
        <v>17</v>
      </c>
      <c r="B12">
        <f>0.277972850150319/minMSE_dhap4_calculated!B12</f>
        <v>1.1539893852047745</v>
      </c>
      <c r="C12" s="14">
        <v>0.673063017606508</v>
      </c>
      <c r="D12">
        <f>0.711854157168224/minMSE_dhap4_calculated!C12</f>
        <v>1.5520062326432125</v>
      </c>
      <c r="E12" s="15">
        <v>0.48391674975244903</v>
      </c>
      <c r="F12">
        <f>0.431371460709352/minMSE_dhap4_calculated!D12</f>
        <v>1.1305045162204519</v>
      </c>
      <c r="G12" s="16">
        <v>0.37967438937929698</v>
      </c>
      <c r="H12">
        <f>0.175606921464686/minMSE_dhap4_calculated!E12</f>
        <v>1.3020035030071631</v>
      </c>
      <c r="I12" s="17">
        <v>0.61551986182630103</v>
      </c>
      <c r="J12">
        <f>0.345139949250611/minMSE_dhap4_calculated!F12</f>
        <v>1.5754530297583127</v>
      </c>
      <c r="K12" s="18">
        <v>0.96518223885221099</v>
      </c>
      <c r="L12">
        <f>0.347055176530093/minMSE_dhap4_calculated!G12</f>
        <v>1.5171559863701221</v>
      </c>
      <c r="M12" s="19">
        <v>0.77989454444137896</v>
      </c>
    </row>
    <row r="13" spans="1:13" x14ac:dyDescent="0.25">
      <c r="A13" t="s">
        <v>18</v>
      </c>
      <c r="B13">
        <f>0.477186195490601/minMSE_dhap4_calculated!B13</f>
        <v>1.3648456698746816</v>
      </c>
      <c r="C13" s="14">
        <v>9.5712795892028399E-2</v>
      </c>
      <c r="D13">
        <f>0.372174854595938/minMSE_dhap4_calculated!C13</f>
        <v>1.7564357351008295</v>
      </c>
      <c r="E13" s="15">
        <v>0.44634237725270698</v>
      </c>
      <c r="F13">
        <f>0.290487198984122/minMSE_dhap4_calculated!D13</f>
        <v>1.0869683741742022</v>
      </c>
      <c r="G13" s="16">
        <v>0.31255665386579601</v>
      </c>
      <c r="H13">
        <f>0.468797497679205/minMSE_dhap4_calculated!E13</f>
        <v>1.1289900753329423</v>
      </c>
      <c r="I13" s="17">
        <v>0.98678976939878205</v>
      </c>
      <c r="J13">
        <f>0.273083775391091/minMSE_dhap4_calculated!F13</f>
        <v>1.2487423791123016</v>
      </c>
      <c r="K13" s="18">
        <v>0.517815470814041</v>
      </c>
      <c r="L13">
        <f>0.312259344417933/minMSE_dhap4_calculated!G13</f>
        <v>1.4628773068317256</v>
      </c>
      <c r="M13" s="19">
        <v>0.297478016852251</v>
      </c>
    </row>
    <row r="14" spans="1:13" x14ac:dyDescent="0.25">
      <c r="A14" t="s">
        <v>19</v>
      </c>
      <c r="B14">
        <f>0.765348858427035/minMSE_dhap4_calculated!B14</f>
        <v>1.1874714119895242</v>
      </c>
      <c r="C14" s="14">
        <v>0.174295602147962</v>
      </c>
      <c r="D14">
        <f>0.597459724505565/minMSE_dhap4_calculated!C14</f>
        <v>1.0513149136060125</v>
      </c>
      <c r="E14" s="15">
        <v>0.86844583111990603</v>
      </c>
      <c r="F14">
        <f>1.20032520778302/minMSE_dhap4_calculated!D14</f>
        <v>3.6526982112710331</v>
      </c>
      <c r="G14" s="10">
        <v>4.3268390080787603E-2</v>
      </c>
      <c r="H14">
        <f>0.23183025644195/minMSE_dhap4_calculated!E14</f>
        <v>2.2301661250335862</v>
      </c>
      <c r="I14" s="11">
        <v>8.3521584494051695E-3</v>
      </c>
      <c r="J14">
        <f>0.381029472401285/minMSE_dhap4_calculated!F14</f>
        <v>1.4536854879027916</v>
      </c>
      <c r="K14" s="18">
        <v>0.81524617305381997</v>
      </c>
      <c r="L14">
        <f>0.671944333992371/minMSE_dhap4_calculated!G14</f>
        <v>2.3187265531475809</v>
      </c>
      <c r="M14" s="19">
        <v>6.5292475138674894E-2</v>
      </c>
    </row>
    <row r="15" spans="1:13" x14ac:dyDescent="0.25">
      <c r="A15" t="s">
        <v>20</v>
      </c>
      <c r="B15">
        <f>0.388191132042486/minMSE_dhap4_calculated!B15</f>
        <v>1.0920949120366372</v>
      </c>
      <c r="C15" s="12">
        <v>4.0424970068182499E-3</v>
      </c>
      <c r="D15">
        <f>0.732562349452201/minMSE_dhap4_calculated!C15</f>
        <v>1.1371433630146563</v>
      </c>
      <c r="E15" s="15">
        <v>5.7965913592618802E-2</v>
      </c>
      <c r="F15">
        <f>1.56361945193938/minMSE_dhap4_calculated!D15</f>
        <v>17.649674331051003</v>
      </c>
      <c r="G15" s="16">
        <v>0.218104991549528</v>
      </c>
      <c r="H15">
        <f>0.700021425663319/minMSE_dhap4_calculated!E15</f>
        <v>2.09627068606328</v>
      </c>
      <c r="I15" s="11">
        <v>1.17388410353965E-2</v>
      </c>
      <c r="J15">
        <f>0.7957557939012/minMSE_dhap4_calculated!F15</f>
        <v>1.2149616458399515</v>
      </c>
      <c r="K15" s="18">
        <v>0.21974386864794401</v>
      </c>
      <c r="L15">
        <f>0.487570513453079/minMSE_dhap4_calculated!G15</f>
        <v>1.1943111117446403</v>
      </c>
      <c r="M15" s="19">
        <v>0.26584607245743602</v>
      </c>
    </row>
    <row r="16" spans="1:13" x14ac:dyDescent="0.25">
      <c r="A16" t="s">
        <v>21</v>
      </c>
      <c r="B16">
        <f>2.37865108054177/minMSE_dhap4_calculated!B16</f>
        <v>4.2259321407420281</v>
      </c>
      <c r="C16" s="12">
        <v>8.8957362296602296E-3</v>
      </c>
      <c r="D16">
        <f>0.648179172567245/minMSE_dhap4_calculated!C16</f>
        <v>1.2427880441650099</v>
      </c>
      <c r="E16" s="15">
        <v>0.31603437363464698</v>
      </c>
      <c r="F16">
        <f>1.22325894693859/minMSE_dhap4_calculated!D16</f>
        <v>2.8302289612865046</v>
      </c>
      <c r="G16" s="16">
        <v>0.250267714639267</v>
      </c>
      <c r="H16">
        <f>1.06354991264664/minMSE_dhap4_calculated!E16</f>
        <v>1.2326502450495895</v>
      </c>
      <c r="I16" s="17">
        <v>1.01343777505961</v>
      </c>
      <c r="J16">
        <f>0.489885994471668/minMSE_dhap4_calculated!F16</f>
        <v>2.0466801237411065</v>
      </c>
      <c r="K16" s="18">
        <v>0.88243598341370999</v>
      </c>
      <c r="L16">
        <f>3.15903375083333/minMSE_dhap4_calculated!G16</f>
        <v>1.7474996069294391</v>
      </c>
      <c r="M16" s="19">
        <v>0.45617091532496501</v>
      </c>
    </row>
    <row r="20" spans="1:12" x14ac:dyDescent="0.25">
      <c r="A20" t="s">
        <v>120</v>
      </c>
    </row>
    <row r="21" spans="1:12" x14ac:dyDescent="0.25">
      <c r="A21" t="s">
        <v>7</v>
      </c>
      <c r="B21">
        <f>B2-dhap4!B2</f>
        <v>8.3535954147554881E-2</v>
      </c>
      <c r="D21">
        <f>D2-dhap4!D2</f>
        <v>5.3914642724442352E-2</v>
      </c>
      <c r="F21">
        <f>F2-dhap4!F2</f>
        <v>-4.7209700004224864E-3</v>
      </c>
      <c r="H21">
        <f>H2-dhap4!H2</f>
        <v>-4.0112571662719088E-2</v>
      </c>
      <c r="J21">
        <f>J2-dhap4!J2</f>
        <v>-3.6853988943631011E-2</v>
      </c>
      <c r="L21">
        <f>L2-dhap4!L2</f>
        <v>0.62082026201982954</v>
      </c>
    </row>
    <row r="22" spans="1:12" x14ac:dyDescent="0.25">
      <c r="A22" t="s">
        <v>8</v>
      </c>
      <c r="B22">
        <f>B3-dhap4!B3</f>
        <v>0.86949383320650186</v>
      </c>
      <c r="D22">
        <f>D3-dhap4!D3</f>
        <v>3.4908760422273613</v>
      </c>
      <c r="F22">
        <f>F3-dhap4!F3</f>
        <v>-0.33916231248204709</v>
      </c>
      <c r="H22">
        <f>H3-dhap4!H3</f>
        <v>0.94548448028911025</v>
      </c>
      <c r="J22">
        <f>J3-dhap4!J3</f>
        <v>0.12346137535039259</v>
      </c>
      <c r="L22">
        <f>L3-dhap4!L3</f>
        <v>0.63909392783574215</v>
      </c>
    </row>
    <row r="23" spans="1:12" x14ac:dyDescent="0.25">
      <c r="A23" t="s">
        <v>9</v>
      </c>
      <c r="B23">
        <f>B4-dhap4!B4</f>
        <v>-0.34205627945253658</v>
      </c>
      <c r="D23">
        <f>D4-dhap4!D4</f>
        <v>0</v>
      </c>
      <c r="F23">
        <f>F4-dhap4!F4</f>
        <v>-3.0956870909932155E-2</v>
      </c>
      <c r="H23">
        <f>H4-dhap4!H4</f>
        <v>2.8273637410777486E-2</v>
      </c>
      <c r="J23">
        <f>J4-dhap4!J4</f>
        <v>1.8884769011053182E-2</v>
      </c>
      <c r="L23">
        <f>L4-dhap4!L4</f>
        <v>-0.27562661395783317</v>
      </c>
    </row>
    <row r="24" spans="1:12" x14ac:dyDescent="0.25">
      <c r="A24" t="s">
        <v>10</v>
      </c>
      <c r="B24">
        <f>B5-dhap4!B5</f>
        <v>-0.15323517979172774</v>
      </c>
      <c r="D24">
        <f>D5-dhap4!D5</f>
        <v>-0.12888493074670238</v>
      </c>
      <c r="F24">
        <f>F5-dhap4!F5</f>
        <v>2.5161956116018347E-2</v>
      </c>
      <c r="H24">
        <f>H5-dhap4!H5</f>
        <v>0.16330352624685718</v>
      </c>
      <c r="J24">
        <f>J5-dhap4!J5</f>
        <v>-5.9641155021837644E-2</v>
      </c>
      <c r="L24">
        <f>L5-dhap4!L5</f>
        <v>0.11025719459018557</v>
      </c>
    </row>
    <row r="25" spans="1:12" x14ac:dyDescent="0.25">
      <c r="A25" t="s">
        <v>11</v>
      </c>
      <c r="B25">
        <f>B6-dhap4!B6</f>
        <v>4.0995448776785404E-2</v>
      </c>
      <c r="D25">
        <f>D6-dhap4!D6</f>
        <v>-0.13571519746022709</v>
      </c>
      <c r="F25">
        <f>F6-dhap4!F6</f>
        <v>0</v>
      </c>
      <c r="H25">
        <f>H6-dhap4!H6</f>
        <v>0.11413740420491725</v>
      </c>
      <c r="J25">
        <f>J6-dhap4!J6</f>
        <v>-0.11231326306983336</v>
      </c>
      <c r="L25">
        <f>L6-dhap4!L6</f>
        <v>-0.11380806794760545</v>
      </c>
    </row>
    <row r="26" spans="1:12" x14ac:dyDescent="0.25">
      <c r="A26" t="s">
        <v>12</v>
      </c>
      <c r="B26">
        <f>B7-dhap4!B7</f>
        <v>-0.13952912354827518</v>
      </c>
      <c r="D26">
        <f>D7-dhap4!D7</f>
        <v>0.2545243092423275</v>
      </c>
      <c r="F26">
        <f>F7-dhap4!F7</f>
        <v>0.96256026899725144</v>
      </c>
      <c r="H26">
        <f>H7-dhap4!H7</f>
        <v>0</v>
      </c>
      <c r="J26">
        <f>J7-dhap4!J7</f>
        <v>0.13225887577933748</v>
      </c>
      <c r="L26">
        <f>L7-dhap4!L7</f>
        <v>0.20378603397786477</v>
      </c>
    </row>
    <row r="27" spans="1:12" x14ac:dyDescent="0.25">
      <c r="A27" t="s">
        <v>13</v>
      </c>
      <c r="B27">
        <f>B8-dhap4!B8</f>
        <v>5.1629744622778695E-3</v>
      </c>
      <c r="D27">
        <f>D8-dhap4!D8</f>
        <v>7.477217115084378E-2</v>
      </c>
      <c r="F27">
        <f>F8-dhap4!F8</f>
        <v>3.5496758399322204E-2</v>
      </c>
      <c r="H27">
        <f>H8-dhap4!H8</f>
        <v>-3.4464609688068526E-2</v>
      </c>
      <c r="J27">
        <f>J8-dhap4!J8</f>
        <v>0</v>
      </c>
      <c r="L27">
        <f>L8-dhap4!L8</f>
        <v>-2.153022227211232E-2</v>
      </c>
    </row>
    <row r="28" spans="1:12" x14ac:dyDescent="0.25">
      <c r="A28" t="s">
        <v>14</v>
      </c>
      <c r="B28">
        <f>B9-dhap4!B9</f>
        <v>5.6448639556727853E-2</v>
      </c>
      <c r="D28">
        <f>D9-dhap4!D9</f>
        <v>-0.53546860060685253</v>
      </c>
      <c r="F28">
        <f>F9-dhap4!F9</f>
        <v>-6.2288432372539448E-2</v>
      </c>
      <c r="H28">
        <f>H9-dhap4!H9</f>
        <v>-0.33809088867435788</v>
      </c>
      <c r="J28">
        <f>J9-dhap4!J9</f>
        <v>0.26995864421926674</v>
      </c>
      <c r="L28">
        <f>L9-dhap4!L9</f>
        <v>0.21867550029711835</v>
      </c>
    </row>
    <row r="29" spans="1:12" x14ac:dyDescent="0.25">
      <c r="A29" t="s">
        <v>15</v>
      </c>
      <c r="B29">
        <f>B10-dhap4!B10</f>
        <v>7.9749220494351736E-3</v>
      </c>
      <c r="D29">
        <f>D10-dhap4!D10</f>
        <v>-0.14086801176334629</v>
      </c>
      <c r="F29">
        <f>F10-dhap4!F10</f>
        <v>-5.9646448263155349E-2</v>
      </c>
      <c r="H29">
        <f>H10-dhap4!H10</f>
        <v>0.2314242000579434</v>
      </c>
      <c r="J29">
        <f>J10-dhap4!J10</f>
        <v>1.0612682424139042E-2</v>
      </c>
      <c r="L29">
        <f>L10-dhap4!L10</f>
        <v>0.41181899220190443</v>
      </c>
    </row>
    <row r="30" spans="1:12" x14ac:dyDescent="0.25">
      <c r="A30" t="s">
        <v>16</v>
      </c>
      <c r="B30">
        <f>B11-dhap4!B11</f>
        <v>0.33486714795612116</v>
      </c>
      <c r="D30">
        <f>D11-dhap4!D11</f>
        <v>0.23833968601227529</v>
      </c>
      <c r="F30">
        <f>F11-dhap4!F11</f>
        <v>-0.97434058064036799</v>
      </c>
      <c r="H30">
        <f>H11-dhap4!H11</f>
        <v>-0.22936299668282478</v>
      </c>
      <c r="J30">
        <f>J11-dhap4!J11</f>
        <v>1.0595006384417056</v>
      </c>
      <c r="L30">
        <f>L11-dhap4!L11</f>
        <v>-0.120835542726349</v>
      </c>
    </row>
    <row r="31" spans="1:12" x14ac:dyDescent="0.25">
      <c r="A31" t="s">
        <v>17</v>
      </c>
      <c r="B31">
        <f>B12-dhap4!B12</f>
        <v>-0.12888032531992333</v>
      </c>
      <c r="D31">
        <f>D12-dhap4!D12</f>
        <v>2.8998472070969949E-2</v>
      </c>
      <c r="F31">
        <f>F12-dhap4!F12</f>
        <v>-0.10029370968105655</v>
      </c>
      <c r="H31">
        <f>H12-dhap4!H12</f>
        <v>-0.11500445634306522</v>
      </c>
      <c r="J31">
        <f>J12-dhap4!J12</f>
        <v>0.11429689512482843</v>
      </c>
      <c r="L31">
        <f>L12-dhap4!L12</f>
        <v>0.44043543272991226</v>
      </c>
    </row>
    <row r="32" spans="1:12" x14ac:dyDescent="0.25">
      <c r="A32" t="s">
        <v>18</v>
      </c>
      <c r="B32">
        <f>B13-dhap4!B13</f>
        <v>0.21049691112243996</v>
      </c>
      <c r="D32">
        <f>D13-dhap4!D13</f>
        <v>0.68890116065005902</v>
      </c>
      <c r="F32">
        <f>F13-dhap4!F13</f>
        <v>3.8441205854826466E-2</v>
      </c>
      <c r="H32">
        <f>H13-dhap4!H13</f>
        <v>1.0373341390373492E-2</v>
      </c>
      <c r="J32">
        <f>J13-dhap4!J13</f>
        <v>0.14668812585167346</v>
      </c>
      <c r="L32">
        <f>L13-dhap4!L13</f>
        <v>-1.039230803078417E-2</v>
      </c>
    </row>
    <row r="33" spans="1:12" x14ac:dyDescent="0.25">
      <c r="A33" t="s">
        <v>19</v>
      </c>
      <c r="B33">
        <f>B14-dhap4!B14</f>
        <v>4.8553189408703679E-2</v>
      </c>
      <c r="D33">
        <f>D14-dhap4!D14</f>
        <v>-4.6240525430413459E-2</v>
      </c>
      <c r="F33">
        <f>F14-dhap4!F14</f>
        <v>0.48062584488680971</v>
      </c>
      <c r="H33">
        <f>H14-dhap4!H14</f>
        <v>-0.2088767495203423</v>
      </c>
      <c r="J33">
        <f>J14-dhap4!J14</f>
        <v>0.35949950925440177</v>
      </c>
      <c r="L33">
        <f>L14-dhap4!L14</f>
        <v>0.49878008713109367</v>
      </c>
    </row>
    <row r="34" spans="1:12" x14ac:dyDescent="0.25">
      <c r="A34" t="s">
        <v>20</v>
      </c>
      <c r="B34">
        <f>B15-dhap4!B15</f>
        <v>-4.7017160478051157E-2</v>
      </c>
      <c r="D34">
        <f>D15-dhap4!D15</f>
        <v>-2.0981320545581106E-3</v>
      </c>
      <c r="F34">
        <f>F15-dhap4!F15</f>
        <v>0.84318053212369648</v>
      </c>
      <c r="H34">
        <f>H15-dhap4!H15</f>
        <v>-7.1378871499282681E-2</v>
      </c>
      <c r="J34">
        <f>J15-dhap4!J15</f>
        <v>0.20591024152620729</v>
      </c>
      <c r="L34">
        <f>L15-dhap4!L15</f>
        <v>-4.0196321061224172E-2</v>
      </c>
    </row>
    <row r="35" spans="1:12" x14ac:dyDescent="0.25">
      <c r="A35" t="s">
        <v>21</v>
      </c>
      <c r="B35">
        <f>B16-dhap4!B16</f>
        <v>0.13308823465767361</v>
      </c>
      <c r="D35">
        <f>D16-dhap4!D16</f>
        <v>-4.8469068208781163E-2</v>
      </c>
      <c r="F35">
        <f>F16-dhap4!F16</f>
        <v>-0.13178931659211024</v>
      </c>
      <c r="H35">
        <f>H16-dhap4!H16</f>
        <v>-7.5590536315973456E-2</v>
      </c>
      <c r="J35">
        <f>J16-dhap4!J16</f>
        <v>0.12127880201951191</v>
      </c>
      <c r="L35">
        <f>L16-dhap4!L16</f>
        <v>0</v>
      </c>
    </row>
    <row r="37" spans="1:12" x14ac:dyDescent="0.25">
      <c r="A37" t="s">
        <v>111</v>
      </c>
    </row>
    <row r="38" spans="1:12" x14ac:dyDescent="0.25">
      <c r="A38">
        <v>1.5080249002354402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"/>
  <sheetViews>
    <sheetView workbookViewId="0">
      <selection activeCell="N2" sqref="N2:S2"/>
    </sheetView>
  </sheetViews>
  <sheetFormatPr defaultColWidth="8.85546875" defaultRowHeight="15" x14ac:dyDescent="0.25"/>
  <sheetData>
    <row r="1" spans="1:19" x14ac:dyDescent="0.25">
      <c r="A1" t="s">
        <v>0</v>
      </c>
      <c r="B1" t="s">
        <v>1</v>
      </c>
      <c r="C1" s="1" t="s">
        <v>37</v>
      </c>
      <c r="D1" t="s">
        <v>2</v>
      </c>
      <c r="E1" s="2" t="s">
        <v>38</v>
      </c>
      <c r="F1" t="s">
        <v>3</v>
      </c>
      <c r="G1" s="3" t="s">
        <v>39</v>
      </c>
      <c r="H1" t="s">
        <v>4</v>
      </c>
      <c r="I1" s="4" t="s">
        <v>40</v>
      </c>
      <c r="J1" t="s">
        <v>5</v>
      </c>
      <c r="K1" s="5" t="s">
        <v>41</v>
      </c>
      <c r="L1" t="s">
        <v>6</v>
      </c>
      <c r="M1" s="6" t="s">
        <v>42</v>
      </c>
    </row>
    <row r="2" spans="1:19" x14ac:dyDescent="0.25">
      <c r="A2" t="s">
        <v>7</v>
      </c>
      <c r="B2">
        <v>0.41132053804356628</v>
      </c>
      <c r="C2" s="1">
        <v>0.762384490029694</v>
      </c>
      <c r="D2">
        <v>9.9284721405990373E-2</v>
      </c>
      <c r="E2" s="2">
        <v>0.44624975588118598</v>
      </c>
      <c r="F2">
        <v>1.2619486029363343</v>
      </c>
      <c r="G2" s="3">
        <v>0.78551996118716705</v>
      </c>
      <c r="H2">
        <v>0.19779867831026118</v>
      </c>
      <c r="I2" s="4">
        <v>0.29160072506103601</v>
      </c>
      <c r="J2">
        <v>0.19984614447224061</v>
      </c>
      <c r="K2" s="5">
        <v>0.82577386681059695</v>
      </c>
      <c r="L2" s="8">
        <v>0.85025295103404552</v>
      </c>
      <c r="M2" s="7">
        <v>4.5710094999999999E-2</v>
      </c>
      <c r="N2" s="29" t="s">
        <v>94</v>
      </c>
      <c r="O2" s="29"/>
      <c r="P2" s="29"/>
      <c r="Q2" s="29"/>
      <c r="R2" s="29"/>
      <c r="S2" s="29"/>
    </row>
    <row r="3" spans="1:19" x14ac:dyDescent="0.25">
      <c r="A3" t="s">
        <v>9</v>
      </c>
      <c r="B3">
        <v>0.8457717017809111</v>
      </c>
      <c r="C3" s="1">
        <v>6.6225124959576706E-2</v>
      </c>
      <c r="D3">
        <v>0.13893933249999998</v>
      </c>
      <c r="E3" s="2">
        <v>0.61881514010194805</v>
      </c>
      <c r="F3" s="8">
        <v>0.87871387280248658</v>
      </c>
      <c r="G3" s="10">
        <v>1.6347989883004101E-2</v>
      </c>
      <c r="H3" s="8">
        <v>0.91900017623751074</v>
      </c>
      <c r="I3" s="11">
        <v>1.1178235493982801E-2</v>
      </c>
      <c r="J3">
        <v>0.75940422151390863</v>
      </c>
      <c r="K3" s="5">
        <v>0.41128551861353002</v>
      </c>
      <c r="L3" s="8">
        <v>0.65460830570541384</v>
      </c>
      <c r="M3" s="7">
        <v>2.5966862E-2</v>
      </c>
      <c r="N3" s="29" t="s">
        <v>95</v>
      </c>
      <c r="O3" s="29"/>
      <c r="P3" s="29"/>
      <c r="Q3" s="29"/>
      <c r="R3" s="29"/>
      <c r="S3" s="29"/>
    </row>
    <row r="4" spans="1:19" x14ac:dyDescent="0.25">
      <c r="A4" t="s">
        <v>10</v>
      </c>
      <c r="B4">
        <v>0.50199230391861893</v>
      </c>
      <c r="C4" s="1">
        <v>0.33061324554751997</v>
      </c>
      <c r="D4">
        <v>0.88926975774252559</v>
      </c>
      <c r="E4" s="2">
        <v>0.58761063110676703</v>
      </c>
      <c r="F4">
        <v>0.77275247183611784</v>
      </c>
      <c r="G4" s="3">
        <v>0.876273721691745</v>
      </c>
      <c r="H4">
        <v>0.85838719380383954</v>
      </c>
      <c r="I4" s="4">
        <v>0.12610118972802201</v>
      </c>
      <c r="J4">
        <v>0.49704517134465159</v>
      </c>
      <c r="K4" s="5">
        <v>0.84451617033304205</v>
      </c>
      <c r="L4">
        <v>0.23285276173347527</v>
      </c>
      <c r="M4" s="6">
        <v>0.34787221299999999</v>
      </c>
      <c r="N4" s="29" t="s">
        <v>96</v>
      </c>
      <c r="O4" s="29"/>
      <c r="P4" s="29"/>
      <c r="Q4" s="29"/>
      <c r="R4" s="29"/>
      <c r="S4" s="29"/>
    </row>
    <row r="5" spans="1:19" x14ac:dyDescent="0.25">
      <c r="A5" t="s">
        <v>11</v>
      </c>
      <c r="B5">
        <v>0.47732518832404336</v>
      </c>
      <c r="C5" s="1">
        <v>0.41886387925431101</v>
      </c>
      <c r="D5">
        <v>0.19870095172126886</v>
      </c>
      <c r="E5" s="2">
        <v>0.54683519144140802</v>
      </c>
      <c r="F5">
        <v>0.35326105333333335</v>
      </c>
      <c r="G5" s="3">
        <v>0.60936795919082498</v>
      </c>
      <c r="H5">
        <v>0.19236268762667449</v>
      </c>
      <c r="I5" s="4">
        <v>0.51888455220311103</v>
      </c>
      <c r="J5">
        <v>0.24977944216038125</v>
      </c>
      <c r="K5" s="5">
        <v>0.92811381976317897</v>
      </c>
      <c r="L5">
        <v>0.16225306603977055</v>
      </c>
      <c r="M5" s="6">
        <v>0.117144835</v>
      </c>
      <c r="N5" s="29" t="s">
        <v>97</v>
      </c>
      <c r="O5" s="29"/>
      <c r="P5" s="29"/>
      <c r="Q5" s="29"/>
      <c r="R5" s="29"/>
      <c r="S5" s="29"/>
    </row>
    <row r="6" spans="1:19" x14ac:dyDescent="0.25">
      <c r="A6" t="s">
        <v>12</v>
      </c>
      <c r="B6">
        <v>2.1018842845295542</v>
      </c>
      <c r="C6" s="1">
        <v>0.73074475229926095</v>
      </c>
      <c r="D6">
        <v>1.1836478268914881</v>
      </c>
      <c r="E6" s="2">
        <v>0.482119508817688</v>
      </c>
      <c r="F6">
        <v>1.4256366875503936</v>
      </c>
      <c r="G6" s="3">
        <v>7.7299330333445299E-2</v>
      </c>
      <c r="H6">
        <v>0.53320838166666673</v>
      </c>
      <c r="I6" s="4">
        <v>0.41648763304756098</v>
      </c>
      <c r="J6">
        <v>1.4852984945440573</v>
      </c>
      <c r="K6" s="5">
        <v>0.92618166088133702</v>
      </c>
      <c r="L6" s="8">
        <v>0.59853128817667078</v>
      </c>
      <c r="M6" s="7">
        <v>1.5741523E-2</v>
      </c>
      <c r="N6" s="29" t="s">
        <v>98</v>
      </c>
      <c r="O6" s="29"/>
      <c r="P6" s="29"/>
      <c r="Q6" s="29"/>
      <c r="R6" s="29"/>
      <c r="S6" s="29"/>
    </row>
    <row r="7" spans="1:19" x14ac:dyDescent="0.25">
      <c r="A7" t="s">
        <v>13</v>
      </c>
      <c r="B7" s="8">
        <v>0.64028441694524996</v>
      </c>
      <c r="C7" s="12">
        <v>3.9736164584284001E-2</v>
      </c>
      <c r="D7" s="8">
        <v>0.62578220655472683</v>
      </c>
      <c r="E7" s="9">
        <v>2.23753114222145E-3</v>
      </c>
      <c r="F7" s="8">
        <v>0.30812227276811904</v>
      </c>
      <c r="G7" s="10">
        <v>2.4759724199063201E-3</v>
      </c>
      <c r="H7">
        <v>2.7954444458991419</v>
      </c>
      <c r="I7" s="4">
        <v>0.42442038054964198</v>
      </c>
      <c r="J7">
        <v>0.5935956166666666</v>
      </c>
      <c r="K7" s="5">
        <v>0.57583799773840905</v>
      </c>
      <c r="L7" s="8">
        <v>0.58433262428359356</v>
      </c>
      <c r="M7" s="7">
        <v>1.1238299999999999E-3</v>
      </c>
      <c r="N7" s="29" t="s">
        <v>99</v>
      </c>
      <c r="O7" s="29"/>
      <c r="P7" s="29"/>
      <c r="Q7" s="29"/>
      <c r="R7" s="29"/>
      <c r="S7" s="29"/>
    </row>
    <row r="8" spans="1:19" x14ac:dyDescent="0.25">
      <c r="A8" t="s">
        <v>34</v>
      </c>
      <c r="B8">
        <v>1.2323373752737017</v>
      </c>
      <c r="C8" s="1">
        <v>0.93544061609455698</v>
      </c>
      <c r="D8">
        <v>0.81762008540604558</v>
      </c>
      <c r="E8" s="2">
        <v>9.3041646985444496E-2</v>
      </c>
      <c r="F8">
        <v>4.1287603388694327</v>
      </c>
      <c r="G8" s="3">
        <v>0.86765083167356505</v>
      </c>
      <c r="H8">
        <v>1.2418420920999906</v>
      </c>
      <c r="I8" s="4">
        <v>0.103131155558812</v>
      </c>
      <c r="J8">
        <v>3.1260771141213604</v>
      </c>
      <c r="K8" s="5">
        <v>0.93107028189860797</v>
      </c>
      <c r="L8">
        <v>3.7399982447008031</v>
      </c>
      <c r="M8" s="6">
        <v>0.94148592399999997</v>
      </c>
      <c r="N8" s="29" t="s">
        <v>100</v>
      </c>
      <c r="O8" s="29"/>
      <c r="P8" s="29"/>
      <c r="Q8" s="29"/>
      <c r="R8" s="29"/>
      <c r="S8" s="29"/>
    </row>
    <row r="9" spans="1:19" x14ac:dyDescent="0.25">
      <c r="A9" t="s">
        <v>35</v>
      </c>
      <c r="B9">
        <v>0.53245401146128346</v>
      </c>
      <c r="C9" s="1">
        <v>9.9636080901766705E-2</v>
      </c>
      <c r="D9">
        <v>0.12982857988106086</v>
      </c>
      <c r="E9" s="2">
        <v>0.3002812201176</v>
      </c>
      <c r="F9">
        <v>0.13221434919038458</v>
      </c>
      <c r="G9" s="3">
        <v>0.44154795272863001</v>
      </c>
      <c r="H9">
        <v>0.18630144542857432</v>
      </c>
      <c r="I9" s="4">
        <v>0.38224544954334799</v>
      </c>
      <c r="J9">
        <v>0.29820197776439517</v>
      </c>
      <c r="K9" s="5">
        <v>0.467855983303965</v>
      </c>
      <c r="L9">
        <v>0.38364827962872261</v>
      </c>
      <c r="M9" s="6">
        <v>0.51129685499999999</v>
      </c>
      <c r="N9" s="29" t="s">
        <v>101</v>
      </c>
      <c r="O9" s="29"/>
      <c r="P9" s="29"/>
      <c r="Q9" s="29"/>
      <c r="R9" s="29"/>
      <c r="S9" s="29"/>
    </row>
    <row r="10" spans="1:19" x14ac:dyDescent="0.25">
      <c r="A10" t="s">
        <v>14</v>
      </c>
      <c r="B10">
        <v>0.54158899734977939</v>
      </c>
      <c r="C10" s="1">
        <v>0.30555896896170998</v>
      </c>
      <c r="D10">
        <v>0.33817055647844851</v>
      </c>
      <c r="E10" s="2">
        <v>0.220796800536256</v>
      </c>
      <c r="F10">
        <v>0.8649810184966803</v>
      </c>
      <c r="G10" s="3">
        <v>0.34273266373509897</v>
      </c>
      <c r="H10" s="8">
        <v>0.24723496526941161</v>
      </c>
      <c r="I10" s="11">
        <v>1.6849469393969401E-2</v>
      </c>
      <c r="J10">
        <v>0.4773029433799057</v>
      </c>
      <c r="K10" s="5">
        <v>0.80207673397527102</v>
      </c>
      <c r="L10">
        <v>0.29295729995713288</v>
      </c>
      <c r="M10" s="6">
        <v>8.3557084000000004E-2</v>
      </c>
      <c r="N10" s="29" t="s">
        <v>102</v>
      </c>
      <c r="O10" s="29"/>
      <c r="P10" s="29"/>
      <c r="Q10" s="29"/>
      <c r="R10" s="29"/>
      <c r="S10" s="29"/>
    </row>
    <row r="11" spans="1:19" x14ac:dyDescent="0.25">
      <c r="A11" t="s">
        <v>36</v>
      </c>
      <c r="B11">
        <v>0.23177770455562985</v>
      </c>
      <c r="C11" s="1">
        <v>0.29522146810641497</v>
      </c>
      <c r="D11">
        <v>0.48154031805116232</v>
      </c>
      <c r="E11" s="2">
        <v>0.61490992041478099</v>
      </c>
      <c r="F11">
        <v>1.0724827153689713</v>
      </c>
      <c r="G11" s="3">
        <v>0.59667395032842496</v>
      </c>
      <c r="H11">
        <v>0.2158779307076891</v>
      </c>
      <c r="I11" s="4">
        <v>0.84690519652235496</v>
      </c>
      <c r="J11">
        <v>1.7901499609746623</v>
      </c>
      <c r="K11" s="5">
        <v>1.0056803967588599</v>
      </c>
      <c r="L11">
        <v>0.9149595286652582</v>
      </c>
      <c r="M11" s="6">
        <v>0.80272494000000005</v>
      </c>
      <c r="N11" s="29" t="s">
        <v>103</v>
      </c>
      <c r="O11" s="29"/>
      <c r="P11" s="29"/>
      <c r="Q11" s="29"/>
      <c r="R11" s="29"/>
      <c r="S11" s="29"/>
    </row>
    <row r="12" spans="1:19" x14ac:dyDescent="0.25">
      <c r="A12" t="s">
        <v>15</v>
      </c>
      <c r="B12">
        <v>0.99404133416154872</v>
      </c>
      <c r="C12" s="1">
        <v>0.40967747091093998</v>
      </c>
      <c r="D12" s="8">
        <v>0.26012740101445381</v>
      </c>
      <c r="E12" s="9">
        <v>4.93615335741312E-2</v>
      </c>
      <c r="F12">
        <v>0.91654221013322434</v>
      </c>
      <c r="G12" s="3">
        <v>7.5060611423136706E-2</v>
      </c>
      <c r="H12">
        <v>0.21914808577188735</v>
      </c>
      <c r="I12" s="4">
        <v>5.3349459021998002E-2</v>
      </c>
      <c r="J12">
        <v>1.0808772863018186</v>
      </c>
      <c r="K12" s="5">
        <v>0.83537027035042999</v>
      </c>
      <c r="L12" s="8">
        <v>0.33189741998921413</v>
      </c>
      <c r="M12" s="7">
        <v>2.0751049999999998E-3</v>
      </c>
      <c r="N12" s="29" t="s">
        <v>104</v>
      </c>
      <c r="O12" s="29"/>
      <c r="P12" s="29"/>
      <c r="Q12" s="29"/>
      <c r="R12" s="29"/>
      <c r="S12" s="29"/>
    </row>
    <row r="13" spans="1:19" x14ac:dyDescent="0.25">
      <c r="A13" t="s">
        <v>16</v>
      </c>
      <c r="B13">
        <v>1.8539462642690896</v>
      </c>
      <c r="C13" s="1">
        <v>0.312866167848105</v>
      </c>
      <c r="D13">
        <v>0.8734142909805277</v>
      </c>
      <c r="E13" s="2">
        <v>0.36919882166698498</v>
      </c>
      <c r="F13">
        <v>0.35395976430218301</v>
      </c>
      <c r="G13" s="3">
        <v>0.32044779172975002</v>
      </c>
      <c r="H13">
        <v>0.15193010519538988</v>
      </c>
      <c r="I13" s="4">
        <v>1.01926877470356</v>
      </c>
      <c r="J13">
        <v>0.52946349361263434</v>
      </c>
      <c r="K13" s="5">
        <v>0.41730594570108798</v>
      </c>
      <c r="L13">
        <v>1.3333387126022043</v>
      </c>
      <c r="M13" s="6">
        <v>0.329647735</v>
      </c>
      <c r="N13" s="29" t="s">
        <v>105</v>
      </c>
      <c r="O13" s="29"/>
      <c r="P13" s="29"/>
      <c r="Q13" s="29"/>
      <c r="R13" s="29"/>
      <c r="S13" s="29"/>
    </row>
    <row r="14" spans="1:19" x14ac:dyDescent="0.25">
      <c r="A14" t="s">
        <v>17</v>
      </c>
      <c r="B14">
        <v>0.28229359442415519</v>
      </c>
      <c r="C14" s="1">
        <v>0.673063017606508</v>
      </c>
      <c r="D14">
        <v>0.66197031113511351</v>
      </c>
      <c r="E14" s="2">
        <v>0.48391674975244903</v>
      </c>
      <c r="F14">
        <v>0.44495797017011524</v>
      </c>
      <c r="G14" s="3">
        <v>0.37967438937929698</v>
      </c>
      <c r="H14">
        <v>0.15765206242970806</v>
      </c>
      <c r="I14" s="4">
        <v>0.61551986182630103</v>
      </c>
      <c r="J14">
        <v>0.24822844558249244</v>
      </c>
      <c r="K14" s="5">
        <v>0.96518223885221099</v>
      </c>
      <c r="L14">
        <v>0.25717366884534321</v>
      </c>
      <c r="M14" s="6">
        <v>0.77989454400000002</v>
      </c>
      <c r="N14" s="29" t="s">
        <v>106</v>
      </c>
      <c r="O14" s="29"/>
      <c r="P14" s="29"/>
      <c r="Q14" s="29"/>
      <c r="R14" s="29"/>
      <c r="S14" s="29"/>
    </row>
    <row r="15" spans="1:19" x14ac:dyDescent="0.25">
      <c r="A15" t="s">
        <v>18</v>
      </c>
      <c r="B15">
        <v>0.4519913215182379</v>
      </c>
      <c r="C15" s="1">
        <v>9.5712795892028399E-2</v>
      </c>
      <c r="D15">
        <v>0.22708064469214639</v>
      </c>
      <c r="E15" s="2">
        <v>0.44634237725270698</v>
      </c>
      <c r="F15">
        <v>0.27429543036790333</v>
      </c>
      <c r="G15" s="3">
        <v>0.31255665386579601</v>
      </c>
      <c r="H15">
        <v>0.57707488481026159</v>
      </c>
      <c r="I15" s="4">
        <v>0.98678976939878205</v>
      </c>
      <c r="J15">
        <v>0.2338186095291199</v>
      </c>
      <c r="K15" s="5">
        <v>0.517815470814041</v>
      </c>
      <c r="L15">
        <v>0.2862801488236193</v>
      </c>
      <c r="M15" s="6">
        <v>0.29747801699999998</v>
      </c>
      <c r="N15" s="29" t="s">
        <v>107</v>
      </c>
      <c r="O15" s="29"/>
      <c r="P15" s="29"/>
      <c r="Q15" s="29"/>
      <c r="R15" s="29"/>
      <c r="S15" s="29"/>
    </row>
    <row r="16" spans="1:19" x14ac:dyDescent="0.25">
      <c r="A16" t="s">
        <v>19</v>
      </c>
      <c r="B16">
        <v>0.7234444149822612</v>
      </c>
      <c r="C16" s="1">
        <v>0.174295602147962</v>
      </c>
      <c r="D16">
        <v>0.66204186846875512</v>
      </c>
      <c r="E16" s="2">
        <v>0.86844583111990603</v>
      </c>
      <c r="F16" s="8">
        <v>0.95057238880382278</v>
      </c>
      <c r="G16" s="10">
        <v>4.3268390080787603E-2</v>
      </c>
      <c r="H16" s="8">
        <v>0.29567517588140135</v>
      </c>
      <c r="I16" s="11">
        <v>8.3521584494051695E-3</v>
      </c>
      <c r="J16">
        <v>0.3018367246505993</v>
      </c>
      <c r="K16" s="5">
        <v>0.81524617305381997</v>
      </c>
      <c r="L16">
        <v>0.48090840878809166</v>
      </c>
      <c r="M16" s="6">
        <v>6.5292475000000003E-2</v>
      </c>
      <c r="N16" s="29" t="s">
        <v>108</v>
      </c>
      <c r="O16" s="29"/>
      <c r="P16" s="29"/>
      <c r="Q16" s="29"/>
      <c r="R16" s="29"/>
      <c r="S16" s="29"/>
    </row>
    <row r="17" spans="1:19" x14ac:dyDescent="0.25">
      <c r="A17" t="s">
        <v>20</v>
      </c>
      <c r="B17" s="8">
        <v>0.40613682712082783</v>
      </c>
      <c r="C17" s="12">
        <v>4.0424970068182499E-3</v>
      </c>
      <c r="D17">
        <v>0.74131633984855527</v>
      </c>
      <c r="E17" s="2">
        <v>5.7965913592618802E-2</v>
      </c>
      <c r="F17">
        <v>1.4912439251444656</v>
      </c>
      <c r="G17" s="3">
        <v>0.218104991549528</v>
      </c>
      <c r="H17" s="8">
        <v>0.71056733300302366</v>
      </c>
      <c r="I17" s="11">
        <v>1.17388410353965E-2</v>
      </c>
      <c r="J17">
        <v>0.66444649440327463</v>
      </c>
      <c r="K17" s="5">
        <v>0.21974386864794401</v>
      </c>
      <c r="L17">
        <v>0.49581653855309976</v>
      </c>
      <c r="M17" s="6">
        <v>0.26584607199999999</v>
      </c>
      <c r="N17" s="29" t="s">
        <v>109</v>
      </c>
      <c r="O17" s="29"/>
      <c r="P17" s="29"/>
      <c r="Q17" s="29"/>
      <c r="R17" s="29"/>
      <c r="S17" s="29"/>
    </row>
    <row r="18" spans="1:19" x14ac:dyDescent="0.25">
      <c r="A18" t="s">
        <v>21</v>
      </c>
      <c r="B18" s="8">
        <v>2.0597816921090812</v>
      </c>
      <c r="C18" s="12">
        <v>8.8957362296602296E-3</v>
      </c>
      <c r="D18">
        <v>0.66328228491250585</v>
      </c>
      <c r="E18" s="2">
        <v>0.31603437363464698</v>
      </c>
      <c r="F18">
        <v>1.3009665475202725</v>
      </c>
      <c r="G18" s="3">
        <v>0.250267714639267</v>
      </c>
      <c r="H18">
        <v>0.78647083283807617</v>
      </c>
      <c r="I18" s="4">
        <v>1.01343777505961</v>
      </c>
      <c r="J18">
        <v>0.4781565708559013</v>
      </c>
      <c r="K18" s="5">
        <v>0.88243598341370999</v>
      </c>
      <c r="L18">
        <v>3.1590337508333337</v>
      </c>
      <c r="M18" s="6">
        <v>0.45617091500000001</v>
      </c>
      <c r="N18" s="29" t="s">
        <v>110</v>
      </c>
      <c r="O18" s="29"/>
      <c r="P18" s="29"/>
      <c r="Q18" s="29"/>
      <c r="R18" s="29"/>
      <c r="S18" s="29"/>
    </row>
  </sheetData>
  <mergeCells count="17">
    <mergeCell ref="N13:S13"/>
    <mergeCell ref="N2:S2"/>
    <mergeCell ref="N3:S3"/>
    <mergeCell ref="N4:S4"/>
    <mergeCell ref="N5:S5"/>
    <mergeCell ref="N6:S6"/>
    <mergeCell ref="N7:S7"/>
    <mergeCell ref="N8:S8"/>
    <mergeCell ref="N9:S9"/>
    <mergeCell ref="N10:S10"/>
    <mergeCell ref="N11:S11"/>
    <mergeCell ref="N12:S12"/>
    <mergeCell ref="N14:S14"/>
    <mergeCell ref="N15:S15"/>
    <mergeCell ref="N16:S16"/>
    <mergeCell ref="N17:S17"/>
    <mergeCell ref="N18:S18"/>
  </mergeCell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workbookViewId="0">
      <selection activeCell="A38" sqref="A38"/>
    </sheetView>
  </sheetViews>
  <sheetFormatPr defaultColWidth="8.85546875" defaultRowHeight="15" x14ac:dyDescent="0.25"/>
  <sheetData>
    <row r="1" spans="1:13" x14ac:dyDescent="0.25">
      <c r="A1" t="s">
        <v>0</v>
      </c>
      <c r="B1" t="s">
        <v>1</v>
      </c>
      <c r="C1" s="14" t="s">
        <v>22</v>
      </c>
      <c r="D1" t="s">
        <v>2</v>
      </c>
      <c r="E1" s="15" t="s">
        <v>23</v>
      </c>
      <c r="F1" t="s">
        <v>3</v>
      </c>
      <c r="G1" s="16" t="s">
        <v>24</v>
      </c>
      <c r="H1" t="s">
        <v>4</v>
      </c>
      <c r="I1" s="17" t="s">
        <v>25</v>
      </c>
      <c r="J1" t="s">
        <v>5</v>
      </c>
      <c r="K1" s="18" t="s">
        <v>26</v>
      </c>
      <c r="L1" t="s">
        <v>6</v>
      </c>
      <c r="M1" s="19" t="s">
        <v>27</v>
      </c>
    </row>
    <row r="2" spans="1:13" x14ac:dyDescent="0.25">
      <c r="A2" t="s">
        <v>7</v>
      </c>
      <c r="B2">
        <v>0.49567929702996361</v>
      </c>
      <c r="C2" s="14">
        <v>0.762384490029694</v>
      </c>
      <c r="D2">
        <v>0.14948629794334356</v>
      </c>
      <c r="E2" s="15">
        <v>0.44624975588118598</v>
      </c>
      <c r="F2">
        <v>1.4645092949648097</v>
      </c>
      <c r="G2" s="16">
        <v>0.78551996118716705</v>
      </c>
      <c r="H2">
        <v>0.12400957819316404</v>
      </c>
      <c r="I2" s="17">
        <v>0.29160072506103601</v>
      </c>
      <c r="J2">
        <v>0.21548134399560179</v>
      </c>
      <c r="K2" s="18">
        <v>0.82577386681059695</v>
      </c>
      <c r="L2">
        <v>1.0714731455074489</v>
      </c>
      <c r="M2" s="7">
        <v>4.5710095337786E-2</v>
      </c>
    </row>
    <row r="3" spans="1:13" x14ac:dyDescent="0.25">
      <c r="A3" t="s">
        <v>8</v>
      </c>
      <c r="B3">
        <v>0.34508765234446998</v>
      </c>
      <c r="C3" s="14">
        <v>8.2901279432195593E-2</v>
      </c>
      <c r="D3">
        <v>1.0420701211222094</v>
      </c>
      <c r="E3" s="9">
        <v>9.0782211164155292E-3</v>
      </c>
      <c r="F3">
        <v>0.49879443579869537</v>
      </c>
      <c r="G3" s="16">
        <v>0.52024738694317496</v>
      </c>
      <c r="H3">
        <v>0.43878548022014119</v>
      </c>
      <c r="I3" s="17">
        <v>7.2269282640789106E-2</v>
      </c>
      <c r="J3">
        <v>1.256361228966526</v>
      </c>
      <c r="K3" s="18">
        <v>0.76388269721491497</v>
      </c>
      <c r="L3">
        <v>1.4500478607485821</v>
      </c>
      <c r="M3" s="19">
        <v>0.45347930983877699</v>
      </c>
    </row>
    <row r="4" spans="1:13" x14ac:dyDescent="0.25">
      <c r="A4" t="s">
        <v>9</v>
      </c>
      <c r="B4">
        <v>0.71988333375584668</v>
      </c>
      <c r="C4" s="14">
        <v>6.6225124959576706E-2</v>
      </c>
      <c r="D4">
        <v>0.14496421249999999</v>
      </c>
      <c r="E4" s="15">
        <v>0.61881514010194805</v>
      </c>
      <c r="F4">
        <v>0.81159027501586234</v>
      </c>
      <c r="G4" s="10">
        <v>1.6347989883004101E-2</v>
      </c>
      <c r="H4">
        <v>1.1532557125618763</v>
      </c>
      <c r="I4" s="11">
        <v>1.1178235493982801E-2</v>
      </c>
      <c r="J4">
        <v>1.0418947606224118</v>
      </c>
      <c r="K4" s="18">
        <v>0.41128551861353002</v>
      </c>
      <c r="L4">
        <v>0.91732560163440191</v>
      </c>
      <c r="M4" s="7">
        <v>2.5966862137770701E-2</v>
      </c>
    </row>
    <row r="5" spans="1:13" x14ac:dyDescent="0.25">
      <c r="A5" t="s">
        <v>10</v>
      </c>
      <c r="B5">
        <v>0.5121253826640787</v>
      </c>
      <c r="C5" s="14">
        <v>0.33061324554751997</v>
      </c>
      <c r="D5">
        <v>0.90406785772819764</v>
      </c>
      <c r="E5" s="15">
        <v>0.58761063110676703</v>
      </c>
      <c r="F5">
        <v>0.76914472529941869</v>
      </c>
      <c r="G5" s="16">
        <v>0.876273721691745</v>
      </c>
      <c r="H5">
        <v>0.8855775977376551</v>
      </c>
      <c r="I5" s="17">
        <v>0.12610118972802201</v>
      </c>
      <c r="J5">
        <v>0.50334934207359538</v>
      </c>
      <c r="K5" s="18">
        <v>0.84451617033304205</v>
      </c>
      <c r="L5">
        <v>0.22866597548691789</v>
      </c>
      <c r="M5" s="19">
        <v>0.34787221257796602</v>
      </c>
    </row>
    <row r="6" spans="1:13" x14ac:dyDescent="0.25">
      <c r="A6" t="s">
        <v>11</v>
      </c>
      <c r="B6">
        <v>0.51035664827277494</v>
      </c>
      <c r="C6" s="14">
        <v>0.41886387925431101</v>
      </c>
      <c r="D6">
        <v>0.21012197608839403</v>
      </c>
      <c r="E6" s="15">
        <v>0.54683519144140802</v>
      </c>
      <c r="F6">
        <v>0.35326105333333335</v>
      </c>
      <c r="G6" s="16">
        <v>0.60936795919082498</v>
      </c>
      <c r="H6">
        <v>0.19391115965122621</v>
      </c>
      <c r="I6" s="17">
        <v>0.51888455220311103</v>
      </c>
      <c r="J6">
        <v>0.29153877415687751</v>
      </c>
      <c r="K6" s="18">
        <v>0.92811381976317897</v>
      </c>
      <c r="L6">
        <v>0.15398898944208081</v>
      </c>
      <c r="M6" s="19">
        <v>0.117144834533319</v>
      </c>
    </row>
    <row r="7" spans="1:13" x14ac:dyDescent="0.25">
      <c r="A7" t="s">
        <v>12</v>
      </c>
      <c r="B7">
        <v>1.9042360691114517</v>
      </c>
      <c r="C7" s="14">
        <v>0.73074475229926095</v>
      </c>
      <c r="D7">
        <v>1.4070110876540338</v>
      </c>
      <c r="E7" s="15">
        <v>0.482119508817688</v>
      </c>
      <c r="F7">
        <v>1.9266800201172307</v>
      </c>
      <c r="G7" s="16">
        <v>7.7299330333445299E-2</v>
      </c>
      <c r="H7">
        <v>0.4916199175</v>
      </c>
      <c r="I7" s="17">
        <v>0.41648763304756098</v>
      </c>
      <c r="J7">
        <v>1.6311747289666749</v>
      </c>
      <c r="K7" s="18">
        <v>0.92618166088133702</v>
      </c>
      <c r="L7">
        <v>0.60716015006565038</v>
      </c>
      <c r="M7" s="7">
        <v>1.5741522728162101E-2</v>
      </c>
    </row>
    <row r="8" spans="1:13" x14ac:dyDescent="0.25">
      <c r="A8" t="s">
        <v>13</v>
      </c>
      <c r="B8">
        <v>0.63076722591668866</v>
      </c>
      <c r="C8" s="12">
        <v>3.9736164584284001E-2</v>
      </c>
      <c r="D8">
        <v>0.74568409747863262</v>
      </c>
      <c r="E8" s="9">
        <v>2.23753114222145E-3</v>
      </c>
      <c r="F8">
        <v>0.30278663680861156</v>
      </c>
      <c r="G8" s="10">
        <v>2.4759724199063201E-3</v>
      </c>
      <c r="H8">
        <v>2.7936280971469709</v>
      </c>
      <c r="I8" s="17">
        <v>0.42442038054964198</v>
      </c>
      <c r="J8">
        <v>0.5935956166666666</v>
      </c>
      <c r="K8" s="18">
        <v>0.57583799773840905</v>
      </c>
      <c r="L8">
        <v>0.54165312028582568</v>
      </c>
      <c r="M8" s="7">
        <v>1.1238296525258799E-3</v>
      </c>
    </row>
    <row r="9" spans="1:13" x14ac:dyDescent="0.25">
      <c r="A9" t="s">
        <v>14</v>
      </c>
      <c r="B9">
        <v>0.46347153769655747</v>
      </c>
      <c r="C9" s="14">
        <v>0.30555896896170998</v>
      </c>
      <c r="D9">
        <v>0.30944716962628011</v>
      </c>
      <c r="E9" s="15">
        <v>0.220796800536256</v>
      </c>
      <c r="F9">
        <v>0.74477974490716159</v>
      </c>
      <c r="G9" s="16">
        <v>0.34273266373509897</v>
      </c>
      <c r="H9">
        <v>0.25736465877758913</v>
      </c>
      <c r="I9" s="11">
        <v>1.6849469393969401E-2</v>
      </c>
      <c r="J9">
        <v>0.50581742432160204</v>
      </c>
      <c r="K9" s="18">
        <v>0.80207673397527102</v>
      </c>
      <c r="L9">
        <v>0.26479129916800465</v>
      </c>
      <c r="M9" s="19">
        <v>8.3557084326203193E-2</v>
      </c>
    </row>
    <row r="10" spans="1:13" x14ac:dyDescent="0.25">
      <c r="A10" t="s">
        <v>15</v>
      </c>
      <c r="B10">
        <v>1.0022126551749035</v>
      </c>
      <c r="C10" s="14">
        <v>0.40967747091093998</v>
      </c>
      <c r="D10">
        <v>0.27931946629894089</v>
      </c>
      <c r="E10" s="9">
        <v>4.93615335741312E-2</v>
      </c>
      <c r="F10">
        <v>0.80718268067345023</v>
      </c>
      <c r="G10" s="16">
        <v>7.5060611423136706E-2</v>
      </c>
      <c r="H10">
        <v>0.14534586679992451</v>
      </c>
      <c r="I10" s="17">
        <v>5.3349459021998002E-2</v>
      </c>
      <c r="J10">
        <v>1.132040699843806</v>
      </c>
      <c r="K10" s="18">
        <v>0.83537027035042999</v>
      </c>
      <c r="L10">
        <v>0.28901315175252945</v>
      </c>
      <c r="M10" s="7">
        <v>2.0751052693414899E-3</v>
      </c>
    </row>
    <row r="11" spans="1:13" x14ac:dyDescent="0.25">
      <c r="A11" t="s">
        <v>16</v>
      </c>
      <c r="B11">
        <v>1.7395022835077698</v>
      </c>
      <c r="C11" s="14">
        <v>0.312866167848105</v>
      </c>
      <c r="D11">
        <v>1.2101323807421418</v>
      </c>
      <c r="E11" s="15">
        <v>0.36919882166698498</v>
      </c>
      <c r="F11">
        <v>0.12653480662804681</v>
      </c>
      <c r="G11" s="16">
        <v>0.32044779172975002</v>
      </c>
      <c r="H11">
        <v>0.16294691830579963</v>
      </c>
      <c r="I11" s="17">
        <v>1.01926877470356</v>
      </c>
      <c r="J11">
        <v>0.31532168673112232</v>
      </c>
      <c r="K11" s="18">
        <v>0.41730594570108798</v>
      </c>
      <c r="L11">
        <v>1.3328599171231301</v>
      </c>
      <c r="M11" s="19">
        <v>0.32964773522541801</v>
      </c>
    </row>
    <row r="12" spans="1:13" x14ac:dyDescent="0.25">
      <c r="A12" t="s">
        <v>17</v>
      </c>
      <c r="B12">
        <v>0.33808608827897163</v>
      </c>
      <c r="C12" s="14">
        <v>0.673063017606508</v>
      </c>
      <c r="D12">
        <v>0.63991244999049191</v>
      </c>
      <c r="E12" s="15">
        <v>0.48391674975244903</v>
      </c>
      <c r="F12">
        <v>0.3867051177461564</v>
      </c>
      <c r="G12" s="16">
        <v>0.37967438937929698</v>
      </c>
      <c r="H12">
        <v>0.18220800039149668</v>
      </c>
      <c r="I12" s="17">
        <v>0.61551986182630103</v>
      </c>
      <c r="J12">
        <v>0.27955744334793386</v>
      </c>
      <c r="K12" s="18">
        <v>0.96518223885221099</v>
      </c>
      <c r="L12">
        <v>0.26727954451129282</v>
      </c>
      <c r="M12" s="19">
        <v>0.77989454444137896</v>
      </c>
    </row>
    <row r="13" spans="1:13" x14ac:dyDescent="0.25">
      <c r="A13" t="s">
        <v>18</v>
      </c>
      <c r="B13">
        <v>0.47691162763091527</v>
      </c>
      <c r="C13" s="14">
        <v>9.5712795892028399E-2</v>
      </c>
      <c r="D13">
        <v>0.31243079506455357</v>
      </c>
      <c r="E13" s="15">
        <v>0.44634237725270698</v>
      </c>
      <c r="F13">
        <v>0.34129233850685731</v>
      </c>
      <c r="G13" s="16">
        <v>0.31255665386579601</v>
      </c>
      <c r="H13">
        <v>0.46046880056345812</v>
      </c>
      <c r="I13" s="17">
        <v>0.98678976939878205</v>
      </c>
      <c r="J13">
        <v>0.29257016918733042</v>
      </c>
      <c r="K13" s="18">
        <v>0.517815470814041</v>
      </c>
      <c r="L13">
        <v>0.33399008074555697</v>
      </c>
      <c r="M13" s="19">
        <v>0.297478016852251</v>
      </c>
    </row>
    <row r="14" spans="1:13" x14ac:dyDescent="0.25">
      <c r="A14" t="s">
        <v>19</v>
      </c>
      <c r="B14">
        <v>0.68199114263906868</v>
      </c>
      <c r="C14" s="14">
        <v>0.174295602147962</v>
      </c>
      <c r="D14">
        <v>0.67086660735305459</v>
      </c>
      <c r="E14" s="15">
        <v>0.86844583111990603</v>
      </c>
      <c r="F14">
        <v>1.1504677306423219</v>
      </c>
      <c r="G14" s="10">
        <v>4.3268390080787603E-2</v>
      </c>
      <c r="H14">
        <v>0.2773884676532547</v>
      </c>
      <c r="I14" s="11">
        <v>8.3521584494051695E-3</v>
      </c>
      <c r="J14">
        <v>0.410859370343093</v>
      </c>
      <c r="K14" s="18">
        <v>0.81524617305381997</v>
      </c>
      <c r="L14">
        <v>0.46113229807292649</v>
      </c>
      <c r="M14" s="19">
        <v>6.5292475138674894E-2</v>
      </c>
    </row>
    <row r="15" spans="1:13" x14ac:dyDescent="0.25">
      <c r="A15" t="s">
        <v>20</v>
      </c>
      <c r="B15">
        <v>0.36553071449003044</v>
      </c>
      <c r="C15" s="12">
        <v>4.0424970068182499E-3</v>
      </c>
      <c r="D15">
        <v>0.78898025927789117</v>
      </c>
      <c r="E15" s="15">
        <v>5.7965913592618802E-2</v>
      </c>
      <c r="F15">
        <v>9.6554063814022692E-2</v>
      </c>
      <c r="G15" s="16">
        <v>0.218104991549528</v>
      </c>
      <c r="H15">
        <v>0.46984126363193873</v>
      </c>
      <c r="I15" s="11">
        <v>1.17388410353965E-2</v>
      </c>
      <c r="J15">
        <v>0.67053991718232286</v>
      </c>
      <c r="K15" s="18">
        <v>0.21974386864794401</v>
      </c>
      <c r="L15">
        <v>0.46244863625776328</v>
      </c>
      <c r="M15" s="19">
        <v>0.26584607245743602</v>
      </c>
    </row>
    <row r="16" spans="1:13" x14ac:dyDescent="0.25">
      <c r="A16" t="s">
        <v>21</v>
      </c>
      <c r="B16">
        <v>1.8985874253075727</v>
      </c>
      <c r="C16" s="12">
        <v>8.8957362296602296E-3</v>
      </c>
      <c r="D16">
        <v>0.75812718834615256</v>
      </c>
      <c r="E16" s="15">
        <v>0.31603437363464698</v>
      </c>
      <c r="F16">
        <v>0.6857857025013786</v>
      </c>
      <c r="G16" s="16">
        <v>0.250267714639267</v>
      </c>
      <c r="H16">
        <v>1.2849835553590034</v>
      </c>
      <c r="I16" s="17">
        <v>1.01343777505961</v>
      </c>
      <c r="J16">
        <v>0.49435425583000098</v>
      </c>
      <c r="K16" s="18">
        <v>0.88243598341370999</v>
      </c>
      <c r="L16">
        <v>3.1590337508333337</v>
      </c>
      <c r="M16" s="19">
        <v>0.45617091532496501</v>
      </c>
    </row>
    <row r="20" spans="1:12" x14ac:dyDescent="0.25">
      <c r="A20" t="s">
        <v>121</v>
      </c>
    </row>
    <row r="21" spans="1:12" x14ac:dyDescent="0.25">
      <c r="A21" t="s">
        <v>7</v>
      </c>
      <c r="B21">
        <f>B2-dhap4!B2</f>
        <v>-0.51918230285855682</v>
      </c>
      <c r="D21">
        <f>D2-dhap4!D2</f>
        <v>-1.049343047435491</v>
      </c>
      <c r="F21">
        <f>F2-dhap4!F2</f>
        <v>9.3246326421982939E-3</v>
      </c>
      <c r="H21">
        <f>H2-dhap4!H2</f>
        <v>-1.2457710103556445</v>
      </c>
      <c r="J21">
        <f>J2-dhap4!J2</f>
        <v>-0.84532813223674297</v>
      </c>
      <c r="L21">
        <f>L2-dhap4!L2</f>
        <v>-0.40220148060773031</v>
      </c>
    </row>
    <row r="22" spans="1:12" x14ac:dyDescent="0.25">
      <c r="A22" t="s">
        <v>8</v>
      </c>
      <c r="B22">
        <f>B3-dhap4!B3</f>
        <v>-0.77534114329951787</v>
      </c>
      <c r="D22">
        <f>D3-dhap4!D3</f>
        <v>-0.42329506936294048</v>
      </c>
      <c r="F22">
        <f>F3-dhap4!F3</f>
        <v>-0.95228304281180431</v>
      </c>
      <c r="H22">
        <f>H3-dhap4!H3</f>
        <v>-1.3135698815303005</v>
      </c>
      <c r="J22">
        <f>J3-dhap4!J3</f>
        <v>4.530948189590478E-2</v>
      </c>
      <c r="L22">
        <f>L3-dhap4!L3</f>
        <v>5.4208663575478155E-2</v>
      </c>
    </row>
    <row r="23" spans="1:12" x14ac:dyDescent="0.25">
      <c r="A23" t="s">
        <v>9</v>
      </c>
      <c r="B23">
        <f>B4-dhap4!B4</f>
        <v>-0.73876940945874725</v>
      </c>
      <c r="D23">
        <f>D4-dhap4!D4</f>
        <v>-1.5744223426702637</v>
      </c>
      <c r="F23">
        <f>F4-dhap4!F4</f>
        <v>-0.37087444572266959</v>
      </c>
      <c r="H23">
        <f>H4-dhap4!H4</f>
        <v>-5.5935131376416036E-2</v>
      </c>
      <c r="J23">
        <f>J4-dhap4!J4</f>
        <v>-6.4519011106248803E-2</v>
      </c>
      <c r="L23">
        <f>L4-dhap4!L4</f>
        <v>-0.48681770648586287</v>
      </c>
    </row>
    <row r="24" spans="1:12" x14ac:dyDescent="0.25">
      <c r="A24" t="s">
        <v>10</v>
      </c>
      <c r="B24">
        <f>B5-dhap4!B5</f>
        <v>-1.3417878329295276</v>
      </c>
      <c r="D24">
        <f>D5-dhap4!D5</f>
        <v>-0.94154401329238724</v>
      </c>
      <c r="F24">
        <f>F5-dhap4!F5</f>
        <v>-0.25908940117503321</v>
      </c>
      <c r="H24">
        <f>H5-dhap4!H5</f>
        <v>-1.0693713439951309</v>
      </c>
      <c r="J24">
        <f>J5-dhap4!J5</f>
        <v>-0.685485065740289</v>
      </c>
      <c r="L24">
        <f>L5-dhap4!L5</f>
        <v>-0.95007894416263505</v>
      </c>
    </row>
    <row r="25" spans="1:12" x14ac:dyDescent="0.25">
      <c r="A25" t="s">
        <v>11</v>
      </c>
      <c r="B25">
        <f>B6-dhap4!B6</f>
        <v>-0.65897756066134006</v>
      </c>
      <c r="D25">
        <f>D6-dhap4!D6</f>
        <v>-1.0066688608775274</v>
      </c>
      <c r="F25">
        <f>F6-dhap4!F6</f>
        <v>-0.80099285302372358</v>
      </c>
      <c r="H25">
        <f>H6-dhap4!H6</f>
        <v>-0.93283859937475877</v>
      </c>
      <c r="J25">
        <f>J6-dhap4!J6</f>
        <v>-0.91780086702585173</v>
      </c>
      <c r="L25">
        <f>L6-dhap4!L6</f>
        <v>-1.4164984170743387</v>
      </c>
    </row>
    <row r="26" spans="1:12" x14ac:dyDescent="0.25">
      <c r="A26" t="s">
        <v>12</v>
      </c>
      <c r="B26">
        <f>B7-dhap4!B7</f>
        <v>0.70944487309227466</v>
      </c>
      <c r="D26">
        <f>D7-dhap4!D7</f>
        <v>0.34635791496496338</v>
      </c>
      <c r="F26">
        <f>F7-dhap4!F7</f>
        <v>-0.12627014354091726</v>
      </c>
      <c r="H26">
        <f>H7-dhap4!H7</f>
        <v>-1.0208378535236642</v>
      </c>
      <c r="J26">
        <f>J7-dhap4!J7</f>
        <v>0.5705814406608225</v>
      </c>
      <c r="L26">
        <f>L7-dhap4!L7</f>
        <v>-1.1117441155814407</v>
      </c>
    </row>
    <row r="27" spans="1:12" x14ac:dyDescent="0.25">
      <c r="A27" t="s">
        <v>13</v>
      </c>
      <c r="B27">
        <f>B8-dhap4!B8</f>
        <v>-0.4213890988531529</v>
      </c>
      <c r="D27">
        <f>D8-dhap4!D8</f>
        <v>-0.50030741508710397</v>
      </c>
      <c r="F27">
        <f>F8-dhap4!F8</f>
        <v>-0.70187725037069337</v>
      </c>
      <c r="H27">
        <f>H8-dhap4!H8</f>
        <v>1.7357421261811847</v>
      </c>
      <c r="J27">
        <f>J8-dhap4!J8</f>
        <v>-2.2192373532709508</v>
      </c>
      <c r="L27">
        <f>L8-dhap4!L8</f>
        <v>-0.95905095406857388</v>
      </c>
    </row>
    <row r="28" spans="1:12" x14ac:dyDescent="0.25">
      <c r="A28" t="s">
        <v>14</v>
      </c>
      <c r="B28">
        <f>B9-dhap4!B9</f>
        <v>-0.62857570079213954</v>
      </c>
      <c r="D28">
        <f>D9-dhap4!D9</f>
        <v>-1.3890516385487783</v>
      </c>
      <c r="F28">
        <f>F9-dhap4!F9</f>
        <v>-0.48119397819693854</v>
      </c>
      <c r="H28">
        <f>H9-dhap4!H9</f>
        <v>-1.1086708177059041</v>
      </c>
      <c r="J28">
        <f>J9-dhap4!J9</f>
        <v>-0.80114001188390493</v>
      </c>
      <c r="L28">
        <f>L9-dhap4!L9</f>
        <v>-0.87713112300574592</v>
      </c>
    </row>
    <row r="29" spans="1:12" x14ac:dyDescent="0.25">
      <c r="A29" t="s">
        <v>15</v>
      </c>
      <c r="B29">
        <f>B10-dhap4!B10</f>
        <v>1.8613261581723606E-3</v>
      </c>
      <c r="D29">
        <f>D10-dhap4!D10</f>
        <v>-0.97815251828188043</v>
      </c>
      <c r="F29">
        <f>F10-dhap4!F10</f>
        <v>-0.47422143850184939</v>
      </c>
      <c r="H29">
        <f>H10-dhap4!H10</f>
        <v>-1.3061189895304763</v>
      </c>
      <c r="J29">
        <f>J10-dhap4!J10</f>
        <v>-5.2774398490504915E-2</v>
      </c>
      <c r="L29">
        <f>L10-dhap4!L10</f>
        <v>-2.4377186453668127</v>
      </c>
    </row>
    <row r="30" spans="1:12" x14ac:dyDescent="0.25">
      <c r="A30" t="s">
        <v>16</v>
      </c>
      <c r="B30">
        <f>B11-dhap4!B11</f>
        <v>0.14930952642206008</v>
      </c>
      <c r="D30">
        <f>D11-dhap4!D11</f>
        <v>-0.30687546281134082</v>
      </c>
      <c r="F30">
        <f>F11-dhap4!F11</f>
        <v>-3.029693190573536</v>
      </c>
      <c r="H30">
        <f>H11-dhap4!H11</f>
        <v>-1.3742805814290073</v>
      </c>
      <c r="J30">
        <f>J11-dhap4!J11</f>
        <v>-5.5920349744761317</v>
      </c>
      <c r="L30">
        <f>L11-dhap4!L11</f>
        <v>8.0896714607717524E-2</v>
      </c>
    </row>
    <row r="31" spans="1:12" x14ac:dyDescent="0.25">
      <c r="A31" t="s">
        <v>17</v>
      </c>
      <c r="B31">
        <f>B12-dhap4!B12</f>
        <v>-0.94478362224572621</v>
      </c>
      <c r="D31">
        <f>D12-dhap4!D12</f>
        <v>-0.88309531058175061</v>
      </c>
      <c r="F31">
        <f>F12-dhap4!F12</f>
        <v>-0.84409310815535199</v>
      </c>
      <c r="H31">
        <f>H12-dhap4!H12</f>
        <v>-1.2347999589587315</v>
      </c>
      <c r="J31">
        <f>J12-dhap4!J12</f>
        <v>-1.1815986912855503</v>
      </c>
      <c r="L31">
        <f>L12-dhap4!L12</f>
        <v>-0.80944100912891703</v>
      </c>
    </row>
    <row r="32" spans="1:12" x14ac:dyDescent="0.25">
      <c r="A32" t="s">
        <v>18</v>
      </c>
      <c r="B32">
        <f>B13-dhap4!B13</f>
        <v>-0.67743713112132631</v>
      </c>
      <c r="D32">
        <f>D13-dhap4!D13</f>
        <v>-0.75510377938621698</v>
      </c>
      <c r="F32">
        <f>F13-dhap4!F13</f>
        <v>-0.7072348298125184</v>
      </c>
      <c r="H32">
        <f>H13-dhap4!H13</f>
        <v>-0.65814793337911071</v>
      </c>
      <c r="J32">
        <f>J13-dhap4!J13</f>
        <v>-0.80948408407329775</v>
      </c>
      <c r="L32">
        <f>L13-dhap4!L13</f>
        <v>-1.1392795341169528</v>
      </c>
    </row>
    <row r="33" spans="1:12" x14ac:dyDescent="0.25">
      <c r="A33" t="s">
        <v>19</v>
      </c>
      <c r="B33">
        <f>B14-dhap4!B14</f>
        <v>-0.45692707994175186</v>
      </c>
      <c r="D33">
        <f>D14-dhap4!D14</f>
        <v>-0.42668883168337135</v>
      </c>
      <c r="F33">
        <f>F14-dhap4!F14</f>
        <v>-2.0216046357419017</v>
      </c>
      <c r="H33">
        <f>H14-dhap4!H14</f>
        <v>-2.161654406900674</v>
      </c>
      <c r="J33">
        <f>J14-dhap4!J14</f>
        <v>-0.6833266083052969</v>
      </c>
      <c r="L33">
        <f>L14-dhap4!L14</f>
        <v>-1.3588141679435608</v>
      </c>
    </row>
    <row r="34" spans="1:12" x14ac:dyDescent="0.25">
      <c r="A34" t="s">
        <v>20</v>
      </c>
      <c r="B34">
        <f>B15-dhap4!B15</f>
        <v>-0.77358135802465799</v>
      </c>
      <c r="D34">
        <f>D15-dhap4!D15</f>
        <v>-0.35026123579132329</v>
      </c>
      <c r="F34">
        <f>F15-dhap4!F15</f>
        <v>-16.709939735113284</v>
      </c>
      <c r="H34">
        <f>H15-dhap4!H15</f>
        <v>-1.697808293930624</v>
      </c>
      <c r="J34">
        <f>J15-dhap4!J15</f>
        <v>-0.33851148713142132</v>
      </c>
      <c r="L34">
        <f>L15-dhap4!L15</f>
        <v>-0.77205879654810117</v>
      </c>
    </row>
    <row r="35" spans="1:12" x14ac:dyDescent="0.25">
      <c r="A35" t="s">
        <v>21</v>
      </c>
      <c r="B35">
        <f>B16-dhap4!B16</f>
        <v>-2.1942564807767817</v>
      </c>
      <c r="D35">
        <f>D16-dhap4!D16</f>
        <v>-0.53312992402763848</v>
      </c>
      <c r="F35">
        <f>F16-dhap4!F16</f>
        <v>-2.2762325753772363</v>
      </c>
      <c r="H35">
        <f>H16-dhap4!H16</f>
        <v>-2.325722600655955E-2</v>
      </c>
      <c r="J35">
        <f>J16-dhap4!J16</f>
        <v>-1.4310470658915937</v>
      </c>
      <c r="L35">
        <f>L16-dhap4!L16</f>
        <v>1.4115341439038946</v>
      </c>
    </row>
    <row r="37" spans="1:12" x14ac:dyDescent="0.25">
      <c r="A37" t="s">
        <v>111</v>
      </c>
    </row>
    <row r="38" spans="1:12" x14ac:dyDescent="0.25">
      <c r="A38">
        <v>1.4373264328589175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workbookViewId="0">
      <selection activeCell="A38" sqref="A38"/>
    </sheetView>
  </sheetViews>
  <sheetFormatPr defaultColWidth="8.85546875" defaultRowHeight="15" x14ac:dyDescent="0.25"/>
  <sheetData>
    <row r="1" spans="1:13" x14ac:dyDescent="0.25">
      <c r="A1" t="s">
        <v>0</v>
      </c>
      <c r="B1" t="s">
        <v>1</v>
      </c>
      <c r="C1" s="14" t="s">
        <v>22</v>
      </c>
      <c r="D1" t="s">
        <v>2</v>
      </c>
      <c r="E1" s="15" t="s">
        <v>23</v>
      </c>
      <c r="F1" t="s">
        <v>3</v>
      </c>
      <c r="G1" s="16" t="s">
        <v>24</v>
      </c>
      <c r="H1" t="s">
        <v>4</v>
      </c>
      <c r="I1" s="17" t="s">
        <v>25</v>
      </c>
      <c r="J1" t="s">
        <v>5</v>
      </c>
      <c r="K1" s="18" t="s">
        <v>26</v>
      </c>
      <c r="L1" t="s">
        <v>6</v>
      </c>
      <c r="M1" s="19" t="s">
        <v>27</v>
      </c>
    </row>
    <row r="2" spans="1:13" x14ac:dyDescent="0.25">
      <c r="A2" t="s">
        <v>7</v>
      </c>
      <c r="B2">
        <v>0.45947839491820769</v>
      </c>
      <c r="C2" s="14">
        <v>0.762384490029694</v>
      </c>
      <c r="D2">
        <v>0.13426878952251808</v>
      </c>
      <c r="E2" s="15">
        <v>0.44624975588118598</v>
      </c>
      <c r="F2">
        <v>1.1186218164405852</v>
      </c>
      <c r="G2" s="16">
        <v>0.78551996118716705</v>
      </c>
      <c r="H2">
        <v>0.13981824791823896</v>
      </c>
      <c r="I2" s="17">
        <v>0.29160072506103601</v>
      </c>
      <c r="J2">
        <v>0.20662186532955051</v>
      </c>
      <c r="K2" s="18">
        <v>0.82577386681059695</v>
      </c>
      <c r="L2">
        <v>1.2278493791401099</v>
      </c>
      <c r="M2" s="7">
        <v>4.5710095337786E-2</v>
      </c>
    </row>
    <row r="3" spans="1:13" x14ac:dyDescent="0.25">
      <c r="A3" t="s">
        <v>8</v>
      </c>
      <c r="B3">
        <v>0.32826595507061074</v>
      </c>
      <c r="C3" s="14">
        <v>8.2901279432195593E-2</v>
      </c>
      <c r="D3">
        <v>0.89553640022541892</v>
      </c>
      <c r="E3" s="9">
        <v>9.0782211164155292E-3</v>
      </c>
      <c r="F3">
        <v>0.51611307237541826</v>
      </c>
      <c r="G3" s="16">
        <v>0.52024738694317496</v>
      </c>
      <c r="H3">
        <v>0.33451906449961927</v>
      </c>
      <c r="I3" s="17">
        <v>7.2269282640789106E-2</v>
      </c>
      <c r="J3">
        <v>1.3910667553106846</v>
      </c>
      <c r="K3" s="18">
        <v>0.76388269721491497</v>
      </c>
      <c r="L3">
        <v>1.490302165981582</v>
      </c>
      <c r="M3" s="19">
        <v>0.45347930983877699</v>
      </c>
    </row>
    <row r="4" spans="1:13" x14ac:dyDescent="0.25">
      <c r="A4" t="s">
        <v>9</v>
      </c>
      <c r="B4">
        <v>0.66812017863088313</v>
      </c>
      <c r="C4" s="14">
        <v>6.6225124959576706E-2</v>
      </c>
      <c r="D4">
        <v>0.14496421249999999</v>
      </c>
      <c r="E4" s="15">
        <v>0.61881514010194805</v>
      </c>
      <c r="F4">
        <v>0.85756222305328567</v>
      </c>
      <c r="G4" s="10">
        <v>1.6347989883004101E-2</v>
      </c>
      <c r="H4">
        <v>1.1345380029707162</v>
      </c>
      <c r="I4" s="11">
        <v>1.1178235493982801E-2</v>
      </c>
      <c r="J4">
        <v>1.1810674664382053</v>
      </c>
      <c r="K4" s="18">
        <v>0.41128551861353002</v>
      </c>
      <c r="L4">
        <v>0.83643066264759058</v>
      </c>
      <c r="M4" s="7">
        <v>2.5966862137770701E-2</v>
      </c>
    </row>
    <row r="5" spans="1:13" x14ac:dyDescent="0.25">
      <c r="A5" t="s">
        <v>10</v>
      </c>
      <c r="B5">
        <v>0.39673129934995771</v>
      </c>
      <c r="C5" s="14">
        <v>0.33061324554751997</v>
      </c>
      <c r="D5">
        <v>0.77549929338666612</v>
      </c>
      <c r="E5" s="15">
        <v>0.58761063110676703</v>
      </c>
      <c r="F5">
        <v>0.75656688749548884</v>
      </c>
      <c r="G5" s="16">
        <v>0.876273721691745</v>
      </c>
      <c r="H5">
        <v>0.93927713124986989</v>
      </c>
      <c r="I5" s="17">
        <v>0.12610118972802201</v>
      </c>
      <c r="J5">
        <v>0.52055399650668188</v>
      </c>
      <c r="K5" s="18">
        <v>0.84451617033304205</v>
      </c>
      <c r="L5">
        <v>0.26645238003893823</v>
      </c>
      <c r="M5" s="19">
        <v>0.34787221257796602</v>
      </c>
    </row>
    <row r="6" spans="1:13" x14ac:dyDescent="0.25">
      <c r="A6" t="s">
        <v>11</v>
      </c>
      <c r="B6">
        <v>0.53794479439475662</v>
      </c>
      <c r="C6" s="14">
        <v>0.41886387925431101</v>
      </c>
      <c r="D6">
        <v>0.23511169006663335</v>
      </c>
      <c r="E6" s="15">
        <v>0.54683519144140802</v>
      </c>
      <c r="F6">
        <v>0.35326105333333335</v>
      </c>
      <c r="G6" s="16">
        <v>0.60936795919082498</v>
      </c>
      <c r="H6">
        <v>0.21098866963465154</v>
      </c>
      <c r="I6" s="17">
        <v>0.51888455220311103</v>
      </c>
      <c r="J6">
        <v>0.3074542375656516</v>
      </c>
      <c r="K6" s="18">
        <v>0.92811381976317897</v>
      </c>
      <c r="L6">
        <v>0.15348775284422936</v>
      </c>
      <c r="M6" s="19">
        <v>0.117144834533319</v>
      </c>
    </row>
    <row r="7" spans="1:13" x14ac:dyDescent="0.25">
      <c r="A7" t="s">
        <v>12</v>
      </c>
      <c r="B7">
        <v>1.8030403838498827</v>
      </c>
      <c r="C7" s="14">
        <v>0.73074475229926095</v>
      </c>
      <c r="D7">
        <v>1.2447059582695146</v>
      </c>
      <c r="E7" s="15">
        <v>0.482119508817688</v>
      </c>
      <c r="F7">
        <v>2.1073552187923736</v>
      </c>
      <c r="G7" s="16">
        <v>7.7299330333445299E-2</v>
      </c>
      <c r="H7">
        <v>0.4916199175</v>
      </c>
      <c r="I7" s="17">
        <v>0.41648763304756098</v>
      </c>
      <c r="J7">
        <v>1.518765970174216</v>
      </c>
      <c r="K7" s="18">
        <v>0.92618166088133702</v>
      </c>
      <c r="L7">
        <v>1.0513512670162843</v>
      </c>
      <c r="M7" s="7">
        <v>1.5741522728162101E-2</v>
      </c>
    </row>
    <row r="8" spans="1:13" x14ac:dyDescent="0.25">
      <c r="A8" t="s">
        <v>13</v>
      </c>
      <c r="B8">
        <v>0.61295892710620126</v>
      </c>
      <c r="C8" s="12">
        <v>3.9736164584284001E-2</v>
      </c>
      <c r="D8">
        <v>0.67637032568237476</v>
      </c>
      <c r="E8" s="9">
        <v>2.23753114222145E-3</v>
      </c>
      <c r="F8">
        <v>0.30829632280113844</v>
      </c>
      <c r="G8" s="10">
        <v>2.4759724199063201E-3</v>
      </c>
      <c r="H8">
        <v>2.6990372215437239</v>
      </c>
      <c r="I8" s="17">
        <v>0.42442038054964198</v>
      </c>
      <c r="J8">
        <v>0.5935956166666666</v>
      </c>
      <c r="K8" s="18">
        <v>0.57583799773840905</v>
      </c>
      <c r="L8">
        <v>0.41759880686741457</v>
      </c>
      <c r="M8" s="7">
        <v>1.1238296525258799E-3</v>
      </c>
    </row>
    <row r="9" spans="1:13" x14ac:dyDescent="0.25">
      <c r="A9" t="s">
        <v>14</v>
      </c>
      <c r="B9">
        <v>0.51728761596865691</v>
      </c>
      <c r="C9" s="14">
        <v>0.30555896896170998</v>
      </c>
      <c r="D9">
        <v>0.30571816332558416</v>
      </c>
      <c r="E9" s="15">
        <v>0.220796800536256</v>
      </c>
      <c r="F9">
        <v>0.84082906555085135</v>
      </c>
      <c r="G9" s="16">
        <v>0.34273266373509897</v>
      </c>
      <c r="H9">
        <v>0.24996043955699657</v>
      </c>
      <c r="I9" s="11">
        <v>1.6849469393969401E-2</v>
      </c>
      <c r="J9">
        <v>0.58929348759420541</v>
      </c>
      <c r="K9" s="18">
        <v>0.80207673397527102</v>
      </c>
      <c r="L9">
        <v>0.27225806666932179</v>
      </c>
      <c r="M9" s="19">
        <v>8.3557084326203193E-2</v>
      </c>
    </row>
    <row r="10" spans="1:13" x14ac:dyDescent="0.25">
      <c r="A10" t="s">
        <v>15</v>
      </c>
      <c r="B10">
        <v>1.0001320514007677</v>
      </c>
      <c r="C10" s="14">
        <v>0.40967747091093998</v>
      </c>
      <c r="D10">
        <v>0.28596425755737725</v>
      </c>
      <c r="E10" s="9">
        <v>4.93615335741312E-2</v>
      </c>
      <c r="F10">
        <v>0.79909733026994745</v>
      </c>
      <c r="G10" s="16">
        <v>7.5060611423136706E-2</v>
      </c>
      <c r="H10">
        <v>0.14784695141058066</v>
      </c>
      <c r="I10" s="17">
        <v>5.3349459021998002E-2</v>
      </c>
      <c r="J10">
        <v>1.1269147303089935</v>
      </c>
      <c r="K10" s="18">
        <v>0.83537027035042999</v>
      </c>
      <c r="L10">
        <v>0.24756031384020361</v>
      </c>
      <c r="M10" s="7">
        <v>2.0751052693414899E-3</v>
      </c>
    </row>
    <row r="11" spans="1:13" x14ac:dyDescent="0.25">
      <c r="A11" t="s">
        <v>16</v>
      </c>
      <c r="B11">
        <v>2.0823244426290204</v>
      </c>
      <c r="C11" s="14">
        <v>0.312866167848105</v>
      </c>
      <c r="D11">
        <v>1.0082916313552672</v>
      </c>
      <c r="E11" s="15">
        <v>0.36919882166698498</v>
      </c>
      <c r="F11">
        <v>0.15421897706748253</v>
      </c>
      <c r="G11" s="16">
        <v>0.32044779172975002</v>
      </c>
      <c r="H11">
        <v>0.13282397954644934</v>
      </c>
      <c r="I11" s="17">
        <v>1.01926877470356</v>
      </c>
      <c r="J11">
        <v>0.65009250079228675</v>
      </c>
      <c r="K11" s="18">
        <v>0.41730594570108798</v>
      </c>
      <c r="L11">
        <v>1.2449747854488979</v>
      </c>
      <c r="M11" s="19">
        <v>0.32964773522541801</v>
      </c>
    </row>
    <row r="12" spans="1:13" x14ac:dyDescent="0.25">
      <c r="A12" t="s">
        <v>17</v>
      </c>
      <c r="B12">
        <v>0.32875100988843919</v>
      </c>
      <c r="C12" s="14">
        <v>0.673063017606508</v>
      </c>
      <c r="D12">
        <v>0.71432677318189597</v>
      </c>
      <c r="E12" s="15">
        <v>0.48391674975244903</v>
      </c>
      <c r="F12">
        <v>0.41567648971548699</v>
      </c>
      <c r="G12" s="16">
        <v>0.37967438937929698</v>
      </c>
      <c r="H12">
        <v>0.17395623712610273</v>
      </c>
      <c r="I12" s="17">
        <v>0.61551986182630103</v>
      </c>
      <c r="J12">
        <v>0.27924003788035051</v>
      </c>
      <c r="K12" s="18">
        <v>0.96518223885221099</v>
      </c>
      <c r="L12">
        <v>0.24696834052482508</v>
      </c>
      <c r="M12" s="19">
        <v>0.77989454444137896</v>
      </c>
    </row>
    <row r="13" spans="1:13" x14ac:dyDescent="0.25">
      <c r="A13" t="s">
        <v>18</v>
      </c>
      <c r="B13">
        <v>0.44902999361730178</v>
      </c>
      <c r="C13" s="14">
        <v>9.5712795892028399E-2</v>
      </c>
      <c r="D13">
        <v>0.32946691995115213</v>
      </c>
      <c r="E13" s="15">
        <v>0.44634237725270698</v>
      </c>
      <c r="F13">
        <v>0.28952001848736997</v>
      </c>
      <c r="G13" s="16">
        <v>0.31255665386579601</v>
      </c>
      <c r="H13">
        <v>0.48228006071018381</v>
      </c>
      <c r="I13" s="17">
        <v>0.98678976939878205</v>
      </c>
      <c r="J13">
        <v>0.27265828739509773</v>
      </c>
      <c r="K13" s="18">
        <v>0.517815470814041</v>
      </c>
      <c r="L13">
        <v>0.2901348163639671</v>
      </c>
      <c r="M13" s="19">
        <v>0.297478016852251</v>
      </c>
    </row>
    <row r="14" spans="1:13" x14ac:dyDescent="0.25">
      <c r="A14" t="s">
        <v>19</v>
      </c>
      <c r="B14">
        <v>0.90407134235608955</v>
      </c>
      <c r="C14" s="14">
        <v>0.174295602147962</v>
      </c>
      <c r="D14">
        <v>0.66027071675054871</v>
      </c>
      <c r="E14" s="15">
        <v>0.86844583111990603</v>
      </c>
      <c r="F14">
        <v>0.55127833764300471</v>
      </c>
      <c r="G14" s="10">
        <v>4.3268390080787603E-2</v>
      </c>
      <c r="H14">
        <v>0.78228025244685873</v>
      </c>
      <c r="I14" s="11">
        <v>8.3521584494051695E-3</v>
      </c>
      <c r="J14">
        <v>0.40721961440999799</v>
      </c>
      <c r="K14" s="18">
        <v>0.81524617305381997</v>
      </c>
      <c r="L14">
        <v>0.91014685028718523</v>
      </c>
      <c r="M14" s="19">
        <v>6.5292475138674894E-2</v>
      </c>
    </row>
    <row r="15" spans="1:13" x14ac:dyDescent="0.25">
      <c r="A15" t="s">
        <v>20</v>
      </c>
      <c r="B15">
        <v>0.37150121815737652</v>
      </c>
      <c r="C15" s="12">
        <v>4.0424970068182499E-3</v>
      </c>
      <c r="D15">
        <v>0.71503055887564326</v>
      </c>
      <c r="E15" s="15">
        <v>5.7965913592618802E-2</v>
      </c>
      <c r="F15">
        <v>0.10336015277665607</v>
      </c>
      <c r="G15" s="16">
        <v>0.218104991549528</v>
      </c>
      <c r="H15">
        <v>0.48426962001746765</v>
      </c>
      <c r="I15" s="11">
        <v>1.17388410353965E-2</v>
      </c>
      <c r="J15">
        <v>0.69190692853951108</v>
      </c>
      <c r="K15" s="18">
        <v>0.21974386864794401</v>
      </c>
      <c r="L15">
        <v>0.47793055957676089</v>
      </c>
      <c r="M15" s="19">
        <v>0.26584607245743602</v>
      </c>
    </row>
    <row r="16" spans="1:13" x14ac:dyDescent="0.25">
      <c r="A16" t="s">
        <v>21</v>
      </c>
      <c r="B16">
        <v>1.6335595779551264</v>
      </c>
      <c r="C16" s="12">
        <v>8.8957362296602296E-3</v>
      </c>
      <c r="D16">
        <v>0.7507776548860402</v>
      </c>
      <c r="E16" s="15">
        <v>0.31603437363464698</v>
      </c>
      <c r="F16">
        <v>0.91680461901660382</v>
      </c>
      <c r="G16" s="16">
        <v>0.250267714639267</v>
      </c>
      <c r="H16">
        <v>1.4627031044158807</v>
      </c>
      <c r="I16" s="17">
        <v>1.01343777505961</v>
      </c>
      <c r="J16">
        <v>0.6061024719178093</v>
      </c>
      <c r="K16" s="18">
        <v>0.88243598341370999</v>
      </c>
      <c r="L16">
        <v>3.1590337508333337</v>
      </c>
      <c r="M16" s="19">
        <v>0.45617091532496501</v>
      </c>
    </row>
    <row r="20" spans="1:12" x14ac:dyDescent="0.25">
      <c r="A20" t="s">
        <v>122</v>
      </c>
    </row>
    <row r="21" spans="1:12" x14ac:dyDescent="0.25">
      <c r="A21" t="s">
        <v>7</v>
      </c>
      <c r="B21">
        <f>B2-dhap4!B2</f>
        <v>-0.55538320497031268</v>
      </c>
      <c r="D21">
        <f>D2-dhap4!D2</f>
        <v>-1.0645605558563165</v>
      </c>
      <c r="F21">
        <f>F2-dhap4!F2</f>
        <v>-0.33656284588202623</v>
      </c>
      <c r="H21">
        <f>H2-dhap4!H2</f>
        <v>-1.2299623406305695</v>
      </c>
      <c r="J21">
        <f>J2-dhap4!J2</f>
        <v>-0.85418761090279427</v>
      </c>
      <c r="L21">
        <f>L2-dhap4!L2</f>
        <v>-0.24582524697506924</v>
      </c>
    </row>
    <row r="22" spans="1:12" x14ac:dyDescent="0.25">
      <c r="A22" t="s">
        <v>8</v>
      </c>
      <c r="B22">
        <f>B3-dhap4!B3</f>
        <v>-0.79216284057337705</v>
      </c>
      <c r="D22">
        <f>D3-dhap4!D3</f>
        <v>-0.56982879025973099</v>
      </c>
      <c r="F22">
        <f>F3-dhap4!F3</f>
        <v>-0.93496440623508137</v>
      </c>
      <c r="H22">
        <f>H3-dhap4!H3</f>
        <v>-1.4178362972508225</v>
      </c>
      <c r="J22">
        <f>J3-dhap4!J3</f>
        <v>0.18001500824006333</v>
      </c>
      <c r="L22">
        <f>L3-dhap4!L3</f>
        <v>9.4462968808478154E-2</v>
      </c>
    </row>
    <row r="23" spans="1:12" x14ac:dyDescent="0.25">
      <c r="A23" t="s">
        <v>9</v>
      </c>
      <c r="B23">
        <f>B4-dhap4!B4</f>
        <v>-0.7905325645837108</v>
      </c>
      <c r="D23">
        <f>D4-dhap4!D4</f>
        <v>-1.5744223426702637</v>
      </c>
      <c r="F23">
        <f>F4-dhap4!F4</f>
        <v>-0.32490249768524626</v>
      </c>
      <c r="H23">
        <f>H4-dhap4!H4</f>
        <v>-7.4652840967576184E-2</v>
      </c>
      <c r="J23">
        <f>J4-dhap4!J4</f>
        <v>7.4653694709544638E-2</v>
      </c>
      <c r="L23">
        <f>L4-dhap4!L4</f>
        <v>-0.56771264547267419</v>
      </c>
    </row>
    <row r="24" spans="1:12" x14ac:dyDescent="0.25">
      <c r="A24" t="s">
        <v>10</v>
      </c>
      <c r="B24">
        <f>B5-dhap4!B5</f>
        <v>-1.4571819162436486</v>
      </c>
      <c r="D24">
        <f>D5-dhap4!D5</f>
        <v>-1.0701125776339189</v>
      </c>
      <c r="F24">
        <f>F5-dhap4!F5</f>
        <v>-0.27166723897896305</v>
      </c>
      <c r="H24">
        <f>H5-dhap4!H5</f>
        <v>-1.0156718104829161</v>
      </c>
      <c r="J24">
        <f>J5-dhap4!J5</f>
        <v>-0.6682804113072025</v>
      </c>
      <c r="L24">
        <f>L5-dhap4!L5</f>
        <v>-0.91229253961061474</v>
      </c>
    </row>
    <row r="25" spans="1:12" x14ac:dyDescent="0.25">
      <c r="A25" t="s">
        <v>11</v>
      </c>
      <c r="B25">
        <f>B6-dhap4!B6</f>
        <v>-0.63138941453935837</v>
      </c>
      <c r="D25">
        <f>D6-dhap4!D6</f>
        <v>-0.98167914689928815</v>
      </c>
      <c r="F25">
        <f>F6-dhap4!F6</f>
        <v>-0.80099285302372358</v>
      </c>
      <c r="H25">
        <f>H6-dhap4!H6</f>
        <v>-0.91576108939133338</v>
      </c>
      <c r="J25">
        <f>J6-dhap4!J6</f>
        <v>-0.9018854036170777</v>
      </c>
      <c r="L25">
        <f>L6-dhap4!L6</f>
        <v>-1.4169996536721901</v>
      </c>
    </row>
    <row r="26" spans="1:12" x14ac:dyDescent="0.25">
      <c r="A26" t="s">
        <v>12</v>
      </c>
      <c r="B26">
        <f>B7-dhap4!B7</f>
        <v>0.6082491878307057</v>
      </c>
      <c r="D26">
        <f>D7-dhap4!D7</f>
        <v>0.18405278558044413</v>
      </c>
      <c r="F26">
        <f>F7-dhap4!F7</f>
        <v>5.4405055134225666E-2</v>
      </c>
      <c r="H26">
        <f>H7-dhap4!H7</f>
        <v>-1.0208378535236642</v>
      </c>
      <c r="J26">
        <f>J7-dhap4!J7</f>
        <v>0.45817268186836357</v>
      </c>
      <c r="L26">
        <f>L7-dhap4!L7</f>
        <v>-0.66755299863080686</v>
      </c>
    </row>
    <row r="27" spans="1:12" x14ac:dyDescent="0.25">
      <c r="A27" t="s">
        <v>13</v>
      </c>
      <c r="B27">
        <f>B8-dhap4!B8</f>
        <v>-0.4391973976636403</v>
      </c>
      <c r="D27">
        <f>D8-dhap4!D8</f>
        <v>-0.56962118688336183</v>
      </c>
      <c r="F27">
        <f>F8-dhap4!F8</f>
        <v>-0.6963675643781666</v>
      </c>
      <c r="H27">
        <f>H8-dhap4!H8</f>
        <v>1.6411512505779378</v>
      </c>
      <c r="J27">
        <f>J8-dhap4!J8</f>
        <v>-2.2192373532709508</v>
      </c>
      <c r="L27">
        <f>L8-dhap4!L8</f>
        <v>-1.083105267486985</v>
      </c>
    </row>
    <row r="28" spans="1:12" x14ac:dyDescent="0.25">
      <c r="A28" t="s">
        <v>14</v>
      </c>
      <c r="B28">
        <f>B9-dhap4!B9</f>
        <v>-0.57475962252004009</v>
      </c>
      <c r="D28">
        <f>D9-dhap4!D9</f>
        <v>-1.3927806448494744</v>
      </c>
      <c r="F28">
        <f>F9-dhap4!F9</f>
        <v>-0.38514465755324878</v>
      </c>
      <c r="H28">
        <f>H9-dhap4!H9</f>
        <v>-1.1160750369264967</v>
      </c>
      <c r="J28">
        <f>J9-dhap4!J9</f>
        <v>-0.71766394861130156</v>
      </c>
      <c r="L28">
        <f>L9-dhap4!L9</f>
        <v>-0.86966435550442878</v>
      </c>
    </row>
    <row r="29" spans="1:12" x14ac:dyDescent="0.25">
      <c r="A29" t="s">
        <v>15</v>
      </c>
      <c r="B29">
        <f>B10-dhap4!B10</f>
        <v>-2.1927761596352013E-4</v>
      </c>
      <c r="D29">
        <f>D10-dhap4!D10</f>
        <v>-0.97150772702344401</v>
      </c>
      <c r="F29">
        <f>F10-dhap4!F10</f>
        <v>-0.48230678890535217</v>
      </c>
      <c r="H29">
        <f>H10-dhap4!H10</f>
        <v>-1.3036179049198202</v>
      </c>
      <c r="J29">
        <f>J10-dhap4!J10</f>
        <v>-5.7900368025317395E-2</v>
      </c>
      <c r="L29">
        <f>L10-dhap4!L10</f>
        <v>-2.4791714832791385</v>
      </c>
    </row>
    <row r="30" spans="1:12" x14ac:dyDescent="0.25">
      <c r="A30" t="s">
        <v>16</v>
      </c>
      <c r="B30">
        <f>B11-dhap4!B11</f>
        <v>0.49213168554331066</v>
      </c>
      <c r="D30">
        <f>D11-dhap4!D11</f>
        <v>-0.50871621219821539</v>
      </c>
      <c r="F30">
        <f>F11-dhap4!F11</f>
        <v>-3.0020090201341003</v>
      </c>
      <c r="H30">
        <f>H11-dhap4!H11</f>
        <v>-1.4044035201883576</v>
      </c>
      <c r="J30">
        <f>J11-dhap4!J11</f>
        <v>-5.2572641604149677</v>
      </c>
      <c r="L30">
        <f>L11-dhap4!L11</f>
        <v>-6.9884170665146517E-3</v>
      </c>
    </row>
    <row r="31" spans="1:12" x14ac:dyDescent="0.25">
      <c r="A31" t="s">
        <v>17</v>
      </c>
      <c r="B31">
        <f>B12-dhap4!B12</f>
        <v>-0.95411870063625859</v>
      </c>
      <c r="D31">
        <f>D12-dhap4!D12</f>
        <v>-0.80868098739034655</v>
      </c>
      <c r="F31">
        <f>F12-dhap4!F12</f>
        <v>-0.81512173618602146</v>
      </c>
      <c r="H31">
        <f>H12-dhap4!H12</f>
        <v>-1.2430517222241255</v>
      </c>
      <c r="J31">
        <f>J12-dhap4!J12</f>
        <v>-1.1819160967531337</v>
      </c>
      <c r="L31">
        <f>L12-dhap4!L12</f>
        <v>-0.82975221311538472</v>
      </c>
    </row>
    <row r="32" spans="1:12" x14ac:dyDescent="0.25">
      <c r="A32" t="s">
        <v>18</v>
      </c>
      <c r="B32">
        <f>B13-dhap4!B13</f>
        <v>-0.70531876513493985</v>
      </c>
      <c r="D32">
        <f>D13-dhap4!D13</f>
        <v>-0.73806765449961831</v>
      </c>
      <c r="F32">
        <f>F13-dhap4!F13</f>
        <v>-0.75900714983200579</v>
      </c>
      <c r="H32">
        <f>H13-dhap4!H13</f>
        <v>-0.63633667323238496</v>
      </c>
      <c r="J32">
        <f>J13-dhap4!J13</f>
        <v>-0.82939596586553033</v>
      </c>
      <c r="L32">
        <f>L13-dhap4!L13</f>
        <v>-1.1831347984985428</v>
      </c>
    </row>
    <row r="33" spans="1:12" x14ac:dyDescent="0.25">
      <c r="A33" t="s">
        <v>19</v>
      </c>
      <c r="B33">
        <f>B14-dhap4!B14</f>
        <v>-0.23484688022473099</v>
      </c>
      <c r="D33">
        <f>D14-dhap4!D14</f>
        <v>-0.43728472228587723</v>
      </c>
      <c r="F33">
        <f>F14-dhap4!F14</f>
        <v>-2.6207940287412188</v>
      </c>
      <c r="H33">
        <f>H14-dhap4!H14</f>
        <v>-1.6567626221070699</v>
      </c>
      <c r="J33">
        <f>J14-dhap4!J14</f>
        <v>-0.68696636423839186</v>
      </c>
      <c r="L33">
        <f>L14-dhap4!L14</f>
        <v>-0.90979961572930201</v>
      </c>
    </row>
    <row r="34" spans="1:12" x14ac:dyDescent="0.25">
      <c r="A34" t="s">
        <v>20</v>
      </c>
      <c r="B34">
        <f>B15-dhap4!B15</f>
        <v>-0.76761085435731191</v>
      </c>
      <c r="D34">
        <f>D15-dhap4!D15</f>
        <v>-0.4242109361935712</v>
      </c>
      <c r="F34">
        <f>F15-dhap4!F15</f>
        <v>-16.703133646150651</v>
      </c>
      <c r="H34">
        <f>H15-dhap4!H15</f>
        <v>-1.6833799375450951</v>
      </c>
      <c r="J34">
        <f>J15-dhap4!J15</f>
        <v>-0.3171444757742331</v>
      </c>
      <c r="L34">
        <f>L15-dhap4!L15</f>
        <v>-0.75657687322910361</v>
      </c>
    </row>
    <row r="35" spans="1:12" x14ac:dyDescent="0.25">
      <c r="A35" t="s">
        <v>21</v>
      </c>
      <c r="B35">
        <f>B16-dhap4!B16</f>
        <v>-2.459284328129228</v>
      </c>
      <c r="D35">
        <f>D16-dhap4!D16</f>
        <v>-0.54047945748775084</v>
      </c>
      <c r="F35">
        <f>F16-dhap4!F16</f>
        <v>-2.0452136588620111</v>
      </c>
      <c r="H35">
        <f>H16-dhap4!H16</f>
        <v>0.15446232305031771</v>
      </c>
      <c r="J35">
        <f>J16-dhap4!J16</f>
        <v>-1.3192988498037854</v>
      </c>
      <c r="L35">
        <f>L16-dhap4!L16</f>
        <v>1.4115341439038946</v>
      </c>
    </row>
    <row r="37" spans="1:12" x14ac:dyDescent="0.25">
      <c r="A37" t="s">
        <v>111</v>
      </c>
    </row>
    <row r="38" spans="1:12" x14ac:dyDescent="0.25">
      <c r="A38">
        <v>1.4585603192939989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8"/>
  <sheetViews>
    <sheetView workbookViewId="0">
      <selection activeCell="L17" sqref="L17"/>
    </sheetView>
  </sheetViews>
  <sheetFormatPr defaultColWidth="8.85546875" defaultRowHeight="15" x14ac:dyDescent="0.25"/>
  <sheetData>
    <row r="1" spans="1:13" x14ac:dyDescent="0.25">
      <c r="A1" t="s">
        <v>0</v>
      </c>
      <c r="B1" t="s">
        <v>1</v>
      </c>
      <c r="C1" s="14" t="s">
        <v>22</v>
      </c>
      <c r="D1" t="s">
        <v>2</v>
      </c>
      <c r="E1" s="15" t="s">
        <v>23</v>
      </c>
      <c r="F1" t="s">
        <v>3</v>
      </c>
      <c r="G1" s="16" t="s">
        <v>24</v>
      </c>
      <c r="H1" t="s">
        <v>4</v>
      </c>
      <c r="I1" s="17" t="s">
        <v>25</v>
      </c>
      <c r="J1" t="s">
        <v>5</v>
      </c>
      <c r="K1" s="18" t="s">
        <v>26</v>
      </c>
      <c r="L1" t="s">
        <v>6</v>
      </c>
      <c r="M1" s="19" t="s">
        <v>27</v>
      </c>
    </row>
    <row r="2" spans="1:13" x14ac:dyDescent="0.25">
      <c r="A2" t="s">
        <v>7</v>
      </c>
      <c r="B2">
        <f>0.446341789729418/minMSE_dhap4_calculated!B2</f>
        <v>1.093100704886949</v>
      </c>
      <c r="C2" s="14">
        <v>0.762384490029694</v>
      </c>
      <c r="D2">
        <f>0.159727350105554/minMSE_dhap4_calculated!C2</f>
        <v>1.9929487089897155</v>
      </c>
      <c r="E2" s="15">
        <v>0.44624975588118598</v>
      </c>
      <c r="F2">
        <f>1.40278072463767/minMSE_dhap4_calculated!D2</f>
        <v>1.5629712885637561</v>
      </c>
      <c r="G2" s="16">
        <v>0.78551996118716705</v>
      </c>
      <c r="H2">
        <f>0.122334464806537/minMSE_dhap4_calculated!E2</f>
        <v>1.1480302744658051</v>
      </c>
      <c r="I2" s="17">
        <v>0.29160072506103601</v>
      </c>
      <c r="J2">
        <f>0.212211377955333/minMSE_dhap4_calculated!F2</f>
        <v>1.0688871540073921</v>
      </c>
      <c r="K2" s="18">
        <v>0.82577386681059695</v>
      </c>
      <c r="L2">
        <f>1.41349097311555/minMSE_dhap4_calculated!G2</f>
        <v>2.459420467974061</v>
      </c>
      <c r="M2" s="7">
        <v>4.5710095337786E-2</v>
      </c>
    </row>
    <row r="3" spans="1:13" x14ac:dyDescent="0.25">
      <c r="A3" t="s">
        <v>8</v>
      </c>
      <c r="B3">
        <f>0.367118104037394/minMSE_dhap4_calculated!B3</f>
        <v>1.6220247945907307</v>
      </c>
      <c r="C3" s="14">
        <v>8.2901279432195593E-2</v>
      </c>
      <c r="D3">
        <f>0.412746371239984/minMSE_dhap4_calculated!C3</f>
        <v>2.0135999995267033</v>
      </c>
      <c r="E3" s="9">
        <v>9.0782211164155292E-3</v>
      </c>
      <c r="F3">
        <f>0.484317106420903/minMSE_dhap4_calculated!D3</f>
        <v>1.1080105839643362</v>
      </c>
      <c r="G3" s="16">
        <v>0.52024738694317496</v>
      </c>
      <c r="H3">
        <f>0.508356625273494/minMSE_dhap4_calculated!E3</f>
        <v>2.8172894476254564</v>
      </c>
      <c r="I3" s="17">
        <v>7.2269282640789106E-2</v>
      </c>
      <c r="J3">
        <f>1.08054284818903/minMSE_dhap4_calculated!F3</f>
        <v>1.0966070498889691</v>
      </c>
      <c r="K3" s="18">
        <v>0.76388269721491497</v>
      </c>
      <c r="L3">
        <f>1.34200642090585/minMSE_dhap4_calculated!G3</f>
        <v>1.5674889142040422</v>
      </c>
      <c r="M3" s="19">
        <v>0.45347930983877699</v>
      </c>
    </row>
    <row r="4" spans="1:13" x14ac:dyDescent="0.25">
      <c r="A4" t="s">
        <v>9</v>
      </c>
      <c r="B4">
        <f>0.69814793591294/minMSE_dhap4_calculated!B4</f>
        <v>1.2277850281599216</v>
      </c>
      <c r="C4" s="14">
        <v>6.6225124959576706E-2</v>
      </c>
      <c r="D4">
        <f>0.1449642125/minMSE_dhap4_calculated!C4</f>
        <v>1.7193865551702636</v>
      </c>
      <c r="E4" s="15">
        <v>0.61881514010194805</v>
      </c>
      <c r="F4">
        <f>0.820378777116144/minMSE_dhap4_calculated!D4</f>
        <v>1.1176939072755321</v>
      </c>
      <c r="G4" s="10">
        <v>1.6347989883004101E-2</v>
      </c>
      <c r="H4">
        <f>1.11391334265463/minMSE_dhap4_calculated!E4</f>
        <v>1.2308045460861079</v>
      </c>
      <c r="I4" s="11">
        <v>1.1178235493982801E-2</v>
      </c>
      <c r="J4">
        <f>1.10228085089439/minMSE_dhap4_calculated!F4</f>
        <v>1.5844545759474158</v>
      </c>
      <c r="K4" s="18">
        <v>0.41128551861353002</v>
      </c>
      <c r="L4">
        <f>0.866339035668854/minMSE_dhap4_calculated!G4</f>
        <v>1.7956174326008716</v>
      </c>
      <c r="M4" s="7">
        <v>2.5966862137770701E-2</v>
      </c>
    </row>
    <row r="5" spans="1:13" x14ac:dyDescent="0.25">
      <c r="A5" t="s">
        <v>10</v>
      </c>
      <c r="B5">
        <f>0.41226818749066/minMSE_dhap4_calculated!B5</f>
        <v>1.4927122041111784</v>
      </c>
      <c r="C5" s="14">
        <v>0.33061324554751997</v>
      </c>
      <c r="D5">
        <f>0.634189721051987/minMSE_dhap4_calculated!C5</f>
        <v>1.2948720786416452</v>
      </c>
      <c r="E5" s="15">
        <v>0.58761063110676703</v>
      </c>
      <c r="F5">
        <f>0.904915794524347/minMSE_dhap4_calculated!D5</f>
        <v>1.2096890067303632</v>
      </c>
      <c r="G5" s="16">
        <v>0.876273721691745</v>
      </c>
      <c r="H5">
        <f>0.793352664376975/minMSE_dhap4_calculated!E5</f>
        <v>1.7510617744456465</v>
      </c>
      <c r="I5" s="17">
        <v>0.12610118972802201</v>
      </c>
      <c r="J5">
        <f>0.548407062419834/minMSE_dhap4_calculated!F5</f>
        <v>1.2954121957190472</v>
      </c>
      <c r="K5" s="18">
        <v>0.84451617033304205</v>
      </c>
      <c r="L5">
        <f>0.206968147025321/minMSE_dhap4_calculated!G5</f>
        <v>1.0667177998214759</v>
      </c>
      <c r="M5" s="19">
        <v>0.34787221257796602</v>
      </c>
    </row>
    <row r="6" spans="1:13" x14ac:dyDescent="0.25">
      <c r="A6" t="s">
        <v>11</v>
      </c>
      <c r="B6">
        <f>0.539786275497043/minMSE_dhap4_calculated!B6</f>
        <v>1.3307060813842673</v>
      </c>
      <c r="C6" s="14">
        <v>0.41886387925431101</v>
      </c>
      <c r="D6">
        <f>0.226393152152139/minMSE_dhap4_calculated!C6</f>
        <v>1.3678024553003982</v>
      </c>
      <c r="E6" s="15">
        <v>0.54683519144140802</v>
      </c>
      <c r="F6">
        <f>0.353261053333333/minMSE_dhap4_calculated!D6</f>
        <v>1.1542539063570569</v>
      </c>
      <c r="G6" s="16">
        <v>0.60936795919082498</v>
      </c>
      <c r="H6">
        <f>0.211140769308075/minMSE_dhap4_calculated!E6</f>
        <v>1.2738476538331613</v>
      </c>
      <c r="I6" s="17">
        <v>0.51888455220311103</v>
      </c>
      <c r="J6">
        <f>0.321441770673329/minMSE_dhap4_calculated!F6</f>
        <v>1.6398966746304555</v>
      </c>
      <c r="K6" s="18">
        <v>0.92811381976317897</v>
      </c>
      <c r="L6">
        <f>0.142851401277534/minMSE_dhap4_calculated!G6</f>
        <v>1.3026651352512764</v>
      </c>
      <c r="M6" s="19">
        <v>0.117144834533319</v>
      </c>
    </row>
    <row r="7" spans="1:13" x14ac:dyDescent="0.25">
      <c r="A7" t="s">
        <v>12</v>
      </c>
      <c r="B7">
        <f>1.86423892745115/minMSE_dhap4_calculated!B7</f>
        <v>1.0359327409705377</v>
      </c>
      <c r="C7" s="14">
        <v>0.73074475229926095</v>
      </c>
      <c r="D7">
        <f>1.18559731195393/minMSE_dhap4_calculated!C7</f>
        <v>1.0830983981637012</v>
      </c>
      <c r="E7" s="15">
        <v>0.482119508817688</v>
      </c>
      <c r="F7">
        <f>0.772371736079798/minMSE_dhap4_calculated!D7</f>
        <v>1.1792697218838317</v>
      </c>
      <c r="G7" s="16">
        <v>7.7299330333445299E-2</v>
      </c>
      <c r="H7">
        <f>0.4916199175/minMSE_dhap4_calculated!E7</f>
        <v>1.5124577710236642</v>
      </c>
      <c r="I7" s="17">
        <v>0.41648763304756098</v>
      </c>
      <c r="J7">
        <f>1.40267460585609/minMSE_dhap4_calculated!F7</f>
        <v>1.0466312596953002</v>
      </c>
      <c r="K7" s="18">
        <v>0.92618166088133702</v>
      </c>
      <c r="L7">
        <f>0.402559701189759/minMSE_dhap4_calculated!G7</f>
        <v>1.2363740952643243</v>
      </c>
      <c r="M7" s="7">
        <v>1.5741522728162101E-2</v>
      </c>
    </row>
    <row r="8" spans="1:13" x14ac:dyDescent="0.25">
      <c r="A8" t="s">
        <v>13</v>
      </c>
      <c r="B8">
        <f>0.619314967129676/minMSE_dhap4_calculated!B8</f>
        <v>1.0548366455164255</v>
      </c>
      <c r="C8" s="12">
        <v>3.9736164584284001E-2</v>
      </c>
      <c r="D8">
        <f>0.736474838131535/minMSE_dhap4_calculated!C8</f>
        <v>1.3414723547686556</v>
      </c>
      <c r="E8" s="9">
        <v>2.23753114222145E-3</v>
      </c>
      <c r="F8">
        <f>0.312623158321913/minMSE_dhap4_calculated!D8</f>
        <v>1.0585135285849403</v>
      </c>
      <c r="G8" s="10">
        <v>2.4759724199063201E-3</v>
      </c>
      <c r="H8">
        <f>2.79857410291985/minMSE_dhap4_calculated!E8</f>
        <v>1.0470134885200937</v>
      </c>
      <c r="I8" s="17">
        <v>0.42442038054964198</v>
      </c>
      <c r="J8">
        <f>0.593595616666667/minMSE_dhap4_calculated!F8</f>
        <v>2.8128329699376176</v>
      </c>
      <c r="K8" s="18">
        <v>0.57583799773840905</v>
      </c>
      <c r="L8">
        <f>0.543581131107613/minMSE_dhap4_calculated!G8</f>
        <v>1.557029358217523</v>
      </c>
      <c r="M8" s="7">
        <v>1.1238296525258799E-3</v>
      </c>
    </row>
    <row r="9" spans="1:13" x14ac:dyDescent="0.25">
      <c r="A9" t="s">
        <v>14</v>
      </c>
      <c r="B9">
        <f>0.538688213571577/minMSE_dhap4_calculated!B9</f>
        <v>1.2692763724860914</v>
      </c>
      <c r="C9" s="14">
        <v>0.30555896896170998</v>
      </c>
      <c r="D9">
        <f>0.241225626057242/minMSE_dhap4_calculated!C9</f>
        <v>1.0651331382240576</v>
      </c>
      <c r="E9" s="15">
        <v>0.220796800536256</v>
      </c>
      <c r="F9">
        <f>0.75387350115668/minMSE_dhap4_calculated!D9</f>
        <v>1.2013821506325149</v>
      </c>
      <c r="G9" s="16">
        <v>0.34273266373509897</v>
      </c>
      <c r="H9">
        <f>0.364836938027054/minMSE_dhap4_calculated!E9</f>
        <v>2.4086686392382139</v>
      </c>
      <c r="I9" s="11">
        <v>1.6849469393969401E-2</v>
      </c>
      <c r="J9">
        <f>0.481885722734358/minMSE_dhap4_calculated!F9</f>
        <v>1.4026301259096423</v>
      </c>
      <c r="K9" s="18">
        <v>0.80207673397527102</v>
      </c>
      <c r="L9">
        <f>0.271245526327765/minMSE_dhap4_calculated!G9</f>
        <v>1.2391500335710237</v>
      </c>
      <c r="M9" s="19">
        <v>8.3557084326203193E-2</v>
      </c>
    </row>
    <row r="10" spans="1:13" x14ac:dyDescent="0.25">
      <c r="A10" t="s">
        <v>15</v>
      </c>
      <c r="B10">
        <f>0.998271577765128/minMSE_dhap4_calculated!B10</f>
        <v>1.0164313110321723</v>
      </c>
      <c r="C10" s="14">
        <v>0.40967747091093998</v>
      </c>
      <c r="D10">
        <f>0.287552715841688/minMSE_dhap4_calculated!C10</f>
        <v>1.18313202565715</v>
      </c>
      <c r="E10" s="9">
        <v>4.93615335741312E-2</v>
      </c>
      <c r="F10">
        <f>0.958045837983292/minMSE_dhap4_calculated!D10</f>
        <v>1.2648017878699376</v>
      </c>
      <c r="G10" s="16">
        <v>7.5060611423136706E-2</v>
      </c>
      <c r="H10">
        <f>0.213160686254664/minMSE_dhap4_calculated!E10</f>
        <v>1.7363502104272774</v>
      </c>
      <c r="I10" s="17">
        <v>5.3349459021998002E-2</v>
      </c>
      <c r="J10">
        <f>1.16755106443891/minMSE_dhap4_calculated!F10</f>
        <v>1.1666928427531709</v>
      </c>
      <c r="K10" s="18">
        <v>0.83537027035042999</v>
      </c>
      <c r="L10">
        <f>0.295689490383239/minMSE_dhap4_calculated!G10</f>
        <v>2.9888611788821522</v>
      </c>
      <c r="M10" s="7">
        <v>2.0751052693414899E-3</v>
      </c>
    </row>
    <row r="11" spans="1:13" x14ac:dyDescent="0.25">
      <c r="A11" t="s">
        <v>16</v>
      </c>
      <c r="B11">
        <f>1.89486375149018/minMSE_dhap4_calculated!B11</f>
        <v>1.6774030712850969</v>
      </c>
      <c r="C11" s="14">
        <v>0.312866167848105</v>
      </c>
      <c r="D11">
        <f>1.06796923180978/minMSE_dhap4_calculated!C11</f>
        <v>1.8491746491426553</v>
      </c>
      <c r="E11" s="15">
        <v>0.36919882166698498</v>
      </c>
      <c r="F11">
        <f>0.388022105844041/minMSE_dhap4_calculated!D11</f>
        <v>3.1482734058141024</v>
      </c>
      <c r="G11" s="16">
        <v>0.32044779172975002</v>
      </c>
      <c r="H11">
        <f>0.130682662216238/minMSE_dhap4_calculated!E11</f>
        <v>1.1546767397094189</v>
      </c>
      <c r="I11" s="17">
        <v>1.01926877470356</v>
      </c>
      <c r="J11">
        <f>0.301467824168388/minMSE_dhap4_calculated!F11</f>
        <v>3.336543545187638</v>
      </c>
      <c r="K11" s="18">
        <v>0.41730594570108798</v>
      </c>
      <c r="L11">
        <f>1.2731052191634/minMSE_dhap4_calculated!G11</f>
        <v>1.1828869225101453</v>
      </c>
      <c r="M11" s="19">
        <v>0.32964773522541801</v>
      </c>
    </row>
    <row r="12" spans="1:13" x14ac:dyDescent="0.25">
      <c r="A12" t="s">
        <v>17</v>
      </c>
      <c r="B12">
        <f>0.342267274590333/minMSE_dhap4_calculated!B12</f>
        <v>1.420904241427259</v>
      </c>
      <c r="C12" s="14">
        <v>0.673063017606508</v>
      </c>
      <c r="D12">
        <f>0.694536911893479/minMSE_dhap4_calculated!C12</f>
        <v>1.5142506441873822</v>
      </c>
      <c r="E12" s="15">
        <v>0.48391674975244903</v>
      </c>
      <c r="F12">
        <f>0.388241406074732/minMSE_dhap4_calculated!D12</f>
        <v>1.0174726492789223</v>
      </c>
      <c r="G12" s="16">
        <v>0.37967438937929698</v>
      </c>
      <c r="H12">
        <f>0.181908057713948/minMSE_dhap4_calculated!E12</f>
        <v>1.3487220571566039</v>
      </c>
      <c r="I12" s="17">
        <v>0.61551986182630103</v>
      </c>
      <c r="J12">
        <f>0.26637858326001/minMSE_dhap4_calculated!F12</f>
        <v>1.2159326875110121</v>
      </c>
      <c r="K12" s="18">
        <v>0.96518223885221099</v>
      </c>
      <c r="L12">
        <f>0.262454408157668/minMSE_dhap4_calculated!G12</f>
        <v>1.1473226835765322</v>
      </c>
      <c r="M12" s="19">
        <v>0.77989454444137896</v>
      </c>
    </row>
    <row r="13" spans="1:13" x14ac:dyDescent="0.25">
      <c r="A13" t="s">
        <v>18</v>
      </c>
      <c r="B13">
        <f>0.438958698717279/minMSE_dhap4_calculated!B13</f>
        <v>1.2555075667730704</v>
      </c>
      <c r="C13" s="14">
        <v>9.5712795892028399E-2</v>
      </c>
      <c r="D13">
        <f>0.233318789739619/minMSE_dhap4_calculated!C13</f>
        <v>1.1011207632876343</v>
      </c>
      <c r="E13" s="15">
        <v>0.44634237725270698</v>
      </c>
      <c r="F13">
        <f>0.294845119804228/minMSE_dhap4_calculated!D13</f>
        <v>1.1032751929434157</v>
      </c>
      <c r="G13" s="16">
        <v>0.31255665386579601</v>
      </c>
      <c r="H13">
        <f>0.576305546353818/minMSE_dhap4_calculated!E13</f>
        <v>1.387898283190113</v>
      </c>
      <c r="I13" s="17">
        <v>0.98678976939878205</v>
      </c>
      <c r="J13">
        <f>0.26867878249738/minMSE_dhap4_calculated!F13</f>
        <v>1.2285994713244339</v>
      </c>
      <c r="K13" s="18">
        <v>0.517815470814041</v>
      </c>
      <c r="L13">
        <f>0.252123687663779/minMSE_dhap4_calculated!G13</f>
        <v>1.1811528711353132</v>
      </c>
      <c r="M13" s="19">
        <v>0.297478016852251</v>
      </c>
    </row>
    <row r="14" spans="1:13" x14ac:dyDescent="0.25">
      <c r="A14" t="s">
        <v>19</v>
      </c>
      <c r="B14">
        <f>0.839975160998611/minMSE_dhap4_calculated!B14</f>
        <v>1.3032573048023179</v>
      </c>
      <c r="C14" s="14">
        <v>0.174295602147962</v>
      </c>
      <c r="D14">
        <f>0.644711338512063/minMSE_dhap4_calculated!C14</f>
        <v>1.1344608135879675</v>
      </c>
      <c r="E14" s="15">
        <v>0.86844583111990603</v>
      </c>
      <c r="F14">
        <f>1.09708265002755/minMSE_dhap4_calculated!D14</f>
        <v>3.3385217667581539</v>
      </c>
      <c r="G14" s="10">
        <v>4.3268390080787603E-2</v>
      </c>
      <c r="H14">
        <f>0.559075543499458/minMSE_dhap4_calculated!E14</f>
        <v>5.3782079940002889</v>
      </c>
      <c r="I14" s="11">
        <v>8.3521584494051695E-3</v>
      </c>
      <c r="J14">
        <f>0.410076261046665/minMSE_dhap4_calculated!F14</f>
        <v>1.5645034119280989</v>
      </c>
      <c r="K14" s="18">
        <v>0.81524617305381997</v>
      </c>
      <c r="L14">
        <f>0.517271171567867/minMSE_dhap4_calculated!G14</f>
        <v>1.7849847673628703</v>
      </c>
      <c r="M14" s="19">
        <v>6.5292475138674894E-2</v>
      </c>
    </row>
    <row r="15" spans="1:13" x14ac:dyDescent="0.25">
      <c r="A15" t="s">
        <v>20</v>
      </c>
      <c r="B15">
        <f>0.382741008825922/minMSE_dhap4_calculated!B15</f>
        <v>1.0767621253151443</v>
      </c>
      <c r="C15" s="12">
        <v>4.0424970068182499E-3</v>
      </c>
      <c r="D15">
        <f>0.746061707992084/minMSE_dhap4_calculated!C15</f>
        <v>1.1580981745471659</v>
      </c>
      <c r="E15" s="15">
        <v>5.7965913592618802E-2</v>
      </c>
      <c r="F15">
        <f>0.185827375463955/minMSE_dhap4_calculated!D15</f>
        <v>2.0975645030923404</v>
      </c>
      <c r="G15" s="16">
        <v>0.218104991549528</v>
      </c>
      <c r="H15">
        <f>0.491860836838433/minMSE_dhap4_calculated!E15</f>
        <v>1.4729169938047926</v>
      </c>
      <c r="I15" s="11">
        <v>1.17388410353965E-2</v>
      </c>
      <c r="J15">
        <f>0.682493931750872/minMSE_dhap4_calculated!F15</f>
        <v>1.0420331927847351</v>
      </c>
      <c r="K15" s="18">
        <v>0.21974386864794401</v>
      </c>
      <c r="L15">
        <f>0.480177440602422/minMSE_dhap4_calculated!G15</f>
        <v>1.1762016715470698</v>
      </c>
      <c r="M15" s="19">
        <v>0.26584607245743602</v>
      </c>
    </row>
    <row r="16" spans="1:13" x14ac:dyDescent="0.25">
      <c r="A16" t="s">
        <v>21</v>
      </c>
      <c r="B16">
        <f>2.02986829148975/minMSE_dhap4_calculated!B16</f>
        <v>3.6062816125708808</v>
      </c>
      <c r="C16" s="12">
        <v>8.8957362296602296E-3</v>
      </c>
      <c r="D16">
        <f>0.626733103448532/minMSE_dhap4_calculated!C16</f>
        <v>1.2016683670400743</v>
      </c>
      <c r="E16" s="15">
        <v>0.31603437363464698</v>
      </c>
      <c r="F16">
        <f>0.956342987161589/minMSE_dhap4_calculated!D16</f>
        <v>2.2126710178264957</v>
      </c>
      <c r="G16" s="16">
        <v>0.250267714639267</v>
      </c>
      <c r="H16">
        <f>1.28403113474039/minMSE_dhap4_calculated!E16</f>
        <v>1.4881871307293411</v>
      </c>
      <c r="I16" s="17">
        <v>1.01343777505961</v>
      </c>
      <c r="J16">
        <f>0.580114990995982/minMSE_dhap4_calculated!F16</f>
        <v>2.423645164292187</v>
      </c>
      <c r="K16" s="18">
        <v>0.88243598341370999</v>
      </c>
      <c r="L16">
        <f>3.15903375083333/minMSE_dhap4_calculated!G16</f>
        <v>1.7474996069294391</v>
      </c>
      <c r="M16" s="19">
        <v>0.45617091532496501</v>
      </c>
    </row>
    <row r="20" spans="1:16" x14ac:dyDescent="0.25">
      <c r="A20" t="s">
        <v>123</v>
      </c>
    </row>
    <row r="21" spans="1:16" x14ac:dyDescent="0.25">
      <c r="A21" t="s">
        <v>7</v>
      </c>
      <c r="B21">
        <f>B2-dhap4!B2</f>
        <v>7.8239104998428566E-2</v>
      </c>
      <c r="D21">
        <f>D2-dhap4!D2</f>
        <v>0.79411936361088098</v>
      </c>
      <c r="F21">
        <f>F2-dhap4!F2</f>
        <v>0.10778662624114466</v>
      </c>
      <c r="H21">
        <f>H2-dhap4!H2</f>
        <v>-0.2217503140830035</v>
      </c>
      <c r="J21">
        <f>J2-dhap4!J2</f>
        <v>8.0776777750473094E-3</v>
      </c>
      <c r="L21">
        <f>L2-dhap4!L2</f>
        <v>0.98574584185888181</v>
      </c>
      <c r="N21" t="s">
        <v>167</v>
      </c>
      <c r="P21" t="s">
        <v>168</v>
      </c>
    </row>
    <row r="22" spans="1:16" x14ac:dyDescent="0.25">
      <c r="A22" t="s">
        <v>8</v>
      </c>
      <c r="B22">
        <f>B3-dhap4!B3</f>
        <v>0.50159599894674289</v>
      </c>
      <c r="D22">
        <f>D3-dhap4!D3</f>
        <v>0.54823480904155342</v>
      </c>
      <c r="F22">
        <f>F3-dhap4!F3</f>
        <v>-0.34306689464616347</v>
      </c>
      <c r="H22">
        <f>H3-dhap4!H3</f>
        <v>1.0649340858750147</v>
      </c>
      <c r="J22">
        <f>J3-dhap4!J3</f>
        <v>-0.11444469718165218</v>
      </c>
      <c r="L22">
        <f>L3-dhap4!L3</f>
        <v>0.17164971703093834</v>
      </c>
      <c r="N22">
        <f>COUNTIF(B21:B35,"&lt;0")</f>
        <v>5</v>
      </c>
      <c r="O22" t="s">
        <v>37</v>
      </c>
      <c r="P22">
        <v>10</v>
      </c>
    </row>
    <row r="23" spans="1:16" x14ac:dyDescent="0.25">
      <c r="A23" t="s">
        <v>9</v>
      </c>
      <c r="B23">
        <f>B4-dhap4!B4</f>
        <v>-0.2308677150546723</v>
      </c>
      <c r="D23">
        <f>D4-dhap4!D4</f>
        <v>0</v>
      </c>
      <c r="F23">
        <f>F4-dhap4!F4</f>
        <v>-6.4770813462999843E-2</v>
      </c>
      <c r="H23">
        <f>H4-dhap4!H4</f>
        <v>2.161370214781555E-2</v>
      </c>
      <c r="J23">
        <f>J4-dhap4!J4</f>
        <v>0.47804080421875517</v>
      </c>
      <c r="L23">
        <f>L4-dhap4!L4</f>
        <v>0.39147412448060681</v>
      </c>
      <c r="N23">
        <f>COUNTIF(D21:D35,"&lt;0")</f>
        <v>5</v>
      </c>
      <c r="O23" t="s">
        <v>38</v>
      </c>
      <c r="P23">
        <v>10</v>
      </c>
    </row>
    <row r="24" spans="1:16" x14ac:dyDescent="0.25">
      <c r="A24" t="s">
        <v>10</v>
      </c>
      <c r="B24">
        <f>B5-dhap4!B5</f>
        <v>-0.36120101148242778</v>
      </c>
      <c r="D24">
        <f>D5-dhap4!D5</f>
        <v>-0.55073979237893966</v>
      </c>
      <c r="F24">
        <f>F5-dhap4!F5</f>
        <v>0.18145488025591128</v>
      </c>
      <c r="H24">
        <f>H5-dhap4!H5</f>
        <v>-0.2038871672871394</v>
      </c>
      <c r="J24">
        <f>J5-dhap4!J5</f>
        <v>0.10657778790516281</v>
      </c>
      <c r="L24">
        <f>L5-dhap4!L5</f>
        <v>-0.11202711982807712</v>
      </c>
      <c r="N24">
        <f>COUNTIF(F21:F35,"&lt;0")</f>
        <v>9</v>
      </c>
      <c r="O24" t="s">
        <v>39</v>
      </c>
      <c r="P24">
        <v>6</v>
      </c>
    </row>
    <row r="25" spans="1:16" x14ac:dyDescent="0.25">
      <c r="A25" t="s">
        <v>11</v>
      </c>
      <c r="B25">
        <f>B6-dhap4!B6</f>
        <v>0.16137187245015228</v>
      </c>
      <c r="D25">
        <f>D6-dhap4!D6</f>
        <v>0.15101161833447674</v>
      </c>
      <c r="F25">
        <f>F6-dhap4!F6</f>
        <v>0</v>
      </c>
      <c r="H25">
        <f>H6-dhap4!H6</f>
        <v>0.14709789480717639</v>
      </c>
      <c r="J25">
        <f>J6-dhap4!J6</f>
        <v>0.43055703344772622</v>
      </c>
      <c r="L25">
        <f>L6-dhap4!L6</f>
        <v>-0.26782227126514302</v>
      </c>
      <c r="N25">
        <f>COUNTIF(H21:H35,"&lt;0")</f>
        <v>6</v>
      </c>
      <c r="O25" t="s">
        <v>40</v>
      </c>
      <c r="P25">
        <v>9</v>
      </c>
    </row>
    <row r="26" spans="1:16" x14ac:dyDescent="0.25">
      <c r="A26" t="s">
        <v>12</v>
      </c>
      <c r="B26">
        <f>B7-dhap4!B7</f>
        <v>-0.15885845504863938</v>
      </c>
      <c r="D26">
        <f>D7-dhap4!D7</f>
        <v>2.2445225474630792E-2</v>
      </c>
      <c r="F26">
        <f>F7-dhap4!F7</f>
        <v>-0.87368044177431625</v>
      </c>
      <c r="H26">
        <f>H7-dhap4!H7</f>
        <v>0</v>
      </c>
      <c r="J26">
        <f>J7-dhap4!J7</f>
        <v>-1.396202861055218E-2</v>
      </c>
      <c r="L26">
        <f>L7-dhap4!L7</f>
        <v>-0.48253017038276691</v>
      </c>
      <c r="N26">
        <f>COUNTIF(J21:J35,"&lt;0")</f>
        <v>5</v>
      </c>
      <c r="O26" t="s">
        <v>41</v>
      </c>
      <c r="P26">
        <v>10</v>
      </c>
    </row>
    <row r="27" spans="1:16" x14ac:dyDescent="0.25">
      <c r="A27" t="s">
        <v>13</v>
      </c>
      <c r="B27">
        <f>B8-dhap4!B8</f>
        <v>2.6803207465839751E-3</v>
      </c>
      <c r="D27">
        <f>D8-dhap4!D8</f>
        <v>9.548084220291897E-2</v>
      </c>
      <c r="F27">
        <f>F8-dhap4!F8</f>
        <v>5.3849641405635307E-2</v>
      </c>
      <c r="H27">
        <f>H8-dhap4!H8</f>
        <v>-1.08724824456925E-2</v>
      </c>
      <c r="J27">
        <f>J8-dhap4!J8</f>
        <v>0</v>
      </c>
      <c r="L27">
        <f>L8-dhap4!L8</f>
        <v>5.632528386312341E-2</v>
      </c>
      <c r="N27">
        <f>COUNTIF(L21:L35,"&lt;0")</f>
        <v>7</v>
      </c>
      <c r="O27" t="s">
        <v>42</v>
      </c>
      <c r="P27">
        <v>8</v>
      </c>
    </row>
    <row r="28" spans="1:16" x14ac:dyDescent="0.25">
      <c r="A28" t="s">
        <v>14</v>
      </c>
      <c r="B28">
        <f>B9-dhap4!B9</f>
        <v>0.17722913399739437</v>
      </c>
      <c r="D28">
        <f>D9-dhap4!D9</f>
        <v>-0.63336566995100085</v>
      </c>
      <c r="F28">
        <f>F9-dhap4!F9</f>
        <v>-2.4591572471585277E-2</v>
      </c>
      <c r="H28">
        <f>H9-dhap4!H9</f>
        <v>1.0426331627547207</v>
      </c>
      <c r="J28">
        <f>J9-dhap4!J9</f>
        <v>9.5672689704135339E-2</v>
      </c>
      <c r="L28">
        <f>L9-dhap4!L9</f>
        <v>9.7227611397273206E-2</v>
      </c>
    </row>
    <row r="29" spans="1:16" x14ac:dyDescent="0.25">
      <c r="A29" t="s">
        <v>15</v>
      </c>
      <c r="B29">
        <f>B10-dhap4!B10</f>
        <v>1.6079982015441141E-2</v>
      </c>
      <c r="D29">
        <f>D10-dhap4!D10</f>
        <v>-7.433995892367129E-2</v>
      </c>
      <c r="F29">
        <f>F10-dhap4!F10</f>
        <v>-1.6602331305362039E-2</v>
      </c>
      <c r="H29">
        <f>H10-dhap4!H10</f>
        <v>0.28488535409687654</v>
      </c>
      <c r="J29">
        <f>J10-dhap4!J10</f>
        <v>-1.8122255581140001E-2</v>
      </c>
      <c r="L29">
        <f>L10-dhap4!L10</f>
        <v>0.26212938176281009</v>
      </c>
    </row>
    <row r="30" spans="1:16" x14ac:dyDescent="0.25">
      <c r="A30" t="s">
        <v>16</v>
      </c>
      <c r="B30">
        <f>B11-dhap4!B11</f>
        <v>8.7210314199387184E-2</v>
      </c>
      <c r="D30">
        <f>D11-dhap4!D11</f>
        <v>0.33216680558917266</v>
      </c>
      <c r="F30">
        <f>F11-dhap4!F11</f>
        <v>-7.9545913874805585E-3</v>
      </c>
      <c r="H30">
        <f>H11-dhap4!H11</f>
        <v>-0.38255076002538813</v>
      </c>
      <c r="J30">
        <f>J11-dhap4!J11</f>
        <v>-2.5708131160196164</v>
      </c>
      <c r="L30">
        <f>L11-dhap4!L11</f>
        <v>-6.9076280005267332E-2</v>
      </c>
    </row>
    <row r="31" spans="1:16" x14ac:dyDescent="0.25">
      <c r="A31" t="s">
        <v>17</v>
      </c>
      <c r="B31">
        <f>B12-dhap4!B12</f>
        <v>0.13803453090256124</v>
      </c>
      <c r="D31">
        <f>D12-dhap4!D12</f>
        <v>-8.7571163848603195E-3</v>
      </c>
      <c r="F31">
        <f>F12-dhap4!F12</f>
        <v>-0.21332557662258611</v>
      </c>
      <c r="H31">
        <f>H12-dhap4!H12</f>
        <v>-6.8285902193624404E-2</v>
      </c>
      <c r="J31">
        <f>J12-dhap4!J12</f>
        <v>-0.24522344712247213</v>
      </c>
      <c r="L31">
        <f>L12-dhap4!L12</f>
        <v>7.0602129936322422E-2</v>
      </c>
    </row>
    <row r="32" spans="1:16" x14ac:dyDescent="0.25">
      <c r="A32" t="s">
        <v>18</v>
      </c>
      <c r="B32">
        <f>B13-dhap4!B13</f>
        <v>0.10115880802082877</v>
      </c>
      <c r="D32">
        <f>D13-dhap4!D13</f>
        <v>3.3586188836863817E-2</v>
      </c>
      <c r="F32">
        <f>F13-dhap4!F13</f>
        <v>5.4748024624039937E-2</v>
      </c>
      <c r="H32">
        <f>H13-dhap4!H13</f>
        <v>0.26928154924754422</v>
      </c>
      <c r="J32">
        <f>J13-dhap4!J13</f>
        <v>0.12654521806380581</v>
      </c>
      <c r="L32">
        <f>L13-dhap4!L13</f>
        <v>-0.29211674372719654</v>
      </c>
    </row>
    <row r="33" spans="1:12" x14ac:dyDescent="0.25">
      <c r="A33" t="s">
        <v>19</v>
      </c>
      <c r="B33">
        <f>B14-dhap4!B14</f>
        <v>0.1643390822214974</v>
      </c>
      <c r="D33">
        <f>D14-dhap4!D14</f>
        <v>3.6905374551541525E-2</v>
      </c>
      <c r="F33">
        <f>F14-dhap4!F14</f>
        <v>0.16644940037393052</v>
      </c>
      <c r="H33">
        <f>H14-dhap4!H14</f>
        <v>2.9391651194463604</v>
      </c>
      <c r="J33">
        <f>J14-dhap4!J14</f>
        <v>0.4703174332797091</v>
      </c>
      <c r="L33">
        <f>L14-dhap4!L14</f>
        <v>-3.4961698653616979E-2</v>
      </c>
    </row>
    <row r="34" spans="1:12" x14ac:dyDescent="0.25">
      <c r="A34" t="s">
        <v>20</v>
      </c>
      <c r="B34">
        <f>B15-dhap4!B15</f>
        <v>-6.234994719954412E-2</v>
      </c>
      <c r="D34">
        <f>D15-dhap4!D15</f>
        <v>1.8856679477951444E-2</v>
      </c>
      <c r="F34">
        <f>F15-dhap4!F15</f>
        <v>-14.708929295834967</v>
      </c>
      <c r="H34">
        <f>H15-dhap4!H15</f>
        <v>-0.69473256375777015</v>
      </c>
      <c r="J34">
        <f>J15-dhap4!J15</f>
        <v>3.2981788470990869E-2</v>
      </c>
      <c r="L34">
        <f>L15-dhap4!L15</f>
        <v>-5.8305761258794719E-2</v>
      </c>
    </row>
    <row r="35" spans="1:12" x14ac:dyDescent="0.25">
      <c r="A35" t="s">
        <v>21</v>
      </c>
      <c r="B35">
        <f>B16-dhap4!B16</f>
        <v>-0.48656229351347369</v>
      </c>
      <c r="D35">
        <f>D16-dhap4!D16</f>
        <v>-8.9588745333716746E-2</v>
      </c>
      <c r="F35">
        <f>F16-dhap4!F16</f>
        <v>-0.74934726005211916</v>
      </c>
      <c r="H35">
        <f>H16-dhap4!H16</f>
        <v>0.17994634936377807</v>
      </c>
      <c r="J35">
        <f>J16-dhap4!J16</f>
        <v>0.4982438425705924</v>
      </c>
      <c r="L35">
        <f>L16-dhap4!L16</f>
        <v>0</v>
      </c>
    </row>
    <row r="37" spans="1:12" x14ac:dyDescent="0.25">
      <c r="A37" t="s">
        <v>111</v>
      </c>
    </row>
    <row r="38" spans="1:12" x14ac:dyDescent="0.25">
      <c r="A38">
        <v>1.406274906534285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workbookViewId="0">
      <selection activeCell="B17" sqref="B17"/>
    </sheetView>
  </sheetViews>
  <sheetFormatPr defaultColWidth="8.85546875" defaultRowHeight="15" x14ac:dyDescent="0.25"/>
  <sheetData>
    <row r="1" spans="1:13" x14ac:dyDescent="0.25">
      <c r="A1" t="s">
        <v>0</v>
      </c>
      <c r="B1" t="s">
        <v>1</v>
      </c>
      <c r="C1" s="14" t="s">
        <v>22</v>
      </c>
      <c r="D1" t="s">
        <v>2</v>
      </c>
      <c r="E1" s="15" t="s">
        <v>23</v>
      </c>
      <c r="F1" t="s">
        <v>3</v>
      </c>
      <c r="G1" s="16" t="s">
        <v>24</v>
      </c>
      <c r="H1" t="s">
        <v>4</v>
      </c>
      <c r="I1" s="17" t="s">
        <v>25</v>
      </c>
      <c r="J1" t="s">
        <v>5</v>
      </c>
      <c r="K1" s="18" t="s">
        <v>26</v>
      </c>
      <c r="L1" t="s">
        <v>6</v>
      </c>
      <c r="M1" s="19" t="s">
        <v>27</v>
      </c>
    </row>
    <row r="2" spans="1:13" x14ac:dyDescent="0.25">
      <c r="A2" t="s">
        <v>7</v>
      </c>
      <c r="B2">
        <f>0.477151317173102/minMSE_dhap4_calculated!B2</f>
        <v>1.1685539045220112</v>
      </c>
      <c r="C2" s="14">
        <f>0.762384490029694/minMSE_dhap4_calculated!B2</f>
        <v>1.8670961192128979</v>
      </c>
      <c r="D2">
        <f>0.121390928566686/minMSE_dhap4_calculated!C2</f>
        <v>1.5146178422803964</v>
      </c>
      <c r="E2" s="15">
        <v>0.44624975588118598</v>
      </c>
      <c r="F2">
        <f>1.32188713944138/minMSE_dhap4_calculated!D2</f>
        <v>1.4728400593059228</v>
      </c>
      <c r="G2" s="16">
        <v>0.78551996118716705</v>
      </c>
      <c r="H2">
        <f>0.146310403075635/minMSE_dhap4_calculated!E2</f>
        <v>1.3730290353233991</v>
      </c>
      <c r="I2" s="17">
        <v>0.29160072506103601</v>
      </c>
      <c r="J2">
        <f>0.202222397477891/minMSE_dhap4_calculated!F2</f>
        <v>1.0185736740383033</v>
      </c>
      <c r="K2" s="18">
        <v>0.82577386681059695</v>
      </c>
      <c r="L2">
        <f>1.13201348358574/minMSE_dhap4_calculated!G2</f>
        <v>1.9696603547575633</v>
      </c>
      <c r="M2" s="7">
        <v>4.5710095337786E-2</v>
      </c>
    </row>
    <row r="3" spans="1:13" x14ac:dyDescent="0.25">
      <c r="A3" t="s">
        <v>8</v>
      </c>
      <c r="B3">
        <f>0.448345180432427/minMSE_dhap4_calculated!B3</f>
        <v>1.9809074823577142</v>
      </c>
      <c r="C3" s="14">
        <v>8.2901279432195593E-2</v>
      </c>
      <c r="D3">
        <f>1.02901186296129/minMSE_dhap4_calculated!C3</f>
        <v>5.0200763256791614</v>
      </c>
      <c r="E3" s="9">
        <v>9.0782211164155292E-3</v>
      </c>
      <c r="F3">
        <f>0.483098334678616/minMSE_dhap4_calculated!D3</f>
        <v>1.10522230336886</v>
      </c>
      <c r="G3" s="16">
        <v>0.52024738694317496</v>
      </c>
      <c r="H3">
        <f>0.49231184208025/minMSE_dhap4_calculated!E3</f>
        <v>2.7283699841377014</v>
      </c>
      <c r="I3" s="17">
        <v>7.2269282640789106E-2</v>
      </c>
      <c r="J3">
        <f>1.30870097275351/minMSE_dhap4_calculated!F3</f>
        <v>1.3281571529748248</v>
      </c>
      <c r="K3" s="18">
        <v>0.76388269721491497</v>
      </c>
      <c r="L3">
        <f>1.73449712076569/minMSE_dhap4_calculated!G3</f>
        <v>2.0259254845322308</v>
      </c>
      <c r="M3" s="19">
        <v>0.45347930983877699</v>
      </c>
    </row>
    <row r="4" spans="1:13" x14ac:dyDescent="0.25">
      <c r="A4" t="s">
        <v>9</v>
      </c>
      <c r="B4">
        <f>0.627558922645695/minMSE_dhap4_calculated!B4</f>
        <v>1.1036449581491536</v>
      </c>
      <c r="C4" s="14">
        <v>6.6225124959576706E-2</v>
      </c>
      <c r="D4">
        <f>0.1449642125/minMSE_dhap4_calculated!C4</f>
        <v>1.7193865551702636</v>
      </c>
      <c r="E4" s="15">
        <v>0.61881514010194805</v>
      </c>
      <c r="F4">
        <f>0.813515313204782/minMSE_dhap4_calculated!D4</f>
        <v>1.1083430415406805</v>
      </c>
      <c r="G4" s="10">
        <v>1.6347989883004101E-2</v>
      </c>
      <c r="H4">
        <f>0.920041823523977/minMSE_dhap4_calculated!E4</f>
        <v>1.016588647985845</v>
      </c>
      <c r="I4" s="11">
        <v>1.1178235493982801E-2</v>
      </c>
      <c r="J4">
        <f>0.779699410467817/minMSE_dhap4_calculated!F4</f>
        <v>1.1207654544455106</v>
      </c>
      <c r="K4" s="18">
        <v>0.41128551861353002</v>
      </c>
      <c r="L4">
        <f>0.503408554618201/minMSE_dhap4_calculated!G4</f>
        <v>1.0433896421335493</v>
      </c>
      <c r="M4" s="7">
        <v>2.5966862137770701E-2</v>
      </c>
    </row>
    <row r="5" spans="1:13" x14ac:dyDescent="0.25">
      <c r="A5" t="s">
        <v>10</v>
      </c>
      <c r="B5">
        <f>0.430749129280597/minMSE_dhap4_calculated!B5</f>
        <v>1.5596267228404028</v>
      </c>
      <c r="C5" s="14">
        <v>0.33061324554751997</v>
      </c>
      <c r="D5">
        <f>0.739236368467158/minMSE_dhap4_calculated!C5</f>
        <v>1.5093535913145197</v>
      </c>
      <c r="E5" s="15">
        <v>0.58761063110676703</v>
      </c>
      <c r="F5">
        <f>0.841991524898329/minMSE_dhap4_calculated!D5</f>
        <v>1.1255720118853989</v>
      </c>
      <c r="G5" s="16">
        <v>0.876273721691745</v>
      </c>
      <c r="H5">
        <f>0.530335159996856/minMSE_dhap4_calculated!E5</f>
        <v>1.1705382335159673</v>
      </c>
      <c r="I5" s="17">
        <v>0.12610118972802201</v>
      </c>
      <c r="J5">
        <f>0.433674074914948/minMSE_dhap4_calculated!F5</f>
        <v>1.0243972481556458</v>
      </c>
      <c r="K5" s="18">
        <v>0.84451617033304205</v>
      </c>
      <c r="L5">
        <f>0.344172939902438/minMSE_dhap4_calculated!G5</f>
        <v>1.7738739341658283</v>
      </c>
      <c r="M5" s="19">
        <v>0.34787221257796602</v>
      </c>
    </row>
    <row r="6" spans="1:13" x14ac:dyDescent="0.25">
      <c r="A6" t="s">
        <v>11</v>
      </c>
      <c r="B6">
        <f>0.602728992616944/minMSE_dhap4_calculated!B6</f>
        <v>1.4858753775527851</v>
      </c>
      <c r="C6" s="14">
        <v>0.41886387925431101</v>
      </c>
      <c r="D6">
        <f>0.257681518375271/minMSE_dhap4_calculated!C6</f>
        <v>1.5568377849272339</v>
      </c>
      <c r="E6" s="15">
        <v>0.54683519144140802</v>
      </c>
      <c r="F6">
        <f>0.353261053333333/minMSE_dhap4_calculated!D6</f>
        <v>1.1542539063570569</v>
      </c>
      <c r="G6" s="16">
        <v>0.60936795919082498</v>
      </c>
      <c r="H6">
        <f>0.225009811281669/minMSE_dhap4_calculated!E6</f>
        <v>1.3575219088662971</v>
      </c>
      <c r="I6" s="17">
        <v>0.51888455220311103</v>
      </c>
      <c r="J6">
        <f>0.382853457356385/minMSE_dhap4_calculated!F6</f>
        <v>1.9532001403375869</v>
      </c>
      <c r="K6" s="18">
        <v>0.92811381976317897</v>
      </c>
      <c r="L6">
        <f>0.147008864380061/minMSE_dhap4_calculated!G6</f>
        <v>1.3405771346179025</v>
      </c>
      <c r="M6" s="19">
        <v>0.117144834533319</v>
      </c>
    </row>
    <row r="7" spans="1:13" x14ac:dyDescent="0.25">
      <c r="A7" t="s">
        <v>12</v>
      </c>
      <c r="B7">
        <f>1.86224822651212/minMSE_dhap4_calculated!B7</f>
        <v>1.0348265349741628</v>
      </c>
      <c r="C7" s="14">
        <v>0.73074475229926095</v>
      </c>
      <c r="D7">
        <f>1.27004054232666/minMSE_dhap4_calculated!C7</f>
        <v>1.1602412245098075</v>
      </c>
      <c r="E7" s="15">
        <v>0.482119508817688</v>
      </c>
      <c r="F7">
        <f>0.72436406138498/minMSE_dhap4_calculated!D7</f>
        <v>1.1059708237742323</v>
      </c>
      <c r="G7" s="16">
        <v>7.7299330333445299E-2</v>
      </c>
      <c r="H7">
        <f>0.4916199175/minMSE_dhap4_calculated!E7</f>
        <v>1.5124577710236642</v>
      </c>
      <c r="I7" s="17">
        <v>0.41648763304756098</v>
      </c>
      <c r="J7">
        <f>1.42499529475168/minMSE_dhap4_calculated!F7</f>
        <v>1.0632862491265804</v>
      </c>
      <c r="K7" s="18">
        <v>0.92618166088133702</v>
      </c>
      <c r="L7">
        <f>0.841108100612132/minMSE_dhap4_calculated!G7</f>
        <v>2.5832796075720914</v>
      </c>
      <c r="M7" s="7">
        <v>1.5741522728162101E-2</v>
      </c>
    </row>
    <row r="8" spans="1:13" x14ac:dyDescent="0.25">
      <c r="A8" t="s">
        <v>13</v>
      </c>
      <c r="B8">
        <f>0.635956574897007/minMSE_dhap4_calculated!B8</f>
        <v>1.0831811529883655</v>
      </c>
      <c r="C8" s="12">
        <v>3.9736164584284001E-2</v>
      </c>
      <c r="D8">
        <f>0.776664654830965/minMSE_dhap4_calculated!C8</f>
        <v>1.4146772020412193</v>
      </c>
      <c r="E8" s="9">
        <v>2.23753114222145E-3</v>
      </c>
      <c r="F8">
        <f>0.314127948887681/minMSE_dhap4_calculated!D8</f>
        <v>1.0636086123276238</v>
      </c>
      <c r="G8" s="10">
        <v>2.4759724199063201E-3</v>
      </c>
      <c r="H8">
        <f>2.79800345989495/minMSE_dhap4_calculated!E8</f>
        <v>1.0467999973198512</v>
      </c>
      <c r="I8" s="17">
        <v>0.42442038054964198</v>
      </c>
      <c r="J8">
        <f>0.593595616666667/minMSE_dhap4_calculated!F8</f>
        <v>2.8128329699376176</v>
      </c>
      <c r="K8" s="18">
        <v>0.57583799773840905</v>
      </c>
      <c r="L8">
        <f>0.545787750489276/minMSE_dhap4_calculated!G8</f>
        <v>1.5633499807760365</v>
      </c>
      <c r="M8" s="7">
        <v>1.1238296525258799E-3</v>
      </c>
    </row>
    <row r="9" spans="1:13" x14ac:dyDescent="0.25">
      <c r="A9" t="s">
        <v>14</v>
      </c>
      <c r="B9">
        <f>0.467074103204132/minMSE_dhap4_calculated!B9</f>
        <v>1.1005366526705374</v>
      </c>
      <c r="C9" s="14">
        <v>0.30555896896170998</v>
      </c>
      <c r="D9">
        <f>0.280498076708362/minMSE_dhap4_calculated!C9</f>
        <v>1.2385408697801183</v>
      </c>
      <c r="E9" s="15">
        <v>0.220796800536256</v>
      </c>
      <c r="F9">
        <f>0.753550564274006/minMSE_dhap4_calculated!D9</f>
        <v>1.2008675144156562</v>
      </c>
      <c r="G9" s="16">
        <v>0.34273266373509897</v>
      </c>
      <c r="H9">
        <f>0.165465266297618/minMSE_dhap4_calculated!E9</f>
        <v>1.0924085701670871</v>
      </c>
      <c r="I9" s="11">
        <v>1.6849469393969401E-2</v>
      </c>
      <c r="J9">
        <f>0.430699693339288/minMSE_dhap4_calculated!F9</f>
        <v>1.2536423815792315</v>
      </c>
      <c r="K9" s="18">
        <v>0.80207673397527102</v>
      </c>
      <c r="L9">
        <f>0.319809676780434/minMSE_dhap4_calculated!G9</f>
        <v>1.4610090609934905</v>
      </c>
      <c r="M9" s="19">
        <v>8.3557084326203193E-2</v>
      </c>
    </row>
    <row r="10" spans="1:13" x14ac:dyDescent="0.25">
      <c r="A10" t="s">
        <v>15</v>
      </c>
      <c r="B10">
        <f>0.987608474447869/minMSE_dhap4_calculated!B10</f>
        <v>1.0055742333332387</v>
      </c>
      <c r="C10" s="14">
        <v>0.40967747091093998</v>
      </c>
      <c r="D10">
        <f>0.274383214155976/minMSE_dhap4_calculated!C10</f>
        <v>1.1289462769303324</v>
      </c>
      <c r="E10" s="9">
        <v>4.93615335741312E-2</v>
      </c>
      <c r="F10">
        <f>0.96409648123774/minMSE_dhap4_calculated!D10</f>
        <v>1.272789781870411</v>
      </c>
      <c r="G10" s="16">
        <v>7.5060611423136706E-2</v>
      </c>
      <c r="H10">
        <f>0.132943238293947/minMSE_dhap4_calculated!E10</f>
        <v>1.0829202318798963</v>
      </c>
      <c r="I10" s="17">
        <v>5.3349459021998002E-2</v>
      </c>
      <c r="J10">
        <f>1.19169621124604/minMSE_dhap4_calculated!F10</f>
        <v>1.1908202413955942</v>
      </c>
      <c r="K10" s="18">
        <v>0.83537027035042999</v>
      </c>
      <c r="L10">
        <f>0.288408755351583/minMSE_dhap4_calculated!G10</f>
        <v>2.9152667259253033</v>
      </c>
      <c r="M10" s="7">
        <v>2.0751052693414899E-3</v>
      </c>
    </row>
    <row r="11" spans="1:13" x14ac:dyDescent="0.25">
      <c r="A11" t="s">
        <v>16</v>
      </c>
      <c r="B11">
        <f>1.9612081118788/minMSE_dhap4_calculated!B11</f>
        <v>1.7361335387346946</v>
      </c>
      <c r="C11" s="14">
        <v>0.312866167848105</v>
      </c>
      <c r="D11">
        <f>1.05434034136724/minMSE_dhap4_calculated!C11</f>
        <v>1.8255764049689165</v>
      </c>
      <c r="E11" s="15">
        <v>0.36919882166698498</v>
      </c>
      <c r="F11">
        <f>0.148294325442215/minMSE_dhap4_calculated!D11</f>
        <v>1.2032074306882869</v>
      </c>
      <c r="G11" s="16">
        <v>0.32044779172975002</v>
      </c>
      <c r="H11">
        <f>0.122588291967585/minMSE_dhap4_calculated!E11</f>
        <v>1.0831570683910439</v>
      </c>
      <c r="I11" s="17">
        <v>1.01926877470356</v>
      </c>
      <c r="J11">
        <f>0.754596510136933/minMSE_dhap4_calculated!F11</f>
        <v>8.3516180277739664</v>
      </c>
      <c r="K11" s="18">
        <v>0.41730594570108798</v>
      </c>
      <c r="L11">
        <f>1.25355742073169/minMSE_dhap4_calculated!G11</f>
        <v>1.1647243741357627</v>
      </c>
      <c r="M11" s="19">
        <v>0.32964773522541801</v>
      </c>
    </row>
    <row r="12" spans="1:13" x14ac:dyDescent="0.25">
      <c r="A12" t="s">
        <v>17</v>
      </c>
      <c r="B12">
        <f>0.321255511069134/minMSE_dhap4_calculated!B12</f>
        <v>1.3336750316149184</v>
      </c>
      <c r="C12" s="14">
        <v>0.673063017606508</v>
      </c>
      <c r="D12">
        <f>0.643116178512962/minMSE_dhap4_calculated!C12</f>
        <v>1.4021415866086289</v>
      </c>
      <c r="E12" s="15">
        <v>0.48391674975244903</v>
      </c>
      <c r="F12">
        <f>0.398664726657353/minMSE_dhap4_calculated!D12</f>
        <v>1.0447892709517828</v>
      </c>
      <c r="G12" s="16">
        <v>0.37967438937929698</v>
      </c>
      <c r="H12">
        <f>0.235113772937544/minMSE_dhap4_calculated!E12</f>
        <v>1.7432055263919231</v>
      </c>
      <c r="I12" s="17">
        <v>0.61551986182630103</v>
      </c>
      <c r="J12">
        <f>0.321044621575273/minMSE_dhap4_calculated!F12</f>
        <v>1.4654655969167831</v>
      </c>
      <c r="K12" s="18">
        <v>0.96518223885221099</v>
      </c>
      <c r="L12">
        <f>0.272175762459533/minMSE_dhap4_calculated!G12</f>
        <v>1.1898197038548641</v>
      </c>
      <c r="M12" s="19">
        <v>0.77989454444137896</v>
      </c>
    </row>
    <row r="13" spans="1:13" x14ac:dyDescent="0.25">
      <c r="A13" t="s">
        <v>18</v>
      </c>
      <c r="B13">
        <f>0.493429065125609/minMSE_dhap4_calculated!B13</f>
        <v>1.4113034477760047</v>
      </c>
      <c r="C13" s="14">
        <v>9.5712795892028399E-2</v>
      </c>
      <c r="D13">
        <f>0.317152799049894/minMSE_dhap4_calculated!C13</f>
        <v>1.4967655736529335</v>
      </c>
      <c r="E13" s="15">
        <v>0.44634237725270698</v>
      </c>
      <c r="F13">
        <f>0.28979910854504/minMSE_dhap4_calculated!D13</f>
        <v>1.0843936220045045</v>
      </c>
      <c r="G13" s="16">
        <v>0.31255665386579601</v>
      </c>
      <c r="H13">
        <f>0.478080059587017/minMSE_dhap4_calculated!E13</f>
        <v>1.1513449733847974</v>
      </c>
      <c r="I13" s="17">
        <v>0.98678976939878205</v>
      </c>
      <c r="J13">
        <f>0.306537633589425/minMSE_dhap4_calculated!F13</f>
        <v>1.4017183309690007</v>
      </c>
      <c r="K13" s="18">
        <v>0.517815470814041</v>
      </c>
      <c r="L13">
        <f>0.331017122815113/minMSE_dhap4_calculated!G13</f>
        <v>1.5507540312095438</v>
      </c>
      <c r="M13" s="19">
        <v>0.297478016852251</v>
      </c>
    </row>
    <row r="14" spans="1:13" x14ac:dyDescent="0.25">
      <c r="A14" t="s">
        <v>19</v>
      </c>
      <c r="B14">
        <f>0.781354369183005/minMSE_dhap4_calculated!B14</f>
        <v>1.2123046448972821</v>
      </c>
      <c r="C14" s="14">
        <v>0.174295602147962</v>
      </c>
      <c r="D14">
        <f>0.637020179301932/minMSE_dhap4_calculated!C14</f>
        <v>1.1209271308159272</v>
      </c>
      <c r="E14" s="15">
        <v>0.86844583111990603</v>
      </c>
      <c r="F14">
        <f>0.552096825715658/minMSE_dhap4_calculated!D14</f>
        <v>1.6800805937123526</v>
      </c>
      <c r="G14" s="10">
        <v>4.3268390080787603E-2</v>
      </c>
      <c r="H14">
        <f>0.733073880859077/minMSE_dhap4_calculated!E14</f>
        <v>7.0520412707570452</v>
      </c>
      <c r="I14" s="11">
        <v>8.3521584494051695E-3</v>
      </c>
      <c r="J14">
        <f>0.288994581662493/minMSE_dhap4_calculated!F14</f>
        <v>1.1025583580129574</v>
      </c>
      <c r="K14" s="18">
        <v>0.81524617305381997</v>
      </c>
      <c r="L14">
        <f>0.689900027162885/minMSE_dhap4_calculated!G14</f>
        <v>2.3806875526358424</v>
      </c>
      <c r="M14" s="19">
        <v>6.5292475138674894E-2</v>
      </c>
    </row>
    <row r="15" spans="1:13" x14ac:dyDescent="0.25">
      <c r="A15" t="s">
        <v>20</v>
      </c>
      <c r="B15">
        <f>0.373554184229167/minMSE_dhap4_calculated!B15</f>
        <v>1.0509169074012248</v>
      </c>
      <c r="C15" s="12">
        <v>4.0424970068182499E-3</v>
      </c>
      <c r="D15">
        <f>0.802872664266803/minMSE_dhap4_calculated!C15</f>
        <v>1.2462848004672955</v>
      </c>
      <c r="E15" s="15">
        <v>5.7965913592618802E-2</v>
      </c>
      <c r="F15">
        <f>0.135335124155983/minMSE_dhap4_calculated!D15</f>
        <v>1.527622890558705</v>
      </c>
      <c r="G15" s="16">
        <v>0.218104991549528</v>
      </c>
      <c r="H15">
        <f>0.34584983837623/minMSE_dhap4_calculated!E15</f>
        <v>1.0356752684831483</v>
      </c>
      <c r="I15" s="11">
        <v>1.17388410353965E-2</v>
      </c>
      <c r="J15">
        <f>0.674244817433298/minMSE_dhap4_calculated!F15</f>
        <v>1.029438427424791</v>
      </c>
      <c r="K15" s="18">
        <v>0.21974386864794401</v>
      </c>
      <c r="L15">
        <f>0.428802195783335/minMSE_dhap4_calculated!G15</f>
        <v>1.0503572571228132</v>
      </c>
      <c r="M15" s="19">
        <v>0.26584607245743602</v>
      </c>
    </row>
    <row r="16" spans="1:13" x14ac:dyDescent="0.25">
      <c r="A16" t="s">
        <v>21</v>
      </c>
      <c r="B16">
        <f>2.2438902963975/minMSE_dhap4_calculated!B16</f>
        <v>3.9865149627937764</v>
      </c>
      <c r="C16" s="12">
        <v>8.8957362296602296E-3</v>
      </c>
      <c r="D16">
        <f>0.701649854405341/minMSE_dhap4_calculated!C16</f>
        <v>1.3453101968570462</v>
      </c>
      <c r="E16" s="15">
        <v>0.31603437363464698</v>
      </c>
      <c r="F16">
        <f>1.3015135355148/minMSE_dhap4_calculated!D16</f>
        <v>3.0112849866654616</v>
      </c>
      <c r="G16" s="16">
        <v>0.250267714639267</v>
      </c>
      <c r="H16">
        <f>1.13837033920717/minMSE_dhap4_calculated!E16</f>
        <v>1.3193668307385911</v>
      </c>
      <c r="I16" s="17">
        <v>1.01343777505961</v>
      </c>
      <c r="J16">
        <f>0.444764280775477/minMSE_dhap4_calculated!F16</f>
        <v>1.8581674583183518</v>
      </c>
      <c r="K16" s="18">
        <v>0.88243598341370999</v>
      </c>
      <c r="L16">
        <f>3.15903375083333/minMSE_dhap4_calculated!G16</f>
        <v>1.7474996069294391</v>
      </c>
      <c r="M16" s="19">
        <v>0.45617091532496501</v>
      </c>
    </row>
    <row r="20" spans="1:12" x14ac:dyDescent="0.25">
      <c r="A20" t="s">
        <v>124</v>
      </c>
    </row>
    <row r="21" spans="1:12" x14ac:dyDescent="0.25">
      <c r="A21" t="s">
        <v>7</v>
      </c>
      <c r="B21">
        <f>B2-dhap4!B2</f>
        <v>0.15369230463349082</v>
      </c>
      <c r="D21">
        <f>D2-dhap4!D2</f>
        <v>0.31578849690156185</v>
      </c>
      <c r="F21">
        <f>F2-dhap4!F2</f>
        <v>1.7655396983311311E-2</v>
      </c>
      <c r="H21">
        <f>H2-dhap4!H2</f>
        <v>3.2484467745905743E-3</v>
      </c>
      <c r="J21">
        <f>J2-dhap4!J2</f>
        <v>-4.2235802194041439E-2</v>
      </c>
      <c r="L21">
        <f>L2-dhap4!L2</f>
        <v>0.4959857286423841</v>
      </c>
    </row>
    <row r="22" spans="1:12" x14ac:dyDescent="0.25">
      <c r="A22" t="s">
        <v>8</v>
      </c>
      <c r="B22">
        <f>B3-dhap4!B3</f>
        <v>0.8604786867137264</v>
      </c>
      <c r="D22">
        <f>D3-dhap4!D3</f>
        <v>3.5547111351940117</v>
      </c>
      <c r="F22">
        <f>F3-dhap4!F3</f>
        <v>-0.34585517524163967</v>
      </c>
      <c r="H22">
        <f>H3-dhap4!H3</f>
        <v>0.97601462238725967</v>
      </c>
      <c r="J22">
        <f>J3-dhap4!J3</f>
        <v>0.1171054059042036</v>
      </c>
      <c r="L22">
        <f>L3-dhap4!L3</f>
        <v>0.63008628735912686</v>
      </c>
    </row>
    <row r="23" spans="1:12" x14ac:dyDescent="0.25">
      <c r="A23" t="s">
        <v>9</v>
      </c>
      <c r="B23">
        <f>B4-dhap4!B4</f>
        <v>-0.35500778506544028</v>
      </c>
      <c r="D23">
        <f>D4-dhap4!D4</f>
        <v>0</v>
      </c>
      <c r="F23">
        <f>F4-dhap4!F4</f>
        <v>-7.4121679197851398E-2</v>
      </c>
      <c r="H23">
        <f>H4-dhap4!H4</f>
        <v>-0.19260219595244732</v>
      </c>
      <c r="J23">
        <f>J4-dhap4!J4</f>
        <v>1.4351682716849945E-2</v>
      </c>
      <c r="L23">
        <f>L4-dhap4!L4</f>
        <v>-0.36075366598671543</v>
      </c>
    </row>
    <row r="24" spans="1:12" x14ac:dyDescent="0.25">
      <c r="A24" t="s">
        <v>10</v>
      </c>
      <c r="B24">
        <f>B5-dhap4!B5</f>
        <v>-0.2942864927532034</v>
      </c>
      <c r="D24">
        <f>D5-dhap4!D5</f>
        <v>-0.33625827970606514</v>
      </c>
      <c r="F24">
        <f>F5-dhap4!F5</f>
        <v>9.7337885410947012E-2</v>
      </c>
      <c r="H24">
        <f>H5-dhap4!H5</f>
        <v>-0.78441070821681858</v>
      </c>
      <c r="J24">
        <f>J5-dhap4!J5</f>
        <v>-0.16443715965823857</v>
      </c>
      <c r="L24">
        <f>L5-dhap4!L5</f>
        <v>0.59512901451627531</v>
      </c>
    </row>
    <row r="25" spans="1:12" x14ac:dyDescent="0.25">
      <c r="A25" t="s">
        <v>11</v>
      </c>
      <c r="B25">
        <f>B6-dhap4!B6</f>
        <v>0.3165411686186701</v>
      </c>
      <c r="D25">
        <f>D6-dhap4!D6</f>
        <v>0.34004694796131241</v>
      </c>
      <c r="F25">
        <f>F6-dhap4!F6</f>
        <v>0</v>
      </c>
      <c r="H25">
        <f>H6-dhap4!H6</f>
        <v>0.23077214984031214</v>
      </c>
      <c r="J25">
        <f>J6-dhap4!J6</f>
        <v>0.74386049915485764</v>
      </c>
      <c r="L25">
        <f>L6-dhap4!L6</f>
        <v>-0.22991027189851687</v>
      </c>
    </row>
    <row r="26" spans="1:12" x14ac:dyDescent="0.25">
      <c r="A26" t="s">
        <v>12</v>
      </c>
      <c r="B26">
        <f>B7-dhap4!B7</f>
        <v>-0.15996466104501428</v>
      </c>
      <c r="D26">
        <f>D7-dhap4!D7</f>
        <v>9.9588051820737045E-2</v>
      </c>
      <c r="F26">
        <f>F7-dhap4!F7</f>
        <v>-0.94697933988391569</v>
      </c>
      <c r="H26">
        <f>H7-dhap4!H7</f>
        <v>0</v>
      </c>
      <c r="J26">
        <f>J7-dhap4!J7</f>
        <v>2.6929608207280076E-3</v>
      </c>
      <c r="L26">
        <f>L7-dhap4!L7</f>
        <v>0.86437534192500021</v>
      </c>
    </row>
    <row r="27" spans="1:12" x14ac:dyDescent="0.25">
      <c r="A27" t="s">
        <v>13</v>
      </c>
      <c r="B27">
        <f>B8-dhap4!B8</f>
        <v>3.1024828218523925E-2</v>
      </c>
      <c r="D27">
        <f>D8-dhap4!D8</f>
        <v>0.16868568947548268</v>
      </c>
      <c r="F27">
        <f>F8-dhap4!F8</f>
        <v>5.8944725148318833E-2</v>
      </c>
      <c r="H27">
        <f>H8-dhap4!H8</f>
        <v>-1.1085973645934999E-2</v>
      </c>
      <c r="J27">
        <f>J8-dhap4!J8</f>
        <v>0</v>
      </c>
      <c r="L27">
        <f>L8-dhap4!L8</f>
        <v>6.2645906421636921E-2</v>
      </c>
    </row>
    <row r="28" spans="1:12" x14ac:dyDescent="0.25">
      <c r="A28" t="s">
        <v>14</v>
      </c>
      <c r="B28">
        <f>B9-dhap4!B9</f>
        <v>8.489414181840349E-3</v>
      </c>
      <c r="D28">
        <f>D9-dhap4!D9</f>
        <v>-0.45995793839494015</v>
      </c>
      <c r="F28">
        <f>F9-dhap4!F9</f>
        <v>-2.5106208688443932E-2</v>
      </c>
      <c r="H28">
        <f>H9-dhap4!H9</f>
        <v>-0.27362690631640607</v>
      </c>
      <c r="J28">
        <f>J9-dhap4!J9</f>
        <v>-5.3315054626275504E-2</v>
      </c>
      <c r="L28">
        <f>L9-dhap4!L9</f>
        <v>0.31908663881973998</v>
      </c>
    </row>
    <row r="29" spans="1:12" x14ac:dyDescent="0.25">
      <c r="A29" t="s">
        <v>15</v>
      </c>
      <c r="B29">
        <f>B10-dhap4!B10</f>
        <v>5.2229043165075151E-3</v>
      </c>
      <c r="D29">
        <f>D10-dhap4!D10</f>
        <v>-0.12852570765048887</v>
      </c>
      <c r="F29">
        <f>F10-dhap4!F10</f>
        <v>-8.6143373048885863E-3</v>
      </c>
      <c r="H29">
        <f>H10-dhap4!H10</f>
        <v>-0.36854462445050462</v>
      </c>
      <c r="J29">
        <f>J10-dhap4!J10</f>
        <v>6.0051430612833023E-3</v>
      </c>
      <c r="L29">
        <f>L10-dhap4!L10</f>
        <v>0.18853492880596123</v>
      </c>
    </row>
    <row r="30" spans="1:12" x14ac:dyDescent="0.25">
      <c r="A30" t="s">
        <v>16</v>
      </c>
      <c r="B30">
        <f>B11-dhap4!B11</f>
        <v>0.14594078164898483</v>
      </c>
      <c r="D30">
        <f>D11-dhap4!D11</f>
        <v>0.30856856141543387</v>
      </c>
      <c r="F30">
        <f>F11-dhap4!F11</f>
        <v>-1.953020566513296</v>
      </c>
      <c r="H30">
        <f>H11-dhap4!H11</f>
        <v>-0.45407043134376313</v>
      </c>
      <c r="J30">
        <f>J11-dhap4!J11</f>
        <v>2.4442613665667121</v>
      </c>
      <c r="L30">
        <f>L11-dhap4!L11</f>
        <v>-8.7238828379649913E-2</v>
      </c>
    </row>
    <row r="31" spans="1:12" x14ac:dyDescent="0.25">
      <c r="A31" t="s">
        <v>17</v>
      </c>
      <c r="B31">
        <f>B12-dhap4!B12</f>
        <v>5.0805321090220623E-2</v>
      </c>
      <c r="D31">
        <f>D12-dhap4!D12</f>
        <v>-0.12086617396361365</v>
      </c>
      <c r="F31">
        <f>F12-dhap4!F12</f>
        <v>-0.18600895494972569</v>
      </c>
      <c r="H31">
        <f>H12-dhap4!H12</f>
        <v>0.32619756704169478</v>
      </c>
      <c r="J31">
        <f>J12-dhap4!J12</f>
        <v>4.3094622832988705E-3</v>
      </c>
      <c r="L31">
        <f>L12-dhap4!L12</f>
        <v>0.11309915021465433</v>
      </c>
    </row>
    <row r="32" spans="1:12" x14ac:dyDescent="0.25">
      <c r="A32" t="s">
        <v>18</v>
      </c>
      <c r="B32">
        <f>B13-dhap4!B13</f>
        <v>0.25695468902376306</v>
      </c>
      <c r="D32">
        <f>D13-dhap4!D13</f>
        <v>0.42923099920216301</v>
      </c>
      <c r="F32">
        <f>F13-dhap4!F13</f>
        <v>3.5866453685128752E-2</v>
      </c>
      <c r="H32">
        <f>H13-dhap4!H13</f>
        <v>3.2728239442228579E-2</v>
      </c>
      <c r="J32">
        <f>J13-dhap4!J13</f>
        <v>0.29966407770837256</v>
      </c>
      <c r="L32">
        <f>L13-dhap4!L13</f>
        <v>7.7484416347034069E-2</v>
      </c>
    </row>
    <row r="33" spans="1:12" x14ac:dyDescent="0.25">
      <c r="A33" t="s">
        <v>19</v>
      </c>
      <c r="B33">
        <f>B14-dhap4!B14</f>
        <v>7.338642231646153E-2</v>
      </c>
      <c r="D33">
        <f>D14-dhap4!D14</f>
        <v>2.3371691779501269E-2</v>
      </c>
      <c r="F33">
        <f>F14-dhap4!F14</f>
        <v>-1.4919917726718708</v>
      </c>
      <c r="H33">
        <f>H14-dhap4!H14</f>
        <v>4.6129983962031167</v>
      </c>
      <c r="J33">
        <f>J14-dhap4!J14</f>
        <v>8.3723793645675837E-3</v>
      </c>
      <c r="L33">
        <f>L14-dhap4!L14</f>
        <v>0.56074108661935518</v>
      </c>
    </row>
    <row r="34" spans="1:12" x14ac:dyDescent="0.25">
      <c r="A34" t="s">
        <v>20</v>
      </c>
      <c r="B34">
        <f>B15-dhap4!B15</f>
        <v>-8.8195165113463592E-2</v>
      </c>
      <c r="D34">
        <f>D15-dhap4!D15</f>
        <v>0.10704330539808105</v>
      </c>
      <c r="F34">
        <f>F15-dhap4!F15</f>
        <v>-15.278870908368601</v>
      </c>
      <c r="H34">
        <f>H15-dhap4!H15</f>
        <v>-1.1319742890794144</v>
      </c>
      <c r="J34">
        <f>J15-dhap4!J15</f>
        <v>2.0387023111046787E-2</v>
      </c>
      <c r="L34">
        <f>L15-dhap4!L15</f>
        <v>-0.18415017568305125</v>
      </c>
    </row>
    <row r="35" spans="1:12" x14ac:dyDescent="0.25">
      <c r="A35" t="s">
        <v>21</v>
      </c>
      <c r="B35">
        <f>B16-dhap4!B16</f>
        <v>-0.10632894329057807</v>
      </c>
      <c r="D35">
        <f>D16-dhap4!D16</f>
        <v>5.4053084483255187E-2</v>
      </c>
      <c r="F35">
        <f>F16-dhap4!F16</f>
        <v>4.9266708786846802E-2</v>
      </c>
      <c r="H35">
        <f>H16-dhap4!H16</f>
        <v>1.112604937302808E-2</v>
      </c>
      <c r="J35">
        <f>J16-dhap4!J16</f>
        <v>-6.7233863403242777E-2</v>
      </c>
      <c r="L35">
        <f>L16-dhap4!L16</f>
        <v>0</v>
      </c>
    </row>
    <row r="37" spans="1:12" x14ac:dyDescent="0.25">
      <c r="A37" t="s">
        <v>111</v>
      </c>
    </row>
    <row r="38" spans="1:12" x14ac:dyDescent="0.25">
      <c r="A38">
        <v>1.4164661667032181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workbookViewId="0">
      <selection activeCell="A38" sqref="A38"/>
    </sheetView>
  </sheetViews>
  <sheetFormatPr defaultColWidth="8.85546875" defaultRowHeight="15" x14ac:dyDescent="0.25"/>
  <sheetData>
    <row r="1" spans="1:13" x14ac:dyDescent="0.25">
      <c r="A1" t="s">
        <v>0</v>
      </c>
      <c r="B1" t="s">
        <v>1</v>
      </c>
      <c r="C1" s="14" t="s">
        <v>22</v>
      </c>
      <c r="D1" t="s">
        <v>2</v>
      </c>
      <c r="E1" s="15" t="s">
        <v>23</v>
      </c>
      <c r="F1" t="s">
        <v>3</v>
      </c>
      <c r="G1" s="16" t="s">
        <v>24</v>
      </c>
      <c r="H1" t="s">
        <v>4</v>
      </c>
      <c r="I1" s="17" t="s">
        <v>25</v>
      </c>
      <c r="J1" t="s">
        <v>5</v>
      </c>
      <c r="K1" s="18" t="s">
        <v>26</v>
      </c>
      <c r="L1" t="s">
        <v>6</v>
      </c>
      <c r="M1" s="19" t="s">
        <v>27</v>
      </c>
    </row>
    <row r="2" spans="1:13" x14ac:dyDescent="0.25">
      <c r="A2" t="s">
        <v>7</v>
      </c>
      <c r="B2">
        <v>0.4749390458990782</v>
      </c>
      <c r="C2" s="14">
        <v>0.762384490029694</v>
      </c>
      <c r="D2">
        <v>0.14506664217268164</v>
      </c>
      <c r="E2" s="15">
        <v>0.44624975588118598</v>
      </c>
      <c r="F2">
        <v>1.3252915222118917</v>
      </c>
      <c r="G2" s="16">
        <v>0.78551996118716705</v>
      </c>
      <c r="H2">
        <v>0.11666130708985302</v>
      </c>
      <c r="I2" s="17">
        <v>0.29160072506103601</v>
      </c>
      <c r="J2">
        <v>0.20830458487329948</v>
      </c>
      <c r="K2" s="18">
        <v>0.82577386681059695</v>
      </c>
      <c r="L2">
        <v>1.1198359257937704</v>
      </c>
      <c r="M2" s="7">
        <v>4.5710095337786E-2</v>
      </c>
    </row>
    <row r="3" spans="1:13" x14ac:dyDescent="0.25">
      <c r="A3" t="s">
        <v>8</v>
      </c>
      <c r="B3">
        <v>0.32831079292135684</v>
      </c>
      <c r="C3" s="14">
        <v>8.2901279432195593E-2</v>
      </c>
      <c r="D3">
        <v>1.2376664161621289</v>
      </c>
      <c r="E3" s="9">
        <v>9.0782211164155292E-3</v>
      </c>
      <c r="F3">
        <v>0.46554412183411609</v>
      </c>
      <c r="G3" s="16">
        <v>0.52024738694317496</v>
      </c>
      <c r="H3">
        <v>0.3696986404749058</v>
      </c>
      <c r="I3" s="17">
        <v>7.2269282640789106E-2</v>
      </c>
      <c r="J3">
        <v>1.1826888859602083</v>
      </c>
      <c r="K3" s="18">
        <v>0.76388269721491497</v>
      </c>
      <c r="L3">
        <v>1.3674056612094738</v>
      </c>
      <c r="M3" s="19">
        <v>0.45347930983877699</v>
      </c>
    </row>
    <row r="4" spans="1:13" x14ac:dyDescent="0.25">
      <c r="A4" t="s">
        <v>9</v>
      </c>
      <c r="B4">
        <v>0.72871310051180016</v>
      </c>
      <c r="C4" s="14">
        <v>6.6225124959576706E-2</v>
      </c>
      <c r="D4">
        <v>0.14496421249999999</v>
      </c>
      <c r="E4" s="15">
        <v>0.61881514010194805</v>
      </c>
      <c r="F4">
        <v>1.0832631550579059</v>
      </c>
      <c r="G4" s="10">
        <v>1.6347989883004101E-2</v>
      </c>
      <c r="H4">
        <v>1.2775546096932286</v>
      </c>
      <c r="I4" s="11">
        <v>1.1178235493982801E-2</v>
      </c>
      <c r="J4">
        <v>0.84850441725361492</v>
      </c>
      <c r="K4" s="18">
        <v>0.41128551861353002</v>
      </c>
      <c r="L4">
        <v>0.63028039892574539</v>
      </c>
      <c r="M4" s="7">
        <v>2.5966862137770701E-2</v>
      </c>
    </row>
    <row r="5" spans="1:13" x14ac:dyDescent="0.25">
      <c r="A5" t="s">
        <v>10</v>
      </c>
      <c r="B5">
        <v>0.43994680506829914</v>
      </c>
      <c r="C5" s="14">
        <v>0.33061324554751997</v>
      </c>
      <c r="D5">
        <v>0.50418569692065573</v>
      </c>
      <c r="E5" s="15">
        <v>0.58761063110676703</v>
      </c>
      <c r="F5">
        <v>0.80160677975798034</v>
      </c>
      <c r="G5" s="16">
        <v>0.876273721691745</v>
      </c>
      <c r="H5">
        <v>0.53056538872380832</v>
      </c>
      <c r="I5" s="17">
        <v>0.12610118972802201</v>
      </c>
      <c r="J5">
        <v>0.48955897146181776</v>
      </c>
      <c r="K5" s="18">
        <v>0.84451617033304205</v>
      </c>
      <c r="L5">
        <v>0.19417033862617064</v>
      </c>
      <c r="M5" s="19">
        <v>0.34787221257796602</v>
      </c>
    </row>
    <row r="6" spans="1:13" x14ac:dyDescent="0.25">
      <c r="A6" t="s">
        <v>11</v>
      </c>
      <c r="B6">
        <v>0.52005461149906518</v>
      </c>
      <c r="C6" s="14">
        <v>0.41886387925431101</v>
      </c>
      <c r="D6">
        <v>0.19620794873503689</v>
      </c>
      <c r="E6" s="15">
        <v>0.54683519144140802</v>
      </c>
      <c r="F6">
        <v>0.35326105333333335</v>
      </c>
      <c r="G6" s="16">
        <v>0.60936795919082498</v>
      </c>
      <c r="H6">
        <v>0.19649416361966265</v>
      </c>
      <c r="I6" s="17">
        <v>0.51888455220311103</v>
      </c>
      <c r="J6">
        <v>0.30332697966733119</v>
      </c>
      <c r="K6" s="18">
        <v>0.92811381976317897</v>
      </c>
      <c r="L6">
        <v>0.16026247478529265</v>
      </c>
      <c r="M6" s="19">
        <v>0.117144834533319</v>
      </c>
    </row>
    <row r="7" spans="1:13" x14ac:dyDescent="0.25">
      <c r="A7" t="s">
        <v>12</v>
      </c>
      <c r="B7">
        <v>1.9045789577865639</v>
      </c>
      <c r="C7" s="14">
        <v>0.73074475229926095</v>
      </c>
      <c r="D7">
        <v>1.433500865337896</v>
      </c>
      <c r="E7" s="15">
        <v>0.482119508817688</v>
      </c>
      <c r="F7">
        <v>1.9485678701441429</v>
      </c>
      <c r="G7" s="16">
        <v>7.7299330333445299E-2</v>
      </c>
      <c r="H7">
        <v>0.4916199175</v>
      </c>
      <c r="I7" s="17">
        <v>0.41648763304756098</v>
      </c>
      <c r="J7">
        <v>1.5951287672559049</v>
      </c>
      <c r="K7" s="18">
        <v>0.92618166088133702</v>
      </c>
      <c r="L7">
        <v>0.59020122040391187</v>
      </c>
      <c r="M7" s="7">
        <v>1.5741522728162101E-2</v>
      </c>
    </row>
    <row r="8" spans="1:13" x14ac:dyDescent="0.25">
      <c r="A8" t="s">
        <v>13</v>
      </c>
      <c r="B8">
        <v>0.62775410049458746</v>
      </c>
      <c r="C8" s="12">
        <v>3.9736164584284001E-2</v>
      </c>
      <c r="D8">
        <v>0.67535635788552739</v>
      </c>
      <c r="E8" s="9">
        <v>2.23753114222145E-3</v>
      </c>
      <c r="F8">
        <v>0.30128055728722097</v>
      </c>
      <c r="G8" s="10">
        <v>2.4759724199063201E-3</v>
      </c>
      <c r="H8">
        <v>2.8483949520091549</v>
      </c>
      <c r="I8" s="17">
        <v>0.42442038054964198</v>
      </c>
      <c r="J8">
        <v>0.5935956166666666</v>
      </c>
      <c r="K8" s="18">
        <v>0.57583799773840905</v>
      </c>
      <c r="L8">
        <v>0.52967481561922825</v>
      </c>
      <c r="M8" s="7">
        <v>1.1238296525258799E-3</v>
      </c>
    </row>
    <row r="9" spans="1:13" x14ac:dyDescent="0.25">
      <c r="A9" t="s">
        <v>14</v>
      </c>
      <c r="B9">
        <v>0.51273800310228101</v>
      </c>
      <c r="C9" s="14">
        <v>0.30555896896170998</v>
      </c>
      <c r="D9">
        <v>0.27471040341088199</v>
      </c>
      <c r="E9" s="15">
        <v>0.220796800536256</v>
      </c>
      <c r="F9">
        <v>0.86568294513762067</v>
      </c>
      <c r="G9" s="16">
        <v>0.34273266373509897</v>
      </c>
      <c r="H9">
        <v>0.23459590022064661</v>
      </c>
      <c r="I9" s="11">
        <v>1.6849469393969401E-2</v>
      </c>
      <c r="J9">
        <v>0.55596615806282135</v>
      </c>
      <c r="K9" s="18">
        <v>0.80207673397527102</v>
      </c>
      <c r="L9">
        <v>0.2598311167043747</v>
      </c>
      <c r="M9" s="19">
        <v>8.3557084326203193E-2</v>
      </c>
    </row>
    <row r="10" spans="1:13" x14ac:dyDescent="0.25">
      <c r="A10" t="s">
        <v>15</v>
      </c>
      <c r="B10">
        <v>0.99159431464419845</v>
      </c>
      <c r="C10" s="14">
        <v>0.40967747091093998</v>
      </c>
      <c r="D10">
        <v>0.27366471201410941</v>
      </c>
      <c r="E10" s="9">
        <v>4.93615335741312E-2</v>
      </c>
      <c r="F10">
        <v>0.91066714625066936</v>
      </c>
      <c r="G10" s="16">
        <v>7.5060611423136706E-2</v>
      </c>
      <c r="H10">
        <v>0.21840251932853813</v>
      </c>
      <c r="I10" s="17">
        <v>5.3349459021998002E-2</v>
      </c>
      <c r="J10">
        <v>1.2085929472705919</v>
      </c>
      <c r="K10" s="18">
        <v>0.83537027035042999</v>
      </c>
      <c r="L10">
        <v>0.31471646873779163</v>
      </c>
      <c r="M10" s="7">
        <v>2.0751052693414899E-3</v>
      </c>
    </row>
    <row r="11" spans="1:13" x14ac:dyDescent="0.25">
      <c r="A11" t="s">
        <v>16</v>
      </c>
      <c r="B11">
        <v>2.0482806467760306</v>
      </c>
      <c r="C11" s="14">
        <v>0.312866167848105</v>
      </c>
      <c r="D11">
        <v>0.9906304066379773</v>
      </c>
      <c r="E11" s="15">
        <v>0.36919882166698498</v>
      </c>
      <c r="F11">
        <v>0.26392548582644448</v>
      </c>
      <c r="G11" s="16">
        <v>0.32044779172975002</v>
      </c>
      <c r="H11">
        <v>0.15026875039368018</v>
      </c>
      <c r="I11" s="17">
        <v>1.01926877470356</v>
      </c>
      <c r="J11">
        <v>0.6508125212291247</v>
      </c>
      <c r="K11" s="18">
        <v>0.41730594570108798</v>
      </c>
      <c r="L11">
        <v>1.319093546247353</v>
      </c>
      <c r="M11" s="19">
        <v>0.32964773522541801</v>
      </c>
    </row>
    <row r="12" spans="1:13" x14ac:dyDescent="0.25">
      <c r="A12" t="s">
        <v>17</v>
      </c>
      <c r="B12">
        <v>0.32415557167270975</v>
      </c>
      <c r="C12" s="14">
        <v>0.673063017606508</v>
      </c>
      <c r="D12">
        <v>0.66193435721537119</v>
      </c>
      <c r="E12" s="15">
        <v>0.48391674975244903</v>
      </c>
      <c r="F12">
        <v>0.49304414181817996</v>
      </c>
      <c r="G12" s="16">
        <v>0.37967438937929698</v>
      </c>
      <c r="H12">
        <v>0.25211838355523397</v>
      </c>
      <c r="I12" s="17">
        <v>0.61551986182630103</v>
      </c>
      <c r="J12">
        <v>0.28158591385369797</v>
      </c>
      <c r="K12" s="18">
        <v>0.96518223885221099</v>
      </c>
      <c r="L12">
        <v>0.24406479239373199</v>
      </c>
      <c r="M12" s="19">
        <v>0.77989454444137896</v>
      </c>
    </row>
    <row r="13" spans="1:13" x14ac:dyDescent="0.25">
      <c r="A13" t="s">
        <v>18</v>
      </c>
      <c r="B13">
        <v>0.40880877586276287</v>
      </c>
      <c r="C13" s="14">
        <v>9.5712795892028399E-2</v>
      </c>
      <c r="D13">
        <v>0.32849738143125351</v>
      </c>
      <c r="E13" s="15">
        <v>0.44634237725270698</v>
      </c>
      <c r="F13">
        <v>0.27475093247830751</v>
      </c>
      <c r="G13" s="16">
        <v>0.31255665386579601</v>
      </c>
      <c r="H13">
        <v>0.5109400815845212</v>
      </c>
      <c r="I13" s="17">
        <v>0.98678976939878205</v>
      </c>
      <c r="J13">
        <v>0.2670614858517551</v>
      </c>
      <c r="K13" s="18">
        <v>0.517815470814041</v>
      </c>
      <c r="L13">
        <v>0.26431437598124069</v>
      </c>
      <c r="M13" s="19">
        <v>0.297478016852251</v>
      </c>
    </row>
    <row r="14" spans="1:13" x14ac:dyDescent="0.25">
      <c r="A14" t="s">
        <v>19</v>
      </c>
      <c r="B14">
        <v>0.73916629596465322</v>
      </c>
      <c r="C14" s="14">
        <v>0.174295602147962</v>
      </c>
      <c r="D14">
        <v>0.61452092628397037</v>
      </c>
      <c r="E14" s="15">
        <v>0.86844583111990603</v>
      </c>
      <c r="F14">
        <v>0.52936243111647596</v>
      </c>
      <c r="G14" s="10">
        <v>4.3268390080787603E-2</v>
      </c>
      <c r="H14">
        <v>0.44097052799120351</v>
      </c>
      <c r="I14" s="11">
        <v>8.3521584494051695E-3</v>
      </c>
      <c r="J14">
        <v>0.37411178580033044</v>
      </c>
      <c r="K14" s="18">
        <v>0.81524617305381997</v>
      </c>
      <c r="L14">
        <v>0.62010682028981379</v>
      </c>
      <c r="M14" s="19">
        <v>6.5292475138674894E-2</v>
      </c>
    </row>
    <row r="15" spans="1:13" x14ac:dyDescent="0.25">
      <c r="A15" t="s">
        <v>20</v>
      </c>
      <c r="B15">
        <v>0.43809580219681832</v>
      </c>
      <c r="C15" s="12">
        <v>4.0424970068182499E-3</v>
      </c>
      <c r="D15">
        <v>0.87488775273747788</v>
      </c>
      <c r="E15" s="15">
        <v>5.7965913592618802E-2</v>
      </c>
      <c r="F15">
        <v>1.6914010571143134</v>
      </c>
      <c r="G15" s="16">
        <v>0.218104991549528</v>
      </c>
      <c r="H15">
        <v>0.82747098113519979</v>
      </c>
      <c r="I15" s="11">
        <v>1.17388410353965E-2</v>
      </c>
      <c r="J15">
        <v>0.77829624561633504</v>
      </c>
      <c r="K15" s="18">
        <v>0.21974386864794401</v>
      </c>
      <c r="L15">
        <v>0.64740412387356183</v>
      </c>
      <c r="M15" s="19">
        <v>0.26584607245743602</v>
      </c>
    </row>
    <row r="16" spans="1:13" x14ac:dyDescent="0.25">
      <c r="A16" t="s">
        <v>21</v>
      </c>
      <c r="B16">
        <v>2.3812707070388108</v>
      </c>
      <c r="C16" s="12">
        <v>8.8957362296602296E-3</v>
      </c>
      <c r="D16">
        <v>0.59164766074276864</v>
      </c>
      <c r="E16" s="15">
        <v>0.31603437363464698</v>
      </c>
      <c r="F16">
        <v>1.2500929918474954</v>
      </c>
      <c r="G16" s="16">
        <v>0.250267714639267</v>
      </c>
      <c r="H16">
        <v>0.87736797829387603</v>
      </c>
      <c r="I16" s="17">
        <v>1.01343777505961</v>
      </c>
      <c r="J16">
        <v>0.54282738325830493</v>
      </c>
      <c r="K16" s="18">
        <v>0.88243598341370999</v>
      </c>
      <c r="L16">
        <v>3.1590337508333337</v>
      </c>
      <c r="M16" s="19">
        <v>0.45617091532496501</v>
      </c>
    </row>
    <row r="20" spans="1:12" x14ac:dyDescent="0.25">
      <c r="A20" t="s">
        <v>125</v>
      </c>
    </row>
    <row r="21" spans="1:12" x14ac:dyDescent="0.25">
      <c r="A21" t="s">
        <v>7</v>
      </c>
      <c r="B21">
        <f>B2-dhap4!B2</f>
        <v>-0.53992255398944222</v>
      </c>
      <c r="D21">
        <f>D2-dhap4!D2</f>
        <v>-1.053762703206153</v>
      </c>
      <c r="F21">
        <f>F2-dhap4!F2</f>
        <v>-0.12989314011071973</v>
      </c>
      <c r="H21">
        <f>H2-dhap4!H2</f>
        <v>-1.2531192814589556</v>
      </c>
      <c r="J21">
        <f>J2-dhap4!J2</f>
        <v>-0.85250489135904528</v>
      </c>
      <c r="L21">
        <f>L2-dhap4!L2</f>
        <v>-0.35383870032140874</v>
      </c>
    </row>
    <row r="22" spans="1:12" x14ac:dyDescent="0.25">
      <c r="A22" t="s">
        <v>8</v>
      </c>
      <c r="B22">
        <f>B3-dhap4!B3</f>
        <v>-0.79211800272263089</v>
      </c>
      <c r="D22">
        <f>D3-dhap4!D3</f>
        <v>-0.22769877432302099</v>
      </c>
      <c r="F22">
        <f>F3-dhap4!F3</f>
        <v>-0.98553335677638354</v>
      </c>
      <c r="H22">
        <f>H3-dhap4!H3</f>
        <v>-1.3826567212755358</v>
      </c>
      <c r="J22">
        <f>J3-dhap4!J3</f>
        <v>-2.8362861110412974E-2</v>
      </c>
      <c r="L22">
        <f>L3-dhap4!L3</f>
        <v>-2.8433535963630074E-2</v>
      </c>
    </row>
    <row r="23" spans="1:12" x14ac:dyDescent="0.25">
      <c r="A23" t="s">
        <v>9</v>
      </c>
      <c r="B23">
        <f>B4-dhap4!B4</f>
        <v>-0.72993964270279377</v>
      </c>
      <c r="D23">
        <f>D4-dhap4!D4</f>
        <v>-1.5744223426702637</v>
      </c>
      <c r="F23">
        <f>F4-dhap4!F4</f>
        <v>-9.9201565680625992E-2</v>
      </c>
      <c r="H23">
        <f>H4-dhap4!H4</f>
        <v>6.8363765754936301E-2</v>
      </c>
      <c r="J23">
        <f>J4-dhap4!J4</f>
        <v>-0.2579093544750457</v>
      </c>
      <c r="L23">
        <f>L4-dhap4!L4</f>
        <v>-0.77386290919451939</v>
      </c>
    </row>
    <row r="24" spans="1:12" x14ac:dyDescent="0.25">
      <c r="A24" t="s">
        <v>10</v>
      </c>
      <c r="B24">
        <f>B5-dhap4!B5</f>
        <v>-1.4139664105253071</v>
      </c>
      <c r="D24">
        <f>D5-dhap4!D5</f>
        <v>-1.3414261740999291</v>
      </c>
      <c r="F24">
        <f>F5-dhap4!F5</f>
        <v>-0.22662734671647156</v>
      </c>
      <c r="H24">
        <f>H5-dhap4!H5</f>
        <v>-1.4243835530089775</v>
      </c>
      <c r="J24">
        <f>J5-dhap4!J5</f>
        <v>-0.69927543635206657</v>
      </c>
      <c r="L24">
        <f>L5-dhap4!L5</f>
        <v>-0.98457458102338236</v>
      </c>
    </row>
    <row r="25" spans="1:12" x14ac:dyDescent="0.25">
      <c r="A25" t="s">
        <v>11</v>
      </c>
      <c r="B25">
        <f>B6-dhap4!B6</f>
        <v>-0.64927959743504982</v>
      </c>
      <c r="D25">
        <f>D6-dhap4!D6</f>
        <v>-1.0205828882308845</v>
      </c>
      <c r="F25">
        <f>F6-dhap4!F6</f>
        <v>-0.80099285302372358</v>
      </c>
      <c r="H25">
        <f>H6-dhap4!H6</f>
        <v>-0.9302555954063223</v>
      </c>
      <c r="J25">
        <f>J6-dhap4!J6</f>
        <v>-0.90601266151539805</v>
      </c>
      <c r="L25">
        <f>L6-dhap4!L6</f>
        <v>-1.4102249317311268</v>
      </c>
    </row>
    <row r="26" spans="1:12" x14ac:dyDescent="0.25">
      <c r="A26" t="s">
        <v>12</v>
      </c>
      <c r="B26">
        <f>B7-dhap4!B7</f>
        <v>0.70978776176738689</v>
      </c>
      <c r="D26">
        <f>D7-dhap4!D7</f>
        <v>0.37284769264882556</v>
      </c>
      <c r="F26">
        <f>F7-dhap4!F7</f>
        <v>-0.10438229351400508</v>
      </c>
      <c r="H26">
        <f>H7-dhap4!H7</f>
        <v>-1.0208378535236642</v>
      </c>
      <c r="J26">
        <f>J7-dhap4!J7</f>
        <v>0.53453547895005249</v>
      </c>
      <c r="L26">
        <f>L7-dhap4!L7</f>
        <v>-1.1287030452431792</v>
      </c>
    </row>
    <row r="27" spans="1:12" x14ac:dyDescent="0.25">
      <c r="A27" t="s">
        <v>13</v>
      </c>
      <c r="B27">
        <f>B8-dhap4!B8</f>
        <v>-0.42440222427525409</v>
      </c>
      <c r="D27">
        <f>D8-dhap4!D8</f>
        <v>-0.5706351546802092</v>
      </c>
      <c r="F27">
        <f>F8-dhap4!F8</f>
        <v>-0.70338332989208396</v>
      </c>
      <c r="H27">
        <f>H8-dhap4!H8</f>
        <v>1.7905089810433688</v>
      </c>
      <c r="J27">
        <f>J8-dhap4!J8</f>
        <v>-2.2192373532709508</v>
      </c>
      <c r="L27">
        <f>L8-dhap4!L8</f>
        <v>-0.97102925873517132</v>
      </c>
    </row>
    <row r="28" spans="1:12" x14ac:dyDescent="0.25">
      <c r="A28" t="s">
        <v>14</v>
      </c>
      <c r="B28">
        <f>B9-dhap4!B9</f>
        <v>-0.57930923538641599</v>
      </c>
      <c r="D28">
        <f>D9-dhap4!D9</f>
        <v>-1.4237884047641765</v>
      </c>
      <c r="F28">
        <f>F9-dhap4!F9</f>
        <v>-0.36029077796647946</v>
      </c>
      <c r="H28">
        <f>H9-dhap4!H9</f>
        <v>-1.1314395762628466</v>
      </c>
      <c r="J28">
        <f>J9-dhap4!J9</f>
        <v>-0.75099127814268563</v>
      </c>
      <c r="L28">
        <f>L9-dhap4!L9</f>
        <v>-0.88209130546937575</v>
      </c>
    </row>
    <row r="29" spans="1:12" x14ac:dyDescent="0.25">
      <c r="A29" t="s">
        <v>15</v>
      </c>
      <c r="B29">
        <f>B10-dhap4!B10</f>
        <v>-8.7570143725327343E-3</v>
      </c>
      <c r="D29">
        <f>D10-dhap4!D10</f>
        <v>-0.98380727256671197</v>
      </c>
      <c r="F29">
        <f>F10-dhap4!F10</f>
        <v>-0.37073697292463026</v>
      </c>
      <c r="H29">
        <f>H10-dhap4!H10</f>
        <v>-1.2330623370018627</v>
      </c>
      <c r="J29">
        <f>J10-dhap4!J10</f>
        <v>2.3777848936280988E-2</v>
      </c>
      <c r="L29">
        <f>L10-dhap4!L10</f>
        <v>-2.4120153283815506</v>
      </c>
    </row>
    <row r="30" spans="1:12" x14ac:dyDescent="0.25">
      <c r="A30" t="s">
        <v>16</v>
      </c>
      <c r="B30">
        <f>B11-dhap4!B11</f>
        <v>0.45808788969032088</v>
      </c>
      <c r="D30">
        <f>D11-dhap4!D11</f>
        <v>-0.52637743691550531</v>
      </c>
      <c r="F30">
        <f>F11-dhap4!F11</f>
        <v>-2.8923025113751386</v>
      </c>
      <c r="H30">
        <f>H11-dhap4!H11</f>
        <v>-1.3869587493411268</v>
      </c>
      <c r="J30">
        <f>J11-dhap4!J11</f>
        <v>-5.2565441399781294</v>
      </c>
      <c r="L30">
        <f>L11-dhap4!L11</f>
        <v>6.7130343731940378E-2</v>
      </c>
    </row>
    <row r="31" spans="1:12" x14ac:dyDescent="0.25">
      <c r="A31" t="s">
        <v>17</v>
      </c>
      <c r="B31">
        <f>B12-dhap4!B12</f>
        <v>-0.95871413885198797</v>
      </c>
      <c r="D31">
        <f>D12-dhap4!D12</f>
        <v>-0.86107340335687133</v>
      </c>
      <c r="F31">
        <f>F12-dhap4!F12</f>
        <v>-0.73775408408332854</v>
      </c>
      <c r="H31">
        <f>H12-dhap4!H12</f>
        <v>-1.1648895757949944</v>
      </c>
      <c r="J31">
        <f>J12-dhap4!J12</f>
        <v>-1.1795702207797862</v>
      </c>
      <c r="L31">
        <f>L12-dhap4!L12</f>
        <v>-0.83265576124647778</v>
      </c>
    </row>
    <row r="32" spans="1:12" x14ac:dyDescent="0.25">
      <c r="A32" t="s">
        <v>18</v>
      </c>
      <c r="B32">
        <f>B13-dhap4!B13</f>
        <v>-0.74553998288947876</v>
      </c>
      <c r="D32">
        <f>D13-dhap4!D13</f>
        <v>-0.73903719301951698</v>
      </c>
      <c r="F32">
        <f>F13-dhap4!F13</f>
        <v>-0.77377623584106825</v>
      </c>
      <c r="H32">
        <f>H13-dhap4!H13</f>
        <v>-0.60767665235804758</v>
      </c>
      <c r="J32">
        <f>J13-dhap4!J13</f>
        <v>-0.83499276740887307</v>
      </c>
      <c r="L32">
        <f>L13-dhap4!L13</f>
        <v>-1.208955238881269</v>
      </c>
    </row>
    <row r="33" spans="1:12" x14ac:dyDescent="0.25">
      <c r="A33" t="s">
        <v>19</v>
      </c>
      <c r="B33">
        <f>B14-dhap4!B14</f>
        <v>-0.39975192661616732</v>
      </c>
      <c r="D33">
        <f>D14-dhap4!D14</f>
        <v>-0.48303451275245557</v>
      </c>
      <c r="F33">
        <f>F14-dhap4!F14</f>
        <v>-2.6427099352677477</v>
      </c>
      <c r="H33">
        <f>H14-dhap4!H14</f>
        <v>-1.998072346562725</v>
      </c>
      <c r="J33">
        <f>J14-dhap4!J14</f>
        <v>-0.7200741928480594</v>
      </c>
      <c r="L33">
        <f>L14-dhap4!L14</f>
        <v>-1.1998396457266733</v>
      </c>
    </row>
    <row r="34" spans="1:12" x14ac:dyDescent="0.25">
      <c r="A34" t="s">
        <v>20</v>
      </c>
      <c r="B34">
        <f>B15-dhap4!B15</f>
        <v>-0.70101627031787006</v>
      </c>
      <c r="D34">
        <f>D15-dhap4!D15</f>
        <v>-0.26435374233173659</v>
      </c>
      <c r="F34">
        <f>F15-dhap4!F15</f>
        <v>-15.115092741812992</v>
      </c>
      <c r="H34">
        <f>H15-dhap4!H15</f>
        <v>-1.340178576427363</v>
      </c>
      <c r="J34">
        <f>J15-dhap4!J15</f>
        <v>-0.23075515869740915</v>
      </c>
      <c r="L34">
        <f>L15-dhap4!L15</f>
        <v>-0.58710330893230267</v>
      </c>
    </row>
    <row r="35" spans="1:12" x14ac:dyDescent="0.25">
      <c r="A35" t="s">
        <v>21</v>
      </c>
      <c r="B35">
        <f>B16-dhap4!B16</f>
        <v>-1.7115731990455436</v>
      </c>
      <c r="D35">
        <f>D16-dhap4!D16</f>
        <v>-0.69960945163102239</v>
      </c>
      <c r="F35">
        <f>F16-dhap4!F16</f>
        <v>-1.7119252860311194</v>
      </c>
      <c r="H35">
        <f>H16-dhap4!H16</f>
        <v>-0.43087280307168696</v>
      </c>
      <c r="J35">
        <f>J16-dhap4!J16</f>
        <v>-1.3825739384632896</v>
      </c>
      <c r="L35">
        <f>L16-dhap4!L16</f>
        <v>1.4115341439038946</v>
      </c>
    </row>
    <row r="37" spans="1:12" x14ac:dyDescent="0.25">
      <c r="A37" t="s">
        <v>111</v>
      </c>
    </row>
    <row r="38" spans="1:12" x14ac:dyDescent="0.25">
      <c r="A38">
        <v>1.4929661684491689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workbookViewId="0">
      <selection activeCell="C1" activeCellId="5" sqref="M1:M16 K1:K16 I1:I16 G1:G16 E1:E16 C1:C16"/>
    </sheetView>
  </sheetViews>
  <sheetFormatPr defaultColWidth="8.85546875" defaultRowHeight="15" x14ac:dyDescent="0.25"/>
  <sheetData>
    <row r="1" spans="1:13" x14ac:dyDescent="0.25">
      <c r="A1" t="s">
        <v>0</v>
      </c>
      <c r="B1" t="s">
        <v>1</v>
      </c>
      <c r="C1" s="14" t="s">
        <v>22</v>
      </c>
      <c r="D1" t="s">
        <v>2</v>
      </c>
      <c r="E1" s="15" t="s">
        <v>23</v>
      </c>
      <c r="F1" t="s">
        <v>3</v>
      </c>
      <c r="G1" s="16" t="s">
        <v>24</v>
      </c>
      <c r="H1" t="s">
        <v>4</v>
      </c>
      <c r="I1" s="17" t="s">
        <v>25</v>
      </c>
      <c r="J1" t="s">
        <v>5</v>
      </c>
      <c r="K1" s="18" t="s">
        <v>26</v>
      </c>
      <c r="L1" t="s">
        <v>6</v>
      </c>
      <c r="M1" s="19" t="s">
        <v>27</v>
      </c>
    </row>
    <row r="2" spans="1:13" x14ac:dyDescent="0.25">
      <c r="A2" t="s">
        <v>7</v>
      </c>
      <c r="B2">
        <v>0.44377823363152513</v>
      </c>
      <c r="C2" s="14">
        <v>0.762384490029694</v>
      </c>
      <c r="D2">
        <v>0.15952562540798051</v>
      </c>
      <c r="E2" s="15">
        <v>0.44624975588118598</v>
      </c>
      <c r="F2">
        <v>1.2179827474222604</v>
      </c>
      <c r="G2" s="16">
        <v>0.78551996118716705</v>
      </c>
      <c r="H2">
        <v>0.13417624633759945</v>
      </c>
      <c r="I2" s="17">
        <v>0.29160072506103601</v>
      </c>
      <c r="J2">
        <v>0.20390880109562828</v>
      </c>
      <c r="K2" s="18">
        <v>0.82577386681059695</v>
      </c>
      <c r="L2">
        <v>1.1774173832396009</v>
      </c>
      <c r="M2" s="7">
        <v>4.5710095337786E-2</v>
      </c>
    </row>
    <row r="3" spans="1:13" x14ac:dyDescent="0.25">
      <c r="A3" t="s">
        <v>8</v>
      </c>
      <c r="B3">
        <v>0.50877427632474848</v>
      </c>
      <c r="C3" s="14">
        <v>8.2901279432195593E-2</v>
      </c>
      <c r="D3">
        <v>1.1581345441020778</v>
      </c>
      <c r="E3" s="9">
        <v>9.0782211164155292E-3</v>
      </c>
      <c r="F3">
        <v>0.48869929165664877</v>
      </c>
      <c r="G3" s="16">
        <v>0.52024738694317496</v>
      </c>
      <c r="H3">
        <v>0.58878361007393354</v>
      </c>
      <c r="I3" s="17">
        <v>7.2269282640789106E-2</v>
      </c>
      <c r="J3">
        <v>1.3250733386563203</v>
      </c>
      <c r="K3" s="18">
        <v>0.76388269721491497</v>
      </c>
      <c r="L3">
        <v>1.8404675483692232</v>
      </c>
      <c r="M3" s="19">
        <v>0.45347930983877699</v>
      </c>
    </row>
    <row r="4" spans="1:13" x14ac:dyDescent="0.25">
      <c r="A4" t="s">
        <v>9</v>
      </c>
      <c r="B4">
        <v>0.79525849640407253</v>
      </c>
      <c r="C4" s="14">
        <v>6.6225124959576706E-2</v>
      </c>
      <c r="D4">
        <v>0.14496421249999999</v>
      </c>
      <c r="E4" s="15">
        <v>0.61881514010194805</v>
      </c>
      <c r="F4">
        <v>0.89271168376528431</v>
      </c>
      <c r="G4" s="10">
        <v>1.6347989883004101E-2</v>
      </c>
      <c r="H4">
        <v>1.031630885939512</v>
      </c>
      <c r="I4" s="11">
        <v>1.1178235493982801E-2</v>
      </c>
      <c r="J4">
        <v>0.73231060824114014</v>
      </c>
      <c r="K4" s="18">
        <v>0.41128551861353002</v>
      </c>
      <c r="L4">
        <v>0.76154122431176263</v>
      </c>
      <c r="M4" s="7">
        <v>2.5966862137770701E-2</v>
      </c>
    </row>
    <row r="5" spans="1:13" x14ac:dyDescent="0.25">
      <c r="A5" t="s">
        <v>10</v>
      </c>
      <c r="B5">
        <v>0.51192884084312495</v>
      </c>
      <c r="C5" s="14">
        <v>0.33061324554751997</v>
      </c>
      <c r="D5">
        <v>0.85663222739327871</v>
      </c>
      <c r="E5" s="15">
        <v>0.58761063110676703</v>
      </c>
      <c r="F5">
        <v>0.82060387020880343</v>
      </c>
      <c r="G5" s="16">
        <v>0.876273721691745</v>
      </c>
      <c r="H5">
        <v>0.88723175901939877</v>
      </c>
      <c r="I5" s="17">
        <v>0.12610118972802201</v>
      </c>
      <c r="J5">
        <v>0.50216157431967312</v>
      </c>
      <c r="K5" s="18">
        <v>0.84451617033304205</v>
      </c>
      <c r="L5">
        <v>0.23041873723312656</v>
      </c>
      <c r="M5" s="19">
        <v>0.34787221257796602</v>
      </c>
    </row>
    <row r="6" spans="1:13" x14ac:dyDescent="0.25">
      <c r="A6" t="s">
        <v>11</v>
      </c>
      <c r="B6">
        <v>0.53937709471643924</v>
      </c>
      <c r="C6" s="14">
        <v>0.41886387925431101</v>
      </c>
      <c r="D6">
        <v>0.22772543104761203</v>
      </c>
      <c r="E6" s="15">
        <v>0.54683519144140802</v>
      </c>
      <c r="F6">
        <v>0.35326105333333335</v>
      </c>
      <c r="G6" s="16">
        <v>0.60936795919082498</v>
      </c>
      <c r="H6">
        <v>0.21101166825393283</v>
      </c>
      <c r="I6" s="17">
        <v>0.51888455220311103</v>
      </c>
      <c r="J6">
        <v>0.31903068548740743</v>
      </c>
      <c r="K6" s="18">
        <v>0.92811381976317897</v>
      </c>
      <c r="L6">
        <v>0.14449979198001442</v>
      </c>
      <c r="M6" s="19">
        <v>0.117144834533319</v>
      </c>
    </row>
    <row r="7" spans="1:13" x14ac:dyDescent="0.25">
      <c r="A7" t="s">
        <v>12</v>
      </c>
      <c r="B7">
        <v>1.9123243447548366</v>
      </c>
      <c r="C7" s="14">
        <v>0.73074475229926095</v>
      </c>
      <c r="D7">
        <v>1.2102805412710145</v>
      </c>
      <c r="E7" s="15">
        <v>0.482119508817688</v>
      </c>
      <c r="F7">
        <v>1.1401629891073624</v>
      </c>
      <c r="G7" s="16">
        <v>7.7299330333445299E-2</v>
      </c>
      <c r="H7">
        <v>0.4916199175</v>
      </c>
      <c r="I7" s="17">
        <v>0.41648763304756098</v>
      </c>
      <c r="J7">
        <v>1.3972317039942148</v>
      </c>
      <c r="K7" s="18">
        <v>0.92618166088133702</v>
      </c>
      <c r="L7">
        <v>0.72293476711641136</v>
      </c>
      <c r="M7" s="7">
        <v>1.5741522728162101E-2</v>
      </c>
    </row>
    <row r="8" spans="1:13" x14ac:dyDescent="0.25">
      <c r="A8" t="s">
        <v>13</v>
      </c>
      <c r="B8">
        <v>0.60818349810264039</v>
      </c>
      <c r="C8" s="12">
        <v>3.9736164584284001E-2</v>
      </c>
      <c r="D8">
        <v>0.71312038341892281</v>
      </c>
      <c r="E8" s="9">
        <v>2.23753114222145E-3</v>
      </c>
      <c r="F8">
        <v>0.33271112827921878</v>
      </c>
      <c r="G8" s="10">
        <v>2.4759724199063201E-3</v>
      </c>
      <c r="H8">
        <v>2.8116502337931659</v>
      </c>
      <c r="I8" s="17">
        <v>0.42442038054964198</v>
      </c>
      <c r="J8">
        <v>0.5935956166666666</v>
      </c>
      <c r="K8" s="18">
        <v>0.57583799773840905</v>
      </c>
      <c r="L8">
        <v>0.49534740395300719</v>
      </c>
      <c r="M8" s="7">
        <v>1.1238296525258799E-3</v>
      </c>
    </row>
    <row r="9" spans="1:13" x14ac:dyDescent="0.25">
      <c r="A9" t="s">
        <v>14</v>
      </c>
      <c r="B9">
        <v>0.46024210256848119</v>
      </c>
      <c r="C9" s="14">
        <v>0.30555896896170998</v>
      </c>
      <c r="D9">
        <v>0.26368196923234738</v>
      </c>
      <c r="E9" s="15">
        <v>0.220796800536256</v>
      </c>
      <c r="F9">
        <v>0.67892801962111804</v>
      </c>
      <c r="G9" s="16">
        <v>0.34273266373509897</v>
      </c>
      <c r="H9">
        <v>0.24108073108146741</v>
      </c>
      <c r="I9" s="11">
        <v>1.6849469393969401E-2</v>
      </c>
      <c r="J9">
        <v>0.4873224520138088</v>
      </c>
      <c r="K9" s="18">
        <v>0.80207673397527102</v>
      </c>
      <c r="L9">
        <v>0.28095322880891904</v>
      </c>
      <c r="M9" s="19">
        <v>8.3557084326203193E-2</v>
      </c>
    </row>
    <row r="10" spans="1:13" x14ac:dyDescent="0.25">
      <c r="A10" t="s">
        <v>15</v>
      </c>
      <c r="B10">
        <v>0.99416045484828242</v>
      </c>
      <c r="C10" s="14">
        <v>0.40967747091093998</v>
      </c>
      <c r="D10">
        <v>0.24899232611647062</v>
      </c>
      <c r="E10" s="9">
        <v>4.93615335741312E-2</v>
      </c>
      <c r="F10">
        <v>0.76317126952090264</v>
      </c>
      <c r="G10" s="16">
        <v>7.5060611423136706E-2</v>
      </c>
      <c r="H10">
        <v>0.12844952687958044</v>
      </c>
      <c r="I10" s="17">
        <v>5.3349459021998002E-2</v>
      </c>
      <c r="J10">
        <v>1.0889659861713512</v>
      </c>
      <c r="K10" s="18">
        <v>0.83537027035042999</v>
      </c>
      <c r="L10">
        <v>0.31257340038052223</v>
      </c>
      <c r="M10" s="7">
        <v>2.0751052693414899E-3</v>
      </c>
    </row>
    <row r="11" spans="1:13" x14ac:dyDescent="0.25">
      <c r="A11" t="s">
        <v>16</v>
      </c>
      <c r="B11">
        <v>1.972570607200778</v>
      </c>
      <c r="C11" s="14">
        <v>0.312866167848105</v>
      </c>
      <c r="D11">
        <v>0.94832435674561799</v>
      </c>
      <c r="E11" s="15">
        <v>0.36919882166698498</v>
      </c>
      <c r="F11">
        <v>0.42380240146682824</v>
      </c>
      <c r="G11" s="16">
        <v>0.32044779172975002</v>
      </c>
      <c r="H11">
        <v>0.14557381630993071</v>
      </c>
      <c r="I11" s="17">
        <v>1.01926877470356</v>
      </c>
      <c r="J11">
        <v>0.73945976797448321</v>
      </c>
      <c r="K11" s="18">
        <v>0.41730594570108798</v>
      </c>
      <c r="L11">
        <v>1.282563411502236</v>
      </c>
      <c r="M11" s="19">
        <v>0.32964773522541801</v>
      </c>
    </row>
    <row r="12" spans="1:13" x14ac:dyDescent="0.25">
      <c r="A12" t="s">
        <v>17</v>
      </c>
      <c r="B12">
        <v>0.32264302729980909</v>
      </c>
      <c r="C12" s="14">
        <v>0.673063017606508</v>
      </c>
      <c r="D12">
        <v>0.69121409340971196</v>
      </c>
      <c r="E12" s="15">
        <v>0.48391674975244903</v>
      </c>
      <c r="F12">
        <v>0.42690846572368107</v>
      </c>
      <c r="G12" s="16">
        <v>0.37967438937929698</v>
      </c>
      <c r="H12">
        <v>0.18459988307763131</v>
      </c>
      <c r="I12" s="17">
        <v>0.61551986182630103</v>
      </c>
      <c r="J12">
        <v>0.28036924249594086</v>
      </c>
      <c r="K12" s="18">
        <v>0.96518223885221099</v>
      </c>
      <c r="L12">
        <v>0.25506486378022991</v>
      </c>
      <c r="M12" s="19">
        <v>0.77989454444137896</v>
      </c>
    </row>
    <row r="13" spans="1:13" x14ac:dyDescent="0.25">
      <c r="A13" t="s">
        <v>18</v>
      </c>
      <c r="B13">
        <v>0.47742584865179533</v>
      </c>
      <c r="C13" s="14">
        <v>9.5712795892028399E-2</v>
      </c>
      <c r="D13">
        <v>0.35285787505477395</v>
      </c>
      <c r="E13" s="15">
        <v>0.44634237725270698</v>
      </c>
      <c r="F13">
        <v>0.28556403110737777</v>
      </c>
      <c r="G13" s="16">
        <v>0.31255665386579601</v>
      </c>
      <c r="H13">
        <v>0.46741103354471553</v>
      </c>
      <c r="I13" s="17">
        <v>0.98678976939878205</v>
      </c>
      <c r="J13">
        <v>0.27966874289577975</v>
      </c>
      <c r="K13" s="18">
        <v>0.517815470814041</v>
      </c>
      <c r="L13">
        <v>0.31527213716875613</v>
      </c>
      <c r="M13" s="19">
        <v>0.297478016852251</v>
      </c>
    </row>
    <row r="14" spans="1:13" x14ac:dyDescent="0.25">
      <c r="A14" t="s">
        <v>19</v>
      </c>
      <c r="B14">
        <v>0.71071456249331244</v>
      </c>
      <c r="C14" s="14">
        <v>0.174295602147962</v>
      </c>
      <c r="D14">
        <v>0.65929544913433458</v>
      </c>
      <c r="E14" s="15">
        <v>0.86844583111990603</v>
      </c>
      <c r="F14">
        <v>0.37687266933209623</v>
      </c>
      <c r="G14" s="10">
        <v>4.3268390080787603E-2</v>
      </c>
      <c r="H14">
        <v>0.25627838578335432</v>
      </c>
      <c r="I14" s="11">
        <v>8.3521584494051695E-3</v>
      </c>
      <c r="J14">
        <v>0.30782180717826052</v>
      </c>
      <c r="K14" s="18">
        <v>0.81524617305381997</v>
      </c>
      <c r="L14">
        <v>0.49634699078208988</v>
      </c>
      <c r="M14" s="19">
        <v>6.5292475138674894E-2</v>
      </c>
    </row>
    <row r="15" spans="1:13" x14ac:dyDescent="0.25">
      <c r="A15" t="s">
        <v>20</v>
      </c>
      <c r="B15">
        <v>0.43769526338865716</v>
      </c>
      <c r="C15" s="12">
        <v>4.0424970068182499E-3</v>
      </c>
      <c r="D15">
        <v>1.0975680462875845</v>
      </c>
      <c r="E15" s="15">
        <v>5.7965913592618802E-2</v>
      </c>
      <c r="F15">
        <v>0.98888050364748825</v>
      </c>
      <c r="G15" s="16">
        <v>0.218104991549528</v>
      </c>
      <c r="H15">
        <v>0.83740054894976013</v>
      </c>
      <c r="I15" s="11">
        <v>1.17388410353965E-2</v>
      </c>
      <c r="J15">
        <v>0.82810935847291445</v>
      </c>
      <c r="K15" s="18">
        <v>0.21974386864794401</v>
      </c>
      <c r="L15">
        <v>0.66251866630413248</v>
      </c>
      <c r="M15" s="19">
        <v>0.26584607245743602</v>
      </c>
    </row>
    <row r="16" spans="1:13" x14ac:dyDescent="0.25">
      <c r="A16" t="s">
        <v>21</v>
      </c>
      <c r="B16">
        <v>1.0646648402205339</v>
      </c>
      <c r="C16" s="12">
        <v>8.8957362296602296E-3</v>
      </c>
      <c r="D16">
        <v>0.72891582336367255</v>
      </c>
      <c r="E16" s="15">
        <v>0.31603437363464698</v>
      </c>
      <c r="F16">
        <v>0.54183240328940163</v>
      </c>
      <c r="G16" s="16">
        <v>0.250267714639267</v>
      </c>
      <c r="H16">
        <v>1.0508357822938816</v>
      </c>
      <c r="I16" s="17">
        <v>1.01343777505961</v>
      </c>
      <c r="J16">
        <v>0.76153861881197094</v>
      </c>
      <c r="K16" s="18">
        <v>0.88243598341370999</v>
      </c>
      <c r="L16">
        <v>3.1590337508333337</v>
      </c>
      <c r="M16" s="19">
        <v>0.45617091532496501</v>
      </c>
    </row>
    <row r="20" spans="1:12" x14ac:dyDescent="0.25">
      <c r="A20" t="s">
        <v>126</v>
      </c>
    </row>
    <row r="21" spans="1:12" x14ac:dyDescent="0.25">
      <c r="A21" t="s">
        <v>7</v>
      </c>
      <c r="B21">
        <f>B2-dhap4!B2</f>
        <v>-0.5710833662569953</v>
      </c>
      <c r="D21">
        <f>D2-dhap4!D2</f>
        <v>-1.0393037199708541</v>
      </c>
      <c r="F21">
        <f>F2-dhap4!F2</f>
        <v>-0.23720191490035103</v>
      </c>
      <c r="H21">
        <f>H2-dhap4!H2</f>
        <v>-1.2356043422112091</v>
      </c>
      <c r="J21">
        <f>J2-dhap4!J2</f>
        <v>-0.85690067513671653</v>
      </c>
      <c r="L21">
        <f>L2-dhap4!L2</f>
        <v>-0.29625724287557831</v>
      </c>
    </row>
    <row r="22" spans="1:12" x14ac:dyDescent="0.25">
      <c r="A22" t="s">
        <v>8</v>
      </c>
      <c r="B22">
        <f>B3-dhap4!B3</f>
        <v>-0.61165451931923931</v>
      </c>
      <c r="D22">
        <f>D3-dhap4!D3</f>
        <v>-0.30723064638307207</v>
      </c>
      <c r="F22">
        <f>F3-dhap4!F3</f>
        <v>-0.9623781869538508</v>
      </c>
      <c r="H22">
        <f>H3-dhap4!H3</f>
        <v>-1.1635717516765083</v>
      </c>
      <c r="J22">
        <f>J3-dhap4!J3</f>
        <v>0.11402159158569902</v>
      </c>
      <c r="L22">
        <f>L3-dhap4!L3</f>
        <v>0.44462835119611932</v>
      </c>
    </row>
    <row r="23" spans="1:12" x14ac:dyDescent="0.25">
      <c r="A23" t="s">
        <v>9</v>
      </c>
      <c r="B23">
        <f>B4-dhap4!B4</f>
        <v>-0.66339424681052139</v>
      </c>
      <c r="D23">
        <f>D4-dhap4!D4</f>
        <v>-1.5744223426702637</v>
      </c>
      <c r="F23">
        <f>F4-dhap4!F4</f>
        <v>-0.28975303697324761</v>
      </c>
      <c r="H23">
        <f>H4-dhap4!H4</f>
        <v>-0.17755995799878033</v>
      </c>
      <c r="J23">
        <f>J4-dhap4!J4</f>
        <v>-0.37410316348752048</v>
      </c>
      <c r="L23">
        <f>L4-dhap4!L4</f>
        <v>-0.64260208380850214</v>
      </c>
    </row>
    <row r="24" spans="1:12" x14ac:dyDescent="0.25">
      <c r="A24" t="s">
        <v>10</v>
      </c>
      <c r="B24">
        <f>B5-dhap4!B5</f>
        <v>-1.3419843747504814</v>
      </c>
      <c r="D24">
        <f>D5-dhap4!D5</f>
        <v>-0.98897964362730617</v>
      </c>
      <c r="F24">
        <f>F5-dhap4!F5</f>
        <v>-0.20763025626564846</v>
      </c>
      <c r="H24">
        <f>H5-dhap4!H5</f>
        <v>-1.0677171827133871</v>
      </c>
      <c r="J24">
        <f>J5-dhap4!J5</f>
        <v>-0.68667283349421127</v>
      </c>
      <c r="L24">
        <f>L5-dhap4!L5</f>
        <v>-0.94832618241642641</v>
      </c>
    </row>
    <row r="25" spans="1:12" x14ac:dyDescent="0.25">
      <c r="A25" t="s">
        <v>11</v>
      </c>
      <c r="B25">
        <f>B6-dhap4!B6</f>
        <v>-0.62995711421767575</v>
      </c>
      <c r="D25">
        <f>D6-dhap4!D6</f>
        <v>-0.98906540591830949</v>
      </c>
      <c r="F25">
        <f>F6-dhap4!F6</f>
        <v>-0.80099285302372358</v>
      </c>
      <c r="H25">
        <f>H6-dhap4!H6</f>
        <v>-0.91573809077205215</v>
      </c>
      <c r="J25">
        <f>J6-dhap4!J6</f>
        <v>-0.89030895569532187</v>
      </c>
      <c r="L25">
        <f>L6-dhap4!L6</f>
        <v>-1.425987614536405</v>
      </c>
    </row>
    <row r="26" spans="1:12" x14ac:dyDescent="0.25">
      <c r="A26" t="s">
        <v>12</v>
      </c>
      <c r="B26">
        <f>B7-dhap4!B7</f>
        <v>0.71753314873565954</v>
      </c>
      <c r="D26">
        <f>D7-dhap4!D7</f>
        <v>0.14962736858194403</v>
      </c>
      <c r="F26">
        <f>F7-dhap4!F7</f>
        <v>-0.91278717455078562</v>
      </c>
      <c r="H26">
        <f>H7-dhap4!H7</f>
        <v>-1.0208378535236642</v>
      </c>
      <c r="J26">
        <f>J7-dhap4!J7</f>
        <v>0.33663841568836239</v>
      </c>
      <c r="L26">
        <f>L7-dhap4!L7</f>
        <v>-0.99596949853067984</v>
      </c>
    </row>
    <row r="27" spans="1:12" x14ac:dyDescent="0.25">
      <c r="A27" t="s">
        <v>13</v>
      </c>
      <c r="B27">
        <f>B8-dhap4!B8</f>
        <v>-0.44397282666720117</v>
      </c>
      <c r="D27">
        <f>D8-dhap4!D8</f>
        <v>-0.53287112914681378</v>
      </c>
      <c r="F27">
        <f>F8-dhap4!F8</f>
        <v>-0.67195275890008621</v>
      </c>
      <c r="H27">
        <f>H8-dhap4!H8</f>
        <v>1.7537642628273797</v>
      </c>
      <c r="J27">
        <f>J8-dhap4!J8</f>
        <v>-2.2192373532709508</v>
      </c>
      <c r="L27">
        <f>L8-dhap4!L8</f>
        <v>-1.0053566704013923</v>
      </c>
    </row>
    <row r="28" spans="1:12" x14ac:dyDescent="0.25">
      <c r="A28" t="s">
        <v>14</v>
      </c>
      <c r="B28">
        <f>B9-dhap4!B9</f>
        <v>-0.63180513592021581</v>
      </c>
      <c r="D28">
        <f>D9-dhap4!D9</f>
        <v>-1.4348168389427112</v>
      </c>
      <c r="F28">
        <f>F9-dhap4!F9</f>
        <v>-0.54704570348298209</v>
      </c>
      <c r="H28">
        <f>H9-dhap4!H9</f>
        <v>-1.1249547454020259</v>
      </c>
      <c r="J28">
        <f>J9-dhap4!J9</f>
        <v>-0.81963498419169811</v>
      </c>
      <c r="L28">
        <f>L9-dhap4!L9</f>
        <v>-0.86096919336483146</v>
      </c>
    </row>
    <row r="29" spans="1:12" x14ac:dyDescent="0.25">
      <c r="A29" t="s">
        <v>15</v>
      </c>
      <c r="B29">
        <f>B10-dhap4!B10</f>
        <v>-6.1908741684487678E-3</v>
      </c>
      <c r="D29">
        <f>D10-dhap4!D10</f>
        <v>-1.0084796584643507</v>
      </c>
      <c r="F29">
        <f>F10-dhap4!F10</f>
        <v>-0.51823284965439698</v>
      </c>
      <c r="H29">
        <f>H10-dhap4!H10</f>
        <v>-1.3230153294508205</v>
      </c>
      <c r="J29">
        <f>J10-dhap4!J10</f>
        <v>-9.584911216295966E-2</v>
      </c>
      <c r="L29">
        <f>L10-dhap4!L10</f>
        <v>-2.41415839673882</v>
      </c>
    </row>
    <row r="30" spans="1:12" x14ac:dyDescent="0.25">
      <c r="A30" t="s">
        <v>16</v>
      </c>
      <c r="B30">
        <f>B11-dhap4!B11</f>
        <v>0.38237785011506831</v>
      </c>
      <c r="D30">
        <f>D11-dhap4!D11</f>
        <v>-0.56868348680786462</v>
      </c>
      <c r="F30">
        <f>F11-dhap4!F11</f>
        <v>-2.732425595734755</v>
      </c>
      <c r="H30">
        <f>H11-dhap4!H11</f>
        <v>-1.3916536834248763</v>
      </c>
      <c r="J30">
        <f>J11-dhap4!J11</f>
        <v>-5.1678968932327711</v>
      </c>
      <c r="L30">
        <f>L11-dhap4!L11</f>
        <v>3.0600208986823363E-2</v>
      </c>
    </row>
    <row r="31" spans="1:12" x14ac:dyDescent="0.25">
      <c r="A31" t="s">
        <v>17</v>
      </c>
      <c r="B31">
        <f>B12-dhap4!B12</f>
        <v>-0.96022668322488869</v>
      </c>
      <c r="D31">
        <f>D12-dhap4!D12</f>
        <v>-0.83179366716253056</v>
      </c>
      <c r="F31">
        <f>F12-dhap4!F12</f>
        <v>-0.80388976017782743</v>
      </c>
      <c r="H31">
        <f>H12-dhap4!H12</f>
        <v>-1.2324080762725971</v>
      </c>
      <c r="J31">
        <f>J12-dhap4!J12</f>
        <v>-1.1807868921375433</v>
      </c>
      <c r="L31">
        <f>L12-dhap4!L12</f>
        <v>-0.82165568985997983</v>
      </c>
    </row>
    <row r="32" spans="1:12" x14ac:dyDescent="0.25">
      <c r="A32" t="s">
        <v>18</v>
      </c>
      <c r="B32">
        <f>B13-dhap4!B13</f>
        <v>-0.67692291010044636</v>
      </c>
      <c r="D32">
        <f>D13-dhap4!D13</f>
        <v>-0.71467669939599654</v>
      </c>
      <c r="F32">
        <f>F13-dhap4!F13</f>
        <v>-0.76296313721199804</v>
      </c>
      <c r="H32">
        <f>H13-dhap4!H13</f>
        <v>-0.6512057003978533</v>
      </c>
      <c r="J32">
        <f>J13-dhap4!J13</f>
        <v>-0.8223855103648483</v>
      </c>
      <c r="L32">
        <f>L13-dhap4!L13</f>
        <v>-1.1579974776937536</v>
      </c>
    </row>
    <row r="33" spans="1:12" x14ac:dyDescent="0.25">
      <c r="A33" t="s">
        <v>19</v>
      </c>
      <c r="B33">
        <f>B14-dhap4!B14</f>
        <v>-0.4282036600875081</v>
      </c>
      <c r="D33">
        <f>D14-dhap4!D14</f>
        <v>-0.43825998990209136</v>
      </c>
      <c r="F33">
        <f>F14-dhap4!F14</f>
        <v>-2.7951996970521273</v>
      </c>
      <c r="H33">
        <f>H14-dhap4!H14</f>
        <v>-2.1827644887705744</v>
      </c>
      <c r="J33">
        <f>J14-dhap4!J14</f>
        <v>-0.78636417147012927</v>
      </c>
      <c r="L33">
        <f>L14-dhap4!L14</f>
        <v>-1.3235994752343974</v>
      </c>
    </row>
    <row r="34" spans="1:12" x14ac:dyDescent="0.25">
      <c r="A34" t="s">
        <v>20</v>
      </c>
      <c r="B34">
        <f>B15-dhap4!B15</f>
        <v>-0.70141680912603122</v>
      </c>
      <c r="D34">
        <f>D15-dhap4!D15</f>
        <v>-4.1673448781629929E-2</v>
      </c>
      <c r="F34">
        <f>F15-dhap4!F15</f>
        <v>-15.817613295279818</v>
      </c>
      <c r="H34">
        <f>H15-dhap4!H15</f>
        <v>-1.3302490086128027</v>
      </c>
      <c r="J34">
        <f>J15-dhap4!J15</f>
        <v>-0.18094204584082973</v>
      </c>
      <c r="L34">
        <f>L15-dhap4!L15</f>
        <v>-0.57198876650173203</v>
      </c>
    </row>
    <row r="35" spans="1:12" x14ac:dyDescent="0.25">
      <c r="A35" t="s">
        <v>21</v>
      </c>
      <c r="B35">
        <f>B16-dhap4!B16</f>
        <v>-3.0281790658638208</v>
      </c>
      <c r="D35">
        <f>D16-dhap4!D16</f>
        <v>-0.56234128901011848</v>
      </c>
      <c r="F35">
        <f>F16-dhap4!F16</f>
        <v>-2.4201858745892131</v>
      </c>
      <c r="H35">
        <f>H16-dhap4!H16</f>
        <v>-0.25740499907168135</v>
      </c>
      <c r="J35">
        <f>J16-dhap4!J16</f>
        <v>-1.1638627029096238</v>
      </c>
      <c r="L35">
        <f>L16-dhap4!L16</f>
        <v>1.4115341439038946</v>
      </c>
    </row>
    <row r="37" spans="1:12" x14ac:dyDescent="0.25">
      <c r="A37" t="s">
        <v>111</v>
      </c>
    </row>
    <row r="38" spans="1:12" x14ac:dyDescent="0.25">
      <c r="A38">
        <v>1.4318481493703141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workbookViewId="0">
      <selection activeCell="M1" activeCellId="5" sqref="C1:C16 E1:E16 G1:G16 I1:I16 K1:K16 M1:M16"/>
    </sheetView>
  </sheetViews>
  <sheetFormatPr defaultColWidth="8.85546875" defaultRowHeight="15" x14ac:dyDescent="0.25"/>
  <sheetData>
    <row r="1" spans="1:13" x14ac:dyDescent="0.25">
      <c r="A1" t="s">
        <v>0</v>
      </c>
      <c r="B1" t="s">
        <v>1</v>
      </c>
      <c r="C1" s="14" t="s">
        <v>22</v>
      </c>
      <c r="D1" t="s">
        <v>2</v>
      </c>
      <c r="E1" s="15" t="s">
        <v>23</v>
      </c>
      <c r="F1" t="s">
        <v>3</v>
      </c>
      <c r="G1" s="16" t="s">
        <v>24</v>
      </c>
      <c r="H1" t="s">
        <v>4</v>
      </c>
      <c r="I1" s="17" t="s">
        <v>25</v>
      </c>
      <c r="J1" t="s">
        <v>5</v>
      </c>
      <c r="K1" s="18" t="s">
        <v>26</v>
      </c>
      <c r="L1" t="s">
        <v>6</v>
      </c>
      <c r="M1" s="19" t="s">
        <v>27</v>
      </c>
    </row>
    <row r="2" spans="1:13" x14ac:dyDescent="0.25">
      <c r="A2" t="s">
        <v>7</v>
      </c>
      <c r="B2">
        <v>0.44966741699538887</v>
      </c>
      <c r="C2" s="14">
        <v>0.762384490029694</v>
      </c>
      <c r="D2">
        <v>0.11549117494581852</v>
      </c>
      <c r="E2" s="15">
        <v>0.44624975588118598</v>
      </c>
      <c r="F2">
        <v>1.3533855557151411</v>
      </c>
      <c r="G2" s="16">
        <v>0.78551996118716705</v>
      </c>
      <c r="H2">
        <v>0.12663273061507965</v>
      </c>
      <c r="I2" s="17">
        <v>0.29160072506103601</v>
      </c>
      <c r="J2">
        <v>0.20004431357771499</v>
      </c>
      <c r="K2" s="18">
        <v>0.82577386681059695</v>
      </c>
      <c r="L2">
        <v>1.1994823584905039</v>
      </c>
      <c r="M2" s="7">
        <v>4.5710095337786E-2</v>
      </c>
    </row>
    <row r="3" spans="1:13" x14ac:dyDescent="0.25">
      <c r="A3" t="s">
        <v>8</v>
      </c>
      <c r="B3">
        <v>0.32839144568604239</v>
      </c>
      <c r="C3" s="14">
        <v>8.2901279432195593E-2</v>
      </c>
      <c r="D3">
        <v>0.9926205219857458</v>
      </c>
      <c r="E3" s="9">
        <v>9.0782211164155292E-3</v>
      </c>
      <c r="F3">
        <v>0.54406430085063606</v>
      </c>
      <c r="G3" s="16">
        <v>0.52024738694317496</v>
      </c>
      <c r="H3">
        <v>0.33493748126162409</v>
      </c>
      <c r="I3" s="17">
        <v>7.2269282640789106E-2</v>
      </c>
      <c r="J3">
        <v>1.2153137668192506</v>
      </c>
      <c r="K3" s="18">
        <v>0.76388269721491497</v>
      </c>
      <c r="L3">
        <v>1.1737679802158401</v>
      </c>
      <c r="M3" s="19">
        <v>0.45347930983877699</v>
      </c>
    </row>
    <row r="4" spans="1:13" x14ac:dyDescent="0.25">
      <c r="A4" t="s">
        <v>9</v>
      </c>
      <c r="B4">
        <v>0.72090314349425166</v>
      </c>
      <c r="C4" s="14">
        <v>6.6225124959576706E-2</v>
      </c>
      <c r="D4">
        <v>0.14496421249999999</v>
      </c>
      <c r="E4" s="15">
        <v>0.61881514010194805</v>
      </c>
      <c r="F4">
        <v>0.83430432991217351</v>
      </c>
      <c r="G4" s="10">
        <v>1.6347989883004101E-2</v>
      </c>
      <c r="H4">
        <v>1.0764680749870557</v>
      </c>
      <c r="I4" s="11">
        <v>1.1178235493982801E-2</v>
      </c>
      <c r="J4">
        <v>1.1502000460896913</v>
      </c>
      <c r="K4" s="18">
        <v>0.41128551861353002</v>
      </c>
      <c r="L4">
        <v>0.83335248684218033</v>
      </c>
      <c r="M4" s="7">
        <v>2.5966862137770701E-2</v>
      </c>
    </row>
    <row r="5" spans="1:13" x14ac:dyDescent="0.25">
      <c r="A5" t="s">
        <v>10</v>
      </c>
      <c r="B5">
        <v>0.28296617083407666</v>
      </c>
      <c r="C5" s="14">
        <v>0.33061324554751997</v>
      </c>
      <c r="D5">
        <v>0.60433389283954453</v>
      </c>
      <c r="E5" s="15">
        <v>0.58761063110676703</v>
      </c>
      <c r="F5">
        <v>0.77784811820243627</v>
      </c>
      <c r="G5" s="16">
        <v>0.876273721691745</v>
      </c>
      <c r="H5">
        <v>0.50015322510346949</v>
      </c>
      <c r="I5" s="17">
        <v>0.12610118972802201</v>
      </c>
      <c r="J5">
        <v>0.49053994278737595</v>
      </c>
      <c r="K5" s="18">
        <v>0.84451617033304205</v>
      </c>
      <c r="L5">
        <v>0.22097095607129705</v>
      </c>
      <c r="M5" s="19">
        <v>0.34787221257796602</v>
      </c>
    </row>
    <row r="6" spans="1:13" x14ac:dyDescent="0.25">
      <c r="A6" t="s">
        <v>11</v>
      </c>
      <c r="B6">
        <v>0.53896234123548337</v>
      </c>
      <c r="C6" s="14">
        <v>0.41886387925431101</v>
      </c>
      <c r="D6">
        <v>0.22929028212397326</v>
      </c>
      <c r="E6" s="15">
        <v>0.54683519144140802</v>
      </c>
      <c r="F6">
        <v>0.35326105333333335</v>
      </c>
      <c r="G6" s="16">
        <v>0.60936795919082498</v>
      </c>
      <c r="H6">
        <v>0.2109140698758897</v>
      </c>
      <c r="I6" s="17">
        <v>0.51888455220311103</v>
      </c>
      <c r="J6">
        <v>0.3163406948676914</v>
      </c>
      <c r="K6" s="18">
        <v>0.92811381976317897</v>
      </c>
      <c r="L6">
        <v>0.14642495932891672</v>
      </c>
      <c r="M6" s="19">
        <v>0.117144834533319</v>
      </c>
    </row>
    <row r="7" spans="1:13" x14ac:dyDescent="0.25">
      <c r="A7" t="s">
        <v>12</v>
      </c>
      <c r="B7">
        <v>1.8465155689220578</v>
      </c>
      <c r="C7" s="14">
        <v>0.73074475229926095</v>
      </c>
      <c r="D7">
        <v>1.2720288770455015</v>
      </c>
      <c r="E7" s="15">
        <v>0.482119508817688</v>
      </c>
      <c r="F7">
        <v>1.9826423750976161</v>
      </c>
      <c r="G7" s="16">
        <v>7.7299330333445299E-2</v>
      </c>
      <c r="H7">
        <v>0.4916199175</v>
      </c>
      <c r="I7" s="17">
        <v>0.41648763304756098</v>
      </c>
      <c r="J7">
        <v>1.6610849539274186</v>
      </c>
      <c r="K7" s="18">
        <v>0.92618166088133702</v>
      </c>
      <c r="L7">
        <v>0.91276473685677784</v>
      </c>
      <c r="M7" s="7">
        <v>1.5741522728162101E-2</v>
      </c>
    </row>
    <row r="8" spans="1:13" x14ac:dyDescent="0.25">
      <c r="A8" t="s">
        <v>13</v>
      </c>
      <c r="B8">
        <v>0.62917728942066664</v>
      </c>
      <c r="C8" s="12">
        <v>3.9736164584284001E-2</v>
      </c>
      <c r="D8">
        <v>0.7568322189725154</v>
      </c>
      <c r="E8" s="9">
        <v>2.23753114222145E-3</v>
      </c>
      <c r="F8">
        <v>0.30568554088197092</v>
      </c>
      <c r="G8" s="10">
        <v>2.4759724199063201E-3</v>
      </c>
      <c r="H8">
        <v>2.6961680792845439</v>
      </c>
      <c r="I8" s="17">
        <v>0.42442038054964198</v>
      </c>
      <c r="J8">
        <v>0.5935956166666666</v>
      </c>
      <c r="K8" s="18">
        <v>0.57583799773840905</v>
      </c>
      <c r="L8">
        <v>0.45760542291042722</v>
      </c>
      <c r="M8" s="7">
        <v>1.1238296525258799E-3</v>
      </c>
    </row>
    <row r="9" spans="1:13" x14ac:dyDescent="0.25">
      <c r="A9" t="s">
        <v>14</v>
      </c>
      <c r="B9">
        <v>0.61989502208482428</v>
      </c>
      <c r="C9" s="14">
        <v>0.30555896896170998</v>
      </c>
      <c r="D9">
        <v>0.23412751258123224</v>
      </c>
      <c r="E9" s="15">
        <v>0.220796800536256</v>
      </c>
      <c r="F9">
        <v>0.7578253184022099</v>
      </c>
      <c r="G9" s="16">
        <v>0.34273266373509897</v>
      </c>
      <c r="H9">
        <v>0.18783846429623638</v>
      </c>
      <c r="I9" s="11">
        <v>1.6849469393969401E-2</v>
      </c>
      <c r="J9">
        <v>0.64238823874230067</v>
      </c>
      <c r="K9" s="18">
        <v>0.80207673397527102</v>
      </c>
      <c r="L9">
        <v>0.30463293221764104</v>
      </c>
      <c r="M9" s="19">
        <v>8.3557084326203193E-2</v>
      </c>
    </row>
    <row r="10" spans="1:13" x14ac:dyDescent="0.25">
      <c r="A10" t="s">
        <v>15</v>
      </c>
      <c r="B10">
        <v>0.99126169434500422</v>
      </c>
      <c r="C10" s="14">
        <v>0.40967747091093998</v>
      </c>
      <c r="D10">
        <v>0.27211661841004742</v>
      </c>
      <c r="E10" s="9">
        <v>4.93615335741312E-2</v>
      </c>
      <c r="F10">
        <v>0.93503901011745327</v>
      </c>
      <c r="G10" s="16">
        <v>7.5060611423136706E-2</v>
      </c>
      <c r="H10">
        <v>0.21490070041902218</v>
      </c>
      <c r="I10" s="17">
        <v>5.3349459021998002E-2</v>
      </c>
      <c r="J10">
        <v>1.1592521926006338</v>
      </c>
      <c r="K10" s="18">
        <v>0.83537027035042999</v>
      </c>
      <c r="L10">
        <v>0.3009671935812131</v>
      </c>
      <c r="M10" s="7">
        <v>2.0751052693414899E-3</v>
      </c>
    </row>
    <row r="11" spans="1:13" x14ac:dyDescent="0.25">
      <c r="A11" t="s">
        <v>16</v>
      </c>
      <c r="B11">
        <v>2.0783282232591249</v>
      </c>
      <c r="C11" s="14">
        <v>0.312866167848105</v>
      </c>
      <c r="D11">
        <v>1.013391314309678</v>
      </c>
      <c r="E11" s="15">
        <v>0.36919882166698498</v>
      </c>
      <c r="F11">
        <v>0.27522305608345771</v>
      </c>
      <c r="G11" s="16">
        <v>0.32044779172975002</v>
      </c>
      <c r="H11">
        <v>0.13839633814633676</v>
      </c>
      <c r="I11" s="17">
        <v>1.01926877470356</v>
      </c>
      <c r="J11">
        <v>0.65684844339153403</v>
      </c>
      <c r="K11" s="18">
        <v>0.41730594570108798</v>
      </c>
      <c r="L11">
        <v>1.2616058117944215</v>
      </c>
      <c r="M11" s="19">
        <v>0.32964773522541801</v>
      </c>
    </row>
    <row r="12" spans="1:13" x14ac:dyDescent="0.25">
      <c r="A12" t="s">
        <v>17</v>
      </c>
      <c r="B12">
        <v>0.29393706734405106</v>
      </c>
      <c r="C12" s="14">
        <v>0.673063017606508</v>
      </c>
      <c r="D12">
        <v>0.74287933187811728</v>
      </c>
      <c r="E12" s="15">
        <v>0.48391674975244903</v>
      </c>
      <c r="F12">
        <v>0.45329896762325189</v>
      </c>
      <c r="G12" s="16">
        <v>0.37967438937929698</v>
      </c>
      <c r="H12">
        <v>0.21119160166036363</v>
      </c>
      <c r="I12" s="17">
        <v>0.61551986182630103</v>
      </c>
      <c r="J12">
        <v>0.31752514267265591</v>
      </c>
      <c r="K12" s="18">
        <v>0.96518223885221099</v>
      </c>
      <c r="L12">
        <v>0.24190551909151084</v>
      </c>
      <c r="M12" s="19">
        <v>0.77989454444137896</v>
      </c>
    </row>
    <row r="13" spans="1:13" x14ac:dyDescent="0.25">
      <c r="A13" t="s">
        <v>18</v>
      </c>
      <c r="B13">
        <v>0.42352713338308734</v>
      </c>
      <c r="C13" s="14">
        <v>9.5712795892028399E-2</v>
      </c>
      <c r="D13">
        <v>0.26258286127299757</v>
      </c>
      <c r="E13" s="15">
        <v>0.44634237725270698</v>
      </c>
      <c r="F13">
        <v>0.27109050260829581</v>
      </c>
      <c r="G13" s="16">
        <v>0.31255665386579601</v>
      </c>
      <c r="H13">
        <v>0.49850178471697165</v>
      </c>
      <c r="I13" s="17">
        <v>0.98678976939878205</v>
      </c>
      <c r="J13">
        <v>0.28811367589715914</v>
      </c>
      <c r="K13" s="18">
        <v>0.517815470814041</v>
      </c>
      <c r="L13">
        <v>0.28420474835895831</v>
      </c>
      <c r="M13" s="19">
        <v>0.297478016852251</v>
      </c>
    </row>
    <row r="14" spans="1:13" x14ac:dyDescent="0.25">
      <c r="A14" t="s">
        <v>19</v>
      </c>
      <c r="B14">
        <v>0.9717120562135666</v>
      </c>
      <c r="C14" s="14">
        <v>0.174295602147962</v>
      </c>
      <c r="D14">
        <v>0.68431254954428089</v>
      </c>
      <c r="E14" s="15">
        <v>0.86844583111990603</v>
      </c>
      <c r="F14">
        <v>1.2242464049673274</v>
      </c>
      <c r="G14" s="10">
        <v>4.3268390080787603E-2</v>
      </c>
      <c r="H14">
        <v>0.76142644684748229</v>
      </c>
      <c r="I14" s="11">
        <v>8.3521584494051695E-3</v>
      </c>
      <c r="J14">
        <v>0.41731630590523344</v>
      </c>
      <c r="K14" s="18">
        <v>0.81524617305381997</v>
      </c>
      <c r="L14">
        <v>0.9564630727143224</v>
      </c>
      <c r="M14" s="19">
        <v>6.5292475138674894E-2</v>
      </c>
    </row>
    <row r="15" spans="1:13" x14ac:dyDescent="0.25">
      <c r="A15" t="s">
        <v>20</v>
      </c>
      <c r="B15">
        <v>0.35721668954753977</v>
      </c>
      <c r="C15" s="12">
        <v>4.0424970068182499E-3</v>
      </c>
      <c r="D15">
        <v>0.70552159223889899</v>
      </c>
      <c r="E15" s="15">
        <v>5.7965913592618802E-2</v>
      </c>
      <c r="F15">
        <v>9.250134807649639E-2</v>
      </c>
      <c r="G15" s="16">
        <v>0.218104991549528</v>
      </c>
      <c r="H15">
        <v>0.51486485962069717</v>
      </c>
      <c r="I15" s="11">
        <v>1.17388410353965E-2</v>
      </c>
      <c r="J15">
        <v>0.69122284735108719</v>
      </c>
      <c r="K15" s="18">
        <v>0.21974386864794401</v>
      </c>
      <c r="L15">
        <v>0.50328713504401046</v>
      </c>
      <c r="M15" s="19">
        <v>0.26584607245743602</v>
      </c>
    </row>
    <row r="16" spans="1:13" x14ac:dyDescent="0.25">
      <c r="A16" t="s">
        <v>21</v>
      </c>
      <c r="B16">
        <v>0.81133224541558568</v>
      </c>
      <c r="C16" s="12">
        <v>8.8957362296602296E-3</v>
      </c>
      <c r="D16">
        <v>0.75515660311071098</v>
      </c>
      <c r="E16" s="15">
        <v>0.31603437363464698</v>
      </c>
      <c r="F16">
        <v>1.0734772717460521</v>
      </c>
      <c r="G16" s="16">
        <v>0.250267714639267</v>
      </c>
      <c r="H16">
        <v>0.91781985856036297</v>
      </c>
      <c r="I16" s="17">
        <v>1.01343777505961</v>
      </c>
      <c r="J16">
        <v>0.38011376598025376</v>
      </c>
      <c r="K16" s="18">
        <v>0.88243598341370999</v>
      </c>
      <c r="L16">
        <v>3.1590337508333337</v>
      </c>
      <c r="M16" s="19">
        <v>0.45617091532496501</v>
      </c>
    </row>
    <row r="20" spans="1:12" x14ac:dyDescent="0.25">
      <c r="A20" t="s">
        <v>147</v>
      </c>
    </row>
    <row r="21" spans="1:12" x14ac:dyDescent="0.25">
      <c r="A21" t="s">
        <v>7</v>
      </c>
      <c r="B21">
        <f>B2-dhap4!B2</f>
        <v>-0.5651941828931315</v>
      </c>
      <c r="D21">
        <f>D2-dhap4!D2</f>
        <v>-1.0833381704330161</v>
      </c>
      <c r="F21">
        <f>F2-dhap4!F2</f>
        <v>-0.10179910660747038</v>
      </c>
      <c r="H21">
        <f>H2-dhap4!H2</f>
        <v>-1.243147857933729</v>
      </c>
      <c r="J21">
        <f>J2-dhap4!J2</f>
        <v>-0.86076516265462977</v>
      </c>
      <c r="L21">
        <f>L2-dhap4!L2</f>
        <v>-0.2741922676246753</v>
      </c>
    </row>
    <row r="22" spans="1:12" x14ac:dyDescent="0.25">
      <c r="A22" t="s">
        <v>8</v>
      </c>
      <c r="B22">
        <f>B3-dhap4!B3</f>
        <v>-0.79203734995794539</v>
      </c>
      <c r="D22">
        <f>D3-dhap4!D3</f>
        <v>-0.47274466849940411</v>
      </c>
      <c r="F22">
        <f>F3-dhap4!F3</f>
        <v>-0.90701317775986356</v>
      </c>
      <c r="H22">
        <f>H3-dhap4!H3</f>
        <v>-1.4174178804888176</v>
      </c>
      <c r="J22">
        <f>J3-dhap4!J3</f>
        <v>4.2620197486293865E-3</v>
      </c>
      <c r="L22">
        <f>L3-dhap4!L3</f>
        <v>-0.22207121695726384</v>
      </c>
    </row>
    <row r="23" spans="1:12" x14ac:dyDescent="0.25">
      <c r="A23" t="s">
        <v>9</v>
      </c>
      <c r="B23">
        <f>B4-dhap4!B4</f>
        <v>-0.73774959972034226</v>
      </c>
      <c r="D23">
        <f>D4-dhap4!D4</f>
        <v>-1.5744223426702637</v>
      </c>
      <c r="F23">
        <f>F4-dhap4!F4</f>
        <v>-0.34816039082635841</v>
      </c>
      <c r="H23">
        <f>H4-dhap4!H4</f>
        <v>-0.13272276895123669</v>
      </c>
      <c r="J23">
        <f>J4-dhap4!J4</f>
        <v>4.3786274361030664E-2</v>
      </c>
      <c r="L23">
        <f>L4-dhap4!L4</f>
        <v>-0.57079082127808445</v>
      </c>
    </row>
    <row r="24" spans="1:12" x14ac:dyDescent="0.25">
      <c r="A24" t="s">
        <v>10</v>
      </c>
      <c r="B24">
        <f>B5-dhap4!B5</f>
        <v>-1.5709470447595295</v>
      </c>
      <c r="D24">
        <f>D5-dhap4!D5</f>
        <v>-1.2412779781810404</v>
      </c>
      <c r="F24">
        <f>F5-dhap4!F5</f>
        <v>-0.25038600827201563</v>
      </c>
      <c r="H24">
        <f>H5-dhap4!H5</f>
        <v>-1.4547957166293164</v>
      </c>
      <c r="J24">
        <f>J5-dhap4!J5</f>
        <v>-0.69829446502650838</v>
      </c>
      <c r="L24">
        <f>L5-dhap4!L5</f>
        <v>-0.95777396357825595</v>
      </c>
    </row>
    <row r="25" spans="1:12" x14ac:dyDescent="0.25">
      <c r="A25" t="s">
        <v>11</v>
      </c>
      <c r="B25">
        <f>B6-dhap4!B6</f>
        <v>-0.63037186769863163</v>
      </c>
      <c r="D25">
        <f>D6-dhap4!D6</f>
        <v>-0.98750055484194821</v>
      </c>
      <c r="F25">
        <f>F6-dhap4!F6</f>
        <v>-0.80099285302372358</v>
      </c>
      <c r="H25">
        <f>H6-dhap4!H6</f>
        <v>-0.91583568915009528</v>
      </c>
      <c r="J25">
        <f>J6-dhap4!J6</f>
        <v>-0.89299894631503784</v>
      </c>
      <c r="L25">
        <f>L6-dhap4!L6</f>
        <v>-1.4240624471875027</v>
      </c>
    </row>
    <row r="26" spans="1:12" x14ac:dyDescent="0.25">
      <c r="A26" t="s">
        <v>12</v>
      </c>
      <c r="B26">
        <f>B7-dhap4!B7</f>
        <v>0.65172437290288077</v>
      </c>
      <c r="D26">
        <f>D7-dhap4!D7</f>
        <v>0.21137570435643105</v>
      </c>
      <c r="F26">
        <f>F7-dhap4!F7</f>
        <v>-7.0307788560531881E-2</v>
      </c>
      <c r="H26">
        <f>H7-dhap4!H7</f>
        <v>-1.0208378535236642</v>
      </c>
      <c r="J26">
        <f>J7-dhap4!J7</f>
        <v>0.6004916656215662</v>
      </c>
      <c r="L26">
        <f>L7-dhap4!L7</f>
        <v>-0.80613952879031336</v>
      </c>
    </row>
    <row r="27" spans="1:12" x14ac:dyDescent="0.25">
      <c r="A27" t="s">
        <v>13</v>
      </c>
      <c r="B27">
        <f>B8-dhap4!B8</f>
        <v>-0.42297903534917491</v>
      </c>
      <c r="D27">
        <f>D8-dhap4!D8</f>
        <v>-0.48915929359322119</v>
      </c>
      <c r="F27">
        <f>F8-dhap4!F8</f>
        <v>-0.69897834629733402</v>
      </c>
      <c r="H27">
        <f>H8-dhap4!H8</f>
        <v>1.6382821083187578</v>
      </c>
      <c r="J27">
        <f>J8-dhap4!J8</f>
        <v>-2.2192373532709508</v>
      </c>
      <c r="L27">
        <f>L8-dhap4!L8</f>
        <v>-1.0430986514439724</v>
      </c>
    </row>
    <row r="28" spans="1:12" x14ac:dyDescent="0.25">
      <c r="A28" t="s">
        <v>14</v>
      </c>
      <c r="B28">
        <f>B9-dhap4!B9</f>
        <v>-0.47215221640387273</v>
      </c>
      <c r="D28">
        <f>D9-dhap4!D9</f>
        <v>-1.4643712955938262</v>
      </c>
      <c r="F28">
        <f>F9-dhap4!F9</f>
        <v>-0.46814840470189023</v>
      </c>
      <c r="H28">
        <f>H9-dhap4!H9</f>
        <v>-1.1781970121872569</v>
      </c>
      <c r="J28">
        <f>J9-dhap4!J9</f>
        <v>-0.66456919746320631</v>
      </c>
      <c r="L28">
        <f>L9-dhap4!L9</f>
        <v>-0.83728948995610941</v>
      </c>
    </row>
    <row r="29" spans="1:12" x14ac:dyDescent="0.25">
      <c r="A29" t="s">
        <v>15</v>
      </c>
      <c r="B29">
        <f>B10-dhap4!B10</f>
        <v>-9.0896346717269649E-3</v>
      </c>
      <c r="D29">
        <f>D10-dhap4!D10</f>
        <v>-0.98535536617077391</v>
      </c>
      <c r="F29">
        <f>F10-dhap4!F10</f>
        <v>-0.34636510905784634</v>
      </c>
      <c r="H29">
        <f>H10-dhap4!H10</f>
        <v>-1.2365641559113787</v>
      </c>
      <c r="J29">
        <f>J10-dhap4!J10</f>
        <v>-2.5562905733677033E-2</v>
      </c>
      <c r="L29">
        <f>L10-dhap4!L10</f>
        <v>-2.4257646035381288</v>
      </c>
    </row>
    <row r="30" spans="1:12" x14ac:dyDescent="0.25">
      <c r="A30" t="s">
        <v>16</v>
      </c>
      <c r="B30">
        <f>B11-dhap4!B11</f>
        <v>0.48813546617341519</v>
      </c>
      <c r="D30">
        <f>D11-dhap4!D11</f>
        <v>-0.50361652924380462</v>
      </c>
      <c r="F30">
        <f>F11-dhap4!F11</f>
        <v>-2.8810049411181251</v>
      </c>
      <c r="H30">
        <f>H11-dhap4!H11</f>
        <v>-1.3988311615884703</v>
      </c>
      <c r="J30">
        <f>J11-dhap4!J11</f>
        <v>-5.2505082178157201</v>
      </c>
      <c r="L30">
        <f>L11-dhap4!L11</f>
        <v>9.6426092790089513E-3</v>
      </c>
    </row>
    <row r="31" spans="1:12" x14ac:dyDescent="0.25">
      <c r="A31" t="s">
        <v>17</v>
      </c>
      <c r="B31">
        <f>B12-dhap4!B12</f>
        <v>-0.98893264318064666</v>
      </c>
      <c r="D31">
        <f>D12-dhap4!D12</f>
        <v>-0.78012842869412524</v>
      </c>
      <c r="F31">
        <f>F12-dhap4!F12</f>
        <v>-0.7774992582782565</v>
      </c>
      <c r="H31">
        <f>H12-dhap4!H12</f>
        <v>-1.2058163576898646</v>
      </c>
      <c r="J31">
        <f>J12-dhap4!J12</f>
        <v>-1.1436309919608283</v>
      </c>
      <c r="L31">
        <f>L12-dhap4!L12</f>
        <v>-0.83481503454869899</v>
      </c>
    </row>
    <row r="32" spans="1:12" x14ac:dyDescent="0.25">
      <c r="A32" t="s">
        <v>18</v>
      </c>
      <c r="B32">
        <f>B13-dhap4!B13</f>
        <v>-0.73082162536915429</v>
      </c>
      <c r="D32">
        <f>D13-dhap4!D13</f>
        <v>-0.80495171317777292</v>
      </c>
      <c r="F32">
        <f>F13-dhap4!F13</f>
        <v>-0.77743666571107994</v>
      </c>
      <c r="H32">
        <f>H13-dhap4!H13</f>
        <v>-0.62011494922559707</v>
      </c>
      <c r="J32">
        <f>J13-dhap4!J13</f>
        <v>-0.81394057736346892</v>
      </c>
      <c r="L32">
        <f>L13-dhap4!L13</f>
        <v>-1.1890648665035515</v>
      </c>
    </row>
    <row r="33" spans="1:12" x14ac:dyDescent="0.25">
      <c r="A33" t="s">
        <v>19</v>
      </c>
      <c r="B33">
        <f>B14-dhap4!B14</f>
        <v>-0.16720616636725394</v>
      </c>
      <c r="D33">
        <f>D14-dhap4!D14</f>
        <v>-0.41324288949214505</v>
      </c>
      <c r="F33">
        <f>F14-dhap4!F14</f>
        <v>-1.947825961416896</v>
      </c>
      <c r="H33">
        <f>H14-dhap4!H14</f>
        <v>-1.6776164277064463</v>
      </c>
      <c r="J33">
        <f>J14-dhap4!J14</f>
        <v>-0.67686967274315646</v>
      </c>
      <c r="L33">
        <f>L14-dhap4!L14</f>
        <v>-0.86348339330216484</v>
      </c>
    </row>
    <row r="34" spans="1:12" x14ac:dyDescent="0.25">
      <c r="A34" t="s">
        <v>20</v>
      </c>
      <c r="B34">
        <f>B15-dhap4!B15</f>
        <v>-0.78189538296714867</v>
      </c>
      <c r="D34">
        <f>D15-dhap4!D15</f>
        <v>-0.43371990283031547</v>
      </c>
      <c r="F34">
        <f>F15-dhap4!F15</f>
        <v>-16.71399245085081</v>
      </c>
      <c r="H34">
        <f>H15-dhap4!H15</f>
        <v>-1.6527846979418657</v>
      </c>
      <c r="J34">
        <f>J15-dhap4!J15</f>
        <v>-0.31782855696265699</v>
      </c>
      <c r="L34">
        <f>L15-dhap4!L15</f>
        <v>-0.73122029776185404</v>
      </c>
    </row>
    <row r="35" spans="1:12" x14ac:dyDescent="0.25">
      <c r="A35" t="s">
        <v>21</v>
      </c>
      <c r="B35">
        <f>B16-dhap4!B16</f>
        <v>-3.2815116606687686</v>
      </c>
      <c r="D35">
        <f>D16-dhap4!D16</f>
        <v>-0.53610050926308006</v>
      </c>
      <c r="F35">
        <f>F16-dhap4!F16</f>
        <v>-1.8885410061325627</v>
      </c>
      <c r="H35">
        <f>H16-dhap4!H16</f>
        <v>-0.39042092280520002</v>
      </c>
      <c r="J35">
        <f>J16-dhap4!J16</f>
        <v>-1.5452875557413408</v>
      </c>
      <c r="L35">
        <f>L16-dhap4!L16</f>
        <v>1.4115341439038946</v>
      </c>
    </row>
    <row r="37" spans="1:12" x14ac:dyDescent="0.25">
      <c r="A37" t="s">
        <v>111</v>
      </c>
    </row>
    <row r="38" spans="1:12" x14ac:dyDescent="0.25">
      <c r="A38">
        <v>1.4305504465900958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workbookViewId="0">
      <selection activeCell="A38" sqref="A38"/>
    </sheetView>
  </sheetViews>
  <sheetFormatPr defaultColWidth="8.85546875" defaultRowHeight="15" x14ac:dyDescent="0.25"/>
  <sheetData>
    <row r="1" spans="1:13" x14ac:dyDescent="0.25">
      <c r="A1" t="s">
        <v>0</v>
      </c>
      <c r="B1" t="s">
        <v>1</v>
      </c>
      <c r="C1" s="14" t="s">
        <v>22</v>
      </c>
      <c r="D1" t="s">
        <v>2</v>
      </c>
      <c r="E1" s="15" t="s">
        <v>23</v>
      </c>
      <c r="F1" t="s">
        <v>3</v>
      </c>
      <c r="G1" s="16" t="s">
        <v>24</v>
      </c>
      <c r="H1" t="s">
        <v>4</v>
      </c>
      <c r="I1" s="17" t="s">
        <v>25</v>
      </c>
      <c r="J1" t="s">
        <v>5</v>
      </c>
      <c r="K1" s="18" t="s">
        <v>26</v>
      </c>
      <c r="L1" t="s">
        <v>6</v>
      </c>
      <c r="M1" s="19" t="s">
        <v>27</v>
      </c>
    </row>
    <row r="2" spans="1:13" x14ac:dyDescent="0.25">
      <c r="A2" t="s">
        <v>7</v>
      </c>
      <c r="B2">
        <v>0.42207886766846447</v>
      </c>
      <c r="C2" s="14">
        <v>0.762384490029694</v>
      </c>
      <c r="D2">
        <v>8.3172568447537579E-2</v>
      </c>
      <c r="E2" s="15">
        <v>0.44624975588118598</v>
      </c>
      <c r="F2">
        <v>1.2194498374750757</v>
      </c>
      <c r="G2" s="16">
        <v>0.78551996118716705</v>
      </c>
      <c r="H2">
        <v>0.15635838199834509</v>
      </c>
      <c r="I2" s="17">
        <v>0.29160072506103601</v>
      </c>
      <c r="J2">
        <v>0.21869615223633465</v>
      </c>
      <c r="K2" s="18">
        <v>0.82577386681059695</v>
      </c>
      <c r="L2">
        <v>0.71648931577444064</v>
      </c>
      <c r="M2" s="7">
        <v>4.5710095337786E-2</v>
      </c>
    </row>
    <row r="3" spans="1:13" x14ac:dyDescent="0.25">
      <c r="A3" t="s">
        <v>8</v>
      </c>
      <c r="B3">
        <v>0.35480419437773503</v>
      </c>
      <c r="C3" s="14">
        <v>8.2901279432195593E-2</v>
      </c>
      <c r="D3">
        <v>0.80407903432038275</v>
      </c>
      <c r="E3" s="9">
        <v>9.0782211164155292E-3</v>
      </c>
      <c r="F3">
        <v>0.65256936845535207</v>
      </c>
      <c r="G3" s="16">
        <v>0.52024738694317496</v>
      </c>
      <c r="H3">
        <v>0.4557737885848831</v>
      </c>
      <c r="I3" s="17">
        <v>7.2269282640789106E-2</v>
      </c>
      <c r="J3">
        <v>1.2690069915553908</v>
      </c>
      <c r="K3" s="18">
        <v>0.76388269721491497</v>
      </c>
      <c r="L3">
        <v>1.1446300597612347</v>
      </c>
      <c r="M3" s="19">
        <v>0.45347930983877699</v>
      </c>
    </row>
    <row r="4" spans="1:13" x14ac:dyDescent="0.25">
      <c r="A4" t="s">
        <v>9</v>
      </c>
      <c r="B4">
        <v>0.67582159334774139</v>
      </c>
      <c r="C4" s="14">
        <v>6.6225124959576706E-2</v>
      </c>
      <c r="D4">
        <v>0.14496421249999999</v>
      </c>
      <c r="E4" s="15">
        <v>0.61881514010194805</v>
      </c>
      <c r="F4">
        <v>0.86041158520762284</v>
      </c>
      <c r="G4" s="10">
        <v>1.6347989883004101E-2</v>
      </c>
      <c r="H4">
        <v>0.99695093459336936</v>
      </c>
      <c r="I4" s="11">
        <v>1.1178235493982801E-2</v>
      </c>
      <c r="J4">
        <v>0.77542538606170519</v>
      </c>
      <c r="K4" s="18">
        <v>0.41128551861353002</v>
      </c>
      <c r="L4">
        <v>0.49585995395885712</v>
      </c>
      <c r="M4" s="7">
        <v>2.5966862137770701E-2</v>
      </c>
    </row>
    <row r="5" spans="1:13" x14ac:dyDescent="0.25">
      <c r="A5" t="s">
        <v>10</v>
      </c>
      <c r="B5">
        <v>0.41308850991545137</v>
      </c>
      <c r="C5" s="14">
        <v>0.33061324554751997</v>
      </c>
      <c r="D5">
        <v>0.74545708842658176</v>
      </c>
      <c r="E5" s="15">
        <v>0.58761063110676703</v>
      </c>
      <c r="F5">
        <v>0.80518696229354114</v>
      </c>
      <c r="G5" s="16">
        <v>0.876273721691745</v>
      </c>
      <c r="H5">
        <v>0.9913694308177643</v>
      </c>
      <c r="I5" s="17">
        <v>0.12610118972802201</v>
      </c>
      <c r="J5">
        <v>0.63501434203585694</v>
      </c>
      <c r="K5" s="18">
        <v>0.84451617033304205</v>
      </c>
      <c r="L5">
        <v>0.26259173679658893</v>
      </c>
      <c r="M5" s="19">
        <v>0.34787221257796602</v>
      </c>
    </row>
    <row r="6" spans="1:13" x14ac:dyDescent="0.25">
      <c r="A6" t="s">
        <v>11</v>
      </c>
      <c r="B6">
        <v>0.47283391703832323</v>
      </c>
      <c r="C6" s="14">
        <v>0.41886387925431101</v>
      </c>
      <c r="D6">
        <v>0.16987593249160016</v>
      </c>
      <c r="E6" s="15">
        <v>0.54683519144140802</v>
      </c>
      <c r="F6">
        <v>0.35326105333333335</v>
      </c>
      <c r="G6" s="16">
        <v>0.60936795919082498</v>
      </c>
      <c r="H6">
        <v>0.20700912119849846</v>
      </c>
      <c r="I6" s="17">
        <v>0.51888455220311103</v>
      </c>
      <c r="J6">
        <v>0.20281501348805023</v>
      </c>
      <c r="K6" s="18">
        <v>0.92811381976317897</v>
      </c>
      <c r="L6">
        <v>0.1574068019004001</v>
      </c>
      <c r="M6" s="19">
        <v>0.117144834533319</v>
      </c>
    </row>
    <row r="7" spans="1:13" x14ac:dyDescent="0.25">
      <c r="A7" t="s">
        <v>12</v>
      </c>
      <c r="B7">
        <v>1.8924034539454804</v>
      </c>
      <c r="C7" s="14">
        <v>0.73074475229926095</v>
      </c>
      <c r="D7">
        <v>1.4511810256187641</v>
      </c>
      <c r="E7" s="15">
        <v>0.482119508817688</v>
      </c>
      <c r="F7">
        <v>2.1895281546487095</v>
      </c>
      <c r="G7" s="16">
        <v>7.7299330333445299E-2</v>
      </c>
      <c r="H7">
        <v>0.4916199175</v>
      </c>
      <c r="I7" s="17">
        <v>0.41648763304756098</v>
      </c>
      <c r="J7">
        <v>1.7255941847237679</v>
      </c>
      <c r="K7" s="18">
        <v>0.92618166088133702</v>
      </c>
      <c r="L7">
        <v>0.95483752054913518</v>
      </c>
      <c r="M7" s="7">
        <v>1.5741522728162101E-2</v>
      </c>
    </row>
    <row r="8" spans="1:13" x14ac:dyDescent="0.25">
      <c r="A8" t="s">
        <v>13</v>
      </c>
      <c r="B8">
        <v>0.63585304279635169</v>
      </c>
      <c r="C8" s="12">
        <v>3.9736164584284001E-2</v>
      </c>
      <c r="D8">
        <v>0.7898264603802353</v>
      </c>
      <c r="E8" s="9">
        <v>2.23753114222145E-3</v>
      </c>
      <c r="F8">
        <v>0.31402266075955071</v>
      </c>
      <c r="G8" s="10">
        <v>2.4759724199063201E-3</v>
      </c>
      <c r="H8">
        <v>2.7898950348456899</v>
      </c>
      <c r="I8" s="17">
        <v>0.42442038054964198</v>
      </c>
      <c r="J8">
        <v>0.5935956166666666</v>
      </c>
      <c r="K8" s="18">
        <v>0.57583799773840905</v>
      </c>
      <c r="L8">
        <v>0.54128190279546706</v>
      </c>
      <c r="M8" s="7">
        <v>1.1238296525258799E-3</v>
      </c>
    </row>
    <row r="9" spans="1:13" x14ac:dyDescent="0.25">
      <c r="A9" t="s">
        <v>14</v>
      </c>
      <c r="B9">
        <v>0.46963832223264096</v>
      </c>
      <c r="C9" s="14">
        <v>0.30555896896170998</v>
      </c>
      <c r="D9">
        <v>0.37724735077884697</v>
      </c>
      <c r="E9" s="15">
        <v>0.220796800536256</v>
      </c>
      <c r="F9">
        <v>0.78385238316694172</v>
      </c>
      <c r="G9" s="16">
        <v>0.34273266373509897</v>
      </c>
      <c r="H9">
        <v>0.21214698420876665</v>
      </c>
      <c r="I9" s="11">
        <v>1.6849469393969401E-2</v>
      </c>
      <c r="J9">
        <v>0.39286625335452879</v>
      </c>
      <c r="K9" s="18">
        <v>0.80207673397527102</v>
      </c>
      <c r="L9">
        <v>0.25580376970555196</v>
      </c>
      <c r="M9" s="19">
        <v>8.3557084326203193E-2</v>
      </c>
    </row>
    <row r="10" spans="1:13" x14ac:dyDescent="0.25">
      <c r="A10" t="s">
        <v>15</v>
      </c>
      <c r="B10">
        <v>0.99523441917624589</v>
      </c>
      <c r="C10" s="14">
        <v>0.40967747091093998</v>
      </c>
      <c r="D10">
        <v>0.27219420556953516</v>
      </c>
      <c r="E10" s="9">
        <v>4.93615335741312E-2</v>
      </c>
      <c r="F10">
        <v>0.78773870557488979</v>
      </c>
      <c r="G10" s="16">
        <v>7.5060611423136706E-2</v>
      </c>
      <c r="H10">
        <v>0.14868479189522801</v>
      </c>
      <c r="I10" s="17">
        <v>5.3349459021998002E-2</v>
      </c>
      <c r="J10">
        <v>1.1249489149365168</v>
      </c>
      <c r="K10" s="18">
        <v>0.83537027035042999</v>
      </c>
      <c r="L10">
        <v>0.27230808271273693</v>
      </c>
      <c r="M10" s="7">
        <v>2.0751052693414899E-3</v>
      </c>
    </row>
    <row r="11" spans="1:13" x14ac:dyDescent="0.25">
      <c r="A11" t="s">
        <v>16</v>
      </c>
      <c r="B11">
        <v>1.8071950523461706</v>
      </c>
      <c r="C11" s="14">
        <v>0.312866167848105</v>
      </c>
      <c r="D11">
        <v>1.0178378951353613</v>
      </c>
      <c r="E11" s="15">
        <v>0.36919882166698498</v>
      </c>
      <c r="F11">
        <v>0.182204402513404</v>
      </c>
      <c r="G11" s="16">
        <v>0.32044779172975002</v>
      </c>
      <c r="H11">
        <v>0.17142106056286935</v>
      </c>
      <c r="I11" s="17">
        <v>1.01926877470356</v>
      </c>
      <c r="J11">
        <v>0.43409526704475976</v>
      </c>
      <c r="K11" s="18">
        <v>0.41730594570108798</v>
      </c>
      <c r="L11">
        <v>1.3264665147660997</v>
      </c>
      <c r="M11" s="19">
        <v>0.32964773522541801</v>
      </c>
    </row>
    <row r="12" spans="1:13" x14ac:dyDescent="0.25">
      <c r="A12" t="s">
        <v>17</v>
      </c>
      <c r="B12">
        <v>0.34883920479977432</v>
      </c>
      <c r="C12" s="14">
        <v>0.673063017606508</v>
      </c>
      <c r="D12">
        <v>0.69766456985346403</v>
      </c>
      <c r="E12" s="15">
        <v>0.48391674975244903</v>
      </c>
      <c r="F12">
        <v>0.39259320725426994</v>
      </c>
      <c r="G12" s="16">
        <v>0.37967438937929698</v>
      </c>
      <c r="H12">
        <v>0.1721531041255204</v>
      </c>
      <c r="I12" s="17">
        <v>0.61551986182630103</v>
      </c>
      <c r="J12">
        <v>0.23901518100683747</v>
      </c>
      <c r="K12" s="18">
        <v>0.96518223885221099</v>
      </c>
      <c r="L12">
        <v>0.26897994998812025</v>
      </c>
      <c r="M12" s="19">
        <v>0.77989454444137896</v>
      </c>
    </row>
    <row r="13" spans="1:13" x14ac:dyDescent="0.25">
      <c r="A13" t="s">
        <v>18</v>
      </c>
      <c r="B13">
        <v>0.45002854884002669</v>
      </c>
      <c r="C13" s="14">
        <v>9.5712795892028399E-2</v>
      </c>
      <c r="D13">
        <v>0.29612797727755996</v>
      </c>
      <c r="E13" s="15">
        <v>0.44634237725270698</v>
      </c>
      <c r="F13">
        <v>0.27051074754313764</v>
      </c>
      <c r="G13" s="16">
        <v>0.31255665386579601</v>
      </c>
      <c r="H13">
        <v>0.48227114156181899</v>
      </c>
      <c r="I13" s="17">
        <v>0.98678976939878205</v>
      </c>
      <c r="J13">
        <v>0.29913215005776833</v>
      </c>
      <c r="K13" s="18">
        <v>0.517815470814041</v>
      </c>
      <c r="L13">
        <v>0.31703433834035888</v>
      </c>
      <c r="M13" s="19">
        <v>0.297478016852251</v>
      </c>
    </row>
    <row r="14" spans="1:13" x14ac:dyDescent="0.25">
      <c r="A14" t="s">
        <v>19</v>
      </c>
      <c r="B14">
        <v>0.8322753413143078</v>
      </c>
      <c r="C14" s="14">
        <v>0.174295602147962</v>
      </c>
      <c r="D14">
        <v>0.65424131486806425</v>
      </c>
      <c r="E14" s="15">
        <v>0.86844583111990603</v>
      </c>
      <c r="F14">
        <v>1.0343739855097891</v>
      </c>
      <c r="G14" s="10">
        <v>4.3268390080787603E-2</v>
      </c>
      <c r="H14">
        <v>0.61222329392746477</v>
      </c>
      <c r="I14" s="11">
        <v>8.3521584494051695E-3</v>
      </c>
      <c r="J14">
        <v>0.4278307523503691</v>
      </c>
      <c r="K14" s="18">
        <v>0.81524617305381997</v>
      </c>
      <c r="L14">
        <v>0.78054730088156632</v>
      </c>
      <c r="M14" s="19">
        <v>6.5292475138674894E-2</v>
      </c>
    </row>
    <row r="15" spans="1:13" x14ac:dyDescent="0.25">
      <c r="A15" t="s">
        <v>20</v>
      </c>
      <c r="B15">
        <v>0.42839434077350319</v>
      </c>
      <c r="C15" s="12">
        <v>4.0424970068182499E-3</v>
      </c>
      <c r="D15">
        <v>0.86895208412408431</v>
      </c>
      <c r="E15" s="15">
        <v>5.7965913592618802E-2</v>
      </c>
      <c r="F15">
        <v>1.8015165378161055</v>
      </c>
      <c r="G15" s="16">
        <v>0.218104991549528</v>
      </c>
      <c r="H15">
        <v>0.78656954050652583</v>
      </c>
      <c r="I15" s="11">
        <v>1.17388410353965E-2</v>
      </c>
      <c r="J15">
        <v>0.75305566682484459</v>
      </c>
      <c r="K15" s="18">
        <v>0.21974386864794401</v>
      </c>
      <c r="L15">
        <v>0.63644156022939502</v>
      </c>
      <c r="M15" s="19">
        <v>0.26584607245743602</v>
      </c>
    </row>
    <row r="16" spans="1:13" x14ac:dyDescent="0.25">
      <c r="A16" t="s">
        <v>21</v>
      </c>
      <c r="B16">
        <v>1.7164586739687526</v>
      </c>
      <c r="C16" s="12">
        <v>8.8957362296602296E-3</v>
      </c>
      <c r="D16">
        <v>0.69149351728987385</v>
      </c>
      <c r="E16" s="15">
        <v>0.31603437363464698</v>
      </c>
      <c r="F16">
        <v>1.6841601533594435</v>
      </c>
      <c r="G16" s="16">
        <v>0.250267714639267</v>
      </c>
      <c r="H16">
        <v>0.89585946277522976</v>
      </c>
      <c r="I16" s="17">
        <v>1.01343777505961</v>
      </c>
      <c r="J16">
        <v>0.33848282383026418</v>
      </c>
      <c r="K16" s="18">
        <v>0.88243598341370999</v>
      </c>
      <c r="L16">
        <v>3.1590337508333337</v>
      </c>
      <c r="M16" s="19">
        <v>0.45617091532496501</v>
      </c>
    </row>
    <row r="20" spans="1:12" x14ac:dyDescent="0.25">
      <c r="A20" t="s">
        <v>149</v>
      </c>
    </row>
    <row r="21" spans="1:12" x14ac:dyDescent="0.25">
      <c r="A21" t="s">
        <v>7</v>
      </c>
      <c r="B21">
        <f>B2-dhap4!B2</f>
        <v>-0.59278273222005595</v>
      </c>
      <c r="D21">
        <f>D2-dhap4!D2</f>
        <v>-1.1156567769312971</v>
      </c>
      <c r="F21">
        <f>F2-dhap4!F2</f>
        <v>-0.23573482484753572</v>
      </c>
      <c r="H21">
        <f>H2-dhap4!H2</f>
        <v>-1.2134222065504634</v>
      </c>
      <c r="J21">
        <f>J2-dhap4!J2</f>
        <v>-0.84211332399601013</v>
      </c>
      <c r="L21">
        <f>L2-dhap4!L2</f>
        <v>-0.75718531034073855</v>
      </c>
    </row>
    <row r="22" spans="1:12" x14ac:dyDescent="0.25">
      <c r="A22" t="s">
        <v>8</v>
      </c>
      <c r="B22">
        <f>B3-dhap4!B3</f>
        <v>-0.76562460126625276</v>
      </c>
      <c r="D22">
        <f>D3-dhap4!D3</f>
        <v>-0.66128615616476716</v>
      </c>
      <c r="F22">
        <f>F3-dhap4!F3</f>
        <v>-0.79850811015514755</v>
      </c>
      <c r="H22">
        <f>H3-dhap4!H3</f>
        <v>-1.2965815731655586</v>
      </c>
      <c r="J22">
        <f>J3-dhap4!J3</f>
        <v>5.7955244484769519E-2</v>
      </c>
      <c r="L22">
        <f>L3-dhap4!L3</f>
        <v>-0.25120913741186923</v>
      </c>
    </row>
    <row r="23" spans="1:12" x14ac:dyDescent="0.25">
      <c r="A23" t="s">
        <v>9</v>
      </c>
      <c r="B23">
        <f>B4-dhap4!B4</f>
        <v>-0.78283114986685254</v>
      </c>
      <c r="D23">
        <f>D4-dhap4!D4</f>
        <v>-1.5744223426702637</v>
      </c>
      <c r="F23">
        <f>F4-dhap4!F4</f>
        <v>-0.32205313553090908</v>
      </c>
      <c r="H23">
        <f>H4-dhap4!H4</f>
        <v>-0.21223990934492298</v>
      </c>
      <c r="J23">
        <f>J4-dhap4!J4</f>
        <v>-0.33098838566695543</v>
      </c>
      <c r="L23">
        <f>L4-dhap4!L4</f>
        <v>-0.90828335416140771</v>
      </c>
    </row>
    <row r="24" spans="1:12" x14ac:dyDescent="0.25">
      <c r="A24" t="s">
        <v>10</v>
      </c>
      <c r="B24">
        <f>B5-dhap4!B5</f>
        <v>-1.4408247056781549</v>
      </c>
      <c r="D24">
        <f>D5-dhap4!D5</f>
        <v>-1.1001547825940032</v>
      </c>
      <c r="F24">
        <f>F5-dhap4!F5</f>
        <v>-0.22304716418091075</v>
      </c>
      <c r="H24">
        <f>H5-dhap4!H5</f>
        <v>-0.96357951091502159</v>
      </c>
      <c r="J24">
        <f>J5-dhap4!J5</f>
        <v>-0.55382006577802745</v>
      </c>
      <c r="L24">
        <f>L5-dhap4!L5</f>
        <v>-0.9161531828529641</v>
      </c>
    </row>
    <row r="25" spans="1:12" x14ac:dyDescent="0.25">
      <c r="A25" t="s">
        <v>11</v>
      </c>
      <c r="B25">
        <f>B6-dhap4!B6</f>
        <v>-0.69650029189579177</v>
      </c>
      <c r="D25">
        <f>D6-dhap4!D6</f>
        <v>-1.0469149044743213</v>
      </c>
      <c r="F25">
        <f>F6-dhap4!F6</f>
        <v>-0.80099285302372358</v>
      </c>
      <c r="H25">
        <f>H6-dhap4!H6</f>
        <v>-0.9197406378274865</v>
      </c>
      <c r="J25">
        <f>J6-dhap4!J6</f>
        <v>-1.0065246276946791</v>
      </c>
      <c r="L25">
        <f>L6-dhap4!L6</f>
        <v>-1.4130806046160194</v>
      </c>
    </row>
    <row r="26" spans="1:12" x14ac:dyDescent="0.25">
      <c r="A26" t="s">
        <v>12</v>
      </c>
      <c r="B26">
        <f>B7-dhap4!B7</f>
        <v>0.69761225792630333</v>
      </c>
      <c r="D26">
        <f>D7-dhap4!D7</f>
        <v>0.39052785292969361</v>
      </c>
      <c r="F26">
        <f>F7-dhap4!F7</f>
        <v>0.13657799099056156</v>
      </c>
      <c r="H26">
        <f>H7-dhap4!H7</f>
        <v>-1.0208378535236642</v>
      </c>
      <c r="J26">
        <f>J7-dhap4!J7</f>
        <v>0.66500089641791549</v>
      </c>
      <c r="L26">
        <f>L7-dhap4!L7</f>
        <v>-0.76406674509795602</v>
      </c>
    </row>
    <row r="27" spans="1:12" x14ac:dyDescent="0.25">
      <c r="A27" t="s">
        <v>13</v>
      </c>
      <c r="B27">
        <f>B8-dhap4!B8</f>
        <v>-0.41630328197348987</v>
      </c>
      <c r="D27">
        <f>D8-dhap4!D8</f>
        <v>-0.4561650521855013</v>
      </c>
      <c r="F27">
        <f>F8-dhap4!F8</f>
        <v>-0.69064122641975434</v>
      </c>
      <c r="H27">
        <f>H8-dhap4!H8</f>
        <v>1.7320090638799037</v>
      </c>
      <c r="J27">
        <f>J8-dhap4!J8</f>
        <v>-2.2192373532709508</v>
      </c>
      <c r="L27">
        <f>L8-dhap4!L8</f>
        <v>-0.9594221715589325</v>
      </c>
    </row>
    <row r="28" spans="1:12" x14ac:dyDescent="0.25">
      <c r="A28" t="s">
        <v>14</v>
      </c>
      <c r="B28">
        <f>B9-dhap4!B9</f>
        <v>-0.62240891625605599</v>
      </c>
      <c r="D28">
        <f>D9-dhap4!D9</f>
        <v>-1.3212514573962115</v>
      </c>
      <c r="F28">
        <f>F9-dhap4!F9</f>
        <v>-0.44212133993715841</v>
      </c>
      <c r="H28">
        <f>H9-dhap4!H9</f>
        <v>-1.1538884922747266</v>
      </c>
      <c r="J28">
        <f>J9-dhap4!J9</f>
        <v>-0.91409118285097812</v>
      </c>
      <c r="L28">
        <f>L9-dhap4!L9</f>
        <v>-0.88611865246819854</v>
      </c>
    </row>
    <row r="29" spans="1:12" x14ac:dyDescent="0.25">
      <c r="A29" t="s">
        <v>15</v>
      </c>
      <c r="B29">
        <f>B10-dhap4!B10</f>
        <v>-5.1169098404852953E-3</v>
      </c>
      <c r="D29">
        <f>D10-dhap4!D10</f>
        <v>-0.9852777790112861</v>
      </c>
      <c r="F29">
        <f>F10-dhap4!F10</f>
        <v>-0.49366541360040983</v>
      </c>
      <c r="H29">
        <f>H10-dhap4!H10</f>
        <v>-1.3027800644351728</v>
      </c>
      <c r="J29">
        <f>J10-dhap4!J10</f>
        <v>-5.9866183397794037E-2</v>
      </c>
      <c r="L29">
        <f>L10-dhap4!L10</f>
        <v>-2.4544237144066052</v>
      </c>
    </row>
    <row r="30" spans="1:12" x14ac:dyDescent="0.25">
      <c r="A30" t="s">
        <v>16</v>
      </c>
      <c r="B30">
        <f>B11-dhap4!B11</f>
        <v>0.21700229526046089</v>
      </c>
      <c r="D30">
        <f>D11-dhap4!D11</f>
        <v>-0.49916994841812135</v>
      </c>
      <c r="F30">
        <f>F11-dhap4!F11</f>
        <v>-2.974023594688179</v>
      </c>
      <c r="H30">
        <f>H11-dhap4!H11</f>
        <v>-1.3658064391719376</v>
      </c>
      <c r="J30">
        <f>J11-dhap4!J11</f>
        <v>-5.4732613941624946</v>
      </c>
      <c r="L30">
        <f>L11-dhap4!L11</f>
        <v>7.450331225068707E-2</v>
      </c>
    </row>
    <row r="31" spans="1:12" x14ac:dyDescent="0.25">
      <c r="A31" t="s">
        <v>17</v>
      </c>
      <c r="B31">
        <f>B12-dhap4!B12</f>
        <v>-0.93403050572492341</v>
      </c>
      <c r="D31">
        <f>D12-dhap4!D12</f>
        <v>-0.82534319071877849</v>
      </c>
      <c r="F31">
        <f>F12-dhap4!F12</f>
        <v>-0.83820501864723851</v>
      </c>
      <c r="H31">
        <f>H12-dhap4!H12</f>
        <v>-1.2448548552247078</v>
      </c>
      <c r="J31">
        <f>J12-dhap4!J12</f>
        <v>-1.2221409536266468</v>
      </c>
      <c r="L31">
        <f>L12-dhap4!L12</f>
        <v>-0.80774060365208955</v>
      </c>
    </row>
    <row r="32" spans="1:12" x14ac:dyDescent="0.25">
      <c r="A32" t="s">
        <v>18</v>
      </c>
      <c r="B32">
        <f>B13-dhap4!B13</f>
        <v>-0.704320209912215</v>
      </c>
      <c r="D32">
        <f>D13-dhap4!D13</f>
        <v>-0.77140659717321047</v>
      </c>
      <c r="F32">
        <f>F13-dhap4!F13</f>
        <v>-0.77801642077623812</v>
      </c>
      <c r="H32">
        <f>H13-dhap4!H13</f>
        <v>-0.63634559238074972</v>
      </c>
      <c r="J32">
        <f>J13-dhap4!J13</f>
        <v>-0.80292210320285973</v>
      </c>
      <c r="L32">
        <f>L13-dhap4!L13</f>
        <v>-1.1562352765221509</v>
      </c>
    </row>
    <row r="33" spans="1:12" x14ac:dyDescent="0.25">
      <c r="A33" t="s">
        <v>19</v>
      </c>
      <c r="B33">
        <f>B14-dhap4!B14</f>
        <v>-0.30664288126651273</v>
      </c>
      <c r="D33">
        <f>D14-dhap4!D14</f>
        <v>-0.44331412416836169</v>
      </c>
      <c r="F33">
        <f>F14-dhap4!F14</f>
        <v>-2.1376983808744345</v>
      </c>
      <c r="H33">
        <f>H14-dhap4!H14</f>
        <v>-1.8268195806264638</v>
      </c>
      <c r="J33">
        <f>J14-dhap4!J14</f>
        <v>-0.6663552262980208</v>
      </c>
      <c r="L33">
        <f>L14-dhap4!L14</f>
        <v>-1.0393991651349208</v>
      </c>
    </row>
    <row r="34" spans="1:12" x14ac:dyDescent="0.25">
      <c r="A34" t="s">
        <v>20</v>
      </c>
      <c r="B34">
        <f>B15-dhap4!B15</f>
        <v>-0.71071773174118524</v>
      </c>
      <c r="D34">
        <f>D15-dhap4!D15</f>
        <v>-0.27028941094513015</v>
      </c>
      <c r="F34">
        <f>F15-dhap4!F15</f>
        <v>-15.0049772611112</v>
      </c>
      <c r="H34">
        <f>H15-dhap4!H15</f>
        <v>-1.3810800170560369</v>
      </c>
      <c r="J34">
        <f>J15-dhap4!J15</f>
        <v>-0.25599573748889959</v>
      </c>
      <c r="L34">
        <f>L15-dhap4!L15</f>
        <v>-0.59806587257646948</v>
      </c>
    </row>
    <row r="35" spans="1:12" x14ac:dyDescent="0.25">
      <c r="A35" t="s">
        <v>21</v>
      </c>
      <c r="B35">
        <f>B16-dhap4!B16</f>
        <v>-2.3763852321156018</v>
      </c>
      <c r="D35">
        <f>D16-dhap4!D16</f>
        <v>-0.59976359508391719</v>
      </c>
      <c r="F35">
        <f>F16-dhap4!F16</f>
        <v>-1.2778581245191714</v>
      </c>
      <c r="H35">
        <f>H16-dhap4!H16</f>
        <v>-0.41238131859033322</v>
      </c>
      <c r="J35">
        <f>J16-dhap4!J16</f>
        <v>-1.5869184978913304</v>
      </c>
      <c r="L35">
        <f>L16-dhap4!L16</f>
        <v>1.4115341439038946</v>
      </c>
    </row>
    <row r="37" spans="1:12" x14ac:dyDescent="0.25">
      <c r="A37" t="s">
        <v>111</v>
      </c>
    </row>
    <row r="38" spans="1:12" x14ac:dyDescent="0.25">
      <c r="A38">
        <v>1.4817458907365531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workbookViewId="0">
      <selection activeCell="A38" sqref="A38"/>
    </sheetView>
  </sheetViews>
  <sheetFormatPr defaultColWidth="8.85546875" defaultRowHeight="15" x14ac:dyDescent="0.25"/>
  <sheetData>
    <row r="1" spans="1:13" x14ac:dyDescent="0.25">
      <c r="A1" t="s">
        <v>0</v>
      </c>
      <c r="B1" t="s">
        <v>1</v>
      </c>
      <c r="C1" s="14" t="s">
        <v>22</v>
      </c>
      <c r="D1" t="s">
        <v>2</v>
      </c>
      <c r="E1" s="15" t="s">
        <v>23</v>
      </c>
      <c r="F1" t="s">
        <v>3</v>
      </c>
      <c r="G1" s="16" t="s">
        <v>24</v>
      </c>
      <c r="H1" t="s">
        <v>4</v>
      </c>
      <c r="I1" s="17" t="s">
        <v>25</v>
      </c>
      <c r="J1" t="s">
        <v>5</v>
      </c>
      <c r="K1" s="18" t="s">
        <v>26</v>
      </c>
      <c r="L1" t="s">
        <v>6</v>
      </c>
      <c r="M1" s="19" t="s">
        <v>27</v>
      </c>
    </row>
    <row r="2" spans="1:13" x14ac:dyDescent="0.25">
      <c r="A2" t="s">
        <v>7</v>
      </c>
      <c r="B2">
        <v>0.41490908629382728</v>
      </c>
      <c r="C2" s="14">
        <v>0.762384490029694</v>
      </c>
      <c r="D2">
        <v>9.0048049568641708E-2</v>
      </c>
      <c r="E2" s="15">
        <v>0.44624975588118598</v>
      </c>
      <c r="F2">
        <v>1.2831715059624786</v>
      </c>
      <c r="G2" s="16">
        <v>0.78551996118716705</v>
      </c>
      <c r="H2">
        <v>0.1498789501355372</v>
      </c>
      <c r="I2" s="17">
        <v>0.29160072506103601</v>
      </c>
      <c r="J2">
        <v>0.21018895719579914</v>
      </c>
      <c r="K2" s="18">
        <v>0.82577386681059695</v>
      </c>
      <c r="L2">
        <v>0.84903424967978658</v>
      </c>
      <c r="M2" s="7">
        <v>4.5710095337786E-2</v>
      </c>
    </row>
    <row r="3" spans="1:13" x14ac:dyDescent="0.25">
      <c r="A3" t="s">
        <v>8</v>
      </c>
      <c r="B3">
        <v>0.31517466602979022</v>
      </c>
      <c r="C3" s="14">
        <v>8.2901279432195593E-2</v>
      </c>
      <c r="D3">
        <v>0.87221791837439422</v>
      </c>
      <c r="E3" s="9">
        <v>9.0782211164155292E-3</v>
      </c>
      <c r="F3">
        <v>0.5110018768473189</v>
      </c>
      <c r="G3" s="16">
        <v>0.52024738694317496</v>
      </c>
      <c r="H3">
        <v>0.27908177934849515</v>
      </c>
      <c r="I3" s="17">
        <v>7.2269282640789106E-2</v>
      </c>
      <c r="J3">
        <v>1.1080195789038205</v>
      </c>
      <c r="K3" s="18">
        <v>0.76388269721491497</v>
      </c>
      <c r="L3">
        <v>1.4437036874016849</v>
      </c>
      <c r="M3" s="19">
        <v>0.45347930983877699</v>
      </c>
    </row>
    <row r="4" spans="1:13" x14ac:dyDescent="0.25">
      <c r="A4" t="s">
        <v>9</v>
      </c>
      <c r="B4">
        <v>0.59711897271450831</v>
      </c>
      <c r="C4" s="14">
        <v>6.6225124959576706E-2</v>
      </c>
      <c r="D4">
        <v>0.14496421249999999</v>
      </c>
      <c r="E4" s="15">
        <v>0.61881514010194805</v>
      </c>
      <c r="F4">
        <v>1.2003003274909279</v>
      </c>
      <c r="G4" s="10">
        <v>1.6347989883004101E-2</v>
      </c>
      <c r="H4">
        <v>1.2229835535180682</v>
      </c>
      <c r="I4" s="11">
        <v>1.1178235493982801E-2</v>
      </c>
      <c r="J4">
        <v>0.70331046048956747</v>
      </c>
      <c r="K4" s="18">
        <v>0.41128551861353002</v>
      </c>
      <c r="L4">
        <v>0.57847959930948278</v>
      </c>
      <c r="M4" s="7">
        <v>2.5966862137770701E-2</v>
      </c>
    </row>
    <row r="5" spans="1:13" x14ac:dyDescent="0.25">
      <c r="A5" t="s">
        <v>10</v>
      </c>
      <c r="B5">
        <v>0.48242698682833868</v>
      </c>
      <c r="C5" s="14">
        <v>0.33061324554751997</v>
      </c>
      <c r="D5">
        <v>0.86016740456749652</v>
      </c>
      <c r="E5" s="15">
        <v>0.58761063110676703</v>
      </c>
      <c r="F5">
        <v>0.78122767948687111</v>
      </c>
      <c r="G5" s="16">
        <v>0.876273721691745</v>
      </c>
      <c r="H5">
        <v>0.93536234296320531</v>
      </c>
      <c r="I5" s="17">
        <v>0.12610118972802201</v>
      </c>
      <c r="J5">
        <v>0.48530762642972647</v>
      </c>
      <c r="K5" s="18">
        <v>0.84451617033304205</v>
      </c>
      <c r="L5">
        <v>0.24250691555549539</v>
      </c>
      <c r="M5" s="19">
        <v>0.34787221257796602</v>
      </c>
    </row>
    <row r="6" spans="1:13" x14ac:dyDescent="0.25">
      <c r="A6" t="s">
        <v>11</v>
      </c>
      <c r="B6">
        <v>0.4610370794542617</v>
      </c>
      <c r="C6" s="14">
        <v>0.41886387925431101</v>
      </c>
      <c r="D6">
        <v>0.18270382410690833</v>
      </c>
      <c r="E6" s="15">
        <v>0.54683519144140802</v>
      </c>
      <c r="F6">
        <v>0.35326105333333335</v>
      </c>
      <c r="G6" s="16">
        <v>0.60936795919082498</v>
      </c>
      <c r="H6">
        <v>0.19992062564574695</v>
      </c>
      <c r="I6" s="17">
        <v>0.51888455220311103</v>
      </c>
      <c r="J6">
        <v>0.28816367284613331</v>
      </c>
      <c r="K6" s="18">
        <v>0.92811381976317897</v>
      </c>
      <c r="L6">
        <v>0.18111146914009787</v>
      </c>
      <c r="M6" s="19">
        <v>0.117144834533319</v>
      </c>
    </row>
    <row r="7" spans="1:13" x14ac:dyDescent="0.25">
      <c r="A7" t="s">
        <v>12</v>
      </c>
      <c r="B7">
        <v>1.9092077652980313</v>
      </c>
      <c r="C7" s="14">
        <v>0.73074475229926095</v>
      </c>
      <c r="D7">
        <v>1.2725763392870417</v>
      </c>
      <c r="E7" s="15">
        <v>0.482119508817688</v>
      </c>
      <c r="F7">
        <v>0.70215021742995842</v>
      </c>
      <c r="G7" s="16">
        <v>7.7299330333445299E-2</v>
      </c>
      <c r="H7">
        <v>0.4916199175</v>
      </c>
      <c r="I7" s="17">
        <v>0.41648763304756098</v>
      </c>
      <c r="J7">
        <v>1.3925245676054543</v>
      </c>
      <c r="K7" s="18">
        <v>0.92618166088133702</v>
      </c>
      <c r="L7">
        <v>0.52707463292482881</v>
      </c>
      <c r="M7" s="7">
        <v>1.5741522728162101E-2</v>
      </c>
    </row>
    <row r="8" spans="1:13" x14ac:dyDescent="0.25">
      <c r="A8" t="s">
        <v>13</v>
      </c>
      <c r="B8">
        <v>0.64174419733992061</v>
      </c>
      <c r="C8" s="12">
        <v>3.9736164584284001E-2</v>
      </c>
      <c r="D8">
        <v>0.76490490532317368</v>
      </c>
      <c r="E8" s="9">
        <v>2.23753114222145E-3</v>
      </c>
      <c r="F8">
        <v>0.30886489827299407</v>
      </c>
      <c r="G8" s="10">
        <v>2.4759724199063201E-3</v>
      </c>
      <c r="H8">
        <v>2.7739163701925449</v>
      </c>
      <c r="I8" s="17">
        <v>0.42442038054964198</v>
      </c>
      <c r="J8">
        <v>0.5935956166666666</v>
      </c>
      <c r="K8" s="18">
        <v>0.57583799773840905</v>
      </c>
      <c r="L8">
        <v>0.43150703393517892</v>
      </c>
      <c r="M8" s="7">
        <v>1.1238296525258799E-3</v>
      </c>
    </row>
    <row r="9" spans="1:13" x14ac:dyDescent="0.25">
      <c r="A9" t="s">
        <v>14</v>
      </c>
      <c r="B9">
        <v>0.49957594576401915</v>
      </c>
      <c r="C9" s="14">
        <v>0.30555896896170998</v>
      </c>
      <c r="D9">
        <v>0.38488648831895866</v>
      </c>
      <c r="E9" s="15">
        <v>0.220796800536256</v>
      </c>
      <c r="F9">
        <v>0.76916040058662338</v>
      </c>
      <c r="G9" s="16">
        <v>0.34273266373509897</v>
      </c>
      <c r="H9">
        <v>0.2237713428419886</v>
      </c>
      <c r="I9" s="11">
        <v>1.6849469393969401E-2</v>
      </c>
      <c r="J9">
        <v>0.38464797733838535</v>
      </c>
      <c r="K9" s="18">
        <v>0.80207673397527102</v>
      </c>
      <c r="L9">
        <v>0.24335918484466981</v>
      </c>
      <c r="M9" s="19">
        <v>8.3557084326203193E-2</v>
      </c>
    </row>
    <row r="10" spans="1:13" x14ac:dyDescent="0.25">
      <c r="A10" t="s">
        <v>15</v>
      </c>
      <c r="B10">
        <v>0.98999628535966455</v>
      </c>
      <c r="C10" s="14">
        <v>0.40967747091093998</v>
      </c>
      <c r="D10">
        <v>0.26987737977184389</v>
      </c>
      <c r="E10" s="9">
        <v>4.93615335741312E-2</v>
      </c>
      <c r="F10">
        <v>0.94431075157756039</v>
      </c>
      <c r="G10" s="16">
        <v>7.5060611423136706E-2</v>
      </c>
      <c r="H10">
        <v>0.19370414497772839</v>
      </c>
      <c r="I10" s="17">
        <v>5.3349459021998002E-2</v>
      </c>
      <c r="J10">
        <v>1.1828438348882278</v>
      </c>
      <c r="K10" s="18">
        <v>0.83537027035042999</v>
      </c>
      <c r="L10">
        <v>0.30667393053579745</v>
      </c>
      <c r="M10" s="7">
        <v>2.0751052693414899E-3</v>
      </c>
    </row>
    <row r="11" spans="1:13" x14ac:dyDescent="0.25">
      <c r="A11" t="s">
        <v>16</v>
      </c>
      <c r="B11">
        <v>2.0452442811139839</v>
      </c>
      <c r="C11" s="14">
        <v>0.312866167848105</v>
      </c>
      <c r="D11">
        <v>1.0025886363367673</v>
      </c>
      <c r="E11" s="15">
        <v>0.36919882166698498</v>
      </c>
      <c r="F11">
        <v>0.24126458758610661</v>
      </c>
      <c r="G11" s="16">
        <v>0.32044779172975002</v>
      </c>
      <c r="H11">
        <v>0.15097949706592287</v>
      </c>
      <c r="I11" s="17">
        <v>1.01926877470356</v>
      </c>
      <c r="J11">
        <v>0.65633739322484186</v>
      </c>
      <c r="K11" s="18">
        <v>0.41730594570108798</v>
      </c>
      <c r="L11">
        <v>1.3245837813472474</v>
      </c>
      <c r="M11" s="19">
        <v>0.32964773522541801</v>
      </c>
    </row>
    <row r="12" spans="1:13" x14ac:dyDescent="0.25">
      <c r="A12" t="s">
        <v>17</v>
      </c>
      <c r="B12">
        <v>0.28355883739943299</v>
      </c>
      <c r="C12" s="14">
        <v>0.673063017606508</v>
      </c>
      <c r="D12">
        <v>0.7589404582140914</v>
      </c>
      <c r="E12" s="15">
        <v>0.48391674975244903</v>
      </c>
      <c r="F12">
        <v>0.43970451116013898</v>
      </c>
      <c r="G12" s="16">
        <v>0.37967438937929698</v>
      </c>
      <c r="H12">
        <v>0.22299757368632411</v>
      </c>
      <c r="I12" s="17">
        <v>0.61551986182630103</v>
      </c>
      <c r="J12">
        <v>0.33568511782893612</v>
      </c>
      <c r="K12" s="18">
        <v>0.96518223885221099</v>
      </c>
      <c r="L12">
        <v>0.23960739713599374</v>
      </c>
      <c r="M12" s="19">
        <v>0.77989454444137896</v>
      </c>
    </row>
    <row r="13" spans="1:13" x14ac:dyDescent="0.25">
      <c r="A13" t="s">
        <v>18</v>
      </c>
      <c r="B13">
        <v>0.52150132250787806</v>
      </c>
      <c r="C13" s="14">
        <v>9.5712795892028399E-2</v>
      </c>
      <c r="D13">
        <v>0.26443141084210198</v>
      </c>
      <c r="E13" s="15">
        <v>0.44634237725270698</v>
      </c>
      <c r="F13">
        <v>0.33004567570232807</v>
      </c>
      <c r="G13" s="16">
        <v>0.31255665386579601</v>
      </c>
      <c r="H13">
        <v>0.47345527136525795</v>
      </c>
      <c r="I13" s="17">
        <v>0.98678976939878205</v>
      </c>
      <c r="J13">
        <v>0.32162833953217479</v>
      </c>
      <c r="K13" s="18">
        <v>0.517815470814041</v>
      </c>
      <c r="L13">
        <v>0.36310522488283375</v>
      </c>
      <c r="M13" s="19">
        <v>0.297478016852251</v>
      </c>
    </row>
    <row r="14" spans="1:13" x14ac:dyDescent="0.25">
      <c r="A14" t="s">
        <v>19</v>
      </c>
      <c r="B14">
        <v>0.90184141364758297</v>
      </c>
      <c r="C14" s="14">
        <v>0.174295602147962</v>
      </c>
      <c r="D14">
        <v>0.6704619932440562</v>
      </c>
      <c r="E14" s="15">
        <v>0.86844583111990603</v>
      </c>
      <c r="F14">
        <v>1.0938759325483121</v>
      </c>
      <c r="G14" s="10">
        <v>4.3268390080787603E-2</v>
      </c>
      <c r="H14">
        <v>0.72418666797660058</v>
      </c>
      <c r="I14" s="11">
        <v>8.3521584494051695E-3</v>
      </c>
      <c r="J14">
        <v>0.45908071937001682</v>
      </c>
      <c r="K14" s="18">
        <v>0.81524617305381997</v>
      </c>
      <c r="L14">
        <v>0.90082499667588845</v>
      </c>
      <c r="M14" s="19">
        <v>6.5292475138674894E-2</v>
      </c>
    </row>
    <row r="15" spans="1:13" x14ac:dyDescent="0.25">
      <c r="A15" t="s">
        <v>20</v>
      </c>
      <c r="B15">
        <v>0.36993032329737241</v>
      </c>
      <c r="C15" s="12">
        <v>4.0424970068182499E-3</v>
      </c>
      <c r="D15">
        <v>0.89383700610392014</v>
      </c>
      <c r="E15" s="15">
        <v>5.7965913592618802E-2</v>
      </c>
      <c r="F15">
        <v>0.6906918016866922</v>
      </c>
      <c r="G15" s="16">
        <v>0.218104991549528</v>
      </c>
      <c r="H15">
        <v>0.62945836128728816</v>
      </c>
      <c r="I15" s="11">
        <v>1.17388410353965E-2</v>
      </c>
      <c r="J15">
        <v>0.6731713312453077</v>
      </c>
      <c r="K15" s="18">
        <v>0.21974386864794401</v>
      </c>
      <c r="L15">
        <v>0.64317183968777725</v>
      </c>
      <c r="M15" s="19">
        <v>0.26584607245743602</v>
      </c>
    </row>
    <row r="16" spans="1:13" x14ac:dyDescent="0.25">
      <c r="A16" t="s">
        <v>21</v>
      </c>
      <c r="B16">
        <v>2.2757247416271076</v>
      </c>
      <c r="C16" s="12">
        <v>8.8957362296602296E-3</v>
      </c>
      <c r="D16">
        <v>0.68657827228203872</v>
      </c>
      <c r="E16" s="15">
        <v>0.31603437363464698</v>
      </c>
      <c r="F16">
        <v>1.2906923882670009</v>
      </c>
      <c r="G16" s="16">
        <v>0.250267714639267</v>
      </c>
      <c r="H16">
        <v>1.1321166709963937</v>
      </c>
      <c r="I16" s="17">
        <v>1.01343777505961</v>
      </c>
      <c r="J16">
        <v>0.4519619974997453</v>
      </c>
      <c r="K16" s="18">
        <v>0.88243598341370999</v>
      </c>
      <c r="L16">
        <v>3.1590337508333337</v>
      </c>
      <c r="M16" s="19">
        <v>0.45617091532496501</v>
      </c>
    </row>
    <row r="20" spans="1:12" x14ac:dyDescent="0.25">
      <c r="A20" t="s">
        <v>150</v>
      </c>
    </row>
    <row r="21" spans="1:12" x14ac:dyDescent="0.25">
      <c r="A21" t="s">
        <v>7</v>
      </c>
      <c r="B21">
        <f>B2-dhap4!B2</f>
        <v>-0.59995251359469315</v>
      </c>
      <c r="D21">
        <f>D2-dhap4!D2</f>
        <v>-1.1087812958101928</v>
      </c>
      <c r="F21">
        <f>F2-dhap4!F2</f>
        <v>-0.17201315636013281</v>
      </c>
      <c r="H21">
        <f>H2-dhap4!H2</f>
        <v>-1.2199016384132713</v>
      </c>
      <c r="J21">
        <f>J2-dhap4!J2</f>
        <v>-0.85062051903654567</v>
      </c>
      <c r="L21">
        <f>L2-dhap4!L2</f>
        <v>-0.62464037643539261</v>
      </c>
    </row>
    <row r="22" spans="1:12" x14ac:dyDescent="0.25">
      <c r="A22" t="s">
        <v>8</v>
      </c>
      <c r="B22">
        <f>B3-dhap4!B3</f>
        <v>-0.80525412961419751</v>
      </c>
      <c r="D22">
        <f>D3-dhap4!D3</f>
        <v>-0.59314727211075569</v>
      </c>
      <c r="F22">
        <f>F3-dhap4!F3</f>
        <v>-0.94007560176318072</v>
      </c>
      <c r="H22">
        <f>H3-dhap4!H3</f>
        <v>-1.4732735824019465</v>
      </c>
      <c r="J22">
        <f>J3-dhap4!J3</f>
        <v>-0.10303216816680072</v>
      </c>
      <c r="L22">
        <f>L3-dhap4!L3</f>
        <v>4.7864490228580969E-2</v>
      </c>
    </row>
    <row r="23" spans="1:12" x14ac:dyDescent="0.25">
      <c r="A23" t="s">
        <v>9</v>
      </c>
      <c r="B23">
        <f>B4-dhap4!B4</f>
        <v>-0.86153377050008562</v>
      </c>
      <c r="D23">
        <f>D4-dhap4!D4</f>
        <v>-1.5744223426702637</v>
      </c>
      <c r="F23">
        <f>F4-dhap4!F4</f>
        <v>1.7835606752395927E-2</v>
      </c>
      <c r="H23">
        <f>H4-dhap4!H4</f>
        <v>1.3792709579775853E-2</v>
      </c>
      <c r="J23">
        <f>J4-dhap4!J4</f>
        <v>-0.40310331123909315</v>
      </c>
      <c r="L23">
        <f>L4-dhap4!L4</f>
        <v>-0.82566370881078199</v>
      </c>
    </row>
    <row r="24" spans="1:12" x14ac:dyDescent="0.25">
      <c r="A24" t="s">
        <v>10</v>
      </c>
      <c r="B24">
        <f>B5-dhap4!B5</f>
        <v>-1.3714862287652676</v>
      </c>
      <c r="D24">
        <f>D5-dhap4!D5</f>
        <v>-0.98544446645308836</v>
      </c>
      <c r="F24">
        <f>F5-dhap4!F5</f>
        <v>-0.24700644698758079</v>
      </c>
      <c r="H24">
        <f>H5-dhap4!H5</f>
        <v>-1.0195865987695805</v>
      </c>
      <c r="J24">
        <f>J5-dhap4!J5</f>
        <v>-0.70352678138415792</v>
      </c>
      <c r="L24">
        <f>L5-dhap4!L5</f>
        <v>-0.93623800409405755</v>
      </c>
    </row>
    <row r="25" spans="1:12" x14ac:dyDescent="0.25">
      <c r="A25" t="s">
        <v>11</v>
      </c>
      <c r="B25">
        <f>B6-dhap4!B6</f>
        <v>-0.70829712947985324</v>
      </c>
      <c r="D25">
        <f>D6-dhap4!D6</f>
        <v>-1.0340870128590132</v>
      </c>
      <c r="F25">
        <f>F6-dhap4!F6</f>
        <v>-0.80099285302372358</v>
      </c>
      <c r="H25">
        <f>H6-dhap4!H6</f>
        <v>-0.92682913338023798</v>
      </c>
      <c r="J25">
        <f>J6-dhap4!J6</f>
        <v>-0.92117596833659598</v>
      </c>
      <c r="L25">
        <f>L6-dhap4!L6</f>
        <v>-1.3893759373763215</v>
      </c>
    </row>
    <row r="26" spans="1:12" x14ac:dyDescent="0.25">
      <c r="A26" t="s">
        <v>12</v>
      </c>
      <c r="B26">
        <f>B7-dhap4!B7</f>
        <v>0.71441656927885422</v>
      </c>
      <c r="D26">
        <f>D7-dhap4!D7</f>
        <v>0.21192316659797128</v>
      </c>
      <c r="F26">
        <f>F7-dhap4!F7</f>
        <v>-1.3507999462281894</v>
      </c>
      <c r="H26">
        <f>H7-dhap4!H7</f>
        <v>-1.0208378535236642</v>
      </c>
      <c r="J26">
        <f>J7-dhap4!J7</f>
        <v>0.33193127929960187</v>
      </c>
      <c r="L26">
        <f>L7-dhap4!L7</f>
        <v>-1.1918296327222624</v>
      </c>
    </row>
    <row r="27" spans="1:12" x14ac:dyDescent="0.25">
      <c r="A27" t="s">
        <v>13</v>
      </c>
      <c r="B27">
        <f>B8-dhap4!B8</f>
        <v>-0.41041212742992095</v>
      </c>
      <c r="D27">
        <f>D8-dhap4!D8</f>
        <v>-0.48108660724256291</v>
      </c>
      <c r="F27">
        <f>F8-dhap4!F8</f>
        <v>-0.69579898890631098</v>
      </c>
      <c r="H27">
        <f>H8-dhap4!H8</f>
        <v>1.7160303992267587</v>
      </c>
      <c r="J27">
        <f>J8-dhap4!J8</f>
        <v>-2.2192373532709508</v>
      </c>
      <c r="L27">
        <f>L8-dhap4!L8</f>
        <v>-1.0691970404192206</v>
      </c>
    </row>
    <row r="28" spans="1:12" x14ac:dyDescent="0.25">
      <c r="A28" t="s">
        <v>14</v>
      </c>
      <c r="B28">
        <f>B9-dhap4!B9</f>
        <v>-0.5924712927246778</v>
      </c>
      <c r="D28">
        <f>D9-dhap4!D9</f>
        <v>-1.3136123198560998</v>
      </c>
      <c r="F28">
        <f>F9-dhap4!F9</f>
        <v>-0.45681332251747675</v>
      </c>
      <c r="H28">
        <f>H9-dhap4!H9</f>
        <v>-1.1422641336415047</v>
      </c>
      <c r="J28">
        <f>J9-dhap4!J9</f>
        <v>-0.92230945886712168</v>
      </c>
      <c r="L28">
        <f>L9-dhap4!L9</f>
        <v>-0.89856323732908072</v>
      </c>
    </row>
    <row r="29" spans="1:12" x14ac:dyDescent="0.25">
      <c r="A29" t="s">
        <v>15</v>
      </c>
      <c r="B29">
        <f>B10-dhap4!B10</f>
        <v>-1.0355043657066632E-2</v>
      </c>
      <c r="D29">
        <f>D10-dhap4!D10</f>
        <v>-0.98759460480897743</v>
      </c>
      <c r="F29">
        <f>F10-dhap4!F10</f>
        <v>-0.33709336759773922</v>
      </c>
      <c r="H29">
        <f>H10-dhap4!H10</f>
        <v>-1.2577607113526725</v>
      </c>
      <c r="J29">
        <f>J10-dhap4!J10</f>
        <v>-1.9712634460831158E-3</v>
      </c>
      <c r="L29">
        <f>L10-dhap4!L10</f>
        <v>-2.4200578665835448</v>
      </c>
    </row>
    <row r="30" spans="1:12" x14ac:dyDescent="0.25">
      <c r="A30" t="s">
        <v>16</v>
      </c>
      <c r="B30">
        <f>B11-dhap4!B11</f>
        <v>0.4550515240282742</v>
      </c>
      <c r="D30">
        <f>D11-dhap4!D11</f>
        <v>-0.5144192072167153</v>
      </c>
      <c r="F30">
        <f>F11-dhap4!F11</f>
        <v>-2.9149634096154764</v>
      </c>
      <c r="H30">
        <f>H11-dhap4!H11</f>
        <v>-1.3862480026688841</v>
      </c>
      <c r="J30">
        <f>J11-dhap4!J11</f>
        <v>-5.2510192679824126</v>
      </c>
      <c r="L30">
        <f>L11-dhap4!L11</f>
        <v>7.2620578831834814E-2</v>
      </c>
    </row>
    <row r="31" spans="1:12" x14ac:dyDescent="0.25">
      <c r="A31" t="s">
        <v>17</v>
      </c>
      <c r="B31">
        <f>B12-dhap4!B12</f>
        <v>-0.99931087312526479</v>
      </c>
      <c r="D31">
        <f>D12-dhap4!D12</f>
        <v>-0.76406730235815112</v>
      </c>
      <c r="F31">
        <f>F12-dhap4!F12</f>
        <v>-0.79109371474136947</v>
      </c>
      <c r="H31">
        <f>H12-dhap4!H12</f>
        <v>-1.1940103856639042</v>
      </c>
      <c r="J31">
        <f>J12-dhap4!J12</f>
        <v>-1.1254710168045481</v>
      </c>
      <c r="L31">
        <f>L12-dhap4!L12</f>
        <v>-0.83711315650421603</v>
      </c>
    </row>
    <row r="32" spans="1:12" x14ac:dyDescent="0.25">
      <c r="A32" t="s">
        <v>18</v>
      </c>
      <c r="B32">
        <f>B13-dhap4!B13</f>
        <v>-0.63284743624436357</v>
      </c>
      <c r="D32">
        <f>D13-dhap4!D13</f>
        <v>-0.80310316360866851</v>
      </c>
      <c r="F32">
        <f>F13-dhap4!F13</f>
        <v>-0.71848149261704775</v>
      </c>
      <c r="H32">
        <f>H13-dhap4!H13</f>
        <v>-0.64516146257731077</v>
      </c>
      <c r="J32">
        <f>J13-dhap4!J13</f>
        <v>-0.78042591372845327</v>
      </c>
      <c r="L32">
        <f>L13-dhap4!L13</f>
        <v>-1.110164389979676</v>
      </c>
    </row>
    <row r="33" spans="1:12" x14ac:dyDescent="0.25">
      <c r="A33" t="s">
        <v>19</v>
      </c>
      <c r="B33">
        <f>B14-dhap4!B14</f>
        <v>-0.23707680893323757</v>
      </c>
      <c r="D33">
        <f>D14-dhap4!D14</f>
        <v>-0.42709344579236974</v>
      </c>
      <c r="F33">
        <f>F14-dhap4!F14</f>
        <v>-2.0781964338359113</v>
      </c>
      <c r="H33">
        <f>H14-dhap4!H14</f>
        <v>-1.7148562065773278</v>
      </c>
      <c r="J33">
        <f>J14-dhap4!J14</f>
        <v>-0.63510525927837302</v>
      </c>
      <c r="L33">
        <f>L14-dhap4!L14</f>
        <v>-0.9191214693405988</v>
      </c>
    </row>
    <row r="34" spans="1:12" x14ac:dyDescent="0.25">
      <c r="A34" t="s">
        <v>20</v>
      </c>
      <c r="B34">
        <f>B15-dhap4!B15</f>
        <v>-0.76918174921731597</v>
      </c>
      <c r="D34">
        <f>D15-dhap4!D15</f>
        <v>-0.24540448896529432</v>
      </c>
      <c r="F34">
        <f>F15-dhap4!F15</f>
        <v>-16.115801997240613</v>
      </c>
      <c r="H34">
        <f>H15-dhap4!H15</f>
        <v>-1.5381911962752746</v>
      </c>
      <c r="J34">
        <f>J15-dhap4!J15</f>
        <v>-0.33588007306843648</v>
      </c>
      <c r="L34">
        <f>L15-dhap4!L15</f>
        <v>-0.59133559311808725</v>
      </c>
    </row>
    <row r="35" spans="1:12" x14ac:dyDescent="0.25">
      <c r="A35" t="s">
        <v>21</v>
      </c>
      <c r="B35">
        <f>B16-dhap4!B16</f>
        <v>-1.8171191644572469</v>
      </c>
      <c r="D35">
        <f>D16-dhap4!D16</f>
        <v>-0.60467884009175232</v>
      </c>
      <c r="F35">
        <f>F16-dhap4!F16</f>
        <v>-1.6713258896116139</v>
      </c>
      <c r="H35">
        <f>H16-dhap4!H16</f>
        <v>-0.17612411036916931</v>
      </c>
      <c r="J35">
        <f>J16-dhap4!J16</f>
        <v>-1.4734393242218493</v>
      </c>
      <c r="L35">
        <f>L16-dhap4!L16</f>
        <v>1.4115341439038946</v>
      </c>
    </row>
    <row r="37" spans="1:12" x14ac:dyDescent="0.25">
      <c r="A37" t="s">
        <v>111</v>
      </c>
    </row>
    <row r="38" spans="1:12" x14ac:dyDescent="0.25">
      <c r="A38">
        <v>1.4527745613945509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workbookViewId="0">
      <selection activeCell="A38" sqref="A38"/>
    </sheetView>
  </sheetViews>
  <sheetFormatPr defaultColWidth="8.85546875" defaultRowHeight="15" x14ac:dyDescent="0.25"/>
  <cols>
    <col min="6" max="6" width="11" bestFit="1" customWidth="1"/>
  </cols>
  <sheetData>
    <row r="1" spans="1:13" x14ac:dyDescent="0.25">
      <c r="A1" t="s">
        <v>0</v>
      </c>
      <c r="B1" t="s">
        <v>1</v>
      </c>
      <c r="C1" s="14" t="s">
        <v>22</v>
      </c>
      <c r="D1" t="s">
        <v>2</v>
      </c>
      <c r="E1" s="15" t="s">
        <v>23</v>
      </c>
      <c r="F1" t="s">
        <v>3</v>
      </c>
      <c r="G1" s="16" t="s">
        <v>24</v>
      </c>
      <c r="H1" t="s">
        <v>4</v>
      </c>
      <c r="I1" s="17" t="s">
        <v>25</v>
      </c>
      <c r="J1" t="s">
        <v>5</v>
      </c>
      <c r="K1" s="18" t="s">
        <v>26</v>
      </c>
      <c r="L1" t="s">
        <v>6</v>
      </c>
      <c r="M1" s="19" t="s">
        <v>27</v>
      </c>
    </row>
    <row r="2" spans="1:13" x14ac:dyDescent="0.25">
      <c r="A2" t="s">
        <v>7</v>
      </c>
      <c r="B2">
        <v>0.44892193926646329</v>
      </c>
      <c r="C2" s="14">
        <v>0.762384490029694</v>
      </c>
      <c r="D2">
        <v>9.4056148602287101E-2</v>
      </c>
      <c r="E2" s="15">
        <v>0.44624975588118598</v>
      </c>
      <c r="F2">
        <v>1.3061241586302677</v>
      </c>
      <c r="G2" s="16">
        <v>0.78551996118716705</v>
      </c>
      <c r="H2">
        <v>0.14126534753593009</v>
      </c>
      <c r="I2" s="17">
        <v>0.29160072506103601</v>
      </c>
      <c r="J2">
        <v>0.20684639327141818</v>
      </c>
      <c r="K2" s="18">
        <v>0.82577386681059695</v>
      </c>
      <c r="L2">
        <v>1.186208744846607</v>
      </c>
      <c r="M2" s="7">
        <v>4.5710095337786E-2</v>
      </c>
    </row>
    <row r="3" spans="1:13" x14ac:dyDescent="0.25">
      <c r="A3" t="s">
        <v>8</v>
      </c>
      <c r="B3">
        <v>0.30953585401092365</v>
      </c>
      <c r="C3" s="14">
        <v>8.2901279432195593E-2</v>
      </c>
      <c r="D3">
        <v>0.44136822659580499</v>
      </c>
      <c r="E3" s="9">
        <v>9.0782211164155292E-3</v>
      </c>
      <c r="F3">
        <v>0.47832055220544861</v>
      </c>
      <c r="G3" s="16">
        <v>0.52024738694317496</v>
      </c>
      <c r="H3">
        <v>0.5743230043185138</v>
      </c>
      <c r="I3" s="17">
        <v>7.2269282640789106E-2</v>
      </c>
      <c r="J3">
        <v>1.3484774397257056</v>
      </c>
      <c r="K3" s="18">
        <v>0.76388269721491497</v>
      </c>
      <c r="L3">
        <v>1.1985365008056901</v>
      </c>
      <c r="M3" s="19">
        <v>0.45347930983877699</v>
      </c>
    </row>
    <row r="4" spans="1:13" x14ac:dyDescent="0.25">
      <c r="A4" t="s">
        <v>9</v>
      </c>
      <c r="B4">
        <v>0.74557088513111736</v>
      </c>
      <c r="C4" s="14">
        <v>6.6225124959576706E-2</v>
      </c>
      <c r="D4">
        <v>0.14496421249999999</v>
      </c>
      <c r="E4" s="15">
        <v>0.61881514010194805</v>
      </c>
      <c r="F4">
        <v>0.8090639056902561</v>
      </c>
      <c r="G4" s="10">
        <v>1.6347989883004101E-2</v>
      </c>
      <c r="H4">
        <v>1.1732416209281713</v>
      </c>
      <c r="I4" s="11">
        <v>1.1178235493982801E-2</v>
      </c>
      <c r="J4">
        <v>1.0601671714392831</v>
      </c>
      <c r="K4" s="18">
        <v>0.41128551861353002</v>
      </c>
      <c r="L4">
        <v>0.87639767991224271</v>
      </c>
      <c r="M4" s="7">
        <v>2.5966862137770701E-2</v>
      </c>
    </row>
    <row r="5" spans="1:13" x14ac:dyDescent="0.25">
      <c r="A5" t="s">
        <v>10</v>
      </c>
      <c r="B5">
        <v>0.47129671940687429</v>
      </c>
      <c r="C5" s="14">
        <v>0.33061324554751997</v>
      </c>
      <c r="D5">
        <v>0.84014454185681309</v>
      </c>
      <c r="E5" s="15">
        <v>0.58761063110676703</v>
      </c>
      <c r="F5">
        <v>0.78189844564254984</v>
      </c>
      <c r="G5" s="16">
        <v>0.876273721691745</v>
      </c>
      <c r="H5">
        <v>0.93880220290984173</v>
      </c>
      <c r="I5" s="17">
        <v>0.12610118972802201</v>
      </c>
      <c r="J5">
        <v>0.48754173612348001</v>
      </c>
      <c r="K5" s="18">
        <v>0.84451617033304205</v>
      </c>
      <c r="L5">
        <v>0.24205647322241378</v>
      </c>
      <c r="M5" s="19">
        <v>0.34787221257796602</v>
      </c>
    </row>
    <row r="6" spans="1:13" x14ac:dyDescent="0.25">
      <c r="A6" t="s">
        <v>11</v>
      </c>
      <c r="B6">
        <v>0.47898460812695109</v>
      </c>
      <c r="C6" s="14">
        <v>0.41886387925431101</v>
      </c>
      <c r="D6">
        <v>0.1669732825097785</v>
      </c>
      <c r="E6" s="15">
        <v>0.54683519144140802</v>
      </c>
      <c r="F6">
        <v>0.35326105333333335</v>
      </c>
      <c r="G6" s="16">
        <v>0.60936795919082498</v>
      </c>
      <c r="H6">
        <v>0.18104375192030697</v>
      </c>
      <c r="I6" s="17">
        <v>0.51888455220311103</v>
      </c>
      <c r="J6">
        <v>0.26020053649494934</v>
      </c>
      <c r="K6" s="18">
        <v>0.92811381976317897</v>
      </c>
      <c r="L6">
        <v>0.18434030098669019</v>
      </c>
      <c r="M6" s="19">
        <v>0.117144834533319</v>
      </c>
    </row>
    <row r="7" spans="1:13" x14ac:dyDescent="0.25">
      <c r="A7" t="s">
        <v>12</v>
      </c>
      <c r="B7">
        <v>2.0911328591456315</v>
      </c>
      <c r="C7" s="14">
        <v>0.73074475229926095</v>
      </c>
      <c r="D7">
        <v>1.1963337599607</v>
      </c>
      <c r="E7" s="15">
        <v>0.482119508817688</v>
      </c>
      <c r="F7">
        <v>1.4538683557469538</v>
      </c>
      <c r="G7" s="16">
        <v>7.7299330333445299E-2</v>
      </c>
      <c r="H7">
        <v>0.4916199175</v>
      </c>
      <c r="I7" s="17">
        <v>0.41648763304756098</v>
      </c>
      <c r="J7">
        <v>1.46780457575695</v>
      </c>
      <c r="K7" s="18">
        <v>0.92618166088133702</v>
      </c>
      <c r="L7">
        <v>0.54591869278797134</v>
      </c>
      <c r="M7" s="7">
        <v>1.5741522728162101E-2</v>
      </c>
    </row>
    <row r="8" spans="1:13" x14ac:dyDescent="0.25">
      <c r="A8" t="s">
        <v>13</v>
      </c>
      <c r="B8">
        <v>0.6552033981645734</v>
      </c>
      <c r="C8" s="12">
        <v>3.9736164584284001E-2</v>
      </c>
      <c r="D8">
        <v>0.84249540168883552</v>
      </c>
      <c r="E8" s="9">
        <v>2.23753114222145E-3</v>
      </c>
      <c r="F8">
        <v>0.33617337145513854</v>
      </c>
      <c r="G8" s="10">
        <v>2.4759724199063201E-3</v>
      </c>
      <c r="H8">
        <v>2.6871022847590211</v>
      </c>
      <c r="I8" s="17">
        <v>0.42442038054964198</v>
      </c>
      <c r="J8">
        <v>0.5935956166666666</v>
      </c>
      <c r="K8" s="18">
        <v>0.57583799773840905</v>
      </c>
      <c r="L8">
        <v>0.41791559107708687</v>
      </c>
      <c r="M8" s="7">
        <v>1.1238296525258799E-3</v>
      </c>
    </row>
    <row r="9" spans="1:13" x14ac:dyDescent="0.25">
      <c r="A9" t="s">
        <v>14</v>
      </c>
      <c r="B9">
        <v>0.52119546137774742</v>
      </c>
      <c r="C9" s="14">
        <v>0.30555896896170998</v>
      </c>
      <c r="D9">
        <v>0.2965125823822663</v>
      </c>
      <c r="E9" s="15">
        <v>0.220796800536256</v>
      </c>
      <c r="F9">
        <v>0.85193324487890143</v>
      </c>
      <c r="G9" s="16">
        <v>0.34273266373509897</v>
      </c>
      <c r="H9">
        <v>0.25938091740430386</v>
      </c>
      <c r="I9" s="11">
        <v>1.6849469393969401E-2</v>
      </c>
      <c r="J9">
        <v>0.58070286525107606</v>
      </c>
      <c r="K9" s="18">
        <v>0.80207673397527102</v>
      </c>
      <c r="L9">
        <v>0.27733825279134505</v>
      </c>
      <c r="M9" s="19">
        <v>8.3557084326203193E-2</v>
      </c>
    </row>
    <row r="10" spans="1:13" x14ac:dyDescent="0.25">
      <c r="A10" t="s">
        <v>15</v>
      </c>
      <c r="B10">
        <v>1.0034169930649719</v>
      </c>
      <c r="C10" s="14">
        <v>0.40967747091093998</v>
      </c>
      <c r="D10">
        <v>0.28753193385508813</v>
      </c>
      <c r="E10" s="9">
        <v>4.93615335741312E-2</v>
      </c>
      <c r="F10">
        <v>0.94778822317301126</v>
      </c>
      <c r="G10" s="16">
        <v>7.5060611423136706E-2</v>
      </c>
      <c r="H10">
        <v>0.20622490994766116</v>
      </c>
      <c r="I10" s="17">
        <v>5.3349459021998002E-2</v>
      </c>
      <c r="J10">
        <v>1.2208305504792125</v>
      </c>
      <c r="K10" s="18">
        <v>0.83537027035042999</v>
      </c>
      <c r="L10">
        <v>0.31954127886277472</v>
      </c>
      <c r="M10" s="7">
        <v>2.0751052693414899E-3</v>
      </c>
    </row>
    <row r="11" spans="1:13" x14ac:dyDescent="0.25">
      <c r="A11" t="s">
        <v>16</v>
      </c>
      <c r="B11">
        <v>2.2232741462793175</v>
      </c>
      <c r="C11" s="14">
        <v>0.312866167848105</v>
      </c>
      <c r="D11">
        <v>0.96267800484273691</v>
      </c>
      <c r="E11" s="15">
        <v>0.36919882166698498</v>
      </c>
      <c r="F11">
        <v>0.23867149289878328</v>
      </c>
      <c r="G11" s="16">
        <v>0.32044779172975002</v>
      </c>
      <c r="H11">
        <v>0.16016659271300426</v>
      </c>
      <c r="I11" s="17">
        <v>1.01926877470356</v>
      </c>
      <c r="J11">
        <v>0.57226537591842164</v>
      </c>
      <c r="K11" s="18">
        <v>0.41730594570108798</v>
      </c>
      <c r="L11">
        <v>1.2790022903840916</v>
      </c>
      <c r="M11" s="19">
        <v>0.32964773522541801</v>
      </c>
    </row>
    <row r="12" spans="1:13" x14ac:dyDescent="0.25">
      <c r="A12" t="s">
        <v>17</v>
      </c>
      <c r="B12">
        <v>0.2784176409169028</v>
      </c>
      <c r="C12" s="14">
        <v>0.673063017606508</v>
      </c>
      <c r="D12">
        <v>0.59385442112562481</v>
      </c>
      <c r="E12" s="15">
        <v>0.48391674975244903</v>
      </c>
      <c r="F12">
        <v>0.43059690270784867</v>
      </c>
      <c r="G12" s="16">
        <v>0.37967438937929698</v>
      </c>
      <c r="H12">
        <v>0.22207247680955491</v>
      </c>
      <c r="I12" s="17">
        <v>0.61551986182630103</v>
      </c>
      <c r="J12">
        <v>0.28727228782401076</v>
      </c>
      <c r="K12" s="18">
        <v>0.96518223885221099</v>
      </c>
      <c r="L12">
        <v>0.24466677704090026</v>
      </c>
      <c r="M12" s="19">
        <v>0.77989454444137896</v>
      </c>
    </row>
    <row r="13" spans="1:13" x14ac:dyDescent="0.25">
      <c r="A13" t="s">
        <v>18</v>
      </c>
      <c r="B13">
        <v>0.50918934249508474</v>
      </c>
      <c r="C13" s="14">
        <v>9.5712795892028399E-2</v>
      </c>
      <c r="D13">
        <v>0.34255430313847546</v>
      </c>
      <c r="E13" s="15">
        <v>0.44634237725270698</v>
      </c>
      <c r="F13">
        <v>0.29496445738525978</v>
      </c>
      <c r="G13" s="16">
        <v>0.31255665386579601</v>
      </c>
      <c r="H13">
        <v>0.44548311931872675</v>
      </c>
      <c r="I13" s="17">
        <v>0.98678976939878205</v>
      </c>
      <c r="J13">
        <v>0.30177422606248666</v>
      </c>
      <c r="K13" s="18">
        <v>0.517815470814041</v>
      </c>
      <c r="L13">
        <v>0.37194256399859355</v>
      </c>
      <c r="M13" s="19">
        <v>0.297478016852251</v>
      </c>
    </row>
    <row r="14" spans="1:13" x14ac:dyDescent="0.25">
      <c r="A14" t="s">
        <v>19</v>
      </c>
      <c r="B14">
        <v>0.67615619823374062</v>
      </c>
      <c r="C14" s="14">
        <v>0.174295602147962</v>
      </c>
      <c r="D14">
        <v>0.69394126269184742</v>
      </c>
      <c r="E14" s="15">
        <v>0.86844583111990603</v>
      </c>
      <c r="F14">
        <v>1.0865533966449334</v>
      </c>
      <c r="G14" s="10">
        <v>4.3268390080787603E-2</v>
      </c>
      <c r="H14">
        <v>0.32450548155846909</v>
      </c>
      <c r="I14" s="11">
        <v>8.3521584494051695E-3</v>
      </c>
      <c r="J14">
        <v>0.3942536495384461</v>
      </c>
      <c r="K14" s="18">
        <v>0.81524617305381997</v>
      </c>
      <c r="L14">
        <v>0.44734494111986067</v>
      </c>
      <c r="M14" s="19">
        <v>6.5292475138674894E-2</v>
      </c>
    </row>
    <row r="15" spans="1:13" x14ac:dyDescent="0.25">
      <c r="A15" t="s">
        <v>20</v>
      </c>
      <c r="B15">
        <v>0.38352529341228725</v>
      </c>
      <c r="C15" s="12">
        <v>4.0424970068182499E-3</v>
      </c>
      <c r="D15">
        <v>0.72382812699295196</v>
      </c>
      <c r="E15" s="15">
        <v>5.7965913592618802E-2</v>
      </c>
      <c r="F15">
        <v>1.6278069723053818</v>
      </c>
      <c r="G15" s="16">
        <v>0.218104991549528</v>
      </c>
      <c r="H15">
        <v>0.71159686441386727</v>
      </c>
      <c r="I15" s="11">
        <v>1.17388410353965E-2</v>
      </c>
      <c r="J15">
        <v>0.77505338625305831</v>
      </c>
      <c r="K15" s="18">
        <v>0.21974386864794401</v>
      </c>
      <c r="L15">
        <v>0.52798833079092766</v>
      </c>
      <c r="M15" s="19">
        <v>0.26584607245743602</v>
      </c>
    </row>
    <row r="16" spans="1:13" x14ac:dyDescent="0.25">
      <c r="A16" t="s">
        <v>21</v>
      </c>
      <c r="B16">
        <v>2.256561259713842</v>
      </c>
      <c r="C16" s="12">
        <v>8.8957362296602296E-3</v>
      </c>
      <c r="D16">
        <v>0.71652974369342937</v>
      </c>
      <c r="E16" s="15">
        <v>0.31603437363464698</v>
      </c>
      <c r="F16">
        <v>1.294637202383335</v>
      </c>
      <c r="G16" s="16">
        <v>0.250267714639267</v>
      </c>
      <c r="H16">
        <v>1.1343468791620552</v>
      </c>
      <c r="I16" s="17">
        <v>1.01343777505961</v>
      </c>
      <c r="J16">
        <v>0.42857477098082009</v>
      </c>
      <c r="K16" s="18">
        <v>0.88243598341370999</v>
      </c>
      <c r="L16">
        <v>3.1590337508333337</v>
      </c>
      <c r="M16" s="19">
        <v>0.45617091532496501</v>
      </c>
    </row>
    <row r="20" spans="1:12" x14ac:dyDescent="0.25">
      <c r="A20" t="s">
        <v>151</v>
      </c>
    </row>
    <row r="21" spans="1:12" x14ac:dyDescent="0.25">
      <c r="A21" t="s">
        <v>7</v>
      </c>
      <c r="B21">
        <f>B2-dhap4!B2</f>
        <v>-0.56593966062205714</v>
      </c>
      <c r="D21">
        <f>D2-dhap4!D2</f>
        <v>-1.1047731967765475</v>
      </c>
      <c r="F21">
        <f>F2-dhap4!F2</f>
        <v>-0.1490605036923438</v>
      </c>
      <c r="H21">
        <f>H2-dhap4!H2</f>
        <v>-1.2285152410128786</v>
      </c>
      <c r="J21">
        <f>J2-dhap4!J2</f>
        <v>-0.8539630829609266</v>
      </c>
      <c r="L21">
        <f>L2-dhap4!L2</f>
        <v>-0.2874658812685722</v>
      </c>
    </row>
    <row r="22" spans="1:12" x14ac:dyDescent="0.25">
      <c r="A22" t="s">
        <v>8</v>
      </c>
      <c r="B22">
        <f>B3-dhap4!B3</f>
        <v>-0.81089294163306413</v>
      </c>
      <c r="D22">
        <f>D3-dhap4!D3</f>
        <v>-1.0239969638893449</v>
      </c>
      <c r="F22">
        <f>F3-dhap4!F3</f>
        <v>-0.97275692640505107</v>
      </c>
      <c r="H22">
        <f>H3-dhap4!H3</f>
        <v>-1.178032357431928</v>
      </c>
      <c r="J22">
        <f>J3-dhap4!J3</f>
        <v>0.13742569265508431</v>
      </c>
      <c r="L22">
        <f>L3-dhap4!L3</f>
        <v>-0.19730269636741382</v>
      </c>
    </row>
    <row r="23" spans="1:12" x14ac:dyDescent="0.25">
      <c r="A23" t="s">
        <v>9</v>
      </c>
      <c r="B23">
        <f>B4-dhap4!B4</f>
        <v>-0.71308185808347657</v>
      </c>
      <c r="D23">
        <f>D4-dhap4!D4</f>
        <v>-1.5744223426702637</v>
      </c>
      <c r="F23">
        <f>F4-dhap4!F4</f>
        <v>-0.37340081504827582</v>
      </c>
      <c r="H23">
        <f>H4-dhap4!H4</f>
        <v>-3.5949223010121045E-2</v>
      </c>
      <c r="J23">
        <f>J4-dhap4!J4</f>
        <v>-4.6246600289377549E-2</v>
      </c>
      <c r="L23">
        <f>L4-dhap4!L4</f>
        <v>-0.52774562820802207</v>
      </c>
    </row>
    <row r="24" spans="1:12" x14ac:dyDescent="0.25">
      <c r="A24" t="s">
        <v>10</v>
      </c>
      <c r="B24">
        <f>B5-dhap4!B5</f>
        <v>-1.382616496186732</v>
      </c>
      <c r="D24">
        <f>D5-dhap4!D5</f>
        <v>-1.0054673291637717</v>
      </c>
      <c r="F24">
        <f>F5-dhap4!F5</f>
        <v>-0.24633568083190205</v>
      </c>
      <c r="H24">
        <f>H5-dhap4!H5</f>
        <v>-1.0161467388229442</v>
      </c>
      <c r="J24">
        <f>J5-dhap4!J5</f>
        <v>-0.70129267169040443</v>
      </c>
      <c r="L24">
        <f>L5-dhap4!L5</f>
        <v>-0.93668844642713922</v>
      </c>
    </row>
    <row r="25" spans="1:12" x14ac:dyDescent="0.25">
      <c r="A25" t="s">
        <v>11</v>
      </c>
      <c r="B25">
        <f>B6-dhap4!B6</f>
        <v>-0.6903496008071639</v>
      </c>
      <c r="D25">
        <f>D6-dhap4!D6</f>
        <v>-1.049817554456143</v>
      </c>
      <c r="F25">
        <f>F6-dhap4!F6</f>
        <v>-0.80099285302372358</v>
      </c>
      <c r="H25">
        <f>H6-dhap4!H6</f>
        <v>-0.94570600710567798</v>
      </c>
      <c r="J25">
        <f>J6-dhap4!J6</f>
        <v>-0.94913910468777996</v>
      </c>
      <c r="L25">
        <f>L6-dhap4!L6</f>
        <v>-1.3861471055297292</v>
      </c>
    </row>
    <row r="26" spans="1:12" x14ac:dyDescent="0.25">
      <c r="A26" t="s">
        <v>12</v>
      </c>
      <c r="B26">
        <f>B7-dhap4!B7</f>
        <v>0.89634166312645447</v>
      </c>
      <c r="D26">
        <f>D7-dhap4!D7</f>
        <v>0.13568058727162957</v>
      </c>
      <c r="F26">
        <f>F7-dhap4!F7</f>
        <v>-0.59908180791119414</v>
      </c>
      <c r="H26">
        <f>H7-dhap4!H7</f>
        <v>-1.0208378535236642</v>
      </c>
      <c r="J26">
        <f>J7-dhap4!J7</f>
        <v>0.40721128745109758</v>
      </c>
      <c r="L26">
        <f>L7-dhap4!L7</f>
        <v>-1.1729855728591199</v>
      </c>
    </row>
    <row r="27" spans="1:12" x14ac:dyDescent="0.25">
      <c r="A27" t="s">
        <v>13</v>
      </c>
      <c r="B27">
        <f>B8-dhap4!B8</f>
        <v>-0.39695292660526815</v>
      </c>
      <c r="D27">
        <f>D8-dhap4!D8</f>
        <v>-0.40349611087690107</v>
      </c>
      <c r="F27">
        <f>F8-dhap4!F8</f>
        <v>-0.66849051572416651</v>
      </c>
      <c r="H27">
        <f>H8-dhap4!H8</f>
        <v>1.6292163137932349</v>
      </c>
      <c r="J27">
        <f>J8-dhap4!J8</f>
        <v>-2.2192373532709508</v>
      </c>
      <c r="L27">
        <f>L8-dhap4!L8</f>
        <v>-1.0827884832773127</v>
      </c>
    </row>
    <row r="28" spans="1:12" x14ac:dyDescent="0.25">
      <c r="A28" t="s">
        <v>14</v>
      </c>
      <c r="B28">
        <f>B9-dhap4!B9</f>
        <v>-0.57085177711094959</v>
      </c>
      <c r="D28">
        <f>D9-dhap4!D9</f>
        <v>-1.4019862257927922</v>
      </c>
      <c r="F28">
        <f>F9-dhap4!F9</f>
        <v>-0.3740404782251987</v>
      </c>
      <c r="H28">
        <f>H9-dhap4!H9</f>
        <v>-1.1066545590791894</v>
      </c>
      <c r="J28">
        <f>J9-dhap4!J9</f>
        <v>-0.72625457095443091</v>
      </c>
      <c r="L28">
        <f>L9-dhap4!L9</f>
        <v>-0.86458416938240545</v>
      </c>
    </row>
    <row r="29" spans="1:12" x14ac:dyDescent="0.25">
      <c r="A29" t="s">
        <v>15</v>
      </c>
      <c r="B29">
        <f>B10-dhap4!B10</f>
        <v>3.0656640482407127E-3</v>
      </c>
      <c r="D29">
        <f>D10-dhap4!D10</f>
        <v>-0.96994005072573319</v>
      </c>
      <c r="F29">
        <f>F10-dhap4!F10</f>
        <v>-0.33361589600228836</v>
      </c>
      <c r="H29">
        <f>H10-dhap4!H10</f>
        <v>-1.2452399463827397</v>
      </c>
      <c r="J29">
        <f>J10-dhap4!J10</f>
        <v>3.601545214490165E-2</v>
      </c>
      <c r="L29">
        <f>L10-dhap4!L10</f>
        <v>-2.4071905182565674</v>
      </c>
    </row>
    <row r="30" spans="1:12" x14ac:dyDescent="0.25">
      <c r="A30" t="s">
        <v>16</v>
      </c>
      <c r="B30">
        <f>B11-dhap4!B11</f>
        <v>0.63308138919360779</v>
      </c>
      <c r="D30">
        <f>D11-dhap4!D11</f>
        <v>-0.5543298387107457</v>
      </c>
      <c r="F30">
        <f>F11-dhap4!F11</f>
        <v>-2.9175565043027998</v>
      </c>
      <c r="H30">
        <f>H11-dhap4!H11</f>
        <v>-1.3770609070218027</v>
      </c>
      <c r="J30">
        <f>J11-dhap4!J11</f>
        <v>-5.3350912852888328</v>
      </c>
      <c r="L30">
        <f>L11-dhap4!L11</f>
        <v>2.7039087868679035E-2</v>
      </c>
    </row>
    <row r="31" spans="1:12" x14ac:dyDescent="0.25">
      <c r="A31" t="s">
        <v>17</v>
      </c>
      <c r="B31">
        <f>B12-dhap4!B12</f>
        <v>-1.004452069607795</v>
      </c>
      <c r="D31">
        <f>D12-dhap4!D12</f>
        <v>-0.92915333944661771</v>
      </c>
      <c r="F31">
        <f>F12-dhap4!F12</f>
        <v>-0.80020132319365977</v>
      </c>
      <c r="H31">
        <f>H12-dhap4!H12</f>
        <v>-1.1949354825406733</v>
      </c>
      <c r="J31">
        <f>J12-dhap4!J12</f>
        <v>-1.1738838468094734</v>
      </c>
      <c r="L31">
        <f>L12-dhap4!L12</f>
        <v>-0.83205377659930957</v>
      </c>
    </row>
    <row r="32" spans="1:12" x14ac:dyDescent="0.25">
      <c r="A32" t="s">
        <v>18</v>
      </c>
      <c r="B32">
        <f>B13-dhap4!B13</f>
        <v>-0.64515941625715689</v>
      </c>
      <c r="D32">
        <f>D13-dhap4!D13</f>
        <v>-0.72498027131229503</v>
      </c>
      <c r="F32">
        <f>F13-dhap4!F13</f>
        <v>-0.75356271093411598</v>
      </c>
      <c r="H32">
        <f>H13-dhap4!H13</f>
        <v>-0.67313361462384202</v>
      </c>
      <c r="J32">
        <f>J13-dhap4!J13</f>
        <v>-0.8002800271981414</v>
      </c>
      <c r="L32">
        <f>L13-dhap4!L13</f>
        <v>-1.1013270508639161</v>
      </c>
    </row>
    <row r="33" spans="1:12" x14ac:dyDescent="0.25">
      <c r="A33" t="s">
        <v>19</v>
      </c>
      <c r="B33">
        <f>B14-dhap4!B14</f>
        <v>-0.46276202434707991</v>
      </c>
      <c r="D33">
        <f>D14-dhap4!D14</f>
        <v>-0.40361417634457852</v>
      </c>
      <c r="F33">
        <f>F14-dhap4!F14</f>
        <v>-2.0855189697392902</v>
      </c>
      <c r="H33">
        <f>H14-dhap4!H14</f>
        <v>-2.1145373929954596</v>
      </c>
      <c r="J33">
        <f>J14-dhap4!J14</f>
        <v>-0.69993232910994374</v>
      </c>
      <c r="L33">
        <f>L14-dhap4!L14</f>
        <v>-1.3726015248966266</v>
      </c>
    </row>
    <row r="34" spans="1:12" x14ac:dyDescent="0.25">
      <c r="A34" t="s">
        <v>20</v>
      </c>
      <c r="B34">
        <f>B15-dhap4!B15</f>
        <v>-0.75558677910240113</v>
      </c>
      <c r="D34">
        <f>D15-dhap4!D15</f>
        <v>-0.4154133680762625</v>
      </c>
      <c r="F34">
        <f>F15-dhap4!F15</f>
        <v>-15.178686826621924</v>
      </c>
      <c r="H34">
        <f>H15-dhap4!H15</f>
        <v>-1.4560526931486955</v>
      </c>
      <c r="J34">
        <f>J15-dhap4!J15</f>
        <v>-0.23399801806068588</v>
      </c>
      <c r="L34">
        <f>L15-dhap4!L15</f>
        <v>-0.70651910201493684</v>
      </c>
    </row>
    <row r="35" spans="1:12" x14ac:dyDescent="0.25">
      <c r="A35" t="s">
        <v>21</v>
      </c>
      <c r="B35">
        <f>B16-dhap4!B16</f>
        <v>-1.8362826463705124</v>
      </c>
      <c r="D35">
        <f>D16-dhap4!D16</f>
        <v>-0.57472736868036167</v>
      </c>
      <c r="F35">
        <f>F16-dhap4!F16</f>
        <v>-1.6673810754952798</v>
      </c>
      <c r="H35">
        <f>H16-dhap4!H16</f>
        <v>-0.17389390220350776</v>
      </c>
      <c r="J35">
        <f>J16-dhap4!J16</f>
        <v>-1.4968265507407745</v>
      </c>
      <c r="L35">
        <f>L16-dhap4!L16</f>
        <v>1.4115341439038946</v>
      </c>
    </row>
    <row r="37" spans="1:12" x14ac:dyDescent="0.25">
      <c r="A37" t="s">
        <v>111</v>
      </c>
    </row>
    <row r="38" spans="1:12" x14ac:dyDescent="0.25">
      <c r="A38">
        <v>1.4839400290137403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"/>
  <sheetViews>
    <sheetView workbookViewId="0">
      <selection activeCell="K15" sqref="K15"/>
    </sheetView>
  </sheetViews>
  <sheetFormatPr defaultColWidth="8.85546875" defaultRowHeight="15" x14ac:dyDescent="0.25"/>
  <sheetData>
    <row r="1" spans="1:17" x14ac:dyDescent="0.25">
      <c r="A1" t="s">
        <v>0</v>
      </c>
      <c r="B1" t="s">
        <v>1</v>
      </c>
      <c r="C1" s="1" t="s">
        <v>46</v>
      </c>
      <c r="D1" t="s">
        <v>2</v>
      </c>
      <c r="E1" s="2" t="s">
        <v>47</v>
      </c>
      <c r="F1" t="s">
        <v>3</v>
      </c>
      <c r="G1" s="3" t="s">
        <v>48</v>
      </c>
      <c r="H1" t="s">
        <v>4</v>
      </c>
      <c r="I1" s="4" t="s">
        <v>49</v>
      </c>
      <c r="J1" t="s">
        <v>5</v>
      </c>
      <c r="K1" s="5" t="s">
        <v>50</v>
      </c>
      <c r="Q1" s="6"/>
    </row>
    <row r="2" spans="1:17" x14ac:dyDescent="0.25">
      <c r="A2" t="s">
        <v>9</v>
      </c>
      <c r="B2">
        <v>0.73196095838846287</v>
      </c>
      <c r="C2" s="1">
        <v>6.6225124959576706E-2</v>
      </c>
      <c r="D2">
        <v>0.14496421249999999</v>
      </c>
      <c r="E2" s="2">
        <v>0.61881514010194805</v>
      </c>
      <c r="F2" s="8">
        <v>0.81995604800123834</v>
      </c>
      <c r="G2" s="10">
        <v>1.6347989883004101E-2</v>
      </c>
      <c r="H2" s="8">
        <v>1.0714336565602602</v>
      </c>
      <c r="I2" s="11">
        <v>1.1178235493982801E-2</v>
      </c>
      <c r="J2">
        <v>0.74430445493906683</v>
      </c>
      <c r="K2" s="5">
        <v>0.41128551861353002</v>
      </c>
      <c r="Q2" s="6"/>
    </row>
    <row r="3" spans="1:17" x14ac:dyDescent="0.25">
      <c r="A3" t="s">
        <v>43</v>
      </c>
      <c r="B3">
        <v>0.28441547585730625</v>
      </c>
      <c r="C3" s="1">
        <v>0.80428010771091896</v>
      </c>
      <c r="D3">
        <v>0.11871667018009736</v>
      </c>
      <c r="E3" s="2">
        <v>9.3043166064454993E-2</v>
      </c>
      <c r="F3">
        <v>0.24248202470672395</v>
      </c>
      <c r="G3" s="3">
        <v>0.530502564300395</v>
      </c>
      <c r="H3">
        <v>0.42377107330383662</v>
      </c>
      <c r="I3" s="4">
        <v>9.7511793375244099E-2</v>
      </c>
      <c r="J3">
        <v>0.15046460473685133</v>
      </c>
      <c r="K3" s="5">
        <v>0.93527943946683101</v>
      </c>
      <c r="Q3" s="6"/>
    </row>
    <row r="4" spans="1:17" x14ac:dyDescent="0.25">
      <c r="A4" t="s">
        <v>10</v>
      </c>
      <c r="B4">
        <v>0.45342637964655225</v>
      </c>
      <c r="C4" s="1">
        <v>0.33061324554751997</v>
      </c>
      <c r="D4">
        <v>0.81538764105036476</v>
      </c>
      <c r="E4" s="2">
        <v>0.58761063110676703</v>
      </c>
      <c r="F4">
        <v>0.79846647049787922</v>
      </c>
      <c r="G4" s="3">
        <v>0.876273721691745</v>
      </c>
      <c r="H4">
        <v>0.99429538209623602</v>
      </c>
      <c r="I4" s="4">
        <v>0.12610118972802201</v>
      </c>
      <c r="J4">
        <v>0.46925600441927212</v>
      </c>
      <c r="K4" s="5">
        <v>0.84451617033304205</v>
      </c>
      <c r="Q4" s="6"/>
    </row>
    <row r="5" spans="1:17" x14ac:dyDescent="0.25">
      <c r="A5" t="s">
        <v>11</v>
      </c>
      <c r="B5">
        <v>0.4608948061007912</v>
      </c>
      <c r="C5" s="1">
        <v>0.41886387925431101</v>
      </c>
      <c r="D5">
        <v>0.21030085485672378</v>
      </c>
      <c r="E5" s="2">
        <v>0.54683519144140802</v>
      </c>
      <c r="F5">
        <v>0.35326105333333335</v>
      </c>
      <c r="G5" s="3">
        <v>0.60936795919082498</v>
      </c>
      <c r="H5">
        <v>0.19055156255900554</v>
      </c>
      <c r="I5" s="4">
        <v>0.51888455220311103</v>
      </c>
      <c r="J5">
        <v>0.21552022493393999</v>
      </c>
      <c r="K5" s="5">
        <v>0.92811381976317897</v>
      </c>
      <c r="Q5" s="6"/>
    </row>
    <row r="6" spans="1:17" x14ac:dyDescent="0.25">
      <c r="A6" t="s">
        <v>12</v>
      </c>
      <c r="B6">
        <v>2.2058735208546802</v>
      </c>
      <c r="C6" s="1">
        <v>0.73074475229926095</v>
      </c>
      <c r="D6">
        <v>1.1786077634842786</v>
      </c>
      <c r="E6" s="2">
        <v>0.482119508817688</v>
      </c>
      <c r="F6">
        <v>1.2905826242518879</v>
      </c>
      <c r="G6" s="3">
        <v>7.7299330333445299E-2</v>
      </c>
      <c r="H6">
        <v>0.4916199175</v>
      </c>
      <c r="I6" s="4">
        <v>0.41648763304756098</v>
      </c>
      <c r="J6">
        <v>1.3921678012940406</v>
      </c>
      <c r="K6" s="5">
        <v>0.92618166088133702</v>
      </c>
      <c r="Q6" s="6"/>
    </row>
    <row r="7" spans="1:17" x14ac:dyDescent="0.25">
      <c r="A7" t="s">
        <v>13</v>
      </c>
      <c r="B7" s="8">
        <v>0.64475954754760201</v>
      </c>
      <c r="C7" s="12">
        <v>3.9736164584284001E-2</v>
      </c>
      <c r="D7" s="8">
        <v>0.66995000558654283</v>
      </c>
      <c r="E7" s="9">
        <v>2.23753114222145E-3</v>
      </c>
      <c r="F7" s="8">
        <v>0.30278475982353292</v>
      </c>
      <c r="G7" s="10">
        <v>2.4759724199063201E-3</v>
      </c>
      <c r="H7">
        <v>2.7752321822670072</v>
      </c>
      <c r="I7" s="4">
        <v>0.42442038054964198</v>
      </c>
      <c r="J7">
        <v>0.5935956166666666</v>
      </c>
      <c r="K7" s="5">
        <v>0.57583799773840905</v>
      </c>
      <c r="Q7" s="6"/>
    </row>
    <row r="8" spans="1:17" x14ac:dyDescent="0.25">
      <c r="A8" t="s">
        <v>14</v>
      </c>
      <c r="B8">
        <v>0.43774998205257776</v>
      </c>
      <c r="C8" s="1">
        <v>0.30555896896170998</v>
      </c>
      <c r="D8">
        <v>0.43849311791251955</v>
      </c>
      <c r="E8" s="2">
        <v>0.220796800536256</v>
      </c>
      <c r="F8">
        <v>0.76788976667560949</v>
      </c>
      <c r="G8" s="3">
        <v>0.34273266373509897</v>
      </c>
      <c r="H8" s="8">
        <v>0.22637127400612189</v>
      </c>
      <c r="I8" s="11">
        <v>1.6849469393969401E-2</v>
      </c>
      <c r="J8">
        <v>0.37496426644171071</v>
      </c>
      <c r="K8" s="5">
        <v>0.80207673397527102</v>
      </c>
      <c r="Q8" s="6"/>
    </row>
    <row r="9" spans="1:17" x14ac:dyDescent="0.25">
      <c r="A9" t="s">
        <v>44</v>
      </c>
      <c r="B9">
        <v>1.5013730923338535</v>
      </c>
      <c r="C9" s="1">
        <v>0.188669282824656</v>
      </c>
      <c r="D9">
        <v>0.6277874361547251</v>
      </c>
      <c r="E9" s="2">
        <v>0.12432946611666799</v>
      </c>
      <c r="F9">
        <v>1.0041604632610561</v>
      </c>
      <c r="G9" s="3">
        <v>0.23980199199243199</v>
      </c>
      <c r="H9" s="8">
        <v>0.84832098951067203</v>
      </c>
      <c r="I9" s="11">
        <v>8.1068674348867605E-3</v>
      </c>
      <c r="J9">
        <v>0.71164361498469086</v>
      </c>
      <c r="K9" s="5">
        <v>0.62139200244320303</v>
      </c>
      <c r="Q9" s="6"/>
    </row>
    <row r="10" spans="1:17" x14ac:dyDescent="0.25">
      <c r="A10" t="s">
        <v>15</v>
      </c>
      <c r="B10">
        <v>0.98487777242194785</v>
      </c>
      <c r="C10" s="1">
        <v>0.40967747091093998</v>
      </c>
      <c r="D10" s="8">
        <v>0.2619316157582125</v>
      </c>
      <c r="E10" s="9">
        <v>4.93615335741312E-2</v>
      </c>
      <c r="F10">
        <v>0.95976088688505279</v>
      </c>
      <c r="G10" s="3">
        <v>7.5060611423136706E-2</v>
      </c>
      <c r="H10">
        <v>0.18423751642473782</v>
      </c>
      <c r="I10" s="4">
        <v>5.3349459021998002E-2</v>
      </c>
      <c r="J10">
        <v>1.1808006760628482</v>
      </c>
      <c r="K10" s="5">
        <v>0.83537027035042999</v>
      </c>
      <c r="Q10" s="6"/>
    </row>
    <row r="11" spans="1:17" x14ac:dyDescent="0.25">
      <c r="A11" t="s">
        <v>17</v>
      </c>
      <c r="B11">
        <v>0.32720893600037404</v>
      </c>
      <c r="C11" s="1">
        <v>0.673063017606508</v>
      </c>
      <c r="D11">
        <v>0.66052658200869196</v>
      </c>
      <c r="E11" s="2">
        <v>0.48391674975244903</v>
      </c>
      <c r="F11">
        <v>0.48812149622299889</v>
      </c>
      <c r="G11" s="3">
        <v>0.37967438937929698</v>
      </c>
      <c r="H11">
        <v>0.17935851790222482</v>
      </c>
      <c r="I11" s="4">
        <v>0.61551986182630103</v>
      </c>
      <c r="J11">
        <v>0.33465980202409912</v>
      </c>
      <c r="K11" s="5">
        <v>0.96518223885221099</v>
      </c>
      <c r="Q11" s="6"/>
    </row>
    <row r="12" spans="1:17" x14ac:dyDescent="0.25">
      <c r="A12" t="s">
        <v>18</v>
      </c>
      <c r="B12">
        <v>0.40843235903427011</v>
      </c>
      <c r="C12" s="1">
        <v>9.5712795892028399E-2</v>
      </c>
      <c r="D12">
        <v>0.22444515148049549</v>
      </c>
      <c r="E12" s="2">
        <v>0.44634237725270698</v>
      </c>
      <c r="F12">
        <v>0.2701562313972582</v>
      </c>
      <c r="G12" s="3">
        <v>0.31255665386579601</v>
      </c>
      <c r="H12">
        <v>0.47534330958917531</v>
      </c>
      <c r="I12" s="4">
        <v>0.98678976939878205</v>
      </c>
      <c r="J12">
        <v>0.24294211036626259</v>
      </c>
      <c r="K12" s="5">
        <v>0.517815470814041</v>
      </c>
      <c r="Q12" s="6"/>
    </row>
    <row r="13" spans="1:17" x14ac:dyDescent="0.25">
      <c r="A13" t="s">
        <v>45</v>
      </c>
      <c r="B13" s="8">
        <v>2.3983895595421014</v>
      </c>
      <c r="C13" s="12">
        <v>4.6121189181980403E-3</v>
      </c>
      <c r="D13" s="8">
        <v>1.4810038545271709</v>
      </c>
      <c r="E13" s="9">
        <v>7.7677111137565303E-3</v>
      </c>
      <c r="F13" s="8">
        <v>0.58230280615206864</v>
      </c>
      <c r="G13" s="10">
        <v>1.9659043514537101E-2</v>
      </c>
      <c r="H13">
        <v>1.0585255764974113</v>
      </c>
      <c r="I13" s="4">
        <v>6.5379185175656995E-2</v>
      </c>
      <c r="J13">
        <v>0.93924439150083294</v>
      </c>
      <c r="K13" s="5">
        <v>0.28757918915574399</v>
      </c>
      <c r="Q13" s="6"/>
    </row>
    <row r="14" spans="1:17" x14ac:dyDescent="0.25">
      <c r="A14" t="s">
        <v>19</v>
      </c>
      <c r="B14">
        <v>0.75535691061280219</v>
      </c>
      <c r="C14" s="1">
        <v>0.174295602147962</v>
      </c>
      <c r="D14">
        <v>0.62721720810126891</v>
      </c>
      <c r="E14" s="2">
        <v>0.86844583111990603</v>
      </c>
      <c r="F14" s="8">
        <v>0.97974249373728306</v>
      </c>
      <c r="G14" s="10">
        <v>4.3268390080787603E-2</v>
      </c>
      <c r="H14" s="8">
        <v>0.26309154089346093</v>
      </c>
      <c r="I14" s="11">
        <v>8.3521584494051695E-3</v>
      </c>
      <c r="J14">
        <v>0.28948651797476016</v>
      </c>
      <c r="K14" s="5">
        <v>0.81524617305381997</v>
      </c>
      <c r="Q14" s="6"/>
    </row>
    <row r="15" spans="1:17" x14ac:dyDescent="0.25">
      <c r="A15" t="s">
        <v>20</v>
      </c>
      <c r="B15" s="8">
        <v>0.42309070613697153</v>
      </c>
      <c r="C15" s="12">
        <v>4.0424970068182499E-3</v>
      </c>
      <c r="D15">
        <v>0.79689119036002243</v>
      </c>
      <c r="E15" s="2">
        <v>5.7965913592618802E-2</v>
      </c>
      <c r="F15">
        <v>1.3855619897066838</v>
      </c>
      <c r="G15" s="3">
        <v>0.218104991549528</v>
      </c>
      <c r="H15" s="8">
        <v>0.77795102432132301</v>
      </c>
      <c r="I15" s="11">
        <v>1.17388410353965E-2</v>
      </c>
      <c r="J15">
        <v>0.65675156177689098</v>
      </c>
      <c r="K15" s="5">
        <v>0.21974386864794401</v>
      </c>
      <c r="Q15" s="6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workbookViewId="0">
      <selection activeCell="A38" sqref="A38"/>
    </sheetView>
  </sheetViews>
  <sheetFormatPr defaultColWidth="8.85546875" defaultRowHeight="15" x14ac:dyDescent="0.25"/>
  <sheetData>
    <row r="1" spans="1:13" x14ac:dyDescent="0.25">
      <c r="A1" t="s">
        <v>0</v>
      </c>
      <c r="B1" t="s">
        <v>1</v>
      </c>
      <c r="C1" s="14" t="s">
        <v>22</v>
      </c>
      <c r="D1" t="s">
        <v>2</v>
      </c>
      <c r="E1" s="15" t="s">
        <v>23</v>
      </c>
      <c r="F1" t="s">
        <v>3</v>
      </c>
      <c r="G1" s="16" t="s">
        <v>24</v>
      </c>
      <c r="H1" t="s">
        <v>4</v>
      </c>
      <c r="I1" s="17" t="s">
        <v>25</v>
      </c>
      <c r="J1" t="s">
        <v>5</v>
      </c>
      <c r="K1" s="18" t="s">
        <v>26</v>
      </c>
      <c r="L1" t="s">
        <v>6</v>
      </c>
      <c r="M1" s="19" t="s">
        <v>27</v>
      </c>
    </row>
    <row r="2" spans="1:13" x14ac:dyDescent="0.25">
      <c r="A2" t="s">
        <v>7</v>
      </c>
      <c r="B2">
        <v>0.4626754318609364</v>
      </c>
      <c r="C2" s="14">
        <v>0.762384490029694</v>
      </c>
      <c r="D2">
        <v>0.15279255295581717</v>
      </c>
      <c r="E2" s="15">
        <v>0.44624975588118598</v>
      </c>
      <c r="F2">
        <v>1.3657310862797341</v>
      </c>
      <c r="G2" s="16">
        <v>0.78551996118716705</v>
      </c>
      <c r="H2">
        <v>0.12707023692455555</v>
      </c>
      <c r="I2" s="17">
        <v>0.29160072506103601</v>
      </c>
      <c r="J2">
        <v>0.21905920758481426</v>
      </c>
      <c r="K2" s="18">
        <v>0.82577386681059695</v>
      </c>
      <c r="L2">
        <v>1.1398467129902972</v>
      </c>
      <c r="M2" s="7">
        <v>4.5710095337786E-2</v>
      </c>
    </row>
    <row r="3" spans="1:13" x14ac:dyDescent="0.25">
      <c r="A3" t="s">
        <v>8</v>
      </c>
      <c r="B3">
        <v>0.35723593869562531</v>
      </c>
      <c r="C3" s="14">
        <v>8.2901279432195593E-2</v>
      </c>
      <c r="D3">
        <v>0.55780119925873328</v>
      </c>
      <c r="E3" s="9">
        <v>9.0782211164155292E-3</v>
      </c>
      <c r="F3">
        <v>0.47877960235110856</v>
      </c>
      <c r="G3" s="16">
        <v>0.52024738694317496</v>
      </c>
      <c r="H3">
        <v>0.20898560262384167</v>
      </c>
      <c r="I3" s="17">
        <v>7.2269282640789106E-2</v>
      </c>
      <c r="J3">
        <v>1.1810744928621502</v>
      </c>
      <c r="K3" s="18">
        <v>0.76388269721491497</v>
      </c>
      <c r="L3">
        <v>1.4863806590050619</v>
      </c>
      <c r="M3" s="19">
        <v>0.45347930983877699</v>
      </c>
    </row>
    <row r="4" spans="1:13" x14ac:dyDescent="0.25">
      <c r="A4" t="s">
        <v>9</v>
      </c>
      <c r="B4">
        <v>0.90011558081758536</v>
      </c>
      <c r="C4" s="14">
        <v>6.6225124959576706E-2</v>
      </c>
      <c r="D4">
        <v>0.14496421249999999</v>
      </c>
      <c r="E4" s="15">
        <v>0.61881514010194805</v>
      </c>
      <c r="F4">
        <v>0.90148647289478656</v>
      </c>
      <c r="G4" s="10">
        <v>1.6347989883004101E-2</v>
      </c>
      <c r="H4">
        <v>1.1611387181509052</v>
      </c>
      <c r="I4" s="11">
        <v>1.1178235493982801E-2</v>
      </c>
      <c r="J4">
        <v>0.82450731316553194</v>
      </c>
      <c r="K4" s="18">
        <v>0.41128551861353002</v>
      </c>
      <c r="L4">
        <v>0.582264769796628</v>
      </c>
      <c r="M4" s="7">
        <v>2.5966862137770701E-2</v>
      </c>
    </row>
    <row r="5" spans="1:13" x14ac:dyDescent="0.25">
      <c r="A5" t="s">
        <v>10</v>
      </c>
      <c r="B5">
        <v>0.48981240736326248</v>
      </c>
      <c r="C5" s="14">
        <v>0.33061324554751997</v>
      </c>
      <c r="D5">
        <v>0.87149237399637991</v>
      </c>
      <c r="E5" s="15">
        <v>0.58761063110676703</v>
      </c>
      <c r="F5">
        <v>0.82236576857011645</v>
      </c>
      <c r="G5" s="16">
        <v>0.876273721691745</v>
      </c>
      <c r="H5">
        <v>0.85061966464244065</v>
      </c>
      <c r="I5" s="17">
        <v>0.12610118972802201</v>
      </c>
      <c r="J5">
        <v>0.47694551403244767</v>
      </c>
      <c r="K5" s="18">
        <v>0.84451617033304205</v>
      </c>
      <c r="L5">
        <v>0.24964235227954554</v>
      </c>
      <c r="M5" s="19">
        <v>0.34787221257796602</v>
      </c>
    </row>
    <row r="6" spans="1:13" x14ac:dyDescent="0.25">
      <c r="A6" t="s">
        <v>11</v>
      </c>
      <c r="B6">
        <v>0.53919484771936999</v>
      </c>
      <c r="C6" s="14">
        <v>0.41886387925431101</v>
      </c>
      <c r="D6">
        <v>0.22838319627603076</v>
      </c>
      <c r="E6" s="15">
        <v>0.54683519144140802</v>
      </c>
      <c r="F6">
        <v>0.35326105333333335</v>
      </c>
      <c r="G6" s="16">
        <v>0.60936795919082498</v>
      </c>
      <c r="H6">
        <v>0.2109639925790423</v>
      </c>
      <c r="I6" s="17">
        <v>0.51888455220311103</v>
      </c>
      <c r="J6">
        <v>0.31788333656766593</v>
      </c>
      <c r="K6" s="18">
        <v>0.92811381976317897</v>
      </c>
      <c r="L6">
        <v>0.14531069376985575</v>
      </c>
      <c r="M6" s="19">
        <v>0.117144834533319</v>
      </c>
    </row>
    <row r="7" spans="1:13" x14ac:dyDescent="0.25">
      <c r="A7" t="s">
        <v>12</v>
      </c>
      <c r="B7">
        <v>1.8772329472862099</v>
      </c>
      <c r="C7" s="14">
        <v>0.73074475229926095</v>
      </c>
      <c r="D7">
        <v>1.2474521243564705</v>
      </c>
      <c r="E7" s="15">
        <v>0.482119508817688</v>
      </c>
      <c r="F7">
        <v>0.75333445247800024</v>
      </c>
      <c r="G7" s="16">
        <v>7.7299330333445299E-2</v>
      </c>
      <c r="H7">
        <v>0.4916199175</v>
      </c>
      <c r="I7" s="17">
        <v>0.41648763304756098</v>
      </c>
      <c r="J7">
        <v>1.4216501938128534</v>
      </c>
      <c r="K7" s="18">
        <v>0.92618166088133702</v>
      </c>
      <c r="L7">
        <v>0.65088124148596604</v>
      </c>
      <c r="M7" s="7">
        <v>1.5741522728162101E-2</v>
      </c>
    </row>
    <row r="8" spans="1:13" x14ac:dyDescent="0.25">
      <c r="A8" t="s">
        <v>13</v>
      </c>
      <c r="B8">
        <v>0.61389426628471611</v>
      </c>
      <c r="C8" s="12">
        <v>3.9736164584284001E-2</v>
      </c>
      <c r="D8">
        <v>0.63748804176114648</v>
      </c>
      <c r="E8" s="9">
        <v>2.23753114222145E-3</v>
      </c>
      <c r="F8">
        <v>0.34184948867449244</v>
      </c>
      <c r="G8" s="10">
        <v>2.4759724199063201E-3</v>
      </c>
      <c r="H8">
        <v>2.933505171494831</v>
      </c>
      <c r="I8" s="17">
        <v>0.42442038054964198</v>
      </c>
      <c r="J8">
        <v>0.5935956166666666</v>
      </c>
      <c r="K8" s="18">
        <v>0.57583799773840905</v>
      </c>
      <c r="L8">
        <v>0.44983652846587024</v>
      </c>
      <c r="M8" s="7">
        <v>1.1238296525258799E-3</v>
      </c>
    </row>
    <row r="9" spans="1:13" x14ac:dyDescent="0.25">
      <c r="A9" t="s">
        <v>14</v>
      </c>
      <c r="B9">
        <v>0.50708771563796151</v>
      </c>
      <c r="C9" s="14">
        <v>0.30555896896170998</v>
      </c>
      <c r="D9">
        <v>0.32852979205774646</v>
      </c>
      <c r="E9" s="15">
        <v>0.220796800536256</v>
      </c>
      <c r="F9">
        <v>1.0040339976676582</v>
      </c>
      <c r="G9" s="16">
        <v>0.34273266373509897</v>
      </c>
      <c r="H9">
        <v>0.29029038495044573</v>
      </c>
      <c r="I9" s="11">
        <v>1.6849469393969401E-2</v>
      </c>
      <c r="J9">
        <v>0.59870135577062611</v>
      </c>
      <c r="K9" s="18">
        <v>0.80207673397527102</v>
      </c>
      <c r="L9">
        <v>0.25505546107370297</v>
      </c>
      <c r="M9" s="19">
        <v>8.3557084326203193E-2</v>
      </c>
    </row>
    <row r="10" spans="1:13" x14ac:dyDescent="0.25">
      <c r="A10" t="s">
        <v>15</v>
      </c>
      <c r="B10">
        <v>1.0028187056340261</v>
      </c>
      <c r="C10" s="14">
        <v>0.40967747091093998</v>
      </c>
      <c r="D10">
        <v>0.27652269952154035</v>
      </c>
      <c r="E10" s="9">
        <v>4.93615335741312E-2</v>
      </c>
      <c r="F10">
        <v>0.80071593824197607</v>
      </c>
      <c r="G10" s="16">
        <v>7.5060611423136706E-2</v>
      </c>
      <c r="H10">
        <v>0.15169200835037225</v>
      </c>
      <c r="I10" s="17">
        <v>5.3349459021998002E-2</v>
      </c>
      <c r="J10">
        <v>1.1359474851194502</v>
      </c>
      <c r="K10" s="18">
        <v>0.83537027035042999</v>
      </c>
      <c r="L10">
        <v>0.3051887353605614</v>
      </c>
      <c r="M10" s="7">
        <v>2.0751052693414899E-3</v>
      </c>
    </row>
    <row r="11" spans="1:13" x14ac:dyDescent="0.25">
      <c r="A11" t="s">
        <v>16</v>
      </c>
      <c r="B11">
        <v>1.7731801945704169</v>
      </c>
      <c r="C11" s="14">
        <v>0.312866167848105</v>
      </c>
      <c r="D11">
        <v>0.8987564632521462</v>
      </c>
      <c r="E11" s="15">
        <v>0.36919882166698498</v>
      </c>
      <c r="F11">
        <v>0.66216561921054939</v>
      </c>
      <c r="G11" s="16">
        <v>0.32044779172975002</v>
      </c>
      <c r="H11">
        <v>0.16012829144870808</v>
      </c>
      <c r="I11" s="17">
        <v>1.01926877470356</v>
      </c>
      <c r="J11">
        <v>0.41779906674451478</v>
      </c>
      <c r="K11" s="18">
        <v>0.41730594570108798</v>
      </c>
      <c r="L11">
        <v>1.2805756395260535</v>
      </c>
      <c r="M11" s="19">
        <v>0.32964773522541801</v>
      </c>
    </row>
    <row r="12" spans="1:13" x14ac:dyDescent="0.25">
      <c r="A12" t="s">
        <v>17</v>
      </c>
      <c r="B12">
        <v>0.32723539144577113</v>
      </c>
      <c r="C12" s="14">
        <v>0.673063017606508</v>
      </c>
      <c r="D12">
        <v>0.74017169653541204</v>
      </c>
      <c r="E12" s="15">
        <v>0.48391674975244903</v>
      </c>
      <c r="F12">
        <v>0.58160917739961693</v>
      </c>
      <c r="G12" s="16">
        <v>0.37967438937929698</v>
      </c>
      <c r="H12">
        <v>0.18565727407406529</v>
      </c>
      <c r="I12" s="17">
        <v>0.61551986182630103</v>
      </c>
      <c r="J12">
        <v>0.28844890317684529</v>
      </c>
      <c r="K12" s="18">
        <v>0.96518223885221099</v>
      </c>
      <c r="L12">
        <v>0.25072801500726832</v>
      </c>
      <c r="M12" s="19">
        <v>0.77989454444137896</v>
      </c>
    </row>
    <row r="13" spans="1:13" x14ac:dyDescent="0.25">
      <c r="A13" t="s">
        <v>18</v>
      </c>
      <c r="B13">
        <v>0.48172398845737263</v>
      </c>
      <c r="C13" s="14">
        <v>9.5712795892028399E-2</v>
      </c>
      <c r="D13">
        <v>0.28339322734799127</v>
      </c>
      <c r="E13" s="15">
        <v>0.44634237725270698</v>
      </c>
      <c r="F13">
        <v>0.36730152662802995</v>
      </c>
      <c r="G13" s="16">
        <v>0.31255665386579601</v>
      </c>
      <c r="H13">
        <v>0.46932238597155024</v>
      </c>
      <c r="I13" s="17">
        <v>0.98678976939878205</v>
      </c>
      <c r="J13">
        <v>0.30650249968007665</v>
      </c>
      <c r="K13" s="18">
        <v>0.517815470814041</v>
      </c>
      <c r="L13">
        <v>0.33614088650703561</v>
      </c>
      <c r="M13" s="19">
        <v>0.297478016852251</v>
      </c>
    </row>
    <row r="14" spans="1:13" x14ac:dyDescent="0.25">
      <c r="A14" t="s">
        <v>19</v>
      </c>
      <c r="B14">
        <v>0.79567428119799466</v>
      </c>
      <c r="C14" s="14">
        <v>0.174295602147962</v>
      </c>
      <c r="D14">
        <v>0.6784524929883361</v>
      </c>
      <c r="E14" s="15">
        <v>0.86844583111990603</v>
      </c>
      <c r="F14">
        <v>0.75943043973992574</v>
      </c>
      <c r="G14" s="10">
        <v>4.3268390080787603E-2</v>
      </c>
      <c r="H14">
        <v>0.33245232916029122</v>
      </c>
      <c r="I14" s="11">
        <v>8.3521584494051695E-3</v>
      </c>
      <c r="J14">
        <v>0.27372971687689046</v>
      </c>
      <c r="K14" s="18">
        <v>0.81524617305381997</v>
      </c>
      <c r="L14">
        <v>0.64139544738551846</v>
      </c>
      <c r="M14" s="19">
        <v>6.5292475138674894E-2</v>
      </c>
    </row>
    <row r="15" spans="1:13" x14ac:dyDescent="0.25">
      <c r="A15" t="s">
        <v>20</v>
      </c>
      <c r="B15">
        <v>0.43089158369338448</v>
      </c>
      <c r="C15" s="12">
        <v>4.0424970068182499E-3</v>
      </c>
      <c r="D15">
        <v>0.93592931959264936</v>
      </c>
      <c r="E15" s="15">
        <v>5.7965913592618802E-2</v>
      </c>
      <c r="F15">
        <v>0.6580882219550338</v>
      </c>
      <c r="G15" s="16">
        <v>0.218104991549528</v>
      </c>
      <c r="H15">
        <v>0.60282861256513942</v>
      </c>
      <c r="I15" s="11">
        <v>1.17388410353965E-2</v>
      </c>
      <c r="J15">
        <v>0.67583849652841221</v>
      </c>
      <c r="K15" s="18">
        <v>0.21974386864794401</v>
      </c>
      <c r="L15">
        <v>0.54471542288733055</v>
      </c>
      <c r="M15" s="19">
        <v>0.26584607245743602</v>
      </c>
    </row>
    <row r="16" spans="1:13" x14ac:dyDescent="0.25">
      <c r="A16" t="s">
        <v>21</v>
      </c>
      <c r="B16">
        <v>1.8651974403578822</v>
      </c>
      <c r="C16" s="12">
        <v>8.8957362296602296E-3</v>
      </c>
      <c r="D16">
        <v>0.77831005432069222</v>
      </c>
      <c r="E16" s="15">
        <v>0.31603437363464698</v>
      </c>
      <c r="F16">
        <v>1.3692977920227287</v>
      </c>
      <c r="G16" s="16">
        <v>0.250267714639267</v>
      </c>
      <c r="H16">
        <v>1.3345884937697419</v>
      </c>
      <c r="I16" s="17">
        <v>1.01343777505961</v>
      </c>
      <c r="J16">
        <v>0.2862267918306054</v>
      </c>
      <c r="K16" s="18">
        <v>0.88243598341370999</v>
      </c>
      <c r="L16">
        <v>3.1590337508333337</v>
      </c>
      <c r="M16" s="19">
        <v>0.45617091532496501</v>
      </c>
    </row>
    <row r="20" spans="1:12" x14ac:dyDescent="0.25">
      <c r="A20" t="s">
        <v>152</v>
      </c>
    </row>
    <row r="21" spans="1:12" x14ac:dyDescent="0.25">
      <c r="A21" t="s">
        <v>7</v>
      </c>
      <c r="B21">
        <f>B2-dhap4!B2</f>
        <v>-0.55218616802758402</v>
      </c>
      <c r="D21">
        <f>D2-dhap4!D2</f>
        <v>-1.0460367924230174</v>
      </c>
      <c r="F21">
        <f>F2-dhap4!F2</f>
        <v>-8.9453576042877403E-2</v>
      </c>
      <c r="H21">
        <f>H2-dhap4!H2</f>
        <v>-1.242710351624253</v>
      </c>
      <c r="J21">
        <f>J2-dhap4!J2</f>
        <v>-0.84175026864753055</v>
      </c>
      <c r="L21">
        <f>L2-dhap4!L2</f>
        <v>-0.33382791312488203</v>
      </c>
    </row>
    <row r="22" spans="1:12" x14ac:dyDescent="0.25">
      <c r="A22" t="s">
        <v>8</v>
      </c>
      <c r="B22">
        <f>B3-dhap4!B3</f>
        <v>-0.76319285694836247</v>
      </c>
      <c r="D22">
        <f>D3-dhap4!D3</f>
        <v>-0.90756399122641662</v>
      </c>
      <c r="F22">
        <f>F3-dhap4!F3</f>
        <v>-0.97229787625939101</v>
      </c>
      <c r="H22">
        <f>H3-dhap4!H3</f>
        <v>-1.5433697591266</v>
      </c>
      <c r="J22">
        <f>J3-dhap4!J3</f>
        <v>-2.9977254208471082E-2</v>
      </c>
      <c r="L22">
        <f>L3-dhap4!L3</f>
        <v>9.0541461831957992E-2</v>
      </c>
    </row>
    <row r="23" spans="1:12" x14ac:dyDescent="0.25">
      <c r="A23" t="s">
        <v>9</v>
      </c>
      <c r="B23">
        <f>B4-dhap4!B4</f>
        <v>-0.55853716239700857</v>
      </c>
      <c r="D23">
        <f>D4-dhap4!D4</f>
        <v>-1.5744223426702637</v>
      </c>
      <c r="F23">
        <f>F4-dhap4!F4</f>
        <v>-0.28097824784374537</v>
      </c>
      <c r="H23">
        <f>H4-dhap4!H4</f>
        <v>-4.8052125787387157E-2</v>
      </c>
      <c r="J23">
        <f>J4-dhap4!J4</f>
        <v>-0.28190645856312868</v>
      </c>
      <c r="L23">
        <f>L4-dhap4!L4</f>
        <v>-0.82187853832363678</v>
      </c>
    </row>
    <row r="24" spans="1:12" x14ac:dyDescent="0.25">
      <c r="A24" t="s">
        <v>10</v>
      </c>
      <c r="B24">
        <f>B5-dhap4!B5</f>
        <v>-1.3641008082303436</v>
      </c>
      <c r="D24">
        <f>D5-dhap4!D5</f>
        <v>-0.97411949702420497</v>
      </c>
      <c r="F24">
        <f>F5-dhap4!F5</f>
        <v>-0.20586835790433544</v>
      </c>
      <c r="H24">
        <f>H5-dhap4!H5</f>
        <v>-1.1043292770903452</v>
      </c>
      <c r="J24">
        <f>J5-dhap4!J5</f>
        <v>-0.71188889378143672</v>
      </c>
      <c r="L24">
        <f>L5-dhap4!L5</f>
        <v>-0.9291025673700074</v>
      </c>
    </row>
    <row r="25" spans="1:12" x14ac:dyDescent="0.25">
      <c r="A25" t="s">
        <v>11</v>
      </c>
      <c r="B25">
        <f>B6-dhap4!B6</f>
        <v>-0.63013936121474501</v>
      </c>
      <c r="D25">
        <f>D6-dhap4!D6</f>
        <v>-0.98840764068989073</v>
      </c>
      <c r="F25">
        <f>F6-dhap4!F6</f>
        <v>-0.80099285302372358</v>
      </c>
      <c r="H25">
        <f>H6-dhap4!H6</f>
        <v>-0.91578576644694265</v>
      </c>
      <c r="J25">
        <f>J6-dhap4!J6</f>
        <v>-0.89145630461506342</v>
      </c>
      <c r="L25">
        <f>L6-dhap4!L6</f>
        <v>-1.4251767127465635</v>
      </c>
    </row>
    <row r="26" spans="1:12" x14ac:dyDescent="0.25">
      <c r="A26" t="s">
        <v>12</v>
      </c>
      <c r="B26">
        <f>B7-dhap4!B7</f>
        <v>0.68244175126703288</v>
      </c>
      <c r="D26">
        <f>D7-dhap4!D7</f>
        <v>0.18679895166740001</v>
      </c>
      <c r="F26">
        <f>F7-dhap4!F7</f>
        <v>-1.2996157111801478</v>
      </c>
      <c r="H26">
        <f>H7-dhap4!H7</f>
        <v>-1.0208378535236642</v>
      </c>
      <c r="J26">
        <f>J7-dhap4!J7</f>
        <v>0.36105690550700098</v>
      </c>
      <c r="L26">
        <f>L7-dhap4!L7</f>
        <v>-1.0680230241611253</v>
      </c>
    </row>
    <row r="27" spans="1:12" x14ac:dyDescent="0.25">
      <c r="A27" t="s">
        <v>13</v>
      </c>
      <c r="B27">
        <f>B8-dhap4!B8</f>
        <v>-0.43826205848512545</v>
      </c>
      <c r="D27">
        <f>D8-dhap4!D8</f>
        <v>-0.60850347080459011</v>
      </c>
      <c r="F27">
        <f>F8-dhap4!F8</f>
        <v>-0.6628143985048125</v>
      </c>
      <c r="H27">
        <f>H8-dhap4!H8</f>
        <v>1.8756192005290448</v>
      </c>
      <c r="J27">
        <f>J8-dhap4!J8</f>
        <v>-2.2192373532709508</v>
      </c>
      <c r="L27">
        <f>L8-dhap4!L8</f>
        <v>-1.0508675458885293</v>
      </c>
    </row>
    <row r="28" spans="1:12" x14ac:dyDescent="0.25">
      <c r="A28" t="s">
        <v>14</v>
      </c>
      <c r="B28">
        <f>B9-dhap4!B9</f>
        <v>-0.58495952285073549</v>
      </c>
      <c r="D28">
        <f>D9-dhap4!D9</f>
        <v>-1.3699690161173121</v>
      </c>
      <c r="F28">
        <f>F9-dhap4!F9</f>
        <v>-0.22193972543644191</v>
      </c>
      <c r="H28">
        <f>H9-dhap4!H9</f>
        <v>-1.0757450915330475</v>
      </c>
      <c r="J28">
        <f>J9-dhap4!J9</f>
        <v>-0.70825608043488086</v>
      </c>
      <c r="L28">
        <f>L9-dhap4!L9</f>
        <v>-0.88686696110004748</v>
      </c>
    </row>
    <row r="29" spans="1:12" x14ac:dyDescent="0.25">
      <c r="A29" t="s">
        <v>15</v>
      </c>
      <c r="B29">
        <f>B10-dhap4!B10</f>
        <v>2.467376617294903E-3</v>
      </c>
      <c r="D29">
        <f>D10-dhap4!D10</f>
        <v>-0.98094928505928092</v>
      </c>
      <c r="F29">
        <f>F10-dhap4!F10</f>
        <v>-0.48068818093332355</v>
      </c>
      <c r="H29">
        <f>H10-dhap4!H10</f>
        <v>-1.2997728479800286</v>
      </c>
      <c r="J29">
        <f>J10-dhap4!J10</f>
        <v>-4.8867613214860661E-2</v>
      </c>
      <c r="L29">
        <f>L10-dhap4!L10</f>
        <v>-2.4215430617587805</v>
      </c>
    </row>
    <row r="30" spans="1:12" x14ac:dyDescent="0.25">
      <c r="A30" t="s">
        <v>16</v>
      </c>
      <c r="B30">
        <f>B11-dhap4!B11</f>
        <v>0.18298743748470714</v>
      </c>
      <c r="D30">
        <f>D11-dhap4!D11</f>
        <v>-0.61825138030133642</v>
      </c>
      <c r="F30">
        <f>F11-dhap4!F11</f>
        <v>-2.4940623779910336</v>
      </c>
      <c r="H30">
        <f>H11-dhap4!H11</f>
        <v>-1.3770992082860989</v>
      </c>
      <c r="J30">
        <f>J11-dhap4!J11</f>
        <v>-5.4895575944627399</v>
      </c>
      <c r="L30">
        <f>L11-dhap4!L11</f>
        <v>2.8612437010640868E-2</v>
      </c>
    </row>
    <row r="31" spans="1:12" x14ac:dyDescent="0.25">
      <c r="A31" t="s">
        <v>17</v>
      </c>
      <c r="B31">
        <f>B12-dhap4!B12</f>
        <v>-0.95563431907892671</v>
      </c>
      <c r="D31">
        <f>D12-dhap4!D12</f>
        <v>-0.78283606403683048</v>
      </c>
      <c r="F31">
        <f>F12-dhap4!F12</f>
        <v>-0.64918904850189152</v>
      </c>
      <c r="H31">
        <f>H12-dhap4!H12</f>
        <v>-1.2313506852761629</v>
      </c>
      <c r="J31">
        <f>J12-dhap4!J12</f>
        <v>-1.1727072314566389</v>
      </c>
      <c r="L31">
        <f>L12-dhap4!L12</f>
        <v>-0.82599253863294142</v>
      </c>
    </row>
    <row r="32" spans="1:12" x14ac:dyDescent="0.25">
      <c r="A32" t="s">
        <v>18</v>
      </c>
      <c r="B32">
        <f>B13-dhap4!B13</f>
        <v>-0.672624770294869</v>
      </c>
      <c r="D32">
        <f>D13-dhap4!D13</f>
        <v>-0.78414134710277916</v>
      </c>
      <c r="F32">
        <f>F13-dhap4!F13</f>
        <v>-0.68122564169134581</v>
      </c>
      <c r="H32">
        <f>H13-dhap4!H13</f>
        <v>-0.64929434797101848</v>
      </c>
      <c r="J32">
        <f>J13-dhap4!J13</f>
        <v>-0.79555175358055141</v>
      </c>
      <c r="L32">
        <f>L13-dhap4!L13</f>
        <v>-1.1371287283554741</v>
      </c>
    </row>
    <row r="33" spans="1:12" x14ac:dyDescent="0.25">
      <c r="A33" t="s">
        <v>19</v>
      </c>
      <c r="B33">
        <f>B14-dhap4!B14</f>
        <v>-0.34324394138282588</v>
      </c>
      <c r="D33">
        <f>D14-dhap4!D14</f>
        <v>-0.41910294604808984</v>
      </c>
      <c r="F33">
        <f>F14-dhap4!F14</f>
        <v>-2.4126419266442976</v>
      </c>
      <c r="H33">
        <f>H14-dhap4!H14</f>
        <v>-2.1065905453936375</v>
      </c>
      <c r="J33">
        <f>J14-dhap4!J14</f>
        <v>-0.82045626177149944</v>
      </c>
      <c r="L33">
        <f>L14-dhap4!L14</f>
        <v>-1.1785510186309689</v>
      </c>
    </row>
    <row r="34" spans="1:12" x14ac:dyDescent="0.25">
      <c r="A34" t="s">
        <v>20</v>
      </c>
      <c r="B34">
        <f>B15-dhap4!B15</f>
        <v>-0.70822048882130395</v>
      </c>
      <c r="D34">
        <f>D15-dhap4!D15</f>
        <v>-0.2033121754765651</v>
      </c>
      <c r="F34">
        <f>F15-dhap4!F15</f>
        <v>-16.148405576972273</v>
      </c>
      <c r="H34">
        <f>H15-dhap4!H15</f>
        <v>-1.5648209449974233</v>
      </c>
      <c r="J34">
        <f>J15-dhap4!J15</f>
        <v>-0.33321290778533197</v>
      </c>
      <c r="L34">
        <f>L15-dhap4!L15</f>
        <v>-0.68979200991853395</v>
      </c>
    </row>
    <row r="35" spans="1:12" x14ac:dyDescent="0.25">
      <c r="A35" t="s">
        <v>21</v>
      </c>
      <c r="B35">
        <f>B16-dhap4!B16</f>
        <v>-2.2276464657264725</v>
      </c>
      <c r="D35">
        <f>D16-dhap4!D16</f>
        <v>-0.51294705805309881</v>
      </c>
      <c r="F35">
        <f>F16-dhap4!F16</f>
        <v>-1.5927204858558861</v>
      </c>
      <c r="H35">
        <f>H16-dhap4!H16</f>
        <v>2.634771240417888E-2</v>
      </c>
      <c r="J35">
        <f>J16-dhap4!J16</f>
        <v>-1.6391745298909892</v>
      </c>
      <c r="L35">
        <f>L16-dhap4!L16</f>
        <v>1.4115341439038946</v>
      </c>
    </row>
    <row r="37" spans="1:12" x14ac:dyDescent="0.25">
      <c r="A37" t="s">
        <v>111</v>
      </c>
    </row>
    <row r="38" spans="1:12" x14ac:dyDescent="0.25">
      <c r="A38">
        <v>1.4332184572675248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workbookViewId="0">
      <selection activeCell="L16" sqref="L16"/>
    </sheetView>
  </sheetViews>
  <sheetFormatPr defaultColWidth="8.85546875" defaultRowHeight="15" x14ac:dyDescent="0.25"/>
  <sheetData>
    <row r="1" spans="1:13" x14ac:dyDescent="0.25">
      <c r="A1" t="s">
        <v>0</v>
      </c>
      <c r="B1" t="s">
        <v>1</v>
      </c>
      <c r="C1" s="14" t="s">
        <v>22</v>
      </c>
      <c r="D1" t="s">
        <v>2</v>
      </c>
      <c r="E1" s="15" t="s">
        <v>23</v>
      </c>
      <c r="F1" t="s">
        <v>3</v>
      </c>
      <c r="G1" s="16" t="s">
        <v>24</v>
      </c>
      <c r="H1" t="s">
        <v>4</v>
      </c>
      <c r="I1" s="17" t="s">
        <v>25</v>
      </c>
      <c r="J1" t="s">
        <v>5</v>
      </c>
      <c r="K1" s="18" t="s">
        <v>26</v>
      </c>
      <c r="L1" t="s">
        <v>6</v>
      </c>
      <c r="M1" s="19" t="s">
        <v>27</v>
      </c>
    </row>
    <row r="2" spans="1:13" x14ac:dyDescent="0.25">
      <c r="A2" t="s">
        <v>7</v>
      </c>
      <c r="B2">
        <f>0.424573182582467/minMSE_dhap4_calculated!B2</f>
        <v>1.0397889147649342</v>
      </c>
      <c r="C2" s="14">
        <v>0.762384490029694</v>
      </c>
      <c r="D2">
        <f>0.196814950835557/minMSE_dhap4_calculated!C2</f>
        <v>2.455697799521428</v>
      </c>
      <c r="E2" s="15">
        <v>0.44624975588118598</v>
      </c>
      <c r="F2">
        <f>1.35942468341642/minMSE_dhap4_calculated!D2</f>
        <v>1.5146642036256568</v>
      </c>
      <c r="G2" s="16">
        <v>0.78551996118716705</v>
      </c>
      <c r="H2">
        <f>0.153538494550569/minMSE_dhap4_calculated!E2</f>
        <v>1.4408600251671462</v>
      </c>
      <c r="I2" s="17">
        <v>0.29160072506103601</v>
      </c>
      <c r="J2">
        <f>0.201340309332841/minMSE_dhap4_calculated!F2</f>
        <v>1.0141306856555381</v>
      </c>
      <c r="K2" s="18">
        <v>0.82577386681059695</v>
      </c>
      <c r="L2">
        <f>1.27656377370501/minMSE_dhap4_calculated!G2</f>
        <v>2.2211723551400793</v>
      </c>
      <c r="M2" s="7">
        <v>4.5710095337786E-2</v>
      </c>
    </row>
    <row r="3" spans="1:13" x14ac:dyDescent="0.25">
      <c r="A3" t="s">
        <v>8</v>
      </c>
      <c r="B3">
        <f>0.459481911345899/minMSE_dhap4_calculated!B3</f>
        <v>2.0301125024144118</v>
      </c>
      <c r="C3" s="14">
        <v>8.2901279432195593E-2</v>
      </c>
      <c r="D3">
        <f>0.242546241099374/minMSE_dhap4_calculated!C3</f>
        <v>1.183271725674208</v>
      </c>
      <c r="E3" s="9">
        <v>9.0782211164155292E-3</v>
      </c>
      <c r="F3">
        <f>0.451586029740804/minMSE_dhap4_calculated!D3</f>
        <v>1.0331291087793979</v>
      </c>
      <c r="G3" s="16">
        <v>0.52024738694317496</v>
      </c>
      <c r="H3">
        <f>0.594630053174317/minMSE_dhap4_calculated!E3</f>
        <v>3.2954128868640034</v>
      </c>
      <c r="I3" s="17">
        <v>7.2269282640789106E-2</v>
      </c>
      <c r="J3">
        <f>1.1835669218878/minMSE_dhap4_calculated!F3</f>
        <v>1.2011627606742461</v>
      </c>
      <c r="K3" s="18">
        <v>0.76388269721491497</v>
      </c>
      <c r="L3">
        <f>1.59822124189329/minMSE_dhap4_calculated!G3</f>
        <v>1.8667526772503453</v>
      </c>
      <c r="M3" s="19">
        <v>0.45347930983877699</v>
      </c>
    </row>
    <row r="4" spans="1:13" x14ac:dyDescent="0.25">
      <c r="A4" t="s">
        <v>9</v>
      </c>
      <c r="B4">
        <f>0.783105271767703/minMSE_dhap4_calculated!B4</f>
        <v>1.3771936844476909</v>
      </c>
      <c r="C4" s="14">
        <v>6.6225124959576706E-2</v>
      </c>
      <c r="D4">
        <f>0.1449642125/minMSE_dhap4_calculated!C4</f>
        <v>1.7193865551702636</v>
      </c>
      <c r="E4" s="15">
        <v>0.61881514010194805</v>
      </c>
      <c r="F4">
        <f>0.874363301573134/minMSE_dhap4_calculated!D4</f>
        <v>1.1912430723146983</v>
      </c>
      <c r="G4" s="10">
        <v>1.6347989883004101E-2</v>
      </c>
      <c r="H4">
        <f>1.33524556049307/minMSE_dhap4_calculated!E4</f>
        <v>1.4753627980428186</v>
      </c>
      <c r="I4" s="11">
        <v>1.1178235493982801E-2</v>
      </c>
      <c r="J4">
        <f>1.04050101348865/minMSE_dhap4_calculated!F4</f>
        <v>1.4956502154258788</v>
      </c>
      <c r="K4" s="18">
        <v>0.41128551861353002</v>
      </c>
      <c r="L4">
        <f>0.914197469283981/minMSE_dhap4_calculated!G4</f>
        <v>1.8948112056598767</v>
      </c>
      <c r="M4" s="7">
        <v>2.5966862137770701E-2</v>
      </c>
    </row>
    <row r="5" spans="1:13" x14ac:dyDescent="0.25">
      <c r="A5" t="s">
        <v>10</v>
      </c>
      <c r="B5">
        <f>0.369943801829902/minMSE_dhap4_calculated!B5</f>
        <v>1.3394669891653781</v>
      </c>
      <c r="C5" s="14">
        <v>0.33061324554751997</v>
      </c>
      <c r="D5">
        <f>0.525862412714179/minMSE_dhap4_calculated!C5</f>
        <v>1.0736921978193046</v>
      </c>
      <c r="E5" s="15">
        <v>0.58761063110676703</v>
      </c>
      <c r="F5">
        <f>0.771074019711655/minMSE_dhap4_calculated!D5</f>
        <v>1.0307696811843905</v>
      </c>
      <c r="G5" s="16">
        <v>0.876273721691745</v>
      </c>
      <c r="H5">
        <f>0.513970951211293/minMSE_dhap4_calculated!E5</f>
        <v>1.1344196928466046</v>
      </c>
      <c r="I5" s="17">
        <v>0.12610118972802201</v>
      </c>
      <c r="J5">
        <f>0.481171110304324/minMSE_dhap4_calculated!F5</f>
        <v>1.1365917166812787</v>
      </c>
      <c r="K5" s="18">
        <v>0.84451617033304205</v>
      </c>
      <c r="L5">
        <f>0.306626379142206/minMSE_dhap4_calculated!G5</f>
        <v>1.5803582397912823</v>
      </c>
      <c r="M5" s="19">
        <v>0.34787221257796602</v>
      </c>
    </row>
    <row r="6" spans="1:13" x14ac:dyDescent="0.25">
      <c r="A6" t="s">
        <v>11</v>
      </c>
      <c r="B6">
        <f>0.53768683604368/minMSE_dhap4_calculated!B6</f>
        <v>1.3255304461839912</v>
      </c>
      <c r="C6" s="14">
        <v>0.41886387925431101</v>
      </c>
      <c r="D6">
        <f>0.238093781126063/minMSE_dhap4_calculated!C6</f>
        <v>1.4384942977300545</v>
      </c>
      <c r="E6" s="15">
        <v>0.54683519144140802</v>
      </c>
      <c r="F6">
        <f>0.353261053333333/minMSE_dhap4_calculated!D6</f>
        <v>1.1542539063570569</v>
      </c>
      <c r="G6" s="16">
        <v>0.60936795919082498</v>
      </c>
      <c r="H6">
        <f>0.211246645615824/minMSE_dhap4_calculated!E6</f>
        <v>1.2744864233453905</v>
      </c>
      <c r="I6" s="17">
        <v>0.51888455220311103</v>
      </c>
      <c r="J6">
        <f>0.30346551228694/minMSE_dhap4_calculated!F6</f>
        <v>1.5481873541884152</v>
      </c>
      <c r="K6" s="18">
        <v>0.92811381976317897</v>
      </c>
      <c r="L6">
        <f>0.157057188656062/minMSE_dhap4_calculated!G6</f>
        <v>1.4322080292747552</v>
      </c>
      <c r="M6" s="19">
        <v>0.117144834533319</v>
      </c>
    </row>
    <row r="7" spans="1:13" x14ac:dyDescent="0.25">
      <c r="A7" t="s">
        <v>12</v>
      </c>
      <c r="B7">
        <f>1.86635693849951/minMSE_dhap4_calculated!B7</f>
        <v>1.0371096914989408</v>
      </c>
      <c r="C7" s="14">
        <v>0.73074475229926095</v>
      </c>
      <c r="D7">
        <f>1.37652187625725/minMSE_dhap4_calculated!C7</f>
        <v>1.2575168855219654</v>
      </c>
      <c r="E7" s="15">
        <v>0.482119508817688</v>
      </c>
      <c r="F7">
        <f>1.83609546111446/minMSE_dhap4_calculated!D7</f>
        <v>2.803380396556757</v>
      </c>
      <c r="G7" s="16">
        <v>7.7299330333445299E-2</v>
      </c>
      <c r="H7">
        <f>0.4916199175/minMSE_dhap4_calculated!E7</f>
        <v>1.5124577710236642</v>
      </c>
      <c r="I7" s="17">
        <v>0.41648763304756098</v>
      </c>
      <c r="J7">
        <f>1.65948048193268/minMSE_dhap4_calculated!F7</f>
        <v>1.2382516515189279</v>
      </c>
      <c r="K7" s="18">
        <v>0.92618166088133702</v>
      </c>
      <c r="L7">
        <f>1.09849679381844/minMSE_dhap4_calculated!G7</f>
        <v>3.3737926960747298</v>
      </c>
      <c r="M7" s="7">
        <v>1.5741522728162101E-2</v>
      </c>
    </row>
    <row r="8" spans="1:13" x14ac:dyDescent="0.25">
      <c r="A8" t="s">
        <v>13</v>
      </c>
      <c r="B8">
        <f>0.617529173763479/minMSE_dhap4_calculated!B8</f>
        <v>1.0517950263340001</v>
      </c>
      <c r="C8" s="12">
        <v>3.9736164584284001E-2</v>
      </c>
      <c r="D8">
        <f>0.843594181363067/minMSE_dhap4_calculated!C8</f>
        <v>1.5365878294135755</v>
      </c>
      <c r="E8" s="9">
        <v>2.23753114222145E-3</v>
      </c>
      <c r="F8">
        <f>0.346981971944004/minMSE_dhap4_calculated!D8</f>
        <v>1.1748493408143781</v>
      </c>
      <c r="G8" s="10">
        <v>2.4759724199063201E-3</v>
      </c>
      <c r="H8">
        <f>2.68074794987737/minMSE_dhap4_calculated!E8</f>
        <v>1.0029319073294447</v>
      </c>
      <c r="I8" s="17">
        <v>0.42442038054964198</v>
      </c>
      <c r="J8">
        <f>0.593595616666667/minMSE_dhap4_calculated!F8</f>
        <v>2.8128329699376176</v>
      </c>
      <c r="K8" s="18">
        <v>0.57583799773840905</v>
      </c>
      <c r="L8">
        <f>0.46121834224088/minMSE_dhap4_calculated!G8</f>
        <v>1.3211100575808961</v>
      </c>
      <c r="M8" s="7">
        <v>1.1238296525258799E-3</v>
      </c>
    </row>
    <row r="9" spans="1:13" x14ac:dyDescent="0.25">
      <c r="A9" t="s">
        <v>14</v>
      </c>
      <c r="B9">
        <f>0.476761857547031/minMSE_dhap4_calculated!B9</f>
        <v>1.123363284811538</v>
      </c>
      <c r="C9" s="14">
        <v>0.30555896896170998</v>
      </c>
      <c r="D9">
        <f>0.27772119381193/minMSE_dhap4_calculated!C9</f>
        <v>1.2262795273916631</v>
      </c>
      <c r="E9" s="15">
        <v>0.220796800536256</v>
      </c>
      <c r="F9">
        <f>0.78583729615848/minMSE_dhap4_calculated!D9</f>
        <v>1.2523200503235381</v>
      </c>
      <c r="G9" s="16">
        <v>0.34273266373509897</v>
      </c>
      <c r="H9">
        <f>0.334700708174962/minMSE_dhap4_calculated!E9</f>
        <v>2.2097079963215536</v>
      </c>
      <c r="I9" s="11">
        <v>1.6849469393969401E-2</v>
      </c>
      <c r="J9">
        <f>0.441335362083384/minMSE_dhap4_calculated!F9</f>
        <v>1.2845997407328005</v>
      </c>
      <c r="K9" s="18">
        <v>0.80207673397527102</v>
      </c>
      <c r="L9">
        <f>0.320280541449366/minMSE_dhap4_calculated!G9</f>
        <v>1.463160145209381</v>
      </c>
      <c r="M9" s="19">
        <v>8.3557084326203193E-2</v>
      </c>
    </row>
    <row r="10" spans="1:13" x14ac:dyDescent="0.25">
      <c r="A10" t="s">
        <v>15</v>
      </c>
      <c r="B10">
        <f>1.00912235579461/minMSE_dhap4_calculated!B10</f>
        <v>1.0274794774669183</v>
      </c>
      <c r="C10" s="14">
        <v>0.40967747091093998</v>
      </c>
      <c r="D10">
        <f>0.278318907881697/minMSE_dhap4_calculated!C10</f>
        <v>1.1451396391681004</v>
      </c>
      <c r="E10" s="9">
        <v>4.93615335741312E-2</v>
      </c>
      <c r="F10">
        <f>0.814466951202926/minMSE_dhap4_calculated!D10</f>
        <v>1.0752504892781585</v>
      </c>
      <c r="G10" s="16">
        <v>7.5060611423136706E-2</v>
      </c>
      <c r="H10">
        <f>0.135063323924003/minMSE_dhap4_calculated!E10</f>
        <v>1.1001898850910594</v>
      </c>
      <c r="I10" s="17">
        <v>5.3349459021998002E-2</v>
      </c>
      <c r="J10">
        <f>1.10882191403986/minMSE_dhap4_calculated!F10</f>
        <v>1.108006861883911</v>
      </c>
      <c r="K10" s="18">
        <v>0.83537027035042999</v>
      </c>
      <c r="L10">
        <f>0.30113916206186/minMSE_dhap4_calculated!G10</f>
        <v>3.0439470464818856</v>
      </c>
      <c r="M10" s="7">
        <v>2.0751052693414899E-3</v>
      </c>
    </row>
    <row r="11" spans="1:13" x14ac:dyDescent="0.25">
      <c r="A11" t="s">
        <v>16</v>
      </c>
      <c r="B11">
        <f>1.61933329185396/minMSE_dhap4_calculated!B11</f>
        <v>1.4334933765310967</v>
      </c>
      <c r="C11" s="14">
        <v>0.312866167848105</v>
      </c>
      <c r="D11">
        <f>0.949196008429255/minMSE_dhap4_calculated!C11</f>
        <v>1.6435203782794063</v>
      </c>
      <c r="E11" s="15">
        <v>0.36919882166698498</v>
      </c>
      <c r="F11">
        <f>0.180763924000502/minMSE_dhap4_calculated!D11</f>
        <v>1.4666542088458225</v>
      </c>
      <c r="G11" s="16">
        <v>0.32044779172975002</v>
      </c>
      <c r="H11">
        <f>0.156786841236021/minMSE_dhap4_calculated!E11</f>
        <v>1.3853262215318725</v>
      </c>
      <c r="I11" s="17">
        <v>1.01926877470356</v>
      </c>
      <c r="J11">
        <f>0.303634716889086/minMSE_dhap4_calculated!F11</f>
        <v>3.3605259782725057</v>
      </c>
      <c r="K11" s="18">
        <v>0.41730594570108798</v>
      </c>
      <c r="L11">
        <f>1.29226484747795/minMSE_dhap4_calculated!G11</f>
        <v>1.2006888083498162</v>
      </c>
      <c r="M11" s="19">
        <v>0.32964773522541801</v>
      </c>
    </row>
    <row r="12" spans="1:13" x14ac:dyDescent="0.25">
      <c r="A12" t="s">
        <v>17</v>
      </c>
      <c r="B12">
        <f>0.343778872019918/minMSE_dhap4_calculated!B12</f>
        <v>1.4271795571190635</v>
      </c>
      <c r="C12" s="14">
        <v>0.673063017606508</v>
      </c>
      <c r="D12">
        <f>0.689810532235404/minMSE_dhap4_calculated!C12</f>
        <v>1.5039460465204235</v>
      </c>
      <c r="E12" s="15">
        <v>0.48391674975244903</v>
      </c>
      <c r="F12">
        <f>0.408229287440039/minMSE_dhap4_calculated!D12</f>
        <v>1.0698553222448168</v>
      </c>
      <c r="G12" s="16">
        <v>0.37967438937929698</v>
      </c>
      <c r="H12">
        <f>0.171670438851654/minMSE_dhap4_calculated!E12</f>
        <v>1.2728172151948964</v>
      </c>
      <c r="I12" s="17">
        <v>0.61551986182630103</v>
      </c>
      <c r="J12">
        <f>0.264657595321729/minMSE_dhap4_calculated!F12</f>
        <v>1.2080769302524583</v>
      </c>
      <c r="K12" s="18">
        <v>0.96518223885221099</v>
      </c>
      <c r="L12">
        <f>0.263572876641703/minMSE_dhap4_calculated!G12</f>
        <v>1.1522120823548065</v>
      </c>
      <c r="M12" s="19">
        <v>0.77989454444137896</v>
      </c>
    </row>
    <row r="13" spans="1:13" x14ac:dyDescent="0.25">
      <c r="A13" t="s">
        <v>18</v>
      </c>
      <c r="B13">
        <f>0.477603457996366/minMSE_dhap4_calculated!B13</f>
        <v>1.3660391220943313</v>
      </c>
      <c r="C13" s="14">
        <v>9.5712795892028399E-2</v>
      </c>
      <c r="D13">
        <f>0.349677366236912/minMSE_dhap4_calculated!C13</f>
        <v>1.6502614677750338</v>
      </c>
      <c r="E13" s="15">
        <v>0.44634237725270698</v>
      </c>
      <c r="F13">
        <f>0.284854569158604/minMSE_dhap4_calculated!D13</f>
        <v>1.0658917466836288</v>
      </c>
      <c r="G13" s="16">
        <v>0.31255665386579601</v>
      </c>
      <c r="H13">
        <f>0.467308291732627/minMSE_dhap4_calculated!E13</f>
        <v>1.1254036681056498</v>
      </c>
      <c r="I13" s="17">
        <v>0.98678976939878205</v>
      </c>
      <c r="J13">
        <f>0.280934741442721/minMSE_dhap4_calculated!F13</f>
        <v>1.2846428423002081</v>
      </c>
      <c r="K13" s="18">
        <v>0.517815470814041</v>
      </c>
      <c r="L13">
        <f>0.315926167677671/minMSE_dhap4_calculated!G13</f>
        <v>1.4800556959839619</v>
      </c>
      <c r="M13" s="19">
        <v>0.297478016852251</v>
      </c>
    </row>
    <row r="14" spans="1:13" x14ac:dyDescent="0.25">
      <c r="A14" t="s">
        <v>19</v>
      </c>
      <c r="B14">
        <f>0.90221024828133/minMSE_dhap4_calculated!B14</f>
        <v>1.3998176983498927</v>
      </c>
      <c r="C14" s="14">
        <v>0.174295602147962</v>
      </c>
      <c r="D14">
        <f>0.658224379632748/minMSE_dhap4_calculated!C14</f>
        <v>1.1582389212589144</v>
      </c>
      <c r="E14" s="15">
        <v>0.86844583111990603</v>
      </c>
      <c r="F14">
        <f>0.556492309087597/minMSE_dhap4_calculated!D14</f>
        <v>1.6934564473112343</v>
      </c>
      <c r="G14" s="10">
        <v>4.3268390080787603E-2</v>
      </c>
      <c r="H14">
        <f>0.791008977092519/minMSE_dhap4_calculated!E14</f>
        <v>7.6093666650061609</v>
      </c>
      <c r="I14" s="11">
        <v>8.3521584494051695E-3</v>
      </c>
      <c r="J14">
        <f>0.391979728184969/minMSE_dhap4_calculated!F14</f>
        <v>1.4954623820134936</v>
      </c>
      <c r="K14" s="18">
        <v>0.81524617305381997</v>
      </c>
      <c r="L14">
        <f>0.905282421574772/minMSE_dhap4_calculated!G14</f>
        <v>3.1239230436415868</v>
      </c>
      <c r="M14" s="19">
        <v>6.5292475138674894E-2</v>
      </c>
    </row>
    <row r="15" spans="1:13" x14ac:dyDescent="0.25">
      <c r="A15" t="s">
        <v>20</v>
      </c>
      <c r="B15">
        <f>0.367778348999961/minMSE_dhap4_calculated!B15</f>
        <v>1.0346677977593088</v>
      </c>
      <c r="C15" s="12">
        <v>4.0424970068182499E-3</v>
      </c>
      <c r="D15">
        <f>0.743976239653116/minMSE_dhap4_calculated!C15</f>
        <v>1.1548609395429263</v>
      </c>
      <c r="E15" s="15">
        <v>5.7965913592618802E-2</v>
      </c>
      <c r="F15">
        <f>0.120664025295648/minMSE_dhap4_calculated!D15</f>
        <v>1.3620198618662702</v>
      </c>
      <c r="G15" s="16">
        <v>0.218104991549528</v>
      </c>
      <c r="H15">
        <f>0.450635667542788/minMSE_dhap4_calculated!E15</f>
        <v>1.3494648954057065</v>
      </c>
      <c r="I15" s="11">
        <v>1.17388410353965E-2</v>
      </c>
      <c r="J15">
        <f>0.676799786001959/minMSE_dhap4_calculated!F15</f>
        <v>1.0333393588927624</v>
      </c>
      <c r="K15" s="18">
        <v>0.21974386864794401</v>
      </c>
      <c r="L15">
        <f>0.458472591023506/minMSE_dhap4_calculated!G15</f>
        <v>1.1230353246996001</v>
      </c>
      <c r="M15" s="19">
        <v>0.26584607245743602</v>
      </c>
    </row>
    <row r="16" spans="1:13" x14ac:dyDescent="0.25">
      <c r="A16" t="s">
        <v>21</v>
      </c>
      <c r="B16">
        <f>0.578267017876699/minMSE_dhap4_calculated!B16</f>
        <v>1.0273541995152973</v>
      </c>
      <c r="C16" s="12">
        <v>8.8957362296602296E-3</v>
      </c>
      <c r="D16">
        <f>0.821242681507617/minMSE_dhap4_calculated!C16</f>
        <v>1.5746118189716976</v>
      </c>
      <c r="E16" s="15">
        <v>0.31603437363464698</v>
      </c>
      <c r="F16">
        <f>0.783953356278028/minMSE_dhap4_calculated!D16</f>
        <v>1.8138166892534642</v>
      </c>
      <c r="G16" s="16">
        <v>0.250267714639267</v>
      </c>
      <c r="H16">
        <f>0.875120084186324/minMSE_dhap4_calculated!E16</f>
        <v>1.0142608009206702</v>
      </c>
      <c r="I16" s="17">
        <v>1.01343777505961</v>
      </c>
      <c r="J16">
        <f>0.31976082407535/minMSE_dhap4_calculated!F16</f>
        <v>1.3359192350291713</v>
      </c>
      <c r="K16" s="18">
        <v>0.88243598341370999</v>
      </c>
      <c r="L16">
        <f>3.15903375083333/minMSE_dhap4_calculated!G16</f>
        <v>1.7474996069294391</v>
      </c>
      <c r="M16" s="19">
        <v>0.45617091532496501</v>
      </c>
    </row>
    <row r="20" spans="1:12" x14ac:dyDescent="0.25">
      <c r="A20" t="s">
        <v>154</v>
      </c>
    </row>
    <row r="21" spans="1:12" x14ac:dyDescent="0.25">
      <c r="A21" t="s">
        <v>7</v>
      </c>
      <c r="B21">
        <f>B2-dhap4!B2</f>
        <v>2.4927314876413753E-2</v>
      </c>
      <c r="D21">
        <f>D2-dhap4!D2</f>
        <v>1.2568684541425934</v>
      </c>
      <c r="F21">
        <f>F2-dhap4!F2</f>
        <v>5.9479541303045336E-2</v>
      </c>
      <c r="H21">
        <f>H2-dhap4!H2</f>
        <v>7.1079436618337599E-2</v>
      </c>
      <c r="J21">
        <f>J2-dhap4!J2</f>
        <v>-4.6678790576806684E-2</v>
      </c>
      <c r="L21">
        <f>L2-dhap4!L2</f>
        <v>0.74749772902490008</v>
      </c>
    </row>
    <row r="22" spans="1:12" x14ac:dyDescent="0.25">
      <c r="A22" t="s">
        <v>8</v>
      </c>
      <c r="B22">
        <f>B3-dhap4!B3</f>
        <v>0.90968370677042398</v>
      </c>
      <c r="D22">
        <f>D3-dhap4!D3</f>
        <v>-0.28209346481094189</v>
      </c>
      <c r="F22">
        <f>F3-dhap4!F3</f>
        <v>-0.41794836983110173</v>
      </c>
      <c r="H22">
        <f>H3-dhap4!H3</f>
        <v>1.5430575251135616</v>
      </c>
      <c r="J22">
        <f>J3-dhap4!J3</f>
        <v>-9.8889863963751434E-3</v>
      </c>
      <c r="L22">
        <f>L3-dhap4!L3</f>
        <v>0.47091348007724143</v>
      </c>
    </row>
    <row r="23" spans="1:12" x14ac:dyDescent="0.25">
      <c r="A23" t="s">
        <v>9</v>
      </c>
      <c r="B23">
        <f>B4-dhap4!B4</f>
        <v>-8.145905876690307E-2</v>
      </c>
      <c r="D23">
        <f>D4-dhap4!D4</f>
        <v>0</v>
      </c>
      <c r="F23">
        <f>F4-dhap4!F4</f>
        <v>8.7783515761663544E-3</v>
      </c>
      <c r="H23">
        <f>H4-dhap4!H4</f>
        <v>0.26617195410452621</v>
      </c>
      <c r="J23">
        <f>J4-dhap4!J4</f>
        <v>0.38923644369721822</v>
      </c>
      <c r="L23">
        <f>L4-dhap4!L4</f>
        <v>0.49066789753961193</v>
      </c>
    </row>
    <row r="24" spans="1:12" x14ac:dyDescent="0.25">
      <c r="A24" t="s">
        <v>10</v>
      </c>
      <c r="B24">
        <f>B5-dhap4!B5</f>
        <v>-0.51444622642822813</v>
      </c>
      <c r="D24">
        <f>D5-dhap4!D5</f>
        <v>-0.7719196732012803</v>
      </c>
      <c r="F24">
        <f>F5-dhap4!F5</f>
        <v>2.5355547099386033E-3</v>
      </c>
      <c r="H24">
        <f>H5-dhap4!H5</f>
        <v>-0.82052924888618128</v>
      </c>
      <c r="J24">
        <f>J5-dhap4!J5</f>
        <v>-5.2242691132605712E-2</v>
      </c>
      <c r="L24">
        <f>L5-dhap4!L5</f>
        <v>0.40161332014172935</v>
      </c>
    </row>
    <row r="25" spans="1:12" x14ac:dyDescent="0.25">
      <c r="A25" t="s">
        <v>11</v>
      </c>
      <c r="B25">
        <f>B6-dhap4!B6</f>
        <v>0.15619623724987619</v>
      </c>
      <c r="D25">
        <f>D6-dhap4!D6</f>
        <v>0.22170346076413305</v>
      </c>
      <c r="F25">
        <f>F6-dhap4!F6</f>
        <v>0</v>
      </c>
      <c r="H25">
        <f>H6-dhap4!H6</f>
        <v>0.14773666431940558</v>
      </c>
      <c r="J25">
        <f>J6-dhap4!J6</f>
        <v>0.33884771300568595</v>
      </c>
      <c r="L25">
        <f>L6-dhap4!L6</f>
        <v>-0.13827937724166417</v>
      </c>
    </row>
    <row r="26" spans="1:12" x14ac:dyDescent="0.25">
      <c r="A26" t="s">
        <v>12</v>
      </c>
      <c r="B26">
        <f>B7-dhap4!B7</f>
        <v>-0.15768150452023622</v>
      </c>
      <c r="D26">
        <f>D7-dhap4!D7</f>
        <v>0.19686371283289494</v>
      </c>
      <c r="F26">
        <f>F7-dhap4!F7</f>
        <v>0.750430232898609</v>
      </c>
      <c r="H26">
        <f>H7-dhap4!H7</f>
        <v>0</v>
      </c>
      <c r="J26">
        <f>J7-dhap4!J7</f>
        <v>0.17765836321307549</v>
      </c>
      <c r="L26">
        <f>L7-dhap4!L7</f>
        <v>1.6548884304276386</v>
      </c>
    </row>
    <row r="27" spans="1:12" x14ac:dyDescent="0.25">
      <c r="A27" t="s">
        <v>13</v>
      </c>
      <c r="B27">
        <f>B8-dhap4!B8</f>
        <v>-3.612984358414284E-4</v>
      </c>
      <c r="D27">
        <f>D8-dhap4!D8</f>
        <v>0.29059631684783893</v>
      </c>
      <c r="F27">
        <f>F8-dhap4!F8</f>
        <v>0.17018545363507309</v>
      </c>
      <c r="H27">
        <f>H8-dhap4!H8</f>
        <v>-5.4954063636341477E-2</v>
      </c>
      <c r="J27">
        <f>J8-dhap4!J8</f>
        <v>0</v>
      </c>
      <c r="L27">
        <f>L8-dhap4!L8</f>
        <v>-0.17959401677350351</v>
      </c>
    </row>
    <row r="28" spans="1:12" x14ac:dyDescent="0.25">
      <c r="A28" t="s">
        <v>14</v>
      </c>
      <c r="B28">
        <f>B9-dhap4!B9</f>
        <v>3.1316046322841018E-2</v>
      </c>
      <c r="D28">
        <f>D9-dhap4!D9</f>
        <v>-0.47221928078339537</v>
      </c>
      <c r="F28">
        <f>F9-dhap4!F9</f>
        <v>2.6346327219437971E-2</v>
      </c>
      <c r="H28">
        <f>H9-dhap4!H9</f>
        <v>0.84367251983806035</v>
      </c>
      <c r="J28">
        <f>J9-dhap4!J9</f>
        <v>-2.2357695472706496E-2</v>
      </c>
      <c r="L28">
        <f>L9-dhap4!L9</f>
        <v>0.32123772303563047</v>
      </c>
    </row>
    <row r="29" spans="1:12" x14ac:dyDescent="0.25">
      <c r="A29" t="s">
        <v>15</v>
      </c>
      <c r="B29">
        <f>B10-dhap4!B10</f>
        <v>2.7128148450187073E-2</v>
      </c>
      <c r="D29">
        <f>D10-dhap4!D10</f>
        <v>-0.11233234541272097</v>
      </c>
      <c r="F29">
        <f>F10-dhap4!F10</f>
        <v>-0.20615362989714114</v>
      </c>
      <c r="H29">
        <f>H10-dhap4!H10</f>
        <v>-0.35127497123934148</v>
      </c>
      <c r="J29">
        <f>J10-dhap4!J10</f>
        <v>-7.6808236450399914E-2</v>
      </c>
      <c r="L29">
        <f>L10-dhap4!L10</f>
        <v>0.31721524936254353</v>
      </c>
    </row>
    <row r="30" spans="1:12" x14ac:dyDescent="0.25">
      <c r="A30" t="s">
        <v>16</v>
      </c>
      <c r="B30">
        <f>B11-dhap4!B11</f>
        <v>-0.15669938055461308</v>
      </c>
      <c r="D30">
        <f>D11-dhap4!D11</f>
        <v>0.12651253472592372</v>
      </c>
      <c r="F30">
        <f>F11-dhap4!F11</f>
        <v>-1.6895737883557604</v>
      </c>
      <c r="H30">
        <f>H11-dhap4!H11</f>
        <v>-0.15190127820293453</v>
      </c>
      <c r="J30">
        <f>J11-dhap4!J11</f>
        <v>-2.5468306829347487</v>
      </c>
      <c r="L30">
        <f>L11-dhap4!L11</f>
        <v>-5.1274394165596426E-2</v>
      </c>
    </row>
    <row r="31" spans="1:12" x14ac:dyDescent="0.25">
      <c r="A31" t="s">
        <v>17</v>
      </c>
      <c r="B31">
        <f>B12-dhap4!B12</f>
        <v>0.14430984659436574</v>
      </c>
      <c r="D31">
        <f>D12-dhap4!D12</f>
        <v>-1.9061714051819001E-2</v>
      </c>
      <c r="F31">
        <f>F12-dhap4!F12</f>
        <v>-0.16094290365669162</v>
      </c>
      <c r="H31">
        <f>H12-dhap4!H12</f>
        <v>-0.14419074415533184</v>
      </c>
      <c r="J31">
        <f>J12-dhap4!J12</f>
        <v>-0.25307920438102594</v>
      </c>
      <c r="L31">
        <f>L12-dhap4!L12</f>
        <v>7.5491528714596745E-2</v>
      </c>
    </row>
    <row r="32" spans="1:12" x14ac:dyDescent="0.25">
      <c r="A32" t="s">
        <v>18</v>
      </c>
      <c r="B32">
        <f>B13-dhap4!B13</f>
        <v>0.21169036334208968</v>
      </c>
      <c r="D32">
        <f>D13-dhap4!D13</f>
        <v>0.58272689332426331</v>
      </c>
      <c r="F32">
        <f>F13-dhap4!F13</f>
        <v>1.7364578364253092E-2</v>
      </c>
      <c r="H32">
        <f>H13-dhap4!H13</f>
        <v>6.7869341630810709E-3</v>
      </c>
      <c r="J32">
        <f>J13-dhap4!J13</f>
        <v>0.18258858903957997</v>
      </c>
      <c r="L32">
        <f>L13-dhap4!L13</f>
        <v>6.786081121452181E-3</v>
      </c>
    </row>
    <row r="33" spans="1:12" x14ac:dyDescent="0.25">
      <c r="A33" t="s">
        <v>19</v>
      </c>
      <c r="B33">
        <f>B14-dhap4!B14</f>
        <v>0.26089947576907213</v>
      </c>
      <c r="D33">
        <f>D14-dhap4!D14</f>
        <v>6.0683482222488427E-2</v>
      </c>
      <c r="F33">
        <f>F14-dhap4!F14</f>
        <v>-1.4786159190729891</v>
      </c>
      <c r="H33">
        <f>H14-dhap4!H14</f>
        <v>5.1703237904522323</v>
      </c>
      <c r="J33">
        <f>J14-dhap4!J14</f>
        <v>0.40127640336510373</v>
      </c>
      <c r="L33">
        <f>L14-dhap4!L14</f>
        <v>1.3039765776250996</v>
      </c>
    </row>
    <row r="34" spans="1:12" x14ac:dyDescent="0.25">
      <c r="A34" t="s">
        <v>20</v>
      </c>
      <c r="B34">
        <f>B15-dhap4!B15</f>
        <v>-0.10444427475537954</v>
      </c>
      <c r="D34">
        <f>D15-dhap4!D15</f>
        <v>1.5619444473711885E-2</v>
      </c>
      <c r="F34">
        <f>F15-dhap4!F15</f>
        <v>-15.444473937061035</v>
      </c>
      <c r="H34">
        <f>H15-dhap4!H15</f>
        <v>-0.81818466215685626</v>
      </c>
      <c r="J34">
        <f>J15-dhap4!J15</f>
        <v>2.4287954579018223E-2</v>
      </c>
      <c r="L34">
        <f>L15-dhap4!L15</f>
        <v>-0.1114721081062644</v>
      </c>
    </row>
    <row r="35" spans="1:12" x14ac:dyDescent="0.25">
      <c r="A35" t="s">
        <v>21</v>
      </c>
      <c r="B35">
        <f>B16-dhap4!B16</f>
        <v>-3.0654897065690569</v>
      </c>
      <c r="D35">
        <f>D16-dhap4!D16</f>
        <v>0.28335470659790651</v>
      </c>
      <c r="F35">
        <f>F16-dhap4!F16</f>
        <v>-1.1482015886251506</v>
      </c>
      <c r="H35">
        <f>H16-dhap4!H16</f>
        <v>-0.29397998044489282</v>
      </c>
      <c r="J35">
        <f>J16-dhap4!J16</f>
        <v>-0.5894820866924233</v>
      </c>
      <c r="L35">
        <f>L16-dhap4!L16</f>
        <v>0</v>
      </c>
    </row>
    <row r="37" spans="1:12" x14ac:dyDescent="0.25">
      <c r="A37" t="s">
        <v>111</v>
      </c>
    </row>
    <row r="38" spans="1:12" x14ac:dyDescent="0.25">
      <c r="A38">
        <v>1.3880085624760619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workbookViewId="0">
      <selection activeCell="A20" sqref="A20"/>
    </sheetView>
  </sheetViews>
  <sheetFormatPr defaultColWidth="8.85546875" defaultRowHeight="15" x14ac:dyDescent="0.25"/>
  <sheetData>
    <row r="1" spans="1:13" x14ac:dyDescent="0.25">
      <c r="A1" t="s">
        <v>0</v>
      </c>
      <c r="B1" t="s">
        <v>1</v>
      </c>
      <c r="C1" s="14" t="s">
        <v>22</v>
      </c>
      <c r="D1" t="s">
        <v>2</v>
      </c>
      <c r="E1" s="15" t="s">
        <v>23</v>
      </c>
      <c r="F1" t="s">
        <v>3</v>
      </c>
      <c r="G1" s="16" t="s">
        <v>24</v>
      </c>
      <c r="H1" t="s">
        <v>4</v>
      </c>
      <c r="I1" s="17" t="s">
        <v>25</v>
      </c>
      <c r="J1" t="s">
        <v>5</v>
      </c>
      <c r="K1" s="18" t="s">
        <v>26</v>
      </c>
      <c r="L1" t="s">
        <v>6</v>
      </c>
      <c r="M1" s="19" t="s">
        <v>27</v>
      </c>
    </row>
    <row r="2" spans="1:13" x14ac:dyDescent="0.25">
      <c r="A2" t="s">
        <v>7</v>
      </c>
      <c r="B2">
        <v>0.4362747125721621</v>
      </c>
      <c r="C2" s="14">
        <v>0.762384490029694</v>
      </c>
      <c r="D2">
        <v>8.2965254144200598E-2</v>
      </c>
      <c r="E2" s="15">
        <v>0.44624975588118598</v>
      </c>
      <c r="F2">
        <v>1.1087857096235552</v>
      </c>
      <c r="G2" s="16">
        <v>0.78551996118716705</v>
      </c>
      <c r="H2">
        <v>0.16142379581978167</v>
      </c>
      <c r="I2" s="17">
        <v>0.29160072506103601</v>
      </c>
      <c r="J2">
        <v>0.206464918846478</v>
      </c>
      <c r="K2" s="18">
        <v>0.82577386681059695</v>
      </c>
      <c r="L2">
        <v>0.84757406261458934</v>
      </c>
      <c r="M2" s="7">
        <v>4.5710095337786E-2</v>
      </c>
    </row>
    <row r="3" spans="1:13" x14ac:dyDescent="0.25">
      <c r="A3" t="s">
        <v>8</v>
      </c>
      <c r="B3">
        <v>0.44883888544716577</v>
      </c>
      <c r="C3" s="14">
        <v>8.2901279432195593E-2</v>
      </c>
      <c r="D3">
        <v>1.0257854632027932</v>
      </c>
      <c r="E3" s="9">
        <v>9.0782211164155292E-3</v>
      </c>
      <c r="F3">
        <v>0.48380985266770699</v>
      </c>
      <c r="G3" s="16">
        <v>0.52024738694317496</v>
      </c>
      <c r="H3">
        <v>0.49094721030892158</v>
      </c>
      <c r="I3" s="17">
        <v>7.2269282640789106E-2</v>
      </c>
      <c r="J3">
        <v>1.3102309642935355</v>
      </c>
      <c r="K3" s="18">
        <v>0.76388269721491497</v>
      </c>
      <c r="L3">
        <v>1.7363834945949481</v>
      </c>
      <c r="M3" s="19">
        <v>0.45347930983877699</v>
      </c>
    </row>
    <row r="4" spans="1:13" x14ac:dyDescent="0.25">
      <c r="A4" t="s">
        <v>9</v>
      </c>
      <c r="B4">
        <v>0.71226044915235898</v>
      </c>
      <c r="C4" s="14">
        <v>6.6225124959576706E-2</v>
      </c>
      <c r="D4">
        <v>0.14496421249999999</v>
      </c>
      <c r="E4" s="15">
        <v>0.61881514010194805</v>
      </c>
      <c r="F4">
        <v>0.88033044487344736</v>
      </c>
      <c r="G4" s="10">
        <v>1.6347989883004101E-2</v>
      </c>
      <c r="H4">
        <v>1.2934210876173737</v>
      </c>
      <c r="I4" s="11">
        <v>1.1178235493982801E-2</v>
      </c>
      <c r="J4">
        <v>0.95696198424968226</v>
      </c>
      <c r="K4" s="18">
        <v>0.41128551861353002</v>
      </c>
      <c r="L4">
        <v>0.92881143419867429</v>
      </c>
      <c r="M4" s="7">
        <v>2.5966862137770701E-2</v>
      </c>
    </row>
    <row r="5" spans="1:13" x14ac:dyDescent="0.25">
      <c r="A5" t="s">
        <v>10</v>
      </c>
      <c r="B5">
        <v>0.51835476332337127</v>
      </c>
      <c r="C5" s="14">
        <v>0.33061324554751997</v>
      </c>
      <c r="D5">
        <v>0.90741595918359108</v>
      </c>
      <c r="E5" s="15">
        <v>0.58761063110676703</v>
      </c>
      <c r="F5">
        <v>0.77104494123544409</v>
      </c>
      <c r="G5" s="16">
        <v>0.876273721691745</v>
      </c>
      <c r="H5">
        <v>0.90239803998818602</v>
      </c>
      <c r="I5" s="17">
        <v>0.12610118972802201</v>
      </c>
      <c r="J5">
        <v>0.48257150037989377</v>
      </c>
      <c r="K5" s="18">
        <v>0.84451617033304205</v>
      </c>
      <c r="L5">
        <v>0.22981692060376416</v>
      </c>
      <c r="M5" s="19">
        <v>0.34787221257796602</v>
      </c>
    </row>
    <row r="6" spans="1:13" x14ac:dyDescent="0.25">
      <c r="A6" t="s">
        <v>11</v>
      </c>
      <c r="B6">
        <v>0.46887173539523092</v>
      </c>
      <c r="C6" s="14">
        <v>0.41886387925431101</v>
      </c>
      <c r="D6">
        <v>0.17951902636618763</v>
      </c>
      <c r="E6" s="15">
        <v>0.54683519144140802</v>
      </c>
      <c r="F6">
        <v>0.35326105333333335</v>
      </c>
      <c r="G6" s="16">
        <v>0.60936795919082498</v>
      </c>
      <c r="H6">
        <v>0.1842009217647074</v>
      </c>
      <c r="I6" s="17">
        <v>0.51888455220311103</v>
      </c>
      <c r="J6">
        <v>0.25574609517988595</v>
      </c>
      <c r="K6" s="18">
        <v>0.92811381976317897</v>
      </c>
      <c r="L6">
        <v>0.18335791624049658</v>
      </c>
      <c r="M6" s="19">
        <v>0.117144834533319</v>
      </c>
    </row>
    <row r="7" spans="1:13" x14ac:dyDescent="0.25">
      <c r="A7" t="s">
        <v>12</v>
      </c>
      <c r="B7">
        <v>1.8433498225101255</v>
      </c>
      <c r="C7" s="14">
        <v>0.73074475229926095</v>
      </c>
      <c r="D7">
        <v>1.2058797178144158</v>
      </c>
      <c r="E7" s="15">
        <v>0.482119508817688</v>
      </c>
      <c r="F7">
        <v>0.66317179600678866</v>
      </c>
      <c r="G7" s="16">
        <v>7.7299330333445299E-2</v>
      </c>
      <c r="H7">
        <v>0.4916199175</v>
      </c>
      <c r="I7" s="17">
        <v>0.41648763304756098</v>
      </c>
      <c r="J7">
        <v>1.4480704778224149</v>
      </c>
      <c r="K7" s="18">
        <v>0.92618166088133702</v>
      </c>
      <c r="L7">
        <v>0.77008654351269501</v>
      </c>
      <c r="M7" s="7">
        <v>1.5741522728162101E-2</v>
      </c>
    </row>
    <row r="8" spans="1:13" x14ac:dyDescent="0.25">
      <c r="A8" t="s">
        <v>13</v>
      </c>
      <c r="B8">
        <v>0.60921472215123118</v>
      </c>
      <c r="C8" s="12">
        <v>3.9736164584284001E-2</v>
      </c>
      <c r="D8">
        <v>0.79066586979604603</v>
      </c>
      <c r="E8" s="9">
        <v>2.23753114222145E-3</v>
      </c>
      <c r="F8">
        <v>0.30181609339411947</v>
      </c>
      <c r="G8" s="10">
        <v>2.4759724199063201E-3</v>
      </c>
      <c r="H8">
        <v>2.7310413943760357</v>
      </c>
      <c r="I8" s="17">
        <v>0.42442038054964198</v>
      </c>
      <c r="J8">
        <v>0.5935956166666666</v>
      </c>
      <c r="K8" s="18">
        <v>0.57583799773840905</v>
      </c>
      <c r="L8">
        <v>0.43962825659022503</v>
      </c>
      <c r="M8" s="7">
        <v>1.1238296525258799E-3</v>
      </c>
    </row>
    <row r="9" spans="1:13" x14ac:dyDescent="0.25">
      <c r="A9" t="s">
        <v>14</v>
      </c>
      <c r="B9">
        <v>0.51152204964288017</v>
      </c>
      <c r="C9" s="14">
        <v>0.30555896896170998</v>
      </c>
      <c r="D9">
        <v>0.33904668964316248</v>
      </c>
      <c r="E9" s="15">
        <v>0.220796800536256</v>
      </c>
      <c r="F9">
        <v>0.97889899704315153</v>
      </c>
      <c r="G9" s="16">
        <v>0.34273266373509897</v>
      </c>
      <c r="H9">
        <v>0.22462795202162614</v>
      </c>
      <c r="I9" s="11">
        <v>1.6849469393969401E-2</v>
      </c>
      <c r="J9">
        <v>0.61584965156640292</v>
      </c>
      <c r="K9" s="18">
        <v>0.80207673397527102</v>
      </c>
      <c r="L9">
        <v>0.25989938110815008</v>
      </c>
      <c r="M9" s="19">
        <v>8.3557084326203193E-2</v>
      </c>
    </row>
    <row r="10" spans="1:13" x14ac:dyDescent="0.25">
      <c r="A10" t="s">
        <v>15</v>
      </c>
      <c r="B10">
        <v>0.99921615306695777</v>
      </c>
      <c r="C10" s="14">
        <v>0.40967747091093998</v>
      </c>
      <c r="D10">
        <v>0.26262148971035243</v>
      </c>
      <c r="E10" s="9">
        <v>4.93615335741312E-2</v>
      </c>
      <c r="F10">
        <v>0.87773311922182051</v>
      </c>
      <c r="G10" s="16">
        <v>7.5060611423136706E-2</v>
      </c>
      <c r="H10">
        <v>0.13836163527009285</v>
      </c>
      <c r="I10" s="17">
        <v>5.3349459021998002E-2</v>
      </c>
      <c r="J10">
        <v>1.1208168579332598</v>
      </c>
      <c r="K10" s="18">
        <v>0.83537027035042999</v>
      </c>
      <c r="L10">
        <v>0.28043692734118564</v>
      </c>
      <c r="M10" s="7">
        <v>2.0751052693414899E-3</v>
      </c>
    </row>
    <row r="11" spans="1:13" x14ac:dyDescent="0.25">
      <c r="A11" t="s">
        <v>16</v>
      </c>
      <c r="B11">
        <v>1.8395098945216701</v>
      </c>
      <c r="C11" s="14">
        <v>0.312866167848105</v>
      </c>
      <c r="D11">
        <v>0.91705509579700728</v>
      </c>
      <c r="E11" s="15">
        <v>0.36919882166698498</v>
      </c>
      <c r="F11">
        <v>0.15885854342523453</v>
      </c>
      <c r="G11" s="16">
        <v>0.32044779172975002</v>
      </c>
      <c r="H11">
        <v>0.12303071471188254</v>
      </c>
      <c r="I11" s="17">
        <v>1.01926877470356</v>
      </c>
      <c r="J11">
        <v>0.83530652445821441</v>
      </c>
      <c r="K11" s="18">
        <v>0.41730594570108798</v>
      </c>
      <c r="L11">
        <v>1.2520208018574648</v>
      </c>
      <c r="M11" s="19">
        <v>0.32964773522541801</v>
      </c>
    </row>
    <row r="12" spans="1:13" x14ac:dyDescent="0.25">
      <c r="A12" t="s">
        <v>17</v>
      </c>
      <c r="B12">
        <v>0.33503520663969055</v>
      </c>
      <c r="C12" s="14">
        <v>0.673063017606508</v>
      </c>
      <c r="D12">
        <v>0.72772713764766372</v>
      </c>
      <c r="E12" s="15">
        <v>0.48391674975244903</v>
      </c>
      <c r="F12">
        <v>0.42544381795993091</v>
      </c>
      <c r="G12" s="16">
        <v>0.37967438937929698</v>
      </c>
      <c r="H12">
        <v>0.1807272882946549</v>
      </c>
      <c r="I12" s="17">
        <v>0.61551986182630103</v>
      </c>
      <c r="J12">
        <v>0.27125540039106838</v>
      </c>
      <c r="K12" s="18">
        <v>0.96518223885221099</v>
      </c>
      <c r="L12">
        <v>0.25941929174857603</v>
      </c>
      <c r="M12" s="19">
        <v>0.77989454444137896</v>
      </c>
    </row>
    <row r="13" spans="1:13" x14ac:dyDescent="0.25">
      <c r="A13" t="s">
        <v>18</v>
      </c>
      <c r="B13">
        <v>0.49497217231206025</v>
      </c>
      <c r="C13" s="14">
        <v>9.5712795892028399E-2</v>
      </c>
      <c r="D13">
        <v>0.35787103027421718</v>
      </c>
      <c r="E13" s="15">
        <v>0.44634237725270698</v>
      </c>
      <c r="F13">
        <v>0.35443161577151111</v>
      </c>
      <c r="G13" s="16">
        <v>0.31255665386579601</v>
      </c>
      <c r="H13">
        <v>0.46452110114035988</v>
      </c>
      <c r="I13" s="17">
        <v>0.98678976939878205</v>
      </c>
      <c r="J13">
        <v>0.28954726174648254</v>
      </c>
      <c r="K13" s="18">
        <v>0.517815470814041</v>
      </c>
      <c r="L13">
        <v>0.32875439669151207</v>
      </c>
      <c r="M13" s="19">
        <v>0.297478016852251</v>
      </c>
    </row>
    <row r="14" spans="1:13" x14ac:dyDescent="0.25">
      <c r="A14" t="s">
        <v>19</v>
      </c>
      <c r="B14">
        <v>0.90451303912075831</v>
      </c>
      <c r="C14" s="14">
        <v>0.174295602147962</v>
      </c>
      <c r="D14">
        <v>0.67678061842879755</v>
      </c>
      <c r="E14" s="15">
        <v>0.86844583111990603</v>
      </c>
      <c r="F14">
        <v>1.0873724430573279</v>
      </c>
      <c r="G14" s="10">
        <v>4.3268390080787603E-2</v>
      </c>
      <c r="H14">
        <v>0.70998846344114563</v>
      </c>
      <c r="I14" s="11">
        <v>8.3521584494051695E-3</v>
      </c>
      <c r="J14">
        <v>0.47686521453763153</v>
      </c>
      <c r="K14" s="18">
        <v>0.81524617305381997</v>
      </c>
      <c r="L14">
        <v>0.8803388031789573</v>
      </c>
      <c r="M14" s="19">
        <v>6.5292475138674894E-2</v>
      </c>
    </row>
    <row r="15" spans="1:13" x14ac:dyDescent="0.25">
      <c r="A15" t="s">
        <v>20</v>
      </c>
      <c r="B15">
        <v>0.3602964417971411</v>
      </c>
      <c r="C15" s="12">
        <v>4.0424970068182499E-3</v>
      </c>
      <c r="D15">
        <v>0.72145103283129119</v>
      </c>
      <c r="E15" s="15">
        <v>5.7965913592618802E-2</v>
      </c>
      <c r="F15">
        <v>0.13111329667385291</v>
      </c>
      <c r="G15" s="16">
        <v>0.218104991549528</v>
      </c>
      <c r="H15">
        <v>0.47790787461771594</v>
      </c>
      <c r="I15" s="11">
        <v>1.17388410353965E-2</v>
      </c>
      <c r="J15">
        <v>0.67323500952014348</v>
      </c>
      <c r="K15" s="18">
        <v>0.21974386864794401</v>
      </c>
      <c r="L15">
        <v>0.44571170166608604</v>
      </c>
      <c r="M15" s="19">
        <v>0.26584607245743602</v>
      </c>
    </row>
    <row r="16" spans="1:13" x14ac:dyDescent="0.25">
      <c r="A16" t="s">
        <v>21</v>
      </c>
      <c r="B16">
        <v>2.0801704526112306</v>
      </c>
      <c r="C16" s="12">
        <v>8.8957362296602296E-3</v>
      </c>
      <c r="D16">
        <v>0.62588932222722959</v>
      </c>
      <c r="E16" s="15">
        <v>0.31603437363464698</v>
      </c>
      <c r="F16">
        <v>0.7893704394531178</v>
      </c>
      <c r="G16" s="16">
        <v>0.250267714639267</v>
      </c>
      <c r="H16">
        <v>1.2647908848401352</v>
      </c>
      <c r="I16" s="17">
        <v>1.01343777505961</v>
      </c>
      <c r="J16">
        <v>0.5745059936458764</v>
      </c>
      <c r="K16" s="18">
        <v>0.88243598341370999</v>
      </c>
      <c r="L16">
        <v>3.1590337508333337</v>
      </c>
      <c r="M16" s="19">
        <v>0.45617091532496501</v>
      </c>
    </row>
    <row r="20" spans="1:12" x14ac:dyDescent="0.25">
      <c r="A20" t="s">
        <v>153</v>
      </c>
    </row>
    <row r="21" spans="1:12" x14ac:dyDescent="0.25">
      <c r="A21" t="s">
        <v>7</v>
      </c>
      <c r="B21">
        <f>B2-dhap4!B2</f>
        <v>-0.57858688731635832</v>
      </c>
      <c r="D21">
        <f>D2-dhap4!D2</f>
        <v>-1.115864091234634</v>
      </c>
      <c r="F21">
        <f>F2-dhap4!F2</f>
        <v>-0.3463989526990563</v>
      </c>
      <c r="H21">
        <f>H2-dhap4!H2</f>
        <v>-1.2083567927290269</v>
      </c>
      <c r="J21">
        <f>J2-dhap4!J2</f>
        <v>-0.85434455738586679</v>
      </c>
      <c r="L21">
        <f>L2-dhap4!L2</f>
        <v>-0.62610056350058985</v>
      </c>
    </row>
    <row r="22" spans="1:12" x14ac:dyDescent="0.25">
      <c r="A22" t="s">
        <v>8</v>
      </c>
      <c r="B22">
        <f>B3-dhap4!B3</f>
        <v>-0.67158991019682202</v>
      </c>
      <c r="D22">
        <f>D3-dhap4!D3</f>
        <v>-0.43957972728235672</v>
      </c>
      <c r="F22">
        <f>F3-dhap4!F3</f>
        <v>-0.96726762594279259</v>
      </c>
      <c r="H22">
        <f>H3-dhap4!H3</f>
        <v>-1.2614081514415201</v>
      </c>
      <c r="J22">
        <f>J3-dhap4!J3</f>
        <v>9.9179217222914229E-2</v>
      </c>
      <c r="L22">
        <f>L3-dhap4!L3</f>
        <v>0.34054429742184422</v>
      </c>
    </row>
    <row r="23" spans="1:12" x14ac:dyDescent="0.25">
      <c r="A23" t="s">
        <v>9</v>
      </c>
      <c r="B23">
        <f>B4-dhap4!B4</f>
        <v>-0.74639229406223495</v>
      </c>
      <c r="D23">
        <f>D4-dhap4!D4</f>
        <v>-1.5744223426702637</v>
      </c>
      <c r="F23">
        <f>F4-dhap4!F4</f>
        <v>-0.30213427586508457</v>
      </c>
      <c r="H23">
        <f>H4-dhap4!H4</f>
        <v>8.4230243679081385E-2</v>
      </c>
      <c r="J23">
        <f>J4-dhap4!J4</f>
        <v>-0.14945178747897836</v>
      </c>
      <c r="L23">
        <f>L4-dhap4!L4</f>
        <v>-0.47533187392159049</v>
      </c>
    </row>
    <row r="24" spans="1:12" x14ac:dyDescent="0.25">
      <c r="A24" t="s">
        <v>10</v>
      </c>
      <c r="B24">
        <f>B5-dhap4!B5</f>
        <v>-1.3355584522702348</v>
      </c>
      <c r="D24">
        <f>D5-dhap4!D5</f>
        <v>-0.9381959118369938</v>
      </c>
      <c r="F24">
        <f>F5-dhap4!F5</f>
        <v>-0.2571891852390078</v>
      </c>
      <c r="H24">
        <f>H5-dhap4!H5</f>
        <v>-1.0525509017446</v>
      </c>
      <c r="J24">
        <f>J5-dhap4!J5</f>
        <v>-0.70626290743399056</v>
      </c>
      <c r="L24">
        <f>L5-dhap4!L5</f>
        <v>-0.94892799904578884</v>
      </c>
    </row>
    <row r="25" spans="1:12" x14ac:dyDescent="0.25">
      <c r="A25" t="s">
        <v>11</v>
      </c>
      <c r="B25">
        <f>B6-dhap4!B6</f>
        <v>-0.70046247353888402</v>
      </c>
      <c r="D25">
        <f>D6-dhap4!D6</f>
        <v>-1.0372718105997338</v>
      </c>
      <c r="F25">
        <f>F6-dhap4!F6</f>
        <v>-0.80099285302372358</v>
      </c>
      <c r="H25">
        <f>H6-dhap4!H6</f>
        <v>-0.94254883726127758</v>
      </c>
      <c r="J25">
        <f>J6-dhap4!J6</f>
        <v>-0.9535935460028433</v>
      </c>
      <c r="L25">
        <f>L6-dhap4!L6</f>
        <v>-1.3871294902759228</v>
      </c>
    </row>
    <row r="26" spans="1:12" x14ac:dyDescent="0.25">
      <c r="A26" t="s">
        <v>12</v>
      </c>
      <c r="B26">
        <f>B7-dhap4!B7</f>
        <v>0.64855862649094842</v>
      </c>
      <c r="D26">
        <f>D7-dhap4!D7</f>
        <v>0.14522654512534539</v>
      </c>
      <c r="F26">
        <f>F7-dhap4!F7</f>
        <v>-1.3897783676513593</v>
      </c>
      <c r="H26">
        <f>H7-dhap4!H7</f>
        <v>-1.0208378535236642</v>
      </c>
      <c r="J26">
        <f>J7-dhap4!J7</f>
        <v>0.38747718951656251</v>
      </c>
      <c r="L26">
        <f>L7-dhap4!L7</f>
        <v>-0.94881772213439619</v>
      </c>
    </row>
    <row r="27" spans="1:12" x14ac:dyDescent="0.25">
      <c r="A27" t="s">
        <v>13</v>
      </c>
      <c r="B27">
        <f>B8-dhap4!B8</f>
        <v>-0.44294160261861037</v>
      </c>
      <c r="D27">
        <f>D8-dhap4!D8</f>
        <v>-0.45532564276969056</v>
      </c>
      <c r="F27">
        <f>F8-dhap4!F8</f>
        <v>-0.70284779378518558</v>
      </c>
      <c r="H27">
        <f>H8-dhap4!H8</f>
        <v>1.6731554234102495</v>
      </c>
      <c r="J27">
        <f>J8-dhap4!J8</f>
        <v>-2.2192373532709508</v>
      </c>
      <c r="L27">
        <f>L8-dhap4!L8</f>
        <v>-1.0610758177641746</v>
      </c>
    </row>
    <row r="28" spans="1:12" x14ac:dyDescent="0.25">
      <c r="A28" t="s">
        <v>14</v>
      </c>
      <c r="B28">
        <f>B9-dhap4!B9</f>
        <v>-0.58052518884581683</v>
      </c>
      <c r="D28">
        <f>D9-dhap4!D9</f>
        <v>-1.359452118531896</v>
      </c>
      <c r="F28">
        <f>F9-dhap4!F9</f>
        <v>-0.2470747260609486</v>
      </c>
      <c r="H28">
        <f>H9-dhap4!H9</f>
        <v>-1.1414075244618671</v>
      </c>
      <c r="J28">
        <f>J9-dhap4!J9</f>
        <v>-0.69110778463910405</v>
      </c>
      <c r="L28">
        <f>L9-dhap4!L9</f>
        <v>-0.88202304106560048</v>
      </c>
    </row>
    <row r="29" spans="1:12" x14ac:dyDescent="0.25">
      <c r="A29" t="s">
        <v>15</v>
      </c>
      <c r="B29">
        <f>B10-dhap4!B10</f>
        <v>-1.1351759497734148E-3</v>
      </c>
      <c r="D29">
        <f>D10-dhap4!D10</f>
        <v>-0.99485049487046884</v>
      </c>
      <c r="F29">
        <f>F10-dhap4!F10</f>
        <v>-0.4036709999534791</v>
      </c>
      <c r="H29">
        <f>H10-dhap4!H10</f>
        <v>-1.313103221060308</v>
      </c>
      <c r="J29">
        <f>J10-dhap4!J10</f>
        <v>-6.3998240401051065E-2</v>
      </c>
      <c r="L29">
        <f>L10-dhap4!L10</f>
        <v>-2.4462948697781566</v>
      </c>
    </row>
    <row r="30" spans="1:12" x14ac:dyDescent="0.25">
      <c r="A30" t="s">
        <v>16</v>
      </c>
      <c r="B30">
        <f>B11-dhap4!B11</f>
        <v>0.2493171374359604</v>
      </c>
      <c r="D30">
        <f>D11-dhap4!D11</f>
        <v>-0.59995274775647534</v>
      </c>
      <c r="F30">
        <f>F11-dhap4!F11</f>
        <v>-2.9973694537763484</v>
      </c>
      <c r="H30">
        <f>H11-dhap4!H11</f>
        <v>-1.4141967850229245</v>
      </c>
      <c r="J30">
        <f>J11-dhap4!J11</f>
        <v>-5.0720501367490396</v>
      </c>
      <c r="L30">
        <f>L11-dhap4!L11</f>
        <v>5.7599342052183644E-5</v>
      </c>
    </row>
    <row r="31" spans="1:12" x14ac:dyDescent="0.25">
      <c r="A31" t="s">
        <v>17</v>
      </c>
      <c r="B31">
        <f>B12-dhap4!B12</f>
        <v>-0.94783450388500723</v>
      </c>
      <c r="D31">
        <f>D12-dhap4!D12</f>
        <v>-0.7952806229245788</v>
      </c>
      <c r="F31">
        <f>F12-dhap4!F12</f>
        <v>-0.80535440794157753</v>
      </c>
      <c r="H31">
        <f>H12-dhap4!H12</f>
        <v>-1.2362806710555734</v>
      </c>
      <c r="J31">
        <f>J12-dhap4!J12</f>
        <v>-1.1899007342424159</v>
      </c>
      <c r="L31">
        <f>L12-dhap4!L12</f>
        <v>-0.81730126189163377</v>
      </c>
    </row>
    <row r="32" spans="1:12" x14ac:dyDescent="0.25">
      <c r="A32" t="s">
        <v>18</v>
      </c>
      <c r="B32">
        <f>B13-dhap4!B13</f>
        <v>-0.65937658644018138</v>
      </c>
      <c r="D32">
        <f>D13-dhap4!D13</f>
        <v>-0.70966354417655331</v>
      </c>
      <c r="F32">
        <f>F13-dhap4!F13</f>
        <v>-0.6940955525478647</v>
      </c>
      <c r="H32">
        <f>H13-dhap4!H13</f>
        <v>-0.65409563280220895</v>
      </c>
      <c r="J32">
        <f>J13-dhap4!J13</f>
        <v>-0.81250699151414563</v>
      </c>
      <c r="L32">
        <f>L13-dhap4!L13</f>
        <v>-1.1445152181709977</v>
      </c>
    </row>
    <row r="33" spans="1:12" x14ac:dyDescent="0.25">
      <c r="A33" t="s">
        <v>19</v>
      </c>
      <c r="B33">
        <f>B14-dhap4!B14</f>
        <v>-0.23440518346006223</v>
      </c>
      <c r="D33">
        <f>D14-dhap4!D14</f>
        <v>-0.42077482060762839</v>
      </c>
      <c r="F33">
        <f>F14-dhap4!F14</f>
        <v>-2.0846999233268955</v>
      </c>
      <c r="H33">
        <f>H14-dhap4!H14</f>
        <v>-1.729054411112783</v>
      </c>
      <c r="J33">
        <f>J14-dhap4!J14</f>
        <v>-0.61732076411075831</v>
      </c>
      <c r="L33">
        <f>L14-dhap4!L14</f>
        <v>-0.93960766283752994</v>
      </c>
    </row>
    <row r="34" spans="1:12" x14ac:dyDescent="0.25">
      <c r="A34" t="s">
        <v>20</v>
      </c>
      <c r="B34">
        <f>B15-dhap4!B15</f>
        <v>-0.77881563071754734</v>
      </c>
      <c r="D34">
        <f>D15-dhap4!D15</f>
        <v>-0.41779046223792327</v>
      </c>
      <c r="F34">
        <f>F15-dhap4!F15</f>
        <v>-16.675380502253454</v>
      </c>
      <c r="H34">
        <f>H15-dhap4!H15</f>
        <v>-1.6897416829448468</v>
      </c>
      <c r="J34">
        <f>J15-dhap4!J15</f>
        <v>-0.3358163947936007</v>
      </c>
      <c r="L34">
        <f>L15-dhap4!L15</f>
        <v>-0.78879573113977841</v>
      </c>
    </row>
    <row r="35" spans="1:12" x14ac:dyDescent="0.25">
      <c r="A35" t="s">
        <v>21</v>
      </c>
      <c r="B35">
        <f>B16-dhap4!B16</f>
        <v>-2.0126734534731239</v>
      </c>
      <c r="D35">
        <f>D16-dhap4!D16</f>
        <v>-0.66536779014656144</v>
      </c>
      <c r="F35">
        <f>F16-dhap4!F16</f>
        <v>-2.172647838425497</v>
      </c>
      <c r="H35">
        <f>H16-dhap4!H16</f>
        <v>-4.3449896525427745E-2</v>
      </c>
      <c r="J35">
        <f>J16-dhap4!J16</f>
        <v>-1.3508953280757181</v>
      </c>
      <c r="L35">
        <f>L16-dhap4!L16</f>
        <v>1.4115341439038946</v>
      </c>
    </row>
    <row r="37" spans="1:12" x14ac:dyDescent="0.25">
      <c r="A37" t="s">
        <v>111</v>
      </c>
    </row>
    <row r="38" spans="1:12" x14ac:dyDescent="0.25">
      <c r="A38">
        <v>1.4433091987442899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workbookViewId="0">
      <selection activeCell="A20" sqref="A20"/>
    </sheetView>
  </sheetViews>
  <sheetFormatPr defaultColWidth="8.85546875" defaultRowHeight="15" x14ac:dyDescent="0.25"/>
  <sheetData>
    <row r="1" spans="1:13" x14ac:dyDescent="0.25">
      <c r="A1" t="s">
        <v>0</v>
      </c>
      <c r="B1" t="s">
        <v>1</v>
      </c>
      <c r="C1" s="14" t="s">
        <v>22</v>
      </c>
      <c r="D1" t="s">
        <v>2</v>
      </c>
      <c r="E1" s="15" t="s">
        <v>23</v>
      </c>
      <c r="F1" t="s">
        <v>3</v>
      </c>
      <c r="G1" s="16" t="s">
        <v>24</v>
      </c>
      <c r="H1" t="s">
        <v>4</v>
      </c>
      <c r="I1" s="17" t="s">
        <v>25</v>
      </c>
      <c r="J1" t="s">
        <v>5</v>
      </c>
      <c r="K1" s="18" t="s">
        <v>26</v>
      </c>
      <c r="L1" t="s">
        <v>6</v>
      </c>
      <c r="M1" s="19" t="s">
        <v>27</v>
      </c>
    </row>
    <row r="2" spans="1:13" x14ac:dyDescent="0.25">
      <c r="A2" t="s">
        <v>7</v>
      </c>
      <c r="B2">
        <v>0.46899360108700211</v>
      </c>
      <c r="C2" s="14">
        <v>0.762384490029694</v>
      </c>
      <c r="D2">
        <v>0.10334912244026839</v>
      </c>
      <c r="E2" s="15">
        <v>0.44624975588118598</v>
      </c>
      <c r="F2">
        <v>1.2884953814354394</v>
      </c>
      <c r="G2" s="16">
        <v>0.78551996118716705</v>
      </c>
      <c r="H2">
        <v>0.12488926791099435</v>
      </c>
      <c r="I2" s="17">
        <v>0.29160072506103601</v>
      </c>
      <c r="J2">
        <v>0.22070226460526088</v>
      </c>
      <c r="K2" s="18">
        <v>0.82577386681059695</v>
      </c>
      <c r="L2">
        <v>0.77739679389732208</v>
      </c>
      <c r="M2" s="7">
        <v>4.5710095337786E-2</v>
      </c>
    </row>
    <row r="3" spans="1:13" x14ac:dyDescent="0.25">
      <c r="A3" t="s">
        <v>8</v>
      </c>
      <c r="B3">
        <v>0.43572000891542484</v>
      </c>
      <c r="C3" s="14">
        <v>8.2901279432195593E-2</v>
      </c>
      <c r="D3">
        <v>0.63854898726174814</v>
      </c>
      <c r="E3" s="9">
        <v>9.0782211164155292E-3</v>
      </c>
      <c r="F3">
        <v>0.66057798542653634</v>
      </c>
      <c r="G3" s="16">
        <v>0.52024738694317496</v>
      </c>
      <c r="H3">
        <v>0.37189524891100523</v>
      </c>
      <c r="I3" s="17">
        <v>7.2269282640789106E-2</v>
      </c>
      <c r="J3">
        <v>1.2075916930115469</v>
      </c>
      <c r="K3" s="18">
        <v>0.76388269721491497</v>
      </c>
      <c r="L3">
        <v>1.8090890027394668</v>
      </c>
      <c r="M3" s="19">
        <v>0.45347930983877699</v>
      </c>
    </row>
    <row r="4" spans="1:13" x14ac:dyDescent="0.25">
      <c r="A4" t="s">
        <v>9</v>
      </c>
      <c r="B4">
        <v>0.86234330896195044</v>
      </c>
      <c r="C4" s="14">
        <v>6.6225124959576706E-2</v>
      </c>
      <c r="D4">
        <v>0.14496421249999999</v>
      </c>
      <c r="E4" s="15">
        <v>0.61881514010194805</v>
      </c>
      <c r="F4">
        <v>1.0553027389727532</v>
      </c>
      <c r="G4" s="10">
        <v>1.6347989883004101E-2</v>
      </c>
      <c r="H4">
        <v>1.3628804830553476</v>
      </c>
      <c r="I4" s="11">
        <v>1.1178235493982801E-2</v>
      </c>
      <c r="J4">
        <v>1.0451666888940074</v>
      </c>
      <c r="K4" s="18">
        <v>0.41128551861353002</v>
      </c>
      <c r="L4">
        <v>0.81465206491800968</v>
      </c>
      <c r="M4" s="7">
        <v>2.5966862137770701E-2</v>
      </c>
    </row>
    <row r="5" spans="1:13" x14ac:dyDescent="0.25">
      <c r="A5" t="s">
        <v>10</v>
      </c>
      <c r="B5">
        <v>0.47137423171088538</v>
      </c>
      <c r="C5" s="14">
        <v>0.33061324554751997</v>
      </c>
      <c r="D5">
        <v>0.84058551929178993</v>
      </c>
      <c r="E5" s="15">
        <v>0.58761063110676703</v>
      </c>
      <c r="F5">
        <v>0.78209167392517676</v>
      </c>
      <c r="G5" s="16">
        <v>0.876273721691745</v>
      </c>
      <c r="H5">
        <v>0.93940916754394976</v>
      </c>
      <c r="I5" s="17">
        <v>0.12610118972802201</v>
      </c>
      <c r="J5">
        <v>0.48713137015116342</v>
      </c>
      <c r="K5" s="18">
        <v>0.84451617033304205</v>
      </c>
      <c r="L5">
        <v>0.24235193837945321</v>
      </c>
      <c r="M5" s="19">
        <v>0.34787221257796602</v>
      </c>
    </row>
    <row r="6" spans="1:13" x14ac:dyDescent="0.25">
      <c r="A6" t="s">
        <v>11</v>
      </c>
      <c r="B6">
        <v>0.502030645849325</v>
      </c>
      <c r="C6" s="14">
        <v>0.41886387925431101</v>
      </c>
      <c r="D6">
        <v>0.18108938251704174</v>
      </c>
      <c r="E6" s="15">
        <v>0.54683519144140802</v>
      </c>
      <c r="F6">
        <v>0.35326105333333335</v>
      </c>
      <c r="G6" s="16">
        <v>0.60936795919082498</v>
      </c>
      <c r="H6">
        <v>0.20072125225748286</v>
      </c>
      <c r="I6" s="17">
        <v>0.51888455220311103</v>
      </c>
      <c r="J6">
        <v>0.27915423825034386</v>
      </c>
      <c r="K6" s="18">
        <v>0.92811381976317897</v>
      </c>
      <c r="L6">
        <v>0.13238094100442846</v>
      </c>
      <c r="M6" s="19">
        <v>0.117144834533319</v>
      </c>
    </row>
    <row r="7" spans="1:13" x14ac:dyDescent="0.25">
      <c r="A7" t="s">
        <v>12</v>
      </c>
      <c r="B7">
        <v>1.9428855467434063</v>
      </c>
      <c r="C7" s="14">
        <v>0.73074475229926095</v>
      </c>
      <c r="D7">
        <v>1.3111971740668629</v>
      </c>
      <c r="E7" s="15">
        <v>0.482119508817688</v>
      </c>
      <c r="F7">
        <v>0.89002155200600053</v>
      </c>
      <c r="G7" s="16">
        <v>7.7299330333445299E-2</v>
      </c>
      <c r="H7">
        <v>0.4916199175</v>
      </c>
      <c r="I7" s="17">
        <v>0.41648763304756098</v>
      </c>
      <c r="J7">
        <v>1.354547718255219</v>
      </c>
      <c r="K7" s="18">
        <v>0.92618166088133702</v>
      </c>
      <c r="L7">
        <v>0.48519001365916048</v>
      </c>
      <c r="M7" s="7">
        <v>1.5741522728162101E-2</v>
      </c>
    </row>
    <row r="8" spans="1:13" x14ac:dyDescent="0.25">
      <c r="A8" t="s">
        <v>13</v>
      </c>
      <c r="B8">
        <v>0.65240222455653707</v>
      </c>
      <c r="C8" s="12">
        <v>3.9736164584284001E-2</v>
      </c>
      <c r="D8">
        <v>0.74111414914172846</v>
      </c>
      <c r="E8" s="9">
        <v>2.23753114222145E-3</v>
      </c>
      <c r="F8">
        <v>0.33626202180068243</v>
      </c>
      <c r="G8" s="10">
        <v>2.4759724199063201E-3</v>
      </c>
      <c r="H8">
        <v>2.7703669151919819</v>
      </c>
      <c r="I8" s="17">
        <v>0.42442038054964198</v>
      </c>
      <c r="J8">
        <v>0.5935956166666666</v>
      </c>
      <c r="K8" s="18">
        <v>0.57583799773840905</v>
      </c>
      <c r="L8">
        <v>0.43042609755189737</v>
      </c>
      <c r="M8" s="7">
        <v>1.1238296525258799E-3</v>
      </c>
    </row>
    <row r="9" spans="1:13" x14ac:dyDescent="0.25">
      <c r="A9" t="s">
        <v>14</v>
      </c>
      <c r="B9">
        <v>0.44365914492480363</v>
      </c>
      <c r="C9" s="14">
        <v>0.30555896896170998</v>
      </c>
      <c r="D9">
        <v>0.37038997666110229</v>
      </c>
      <c r="E9" s="15">
        <v>0.220796800536256</v>
      </c>
      <c r="F9">
        <v>0.77918437921129724</v>
      </c>
      <c r="G9" s="16">
        <v>0.34273266373509897</v>
      </c>
      <c r="H9">
        <v>0.23149580987116491</v>
      </c>
      <c r="I9" s="11">
        <v>1.6849469393969401E-2</v>
      </c>
      <c r="J9">
        <v>0.53696743991819218</v>
      </c>
      <c r="K9" s="18">
        <v>0.80207673397527102</v>
      </c>
      <c r="L9">
        <v>0.25750984828420714</v>
      </c>
      <c r="M9" s="19">
        <v>8.3557084326203193E-2</v>
      </c>
    </row>
    <row r="10" spans="1:13" x14ac:dyDescent="0.25">
      <c r="A10" t="s">
        <v>15</v>
      </c>
      <c r="B10">
        <v>0.99096754420706834</v>
      </c>
      <c r="C10" s="14">
        <v>0.40967747091093998</v>
      </c>
      <c r="D10">
        <v>0.26969120564785581</v>
      </c>
      <c r="E10" s="9">
        <v>4.93615335741312E-2</v>
      </c>
      <c r="F10">
        <v>0.96392510046497559</v>
      </c>
      <c r="G10" s="16">
        <v>7.5060611423136706E-2</v>
      </c>
      <c r="H10">
        <v>0.18244939017334935</v>
      </c>
      <c r="I10" s="17">
        <v>5.3349459021998002E-2</v>
      </c>
      <c r="J10">
        <v>1.1710377071815612</v>
      </c>
      <c r="K10" s="18">
        <v>0.83537027035042999</v>
      </c>
      <c r="L10">
        <v>0.30423237286290356</v>
      </c>
      <c r="M10" s="7">
        <v>2.0751052693414899E-3</v>
      </c>
    </row>
    <row r="11" spans="1:13" x14ac:dyDescent="0.25">
      <c r="A11" t="s">
        <v>16</v>
      </c>
      <c r="B11">
        <v>1.2258134451288063</v>
      </c>
      <c r="C11" s="14">
        <v>0.312866167848105</v>
      </c>
      <c r="D11">
        <v>0.81363965803639404</v>
      </c>
      <c r="E11" s="15">
        <v>0.36919882166698498</v>
      </c>
      <c r="F11">
        <v>0.2283663020694473</v>
      </c>
      <c r="G11" s="16">
        <v>0.32044779172975002</v>
      </c>
      <c r="H11">
        <v>0.1540379094657725</v>
      </c>
      <c r="I11" s="17">
        <v>1.01926877470356</v>
      </c>
      <c r="J11">
        <v>0.41529600554431317</v>
      </c>
      <c r="K11" s="18">
        <v>0.41730594570108798</v>
      </c>
      <c r="L11">
        <v>1.3340078925389145</v>
      </c>
      <c r="M11" s="19">
        <v>0.32964773522541801</v>
      </c>
    </row>
    <row r="12" spans="1:13" x14ac:dyDescent="0.25">
      <c r="A12" t="s">
        <v>17</v>
      </c>
      <c r="B12">
        <v>0.33828956412912148</v>
      </c>
      <c r="C12" s="14">
        <v>0.673063017606508</v>
      </c>
      <c r="D12">
        <v>0.80595623511271375</v>
      </c>
      <c r="E12" s="15">
        <v>0.48391674975244903</v>
      </c>
      <c r="F12">
        <v>0.47159991640743565</v>
      </c>
      <c r="G12" s="16">
        <v>0.37967438937929698</v>
      </c>
      <c r="H12">
        <v>0.21191173687536546</v>
      </c>
      <c r="I12" s="17">
        <v>0.61551986182630103</v>
      </c>
      <c r="J12">
        <v>0.31126610331268395</v>
      </c>
      <c r="K12" s="18">
        <v>0.96518223885221099</v>
      </c>
      <c r="L12">
        <v>0.25500316826184494</v>
      </c>
      <c r="M12" s="19">
        <v>0.77989454444137896</v>
      </c>
    </row>
    <row r="13" spans="1:13" x14ac:dyDescent="0.25">
      <c r="A13" t="s">
        <v>18</v>
      </c>
      <c r="B13">
        <v>0.50299523242568189</v>
      </c>
      <c r="C13" s="14">
        <v>9.5712795892028399E-2</v>
      </c>
      <c r="D13">
        <v>0.34601075471121073</v>
      </c>
      <c r="E13" s="15">
        <v>0.44634237725270698</v>
      </c>
      <c r="F13">
        <v>0.29193775600961652</v>
      </c>
      <c r="G13" s="16">
        <v>0.31255665386579601</v>
      </c>
      <c r="H13">
        <v>0.4548290768462479</v>
      </c>
      <c r="I13" s="17">
        <v>0.98678976939878205</v>
      </c>
      <c r="J13">
        <v>0.29708339218072233</v>
      </c>
      <c r="K13" s="18">
        <v>0.517815470814041</v>
      </c>
      <c r="L13">
        <v>0.35014861488361942</v>
      </c>
      <c r="M13" s="19">
        <v>0.297478016852251</v>
      </c>
    </row>
    <row r="14" spans="1:13" x14ac:dyDescent="0.25">
      <c r="A14" t="s">
        <v>19</v>
      </c>
      <c r="B14">
        <v>0.6724149671295796</v>
      </c>
      <c r="C14" s="14">
        <v>0.174295602147962</v>
      </c>
      <c r="D14">
        <v>0.71770239001549763</v>
      </c>
      <c r="E14" s="15">
        <v>0.86844583111990603</v>
      </c>
      <c r="F14">
        <v>0.82328965325360415</v>
      </c>
      <c r="G14" s="10">
        <v>4.3268390080787603E-2</v>
      </c>
      <c r="H14">
        <v>0.32600401216996194</v>
      </c>
      <c r="I14" s="11">
        <v>8.3521584494051695E-3</v>
      </c>
      <c r="J14">
        <v>0.46217007431239088</v>
      </c>
      <c r="K14" s="18">
        <v>0.81524617305381997</v>
      </c>
      <c r="L14">
        <v>0.40383601452519774</v>
      </c>
      <c r="M14" s="19">
        <v>6.5292475138674894E-2</v>
      </c>
    </row>
    <row r="15" spans="1:13" x14ac:dyDescent="0.25">
      <c r="A15" t="s">
        <v>20</v>
      </c>
      <c r="B15">
        <v>0.40396061426746582</v>
      </c>
      <c r="C15" s="12">
        <v>4.0424970068182499E-3</v>
      </c>
      <c r="D15">
        <v>0.89075829288669917</v>
      </c>
      <c r="E15" s="15">
        <v>5.7965913592618802E-2</v>
      </c>
      <c r="F15">
        <v>0.13713267194666875</v>
      </c>
      <c r="G15" s="16">
        <v>0.218104991549528</v>
      </c>
      <c r="H15">
        <v>0.472501303646295</v>
      </c>
      <c r="I15" s="11">
        <v>1.17388410353965E-2</v>
      </c>
      <c r="J15">
        <v>0.8923394682862279</v>
      </c>
      <c r="K15" s="18">
        <v>0.21974386864794401</v>
      </c>
      <c r="L15">
        <v>0.54488985548064173</v>
      </c>
      <c r="M15" s="19">
        <v>0.26584607245743602</v>
      </c>
    </row>
    <row r="16" spans="1:13" x14ac:dyDescent="0.25">
      <c r="A16" t="s">
        <v>21</v>
      </c>
      <c r="B16">
        <v>2.3037937884252284</v>
      </c>
      <c r="C16" s="12">
        <v>8.8957362296602296E-3</v>
      </c>
      <c r="D16">
        <v>0.67347133994188224</v>
      </c>
      <c r="E16" s="15">
        <v>0.31603437363464698</v>
      </c>
      <c r="F16">
        <v>1.2801951193247185</v>
      </c>
      <c r="G16" s="16">
        <v>0.250267714639267</v>
      </c>
      <c r="H16">
        <v>1.1287440740512968</v>
      </c>
      <c r="I16" s="17">
        <v>1.01343777505961</v>
      </c>
      <c r="J16">
        <v>0.4608365277570679</v>
      </c>
      <c r="K16" s="18">
        <v>0.88243598341370999</v>
      </c>
      <c r="L16">
        <v>3.1590337508333337</v>
      </c>
      <c r="M16" s="19">
        <v>0.45617091532496501</v>
      </c>
    </row>
    <row r="20" spans="1:12" x14ac:dyDescent="0.25">
      <c r="A20" t="s">
        <v>166</v>
      </c>
    </row>
    <row r="21" spans="1:12" x14ac:dyDescent="0.25">
      <c r="A21" t="s">
        <v>7</v>
      </c>
      <c r="B21">
        <f>B2-dhap4!B2</f>
        <v>-0.54586799880151826</v>
      </c>
      <c r="D21">
        <f>D2-dhap4!D2</f>
        <v>-1.0954802229385661</v>
      </c>
      <c r="F21">
        <f>F2-dhap4!F2</f>
        <v>-0.16668928088717205</v>
      </c>
      <c r="H21">
        <f>H2-dhap4!H2</f>
        <v>-1.2448913206378143</v>
      </c>
      <c r="J21">
        <f>J2-dhap4!J2</f>
        <v>-0.84010721162708391</v>
      </c>
      <c r="L21">
        <f>L2-dhap4!L2</f>
        <v>-0.69627783221785711</v>
      </c>
    </row>
    <row r="22" spans="1:12" x14ac:dyDescent="0.25">
      <c r="A22" t="s">
        <v>8</v>
      </c>
      <c r="B22">
        <f>B3-dhap4!B3</f>
        <v>-0.68470878672856295</v>
      </c>
      <c r="D22">
        <f>D3-dhap4!D3</f>
        <v>-0.82681620322340177</v>
      </c>
      <c r="F22">
        <f>F3-dhap4!F3</f>
        <v>-0.79049949318396329</v>
      </c>
      <c r="H22">
        <f>H3-dhap4!H3</f>
        <v>-1.3804601128394365</v>
      </c>
      <c r="J22">
        <f>J3-dhap4!J3</f>
        <v>-3.4600540590743467E-3</v>
      </c>
      <c r="L22">
        <f>L3-dhap4!L3</f>
        <v>0.41324980556636293</v>
      </c>
    </row>
    <row r="23" spans="1:12" x14ac:dyDescent="0.25">
      <c r="A23" t="s">
        <v>9</v>
      </c>
      <c r="B23">
        <f>B4-dhap4!B4</f>
        <v>-0.59630943425264349</v>
      </c>
      <c r="D23">
        <f>D4-dhap4!D4</f>
        <v>-1.5744223426702637</v>
      </c>
      <c r="F23">
        <f>F4-dhap4!F4</f>
        <v>-0.12716198176577875</v>
      </c>
      <c r="H23">
        <f>H4-dhap4!H4</f>
        <v>0.15368963911705524</v>
      </c>
      <c r="J23">
        <f>J4-dhap4!J4</f>
        <v>-6.1247082834653188E-2</v>
      </c>
      <c r="L23">
        <f>L4-dhap4!L4</f>
        <v>-0.5894912432022551</v>
      </c>
    </row>
    <row r="24" spans="1:12" x14ac:dyDescent="0.25">
      <c r="A24" t="s">
        <v>10</v>
      </c>
      <c r="B24">
        <f>B5-dhap4!B5</f>
        <v>-1.3825389838827209</v>
      </c>
      <c r="D24">
        <f>D5-dhap4!D5</f>
        <v>-1.005026351728795</v>
      </c>
      <c r="F24">
        <f>F5-dhap4!F5</f>
        <v>-0.24614245254927514</v>
      </c>
      <c r="H24">
        <f>H5-dhap4!H5</f>
        <v>-1.0155397741888361</v>
      </c>
      <c r="J24">
        <f>J5-dhap4!J5</f>
        <v>-0.70170303766272091</v>
      </c>
      <c r="L24">
        <f>L5-dhap4!L5</f>
        <v>-0.93639298127009973</v>
      </c>
    </row>
    <row r="25" spans="1:12" x14ac:dyDescent="0.25">
      <c r="A25" t="s">
        <v>11</v>
      </c>
      <c r="B25">
        <f>B6-dhap4!B6</f>
        <v>-0.66730356308479</v>
      </c>
      <c r="D25">
        <f>D6-dhap4!D6</f>
        <v>-1.0357014544488798</v>
      </c>
      <c r="F25">
        <f>F6-dhap4!F6</f>
        <v>-0.80099285302372358</v>
      </c>
      <c r="H25">
        <f>H6-dhap4!H6</f>
        <v>-0.92602850676850212</v>
      </c>
      <c r="J25">
        <f>J6-dhap4!J6</f>
        <v>-0.9301854029323855</v>
      </c>
      <c r="L25">
        <f>L6-dhap4!L6</f>
        <v>-1.4381064655119908</v>
      </c>
    </row>
    <row r="26" spans="1:12" x14ac:dyDescent="0.25">
      <c r="A26" t="s">
        <v>12</v>
      </c>
      <c r="B26">
        <f>B7-dhap4!B7</f>
        <v>0.74809435072422925</v>
      </c>
      <c r="D26">
        <f>D7-dhap4!D7</f>
        <v>0.25054400137779242</v>
      </c>
      <c r="F26">
        <f>F7-dhap4!F7</f>
        <v>-1.1629286116521476</v>
      </c>
      <c r="H26">
        <f>H7-dhap4!H7</f>
        <v>-1.0208378535236642</v>
      </c>
      <c r="J26">
        <f>J7-dhap4!J7</f>
        <v>0.2939544299493666</v>
      </c>
      <c r="L26">
        <f>L7-dhap4!L7</f>
        <v>-1.2337142519879307</v>
      </c>
    </row>
    <row r="27" spans="1:12" x14ac:dyDescent="0.25">
      <c r="A27" t="s">
        <v>13</v>
      </c>
      <c r="B27">
        <f>B8-dhap4!B8</f>
        <v>-0.39975410021330449</v>
      </c>
      <c r="D27">
        <f>D8-dhap4!D8</f>
        <v>-0.50487736342400813</v>
      </c>
      <c r="F27">
        <f>F8-dhap4!F8</f>
        <v>-0.66840186537862256</v>
      </c>
      <c r="H27">
        <f>H8-dhap4!H8</f>
        <v>1.7124809442261957</v>
      </c>
      <c r="J27">
        <f>J8-dhap4!J8</f>
        <v>-2.2192373532709508</v>
      </c>
      <c r="L27">
        <f>L8-dhap4!L8</f>
        <v>-1.0702779768025021</v>
      </c>
    </row>
    <row r="28" spans="1:12" x14ac:dyDescent="0.25">
      <c r="A28" t="s">
        <v>14</v>
      </c>
      <c r="B28">
        <f>B9-dhap4!B9</f>
        <v>-0.64838809356389338</v>
      </c>
      <c r="D28">
        <f>D9-dhap4!D9</f>
        <v>-1.3281088315139562</v>
      </c>
      <c r="F28">
        <f>F9-dhap4!F9</f>
        <v>-0.44678934389280289</v>
      </c>
      <c r="H28">
        <f>H9-dhap4!H9</f>
        <v>-1.1345396666123282</v>
      </c>
      <c r="J28">
        <f>J9-dhap4!J9</f>
        <v>-0.76998999628731479</v>
      </c>
      <c r="L28">
        <f>L9-dhap4!L9</f>
        <v>-0.88441257388954342</v>
      </c>
    </row>
    <row r="29" spans="1:12" x14ac:dyDescent="0.25">
      <c r="A29" t="s">
        <v>15</v>
      </c>
      <c r="B29">
        <f>B10-dhap4!B10</f>
        <v>-9.3837848096628429E-3</v>
      </c>
      <c r="D29">
        <f>D10-dhap4!D10</f>
        <v>-0.98778077893296556</v>
      </c>
      <c r="F29">
        <f>F10-dhap4!F10</f>
        <v>-0.31747901871032402</v>
      </c>
      <c r="H29">
        <f>H10-dhap4!H10</f>
        <v>-1.2690154661570516</v>
      </c>
      <c r="J29">
        <f>J10-dhap4!J10</f>
        <v>-1.3777391152749674E-2</v>
      </c>
      <c r="L29">
        <f>L10-dhap4!L10</f>
        <v>-2.4224994242564386</v>
      </c>
    </row>
    <row r="30" spans="1:12" x14ac:dyDescent="0.25">
      <c r="A30" t="s">
        <v>16</v>
      </c>
      <c r="B30">
        <f>B11-dhap4!B11</f>
        <v>-0.36437931195690343</v>
      </c>
      <c r="D30">
        <f>D11-dhap4!D11</f>
        <v>-0.70336818551708857</v>
      </c>
      <c r="F30">
        <f>F11-dhap4!F11</f>
        <v>-2.9278616951321359</v>
      </c>
      <c r="H30">
        <f>H11-dhap4!H11</f>
        <v>-1.3831895902690345</v>
      </c>
      <c r="J30">
        <f>J11-dhap4!J11</f>
        <v>-5.4920606556629412</v>
      </c>
      <c r="L30">
        <f>L11-dhap4!L11</f>
        <v>8.2044690023501898E-2</v>
      </c>
    </row>
    <row r="31" spans="1:12" x14ac:dyDescent="0.25">
      <c r="A31" t="s">
        <v>17</v>
      </c>
      <c r="B31">
        <f>B12-dhap4!B12</f>
        <v>-0.9445801463955763</v>
      </c>
      <c r="D31">
        <f>D12-dhap4!D12</f>
        <v>-0.71705152545952877</v>
      </c>
      <c r="F31">
        <f>F12-dhap4!F12</f>
        <v>-0.75919830949407285</v>
      </c>
      <c r="H31">
        <f>H12-dhap4!H12</f>
        <v>-1.2050962224748627</v>
      </c>
      <c r="J31">
        <f>J12-dhap4!J12</f>
        <v>-1.1498900313208003</v>
      </c>
      <c r="L31">
        <f>L12-dhap4!L12</f>
        <v>-0.82171738537836481</v>
      </c>
    </row>
    <row r="32" spans="1:12" x14ac:dyDescent="0.25">
      <c r="A32" t="s">
        <v>18</v>
      </c>
      <c r="B32">
        <f>B13-dhap4!B13</f>
        <v>-0.65135352632655974</v>
      </c>
      <c r="D32">
        <f>D13-dhap4!D13</f>
        <v>-0.7215238197395597</v>
      </c>
      <c r="F32">
        <f>F13-dhap4!F13</f>
        <v>-0.75658941230975918</v>
      </c>
      <c r="H32">
        <f>H13-dhap4!H13</f>
        <v>-0.66378765709632082</v>
      </c>
      <c r="J32">
        <f>J13-dhap4!J13</f>
        <v>-0.80497086107990579</v>
      </c>
      <c r="L32">
        <f>L13-dhap4!L13</f>
        <v>-1.1231209999788903</v>
      </c>
    </row>
    <row r="33" spans="1:12" x14ac:dyDescent="0.25">
      <c r="A33" t="s">
        <v>19</v>
      </c>
      <c r="B33">
        <f>B14-dhap4!B14</f>
        <v>-0.46650325545124094</v>
      </c>
      <c r="D33">
        <f>D14-dhap4!D14</f>
        <v>-0.37985304902092831</v>
      </c>
      <c r="F33">
        <f>F14-dhap4!F14</f>
        <v>-2.3487827131306194</v>
      </c>
      <c r="H33">
        <f>H14-dhap4!H14</f>
        <v>-2.1130388623839664</v>
      </c>
      <c r="J33">
        <f>J14-dhap4!J14</f>
        <v>-0.63201590433599897</v>
      </c>
      <c r="L33">
        <f>L14-dhap4!L14</f>
        <v>-1.4161104514912894</v>
      </c>
    </row>
    <row r="34" spans="1:12" x14ac:dyDescent="0.25">
      <c r="A34" t="s">
        <v>20</v>
      </c>
      <c r="B34">
        <f>B15-dhap4!B15</f>
        <v>-0.7351514582472225</v>
      </c>
      <c r="D34">
        <f>D15-dhap4!D15</f>
        <v>-0.24848320218251529</v>
      </c>
      <c r="F34">
        <f>F15-dhap4!F15</f>
        <v>-16.669361126980636</v>
      </c>
      <c r="H34">
        <f>H15-dhap4!H15</f>
        <v>-1.6951482539162677</v>
      </c>
      <c r="J34">
        <f>J15-dhap4!J15</f>
        <v>-0.11671193602751628</v>
      </c>
      <c r="L34">
        <f>L15-dhap4!L15</f>
        <v>-0.68961757732522277</v>
      </c>
    </row>
    <row r="35" spans="1:12" x14ac:dyDescent="0.25">
      <c r="A35" t="s">
        <v>21</v>
      </c>
      <c r="B35">
        <f>B16-dhap4!B16</f>
        <v>-1.789050117659126</v>
      </c>
      <c r="D35">
        <f>D16-dhap4!D16</f>
        <v>-0.6177857724319088</v>
      </c>
      <c r="F35">
        <f>F16-dhap4!F16</f>
        <v>-1.6818231585538963</v>
      </c>
      <c r="H35">
        <f>H16-dhap4!H16</f>
        <v>-0.17949670731426615</v>
      </c>
      <c r="J35">
        <f>J16-dhap4!J16</f>
        <v>-1.4645647939645268</v>
      </c>
      <c r="L35">
        <f>L16-dhap4!L16</f>
        <v>1.4115341439038946</v>
      </c>
    </row>
    <row r="37" spans="1:12" x14ac:dyDescent="0.25">
      <c r="A37" t="s">
        <v>111</v>
      </c>
    </row>
    <row r="38" spans="1:12" x14ac:dyDescent="0.25">
      <c r="A38">
        <v>1.4205617992424076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workbookViewId="0">
      <selection activeCell="A38" sqref="A38"/>
    </sheetView>
  </sheetViews>
  <sheetFormatPr defaultColWidth="8.85546875" defaultRowHeight="15" x14ac:dyDescent="0.25"/>
  <sheetData>
    <row r="1" spans="1:13" x14ac:dyDescent="0.25">
      <c r="A1" t="s">
        <v>0</v>
      </c>
      <c r="B1" t="s">
        <v>1</v>
      </c>
      <c r="C1" s="14" t="s">
        <v>22</v>
      </c>
      <c r="D1" t="s">
        <v>2</v>
      </c>
      <c r="E1" s="15" t="s">
        <v>23</v>
      </c>
      <c r="F1" t="s">
        <v>3</v>
      </c>
      <c r="G1" s="16" t="s">
        <v>24</v>
      </c>
      <c r="H1" t="s">
        <v>4</v>
      </c>
      <c r="I1" s="17" t="s">
        <v>25</v>
      </c>
      <c r="J1" t="s">
        <v>5</v>
      </c>
      <c r="K1" s="18" t="s">
        <v>26</v>
      </c>
      <c r="L1" t="s">
        <v>6</v>
      </c>
      <c r="M1" s="19" t="s">
        <v>27</v>
      </c>
    </row>
    <row r="2" spans="1:13" x14ac:dyDescent="0.25">
      <c r="A2" t="s">
        <v>7</v>
      </c>
      <c r="B2">
        <v>0.41270383260991622</v>
      </c>
      <c r="C2" s="14">
        <v>0.762384490029694</v>
      </c>
      <c r="D2">
        <v>9.8285426735361267E-2</v>
      </c>
      <c r="E2" s="15">
        <v>0.44624975588118598</v>
      </c>
      <c r="F2">
        <v>1.3711996873180523</v>
      </c>
      <c r="G2" s="16">
        <v>0.78551996118716705</v>
      </c>
      <c r="H2">
        <v>0.11655795989751488</v>
      </c>
      <c r="I2" s="17">
        <v>0.29160072506103601</v>
      </c>
      <c r="J2">
        <v>0.20442009617097803</v>
      </c>
      <c r="K2" s="18">
        <v>0.82577386681059695</v>
      </c>
      <c r="L2">
        <v>0.82817517438208299</v>
      </c>
      <c r="M2" s="7">
        <v>4.5710095337786E-2</v>
      </c>
    </row>
    <row r="3" spans="1:13" x14ac:dyDescent="0.25">
      <c r="A3" t="s">
        <v>8</v>
      </c>
      <c r="B3">
        <v>0.31166254455904052</v>
      </c>
      <c r="C3" s="14">
        <v>8.2901279432195593E-2</v>
      </c>
      <c r="D3">
        <v>0.93680980361262078</v>
      </c>
      <c r="E3" s="9">
        <v>9.0782211164155292E-3</v>
      </c>
      <c r="F3">
        <v>0.48909160001214252</v>
      </c>
      <c r="G3" s="16">
        <v>0.52024738694317496</v>
      </c>
      <c r="H3">
        <v>0.2839741913987322</v>
      </c>
      <c r="I3" s="17">
        <v>7.2269282640789106E-2</v>
      </c>
      <c r="J3">
        <v>1.1248102632300447</v>
      </c>
      <c r="K3" s="18">
        <v>0.76388269721491497</v>
      </c>
      <c r="L3">
        <v>1.2139080212237927</v>
      </c>
      <c r="M3" s="19">
        <v>0.45347930983877699</v>
      </c>
    </row>
    <row r="4" spans="1:13" x14ac:dyDescent="0.25">
      <c r="A4" t="s">
        <v>9</v>
      </c>
      <c r="B4">
        <v>0.75398920742439701</v>
      </c>
      <c r="C4" s="14">
        <v>6.6225124959576706E-2</v>
      </c>
      <c r="D4">
        <v>0.14496421249999999</v>
      </c>
      <c r="E4" s="15">
        <v>0.61881514010194805</v>
      </c>
      <c r="F4">
        <v>0.8017769857946323</v>
      </c>
      <c r="G4" s="10">
        <v>1.6347989883004101E-2</v>
      </c>
      <c r="H4">
        <v>1.0044469711252013</v>
      </c>
      <c r="I4" s="11">
        <v>1.1178235493982801E-2</v>
      </c>
      <c r="J4">
        <v>0.72995945528217421</v>
      </c>
      <c r="K4" s="18">
        <v>0.41128551861353002</v>
      </c>
      <c r="L4">
        <v>0.51103595414189884</v>
      </c>
      <c r="M4" s="7">
        <v>2.5966862137770701E-2</v>
      </c>
    </row>
    <row r="5" spans="1:13" x14ac:dyDescent="0.25">
      <c r="A5" t="s">
        <v>10</v>
      </c>
      <c r="B5">
        <v>0.30585152826060596</v>
      </c>
      <c r="C5" s="14">
        <v>0.33061324554751997</v>
      </c>
      <c r="D5">
        <v>0.5323629623709073</v>
      </c>
      <c r="E5" s="15">
        <v>0.58761063110676703</v>
      </c>
      <c r="F5">
        <v>0.7512339385946295</v>
      </c>
      <c r="G5" s="16">
        <v>0.876273721691745</v>
      </c>
      <c r="H5">
        <v>0.72902596440669409</v>
      </c>
      <c r="I5" s="17">
        <v>0.12610118972802201</v>
      </c>
      <c r="J5">
        <v>0.53142790535574258</v>
      </c>
      <c r="K5" s="18">
        <v>0.84451617033304205</v>
      </c>
      <c r="L5">
        <v>0.21122246575912393</v>
      </c>
      <c r="M5" s="19">
        <v>0.34787221257796602</v>
      </c>
    </row>
    <row r="6" spans="1:13" x14ac:dyDescent="0.25">
      <c r="A6" t="s">
        <v>11</v>
      </c>
      <c r="B6">
        <v>0.53942958330223845</v>
      </c>
      <c r="C6" s="14">
        <v>0.41886387925431101</v>
      </c>
      <c r="D6">
        <v>0.22755158377805221</v>
      </c>
      <c r="E6" s="15">
        <v>0.54683519144140802</v>
      </c>
      <c r="F6">
        <v>0.35326105333333335</v>
      </c>
      <c r="G6" s="16">
        <v>0.60936795919082498</v>
      </c>
      <c r="H6">
        <v>0.21102605783050435</v>
      </c>
      <c r="I6" s="17">
        <v>0.51888455220311103</v>
      </c>
      <c r="J6">
        <v>0.31934040348168619</v>
      </c>
      <c r="K6" s="18">
        <v>0.92811381976317897</v>
      </c>
      <c r="L6">
        <v>0.14428553104889238</v>
      </c>
      <c r="M6" s="19">
        <v>0.117144834533319</v>
      </c>
    </row>
    <row r="7" spans="1:13" x14ac:dyDescent="0.25">
      <c r="A7" t="s">
        <v>12</v>
      </c>
      <c r="B7">
        <v>1.8171285474759578</v>
      </c>
      <c r="C7" s="14">
        <v>0.73074475229926095</v>
      </c>
      <c r="D7">
        <v>1.1464290946945146</v>
      </c>
      <c r="E7" s="15">
        <v>0.482119508817688</v>
      </c>
      <c r="F7">
        <v>1.9000831937205029</v>
      </c>
      <c r="G7" s="16">
        <v>7.7299330333445299E-2</v>
      </c>
      <c r="H7">
        <v>0.4916199175</v>
      </c>
      <c r="I7" s="17">
        <v>0.41648763304756098</v>
      </c>
      <c r="J7">
        <v>1.8277550001283214</v>
      </c>
      <c r="K7" s="18">
        <v>0.92618166088133702</v>
      </c>
      <c r="L7">
        <v>0.96908116884842299</v>
      </c>
      <c r="M7" s="7">
        <v>1.5741522728162101E-2</v>
      </c>
    </row>
    <row r="8" spans="1:13" x14ac:dyDescent="0.25">
      <c r="A8" t="s">
        <v>13</v>
      </c>
      <c r="B8">
        <v>0.60303433150460217</v>
      </c>
      <c r="C8" s="12">
        <v>3.9736164584284001E-2</v>
      </c>
      <c r="D8">
        <v>0.65124338290750516</v>
      </c>
      <c r="E8" s="9">
        <v>2.23753114222145E-3</v>
      </c>
      <c r="F8">
        <v>0.35245866100441403</v>
      </c>
      <c r="G8" s="10">
        <v>2.4759724199063201E-3</v>
      </c>
      <c r="H8">
        <v>2.683376494802145</v>
      </c>
      <c r="I8" s="17">
        <v>0.42442038054964198</v>
      </c>
      <c r="J8">
        <v>0.5935956166666666</v>
      </c>
      <c r="K8" s="18">
        <v>0.57583799773840905</v>
      </c>
      <c r="L8">
        <v>0.36701550490032747</v>
      </c>
      <c r="M8" s="7">
        <v>1.1238296525258799E-3</v>
      </c>
    </row>
    <row r="9" spans="1:13" x14ac:dyDescent="0.25">
      <c r="A9" t="s">
        <v>14</v>
      </c>
      <c r="B9">
        <v>0.46183756236936474</v>
      </c>
      <c r="C9" s="14">
        <v>0.30555896896170998</v>
      </c>
      <c r="D9">
        <v>0.36340500206329723</v>
      </c>
      <c r="E9" s="15">
        <v>0.220796800536256</v>
      </c>
      <c r="F9">
        <v>0.92860481350537516</v>
      </c>
      <c r="G9" s="16">
        <v>0.34273266373509897</v>
      </c>
      <c r="H9">
        <v>0.19454695575862888</v>
      </c>
      <c r="I9" s="11">
        <v>1.6849469393969401E-2</v>
      </c>
      <c r="J9">
        <v>0.46839589236645668</v>
      </c>
      <c r="K9" s="18">
        <v>0.80207673397527102</v>
      </c>
      <c r="L9">
        <v>0.28309199811093039</v>
      </c>
      <c r="M9" s="19">
        <v>8.3557084326203193E-2</v>
      </c>
    </row>
    <row r="10" spans="1:13" x14ac:dyDescent="0.25">
      <c r="A10" t="s">
        <v>15</v>
      </c>
      <c r="B10">
        <v>0.99088611042847874</v>
      </c>
      <c r="C10" s="14">
        <v>0.40967747091093998</v>
      </c>
      <c r="D10">
        <v>0.26967600706293821</v>
      </c>
      <c r="E10" s="9">
        <v>4.93615335741312E-2</v>
      </c>
      <c r="F10">
        <v>0.96296859103923671</v>
      </c>
      <c r="G10" s="16">
        <v>7.5060611423136706E-2</v>
      </c>
      <c r="H10">
        <v>0.18295188001554899</v>
      </c>
      <c r="I10" s="17">
        <v>5.3349459021998002E-2</v>
      </c>
      <c r="J10">
        <v>1.171544462813791</v>
      </c>
      <c r="K10" s="18">
        <v>0.83537027035042999</v>
      </c>
      <c r="L10">
        <v>0.30432438928080224</v>
      </c>
      <c r="M10" s="7">
        <v>2.0751052693414899E-3</v>
      </c>
    </row>
    <row r="11" spans="1:13" x14ac:dyDescent="0.25">
      <c r="A11" t="s">
        <v>16</v>
      </c>
      <c r="B11">
        <v>2.1633252070032643</v>
      </c>
      <c r="C11" s="14">
        <v>0.312866167848105</v>
      </c>
      <c r="D11">
        <v>0.98228968964525976</v>
      </c>
      <c r="E11" s="15">
        <v>0.36919882166698498</v>
      </c>
      <c r="F11">
        <v>0.24011484634929467</v>
      </c>
      <c r="G11" s="16">
        <v>0.32044779172975002</v>
      </c>
      <c r="H11">
        <v>0.13319928268231016</v>
      </c>
      <c r="I11" s="17">
        <v>1.01926877470356</v>
      </c>
      <c r="J11">
        <v>0.5969609826027763</v>
      </c>
      <c r="K11" s="18">
        <v>0.41730594570108798</v>
      </c>
      <c r="L11">
        <v>1.2838416663700543</v>
      </c>
      <c r="M11" s="19">
        <v>0.32964773522541801</v>
      </c>
    </row>
    <row r="12" spans="1:13" x14ac:dyDescent="0.25">
      <c r="A12" t="s">
        <v>17</v>
      </c>
      <c r="B12">
        <v>0.28029692025277692</v>
      </c>
      <c r="C12" s="14">
        <v>0.673063017606508</v>
      </c>
      <c r="D12">
        <v>0.77471574787480979</v>
      </c>
      <c r="E12" s="15">
        <v>0.48391674975244903</v>
      </c>
      <c r="F12">
        <v>0.59549328082487263</v>
      </c>
      <c r="G12" s="16">
        <v>0.37967438937929698</v>
      </c>
      <c r="H12">
        <v>0.17897766779646315</v>
      </c>
      <c r="I12" s="17">
        <v>0.61551986182630103</v>
      </c>
      <c r="J12">
        <v>0.24505936928074259</v>
      </c>
      <c r="K12" s="18">
        <v>0.96518223885221099</v>
      </c>
      <c r="L12">
        <v>0.29321707057911633</v>
      </c>
      <c r="M12" s="19">
        <v>0.77989454444137896</v>
      </c>
    </row>
    <row r="13" spans="1:13" x14ac:dyDescent="0.25">
      <c r="A13" t="s">
        <v>18</v>
      </c>
      <c r="B13">
        <v>0.40635756289570613</v>
      </c>
      <c r="C13" s="14">
        <v>9.5712795892028399E-2</v>
      </c>
      <c r="D13">
        <v>0.30338759303322849</v>
      </c>
      <c r="E13" s="15">
        <v>0.44634237725270698</v>
      </c>
      <c r="F13">
        <v>0.28520676170557352</v>
      </c>
      <c r="G13" s="16">
        <v>0.31255665386579601</v>
      </c>
      <c r="H13">
        <v>0.51040645669078377</v>
      </c>
      <c r="I13" s="17">
        <v>0.98678976939878205</v>
      </c>
      <c r="J13">
        <v>0.25530097451863704</v>
      </c>
      <c r="K13" s="18">
        <v>0.517815470814041</v>
      </c>
      <c r="L13">
        <v>0.27042348164453428</v>
      </c>
      <c r="M13" s="19">
        <v>0.297478016852251</v>
      </c>
    </row>
    <row r="14" spans="1:13" x14ac:dyDescent="0.25">
      <c r="A14" t="s">
        <v>19</v>
      </c>
      <c r="B14">
        <v>0.86406705036487952</v>
      </c>
      <c r="C14" s="14">
        <v>0.174295602147962</v>
      </c>
      <c r="D14">
        <v>0.64143445183685621</v>
      </c>
      <c r="E14" s="15">
        <v>0.86844583111990603</v>
      </c>
      <c r="F14">
        <v>1.1774367991362258</v>
      </c>
      <c r="G14" s="10">
        <v>4.3268390080787603E-2</v>
      </c>
      <c r="H14">
        <v>0.8027185567267261</v>
      </c>
      <c r="I14" s="11">
        <v>8.3521584494051695E-3</v>
      </c>
      <c r="J14">
        <v>0.43428023947856187</v>
      </c>
      <c r="K14" s="18">
        <v>0.81524617305381997</v>
      </c>
      <c r="L14">
        <v>0.844718648473051</v>
      </c>
      <c r="M14" s="19">
        <v>6.5292475138674894E-2</v>
      </c>
    </row>
    <row r="15" spans="1:13" x14ac:dyDescent="0.25">
      <c r="A15" t="s">
        <v>20</v>
      </c>
      <c r="B15">
        <v>0.4826443799862703</v>
      </c>
      <c r="C15" s="12">
        <v>4.0424970068182499E-3</v>
      </c>
      <c r="D15">
        <v>0.94122097823079931</v>
      </c>
      <c r="E15" s="15">
        <v>5.7965913592618802E-2</v>
      </c>
      <c r="F15">
        <v>1.3877291528486915</v>
      </c>
      <c r="G15" s="16">
        <v>0.218104991549528</v>
      </c>
      <c r="H15">
        <v>0.58457312882699841</v>
      </c>
      <c r="I15" s="11">
        <v>1.17388410353965E-2</v>
      </c>
      <c r="J15">
        <v>0.86880898781610616</v>
      </c>
      <c r="K15" s="18">
        <v>0.21974386864794401</v>
      </c>
      <c r="L15">
        <v>0.71959956818996906</v>
      </c>
      <c r="M15" s="19">
        <v>0.26584607245743602</v>
      </c>
    </row>
    <row r="16" spans="1:13" x14ac:dyDescent="0.25">
      <c r="A16" t="s">
        <v>21</v>
      </c>
      <c r="B16">
        <v>1.2392160736024591</v>
      </c>
      <c r="C16" s="12">
        <v>8.8957362296602296E-3</v>
      </c>
      <c r="D16">
        <v>0.82456982344676</v>
      </c>
      <c r="E16" s="15">
        <v>0.31603437363464698</v>
      </c>
      <c r="F16">
        <v>1.1274796771958202</v>
      </c>
      <c r="G16" s="16">
        <v>0.250267714639267</v>
      </c>
      <c r="H16">
        <v>0.87055085800963738</v>
      </c>
      <c r="I16" s="17">
        <v>1.01343777505961</v>
      </c>
      <c r="J16">
        <v>0.35883867577653122</v>
      </c>
      <c r="K16" s="18">
        <v>0.88243598341370999</v>
      </c>
      <c r="L16">
        <v>3.1590337508333337</v>
      </c>
      <c r="M16" s="19">
        <v>0.45617091532496501</v>
      </c>
    </row>
    <row r="20" spans="1:12" x14ac:dyDescent="0.25">
      <c r="A20" t="s">
        <v>169</v>
      </c>
    </row>
    <row r="21" spans="1:12" x14ac:dyDescent="0.25">
      <c r="A21" t="s">
        <v>7</v>
      </c>
      <c r="B21">
        <f>B2-dhap4!B2</f>
        <v>-0.60215776727860426</v>
      </c>
      <c r="D21">
        <f>D2-dhap4!D2</f>
        <v>-1.1005439186434733</v>
      </c>
      <c r="F21">
        <f>F2-dhap4!F2</f>
        <v>-8.3984975004559148E-2</v>
      </c>
      <c r="H21">
        <f>H2-dhap4!H2</f>
        <v>-1.2532226286512937</v>
      </c>
      <c r="J21">
        <f>J2-dhap4!J2</f>
        <v>-0.85638938006136678</v>
      </c>
      <c r="L21">
        <f>L2-dhap4!L2</f>
        <v>-0.6454994517330962</v>
      </c>
    </row>
    <row r="22" spans="1:12" x14ac:dyDescent="0.25">
      <c r="A22" t="s">
        <v>8</v>
      </c>
      <c r="B22">
        <f>B3-dhap4!B3</f>
        <v>-0.80876625108494726</v>
      </c>
      <c r="D22">
        <f>D3-dhap4!D3</f>
        <v>-0.52855538687252912</v>
      </c>
      <c r="F22">
        <f>F3-dhap4!F3</f>
        <v>-0.96198587859835705</v>
      </c>
      <c r="H22">
        <f>H3-dhap4!H3</f>
        <v>-1.4683811703517096</v>
      </c>
      <c r="J22">
        <f>J3-dhap4!J3</f>
        <v>-8.6241483840576505E-2</v>
      </c>
      <c r="L22">
        <f>L3-dhap4!L3</f>
        <v>-0.18193117594931119</v>
      </c>
    </row>
    <row r="23" spans="1:12" x14ac:dyDescent="0.25">
      <c r="A23" t="s">
        <v>9</v>
      </c>
      <c r="B23">
        <f>B4-dhap4!B4</f>
        <v>-0.70466353579019692</v>
      </c>
      <c r="D23">
        <f>D4-dhap4!D4</f>
        <v>-1.5744223426702637</v>
      </c>
      <c r="F23">
        <f>F4-dhap4!F4</f>
        <v>-0.38068773494389962</v>
      </c>
      <c r="H23">
        <f>H4-dhap4!H4</f>
        <v>-0.20474387281309103</v>
      </c>
      <c r="J23">
        <f>J4-dhap4!J4</f>
        <v>-0.37645431644648641</v>
      </c>
      <c r="L23">
        <f>L4-dhap4!L4</f>
        <v>-0.89310735397836594</v>
      </c>
    </row>
    <row r="24" spans="1:12" x14ac:dyDescent="0.25">
      <c r="A24" t="s">
        <v>10</v>
      </c>
      <c r="B24">
        <f>B5-dhap4!B5</f>
        <v>-1.5480616873330002</v>
      </c>
      <c r="D24">
        <f>D5-dhap4!D5</f>
        <v>-1.3132489086496775</v>
      </c>
      <c r="F24">
        <f>F5-dhap4!F5</f>
        <v>-0.27700018787982239</v>
      </c>
      <c r="H24">
        <f>H5-dhap4!H5</f>
        <v>-1.2259229773260918</v>
      </c>
      <c r="J24">
        <f>J5-dhap4!J5</f>
        <v>-0.65740650245814181</v>
      </c>
      <c r="L24">
        <f>L5-dhap4!L5</f>
        <v>-0.96752245389042901</v>
      </c>
    </row>
    <row r="25" spans="1:12" x14ac:dyDescent="0.25">
      <c r="A25" t="s">
        <v>11</v>
      </c>
      <c r="B25">
        <f>B6-dhap4!B6</f>
        <v>-0.62990462563187655</v>
      </c>
      <c r="D25">
        <f>D6-dhap4!D6</f>
        <v>-0.98923925318786932</v>
      </c>
      <c r="F25">
        <f>F6-dhap4!F6</f>
        <v>-0.80099285302372358</v>
      </c>
      <c r="H25">
        <f>H6-dhap4!H6</f>
        <v>-0.91572370119548063</v>
      </c>
      <c r="J25">
        <f>J6-dhap4!J6</f>
        <v>-0.88999923770104306</v>
      </c>
      <c r="L25">
        <f>L6-dhap4!L6</f>
        <v>-1.426201875467527</v>
      </c>
    </row>
    <row r="26" spans="1:12" x14ac:dyDescent="0.25">
      <c r="A26" t="s">
        <v>12</v>
      </c>
      <c r="B26">
        <f>B7-dhap4!B7</f>
        <v>0.62233735145678071</v>
      </c>
      <c r="D26">
        <f>D7-dhap4!D7</f>
        <v>8.577592200544415E-2</v>
      </c>
      <c r="F26">
        <f>F7-dhap4!F7</f>
        <v>-0.15286696993764504</v>
      </c>
      <c r="H26">
        <f>H7-dhap4!H7</f>
        <v>-1.0208378535236642</v>
      </c>
      <c r="J26">
        <f>J7-dhap4!J7</f>
        <v>0.76716171182246895</v>
      </c>
      <c r="L26">
        <f>L7-dhap4!L7</f>
        <v>-0.74982309679866821</v>
      </c>
    </row>
    <row r="27" spans="1:12" x14ac:dyDescent="0.25">
      <c r="A27" t="s">
        <v>13</v>
      </c>
      <c r="B27">
        <f>B8-dhap4!B8</f>
        <v>-0.44912199326523938</v>
      </c>
      <c r="D27">
        <f>D8-dhap4!D8</f>
        <v>-0.59474812965823143</v>
      </c>
      <c r="F27">
        <f>F8-dhap4!F8</f>
        <v>-0.65220522617489096</v>
      </c>
      <c r="H27">
        <f>H8-dhap4!H8</f>
        <v>1.6254905238363588</v>
      </c>
      <c r="J27">
        <f>J8-dhap4!J8</f>
        <v>-2.2192373532709508</v>
      </c>
      <c r="L27">
        <f>L8-dhap4!L8</f>
        <v>-1.1336885694540721</v>
      </c>
    </row>
    <row r="28" spans="1:12" x14ac:dyDescent="0.25">
      <c r="A28" t="s">
        <v>14</v>
      </c>
      <c r="B28">
        <f>B9-dhap4!B9</f>
        <v>-0.63020967611933232</v>
      </c>
      <c r="D28">
        <f>D9-dhap4!D9</f>
        <v>-1.3350938061117612</v>
      </c>
      <c r="F28">
        <f>F9-dhap4!F9</f>
        <v>-0.29736890959872497</v>
      </c>
      <c r="H28">
        <f>H9-dhap4!H9</f>
        <v>-1.1714885207248644</v>
      </c>
      <c r="J28">
        <f>J9-dhap4!J9</f>
        <v>-0.83856154383905035</v>
      </c>
      <c r="L28">
        <f>L9-dhap4!L9</f>
        <v>-0.85883042406282017</v>
      </c>
    </row>
    <row r="29" spans="1:12" x14ac:dyDescent="0.25">
      <c r="A29" t="s">
        <v>15</v>
      </c>
      <c r="B29">
        <f>B10-dhap4!B10</f>
        <v>-9.4652185882524442E-3</v>
      </c>
      <c r="D29">
        <f>D10-dhap4!D10</f>
        <v>-0.98779597751788306</v>
      </c>
      <c r="F29">
        <f>F10-dhap4!F10</f>
        <v>-0.31843552813606291</v>
      </c>
      <c r="H29">
        <f>H10-dhap4!H10</f>
        <v>-1.2685129763148519</v>
      </c>
      <c r="J29">
        <f>J10-dhap4!J10</f>
        <v>-1.327063552051988E-2</v>
      </c>
      <c r="L29">
        <f>L10-dhap4!L10</f>
        <v>-2.42240740783854</v>
      </c>
    </row>
    <row r="30" spans="1:12" x14ac:dyDescent="0.25">
      <c r="A30" t="s">
        <v>16</v>
      </c>
      <c r="B30">
        <f>B11-dhap4!B11</f>
        <v>0.57313244991755452</v>
      </c>
      <c r="D30">
        <f>D11-dhap4!D11</f>
        <v>-0.53471815390822286</v>
      </c>
      <c r="F30">
        <f>F11-dhap4!F11</f>
        <v>-2.9161131508522882</v>
      </c>
      <c r="H30">
        <f>H11-dhap4!H11</f>
        <v>-1.4040282170524969</v>
      </c>
      <c r="J30">
        <f>J11-dhap4!J11</f>
        <v>-5.3103956786044781</v>
      </c>
      <c r="L30">
        <f>L11-dhap4!L11</f>
        <v>3.1878463854641659E-2</v>
      </c>
    </row>
    <row r="31" spans="1:12" x14ac:dyDescent="0.25">
      <c r="A31" t="s">
        <v>17</v>
      </c>
      <c r="B31">
        <f>B12-dhap4!B12</f>
        <v>-1.0025727902719208</v>
      </c>
      <c r="D31">
        <f>D12-dhap4!D12</f>
        <v>-0.74829201269743273</v>
      </c>
      <c r="F31">
        <f>F12-dhap4!F12</f>
        <v>-0.63530494507663582</v>
      </c>
      <c r="H31">
        <f>H12-dhap4!H12</f>
        <v>-1.2380302915537651</v>
      </c>
      <c r="J31">
        <f>J12-dhap4!J12</f>
        <v>-1.2160967653527417</v>
      </c>
      <c r="L31">
        <f>L12-dhap4!L12</f>
        <v>-0.78350348306109341</v>
      </c>
    </row>
    <row r="32" spans="1:12" x14ac:dyDescent="0.25">
      <c r="A32" t="s">
        <v>18</v>
      </c>
      <c r="B32">
        <f>B13-dhap4!B13</f>
        <v>-0.74799119585653551</v>
      </c>
      <c r="D32">
        <f>D13-dhap4!D13</f>
        <v>-0.764146981417542</v>
      </c>
      <c r="F32">
        <f>F13-dhap4!F13</f>
        <v>-0.76332040661380218</v>
      </c>
      <c r="H32">
        <f>H13-dhap4!H13</f>
        <v>-0.608210277251785</v>
      </c>
      <c r="J32">
        <f>J13-dhap4!J13</f>
        <v>-0.84675327874199113</v>
      </c>
      <c r="L32">
        <f>L13-dhap4!L13</f>
        <v>-1.2028461332179754</v>
      </c>
    </row>
    <row r="33" spans="1:12" x14ac:dyDescent="0.25">
      <c r="A33" t="s">
        <v>19</v>
      </c>
      <c r="B33">
        <f>B14-dhap4!B14</f>
        <v>-0.27485117221594102</v>
      </c>
      <c r="D33">
        <f>D14-dhap4!D14</f>
        <v>-0.45612098719956973</v>
      </c>
      <c r="F33">
        <f>F14-dhap4!F14</f>
        <v>-1.9946355672479976</v>
      </c>
      <c r="H33">
        <f>H14-dhap4!H14</f>
        <v>-1.6363243178272024</v>
      </c>
      <c r="J33">
        <f>J14-dhap4!J14</f>
        <v>-0.65990573916982798</v>
      </c>
      <c r="L33">
        <f>L14-dhap4!L14</f>
        <v>-0.97522781754343624</v>
      </c>
    </row>
    <row r="34" spans="1:12" x14ac:dyDescent="0.25">
      <c r="A34" t="s">
        <v>20</v>
      </c>
      <c r="B34">
        <f>B15-dhap4!B15</f>
        <v>-0.65646769252841808</v>
      </c>
      <c r="D34">
        <f>D15-dhap4!D15</f>
        <v>-0.19802051683841515</v>
      </c>
      <c r="F34">
        <f>F15-dhap4!F15</f>
        <v>-15.418764646078614</v>
      </c>
      <c r="H34">
        <f>H15-dhap4!H15</f>
        <v>-1.5830764287355643</v>
      </c>
      <c r="J34">
        <f>J15-dhap4!J15</f>
        <v>-0.14024241649763802</v>
      </c>
      <c r="L34">
        <f>L15-dhap4!L15</f>
        <v>-0.51490786461589544</v>
      </c>
    </row>
    <row r="35" spans="1:12" x14ac:dyDescent="0.25">
      <c r="A35" t="s">
        <v>21</v>
      </c>
      <c r="B35">
        <f>B16-dhap4!B16</f>
        <v>-2.8536278324818953</v>
      </c>
      <c r="D35">
        <f>D16-dhap4!D16</f>
        <v>-0.46668728892703104</v>
      </c>
      <c r="F35">
        <f>F16-dhap4!F16</f>
        <v>-1.8345386006827946</v>
      </c>
      <c r="H35">
        <f>H16-dhap4!H16</f>
        <v>-0.4376899233559256</v>
      </c>
      <c r="J35">
        <f>J16-dhap4!J16</f>
        <v>-1.5665626459450634</v>
      </c>
      <c r="L35">
        <f>L16-dhap4!L16</f>
        <v>1.4115341439038946</v>
      </c>
    </row>
    <row r="37" spans="1:12" x14ac:dyDescent="0.25">
      <c r="A37" t="s">
        <v>111</v>
      </c>
    </row>
    <row r="38" spans="1:12" x14ac:dyDescent="0.25">
      <c r="A38">
        <v>1.4519850220020576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workbookViewId="0">
      <selection activeCell="A38" sqref="A38"/>
    </sheetView>
  </sheetViews>
  <sheetFormatPr defaultColWidth="8.85546875" defaultRowHeight="15" x14ac:dyDescent="0.25"/>
  <sheetData>
    <row r="1" spans="1:13" x14ac:dyDescent="0.25">
      <c r="A1" t="s">
        <v>0</v>
      </c>
      <c r="B1" t="s">
        <v>1</v>
      </c>
      <c r="C1" s="14" t="s">
        <v>22</v>
      </c>
      <c r="D1" t="s">
        <v>2</v>
      </c>
      <c r="E1" s="15" t="s">
        <v>23</v>
      </c>
      <c r="F1" t="s">
        <v>3</v>
      </c>
      <c r="G1" s="16" t="s">
        <v>24</v>
      </c>
      <c r="H1" t="s">
        <v>4</v>
      </c>
      <c r="I1" s="17" t="s">
        <v>25</v>
      </c>
      <c r="J1" t="s">
        <v>5</v>
      </c>
      <c r="K1" s="18" t="s">
        <v>26</v>
      </c>
      <c r="L1" t="s">
        <v>6</v>
      </c>
      <c r="M1" s="19" t="s">
        <v>27</v>
      </c>
    </row>
    <row r="2" spans="1:13" x14ac:dyDescent="0.25">
      <c r="A2" t="s">
        <v>7</v>
      </c>
      <c r="B2">
        <v>0.43989941106314095</v>
      </c>
      <c r="C2" s="14">
        <v>0.762384490029694</v>
      </c>
      <c r="D2">
        <v>0.10957405613493555</v>
      </c>
      <c r="E2" s="15">
        <v>0.44624975588118598</v>
      </c>
      <c r="F2">
        <v>1.373394304659717</v>
      </c>
      <c r="G2" s="16">
        <v>0.78551996118716705</v>
      </c>
      <c r="H2">
        <v>0.1212250745700376</v>
      </c>
      <c r="I2" s="17">
        <v>0.29160072506103601</v>
      </c>
      <c r="J2">
        <v>0.20238012713999484</v>
      </c>
      <c r="K2" s="18">
        <v>0.82577386681059695</v>
      </c>
      <c r="L2">
        <v>1.1999220580824124</v>
      </c>
      <c r="M2" s="7">
        <v>4.5710095337786E-2</v>
      </c>
    </row>
    <row r="3" spans="1:13" x14ac:dyDescent="0.25">
      <c r="A3" t="s">
        <v>8</v>
      </c>
      <c r="B3">
        <v>0.51142228275259294</v>
      </c>
      <c r="C3" s="14">
        <v>8.2901279432195593E-2</v>
      </c>
      <c r="D3">
        <v>0.50760465324843118</v>
      </c>
      <c r="E3" s="9">
        <v>9.0782211164155292E-3</v>
      </c>
      <c r="F3">
        <v>0.47733197432342528</v>
      </c>
      <c r="G3" s="16">
        <v>0.52024738694317496</v>
      </c>
      <c r="H3">
        <v>0.6253417547313348</v>
      </c>
      <c r="I3" s="17">
        <v>7.2269282640789106E-2</v>
      </c>
      <c r="J3">
        <v>1.3525644849023639</v>
      </c>
      <c r="K3" s="18">
        <v>0.76388269721491497</v>
      </c>
      <c r="L3">
        <v>1.7976551895094099</v>
      </c>
      <c r="M3" s="19">
        <v>0.45347930983877699</v>
      </c>
    </row>
    <row r="4" spans="1:13" x14ac:dyDescent="0.25">
      <c r="A4" t="s">
        <v>9</v>
      </c>
      <c r="B4">
        <v>0.80526289057917311</v>
      </c>
      <c r="C4" s="14">
        <v>6.6225124959576706E-2</v>
      </c>
      <c r="D4">
        <v>0.14496421249999999</v>
      </c>
      <c r="E4" s="15">
        <v>0.61881514010194805</v>
      </c>
      <c r="F4">
        <v>0.8327695310374289</v>
      </c>
      <c r="G4" s="10">
        <v>1.6347989883004101E-2</v>
      </c>
      <c r="H4">
        <v>1.2197895562854266</v>
      </c>
      <c r="I4" s="11">
        <v>1.1178235493982801E-2</v>
      </c>
      <c r="J4">
        <v>0.76630585726851896</v>
      </c>
      <c r="K4" s="18">
        <v>0.41128551861353002</v>
      </c>
      <c r="L4">
        <v>0.76198301711102889</v>
      </c>
      <c r="M4" s="7">
        <v>2.5966862137770701E-2</v>
      </c>
    </row>
    <row r="5" spans="1:13" x14ac:dyDescent="0.25">
      <c r="A5" t="s">
        <v>10</v>
      </c>
      <c r="B5">
        <v>0.46462217868602235</v>
      </c>
      <c r="C5" s="14">
        <v>0.33061324554751997</v>
      </c>
      <c r="D5">
        <v>0.81428626691929085</v>
      </c>
      <c r="E5" s="15">
        <v>0.58761063110676703</v>
      </c>
      <c r="F5">
        <v>0.85743287935992996</v>
      </c>
      <c r="G5" s="16">
        <v>0.876273721691745</v>
      </c>
      <c r="H5">
        <v>0.84565889417296358</v>
      </c>
      <c r="I5" s="17">
        <v>0.12610118972802201</v>
      </c>
      <c r="J5">
        <v>0.55950304877275803</v>
      </c>
      <c r="K5" s="18">
        <v>0.84451617033304205</v>
      </c>
      <c r="L5">
        <v>0.23656227620201756</v>
      </c>
      <c r="M5" s="19">
        <v>0.34787221257796602</v>
      </c>
    </row>
    <row r="6" spans="1:13" x14ac:dyDescent="0.25">
      <c r="A6" t="s">
        <v>11</v>
      </c>
      <c r="B6">
        <v>0.53838607169773955</v>
      </c>
      <c r="C6" s="14">
        <v>0.41886387925431101</v>
      </c>
      <c r="D6">
        <v>0.23204756733436382</v>
      </c>
      <c r="E6" s="15">
        <v>0.54683519144140802</v>
      </c>
      <c r="F6">
        <v>0.35326105333333335</v>
      </c>
      <c r="G6" s="16">
        <v>0.60936795919082498</v>
      </c>
      <c r="H6">
        <v>0.21087116397821293</v>
      </c>
      <c r="I6" s="17">
        <v>0.51888455220311103</v>
      </c>
      <c r="J6">
        <v>0.31193046274567876</v>
      </c>
      <c r="K6" s="18">
        <v>0.92811381976317897</v>
      </c>
      <c r="L6">
        <v>0.14978748336434333</v>
      </c>
      <c r="M6" s="19">
        <v>0.117144834533319</v>
      </c>
    </row>
    <row r="7" spans="1:13" x14ac:dyDescent="0.25">
      <c r="A7" t="s">
        <v>12</v>
      </c>
      <c r="B7">
        <v>1.8856449560948383</v>
      </c>
      <c r="C7" s="14">
        <v>0.73074475229926095</v>
      </c>
      <c r="D7">
        <v>1.1752031781588503</v>
      </c>
      <c r="E7" s="15">
        <v>0.482119508817688</v>
      </c>
      <c r="F7">
        <v>0.77520223100975449</v>
      </c>
      <c r="G7" s="16">
        <v>7.7299330333445299E-2</v>
      </c>
      <c r="H7">
        <v>0.4916199175</v>
      </c>
      <c r="I7" s="17">
        <v>0.41648763304756098</v>
      </c>
      <c r="J7">
        <v>1.3708516181186934</v>
      </c>
      <c r="K7" s="18">
        <v>0.92618166088133702</v>
      </c>
      <c r="L7">
        <v>0.59896232110215808</v>
      </c>
      <c r="M7" s="7">
        <v>1.5741522728162101E-2</v>
      </c>
    </row>
    <row r="8" spans="1:13" x14ac:dyDescent="0.25">
      <c r="A8" t="s">
        <v>13</v>
      </c>
      <c r="B8">
        <v>0.63254118395054892</v>
      </c>
      <c r="C8" s="12">
        <v>3.9736164584284001E-2</v>
      </c>
      <c r="D8">
        <v>0.79429012123704645</v>
      </c>
      <c r="E8" s="9">
        <v>2.23753114222145E-3</v>
      </c>
      <c r="F8">
        <v>0.31434459544367177</v>
      </c>
      <c r="G8" s="10">
        <v>2.4759724199063201E-3</v>
      </c>
      <c r="H8">
        <v>2.8007432284614118</v>
      </c>
      <c r="I8" s="17">
        <v>0.42442038054964198</v>
      </c>
      <c r="J8">
        <v>0.5935956166666666</v>
      </c>
      <c r="K8" s="18">
        <v>0.57583799773840905</v>
      </c>
      <c r="L8">
        <v>0.52958273109581255</v>
      </c>
      <c r="M8" s="7">
        <v>1.1238296525258799E-3</v>
      </c>
    </row>
    <row r="9" spans="1:13" x14ac:dyDescent="0.25">
      <c r="A9" t="s">
        <v>14</v>
      </c>
      <c r="B9">
        <v>0.51243481616260567</v>
      </c>
      <c r="C9" s="14">
        <v>0.30555896896170998</v>
      </c>
      <c r="D9">
        <v>0.35522221078820054</v>
      </c>
      <c r="E9" s="15">
        <v>0.220796800536256</v>
      </c>
      <c r="F9">
        <v>0.93292005668196865</v>
      </c>
      <c r="G9" s="16">
        <v>0.34273266373509897</v>
      </c>
      <c r="H9">
        <v>0.26715134040772376</v>
      </c>
      <c r="I9" s="11">
        <v>1.6849469393969401E-2</v>
      </c>
      <c r="J9">
        <v>0.58042871454428824</v>
      </c>
      <c r="K9" s="18">
        <v>0.80207673397527102</v>
      </c>
      <c r="L9">
        <v>0.26986050229739328</v>
      </c>
      <c r="M9" s="19">
        <v>8.3557084326203193E-2</v>
      </c>
    </row>
    <row r="10" spans="1:13" x14ac:dyDescent="0.25">
      <c r="A10" t="s">
        <v>15</v>
      </c>
      <c r="B10">
        <v>1.0006458431870642</v>
      </c>
      <c r="C10" s="14">
        <v>0.40967747091093998</v>
      </c>
      <c r="D10">
        <v>0.28742301353849697</v>
      </c>
      <c r="E10" s="9">
        <v>4.93615335741312E-2</v>
      </c>
      <c r="F10">
        <v>0.7647785150887052</v>
      </c>
      <c r="G10" s="16">
        <v>7.5060611423136706E-2</v>
      </c>
      <c r="H10">
        <v>0.16734802497465509</v>
      </c>
      <c r="I10" s="17">
        <v>5.3349459021998002E-2</v>
      </c>
      <c r="J10">
        <v>1.1401522271521736</v>
      </c>
      <c r="K10" s="18">
        <v>0.83537027035042999</v>
      </c>
      <c r="L10">
        <v>0.31176970804825993</v>
      </c>
      <c r="M10" s="7">
        <v>2.0751052693414899E-3</v>
      </c>
    </row>
    <row r="11" spans="1:13" x14ac:dyDescent="0.25">
      <c r="A11" t="s">
        <v>16</v>
      </c>
      <c r="B11">
        <v>1.6454842648979819</v>
      </c>
      <c r="C11" s="14">
        <v>0.312866167848105</v>
      </c>
      <c r="D11">
        <v>0.96560699091992763</v>
      </c>
      <c r="E11" s="15">
        <v>0.36919882166698498</v>
      </c>
      <c r="F11">
        <v>0.23918718475939638</v>
      </c>
      <c r="G11" s="16">
        <v>0.32044779172975002</v>
      </c>
      <c r="H11">
        <v>0.23763628720414465</v>
      </c>
      <c r="I11" s="17">
        <v>1.01926877470356</v>
      </c>
      <c r="J11">
        <v>0.41517657226428373</v>
      </c>
      <c r="K11" s="18">
        <v>0.41730594570108798</v>
      </c>
      <c r="L11">
        <v>1.2264559097022156</v>
      </c>
      <c r="M11" s="19">
        <v>0.32964773522541801</v>
      </c>
    </row>
    <row r="12" spans="1:13" x14ac:dyDescent="0.25">
      <c r="A12" t="s">
        <v>17</v>
      </c>
      <c r="B12">
        <v>0.31976404464681818</v>
      </c>
      <c r="C12" s="14">
        <v>0.673063017606508</v>
      </c>
      <c r="D12">
        <v>0.62237660195958988</v>
      </c>
      <c r="E12" s="15">
        <v>0.48391674975244903</v>
      </c>
      <c r="F12">
        <v>0.38678850444453322</v>
      </c>
      <c r="G12" s="16">
        <v>0.37967438937929698</v>
      </c>
      <c r="H12">
        <v>0.1780631715462995</v>
      </c>
      <c r="I12" s="17">
        <v>0.61551986182630103</v>
      </c>
      <c r="J12">
        <v>0.25060415247123352</v>
      </c>
      <c r="K12" s="18">
        <v>0.96518223885221099</v>
      </c>
      <c r="L12">
        <v>0.26168055209891417</v>
      </c>
      <c r="M12" s="19">
        <v>0.77989454444137896</v>
      </c>
    </row>
    <row r="13" spans="1:13" x14ac:dyDescent="0.25">
      <c r="A13" t="s">
        <v>18</v>
      </c>
      <c r="B13">
        <v>0.47259502005257964</v>
      </c>
      <c r="C13" s="14">
        <v>9.5712795892028399E-2</v>
      </c>
      <c r="D13">
        <v>0.27556223484783687</v>
      </c>
      <c r="E13" s="15">
        <v>0.44634237725270698</v>
      </c>
      <c r="F13">
        <v>0.29363765739760855</v>
      </c>
      <c r="G13" s="16">
        <v>0.31255665386579601</v>
      </c>
      <c r="H13">
        <v>0.50195840700248151</v>
      </c>
      <c r="I13" s="17">
        <v>0.98678976939878205</v>
      </c>
      <c r="J13">
        <v>0.25716880980305062</v>
      </c>
      <c r="K13" s="18">
        <v>0.517815470814041</v>
      </c>
      <c r="L13">
        <v>0.32235332325520644</v>
      </c>
      <c r="M13" s="19">
        <v>0.297478016852251</v>
      </c>
    </row>
    <row r="14" spans="1:13" x14ac:dyDescent="0.25">
      <c r="A14" t="s">
        <v>19</v>
      </c>
      <c r="B14">
        <v>0.77302739426574096</v>
      </c>
      <c r="C14" s="14">
        <v>0.174295602147962</v>
      </c>
      <c r="D14">
        <v>0.64069561322424173</v>
      </c>
      <c r="E14" s="15">
        <v>0.86844583111990603</v>
      </c>
      <c r="F14">
        <v>0.52365462954807385</v>
      </c>
      <c r="G14" s="10">
        <v>4.3268390080787603E-2</v>
      </c>
      <c r="H14">
        <v>0.65248947642064403</v>
      </c>
      <c r="I14" s="11">
        <v>8.3521584494051695E-3</v>
      </c>
      <c r="J14">
        <v>0.33448838633591182</v>
      </c>
      <c r="K14" s="18">
        <v>0.81524617305381997</v>
      </c>
      <c r="L14">
        <v>0.67440106918751963</v>
      </c>
      <c r="M14" s="19">
        <v>6.5292475138674894E-2</v>
      </c>
    </row>
    <row r="15" spans="1:13" x14ac:dyDescent="0.25">
      <c r="A15" t="s">
        <v>20</v>
      </c>
      <c r="B15">
        <v>0.41970107252320749</v>
      </c>
      <c r="C15" s="12">
        <v>4.0424970068182499E-3</v>
      </c>
      <c r="D15">
        <v>0.82529674736926051</v>
      </c>
      <c r="E15" s="15">
        <v>5.7965913592618802E-2</v>
      </c>
      <c r="F15">
        <v>0.45341696340223608</v>
      </c>
      <c r="G15" s="16">
        <v>0.218104991549528</v>
      </c>
      <c r="H15">
        <v>0.46308121361633475</v>
      </c>
      <c r="I15" s="11">
        <v>1.17388410353965E-2</v>
      </c>
      <c r="J15">
        <v>0.69532279006406805</v>
      </c>
      <c r="K15" s="18">
        <v>0.21974386864794401</v>
      </c>
      <c r="L15">
        <v>0.61364809196460179</v>
      </c>
      <c r="M15" s="19">
        <v>0.26584607245743602</v>
      </c>
    </row>
    <row r="16" spans="1:13" x14ac:dyDescent="0.25">
      <c r="A16" t="s">
        <v>21</v>
      </c>
      <c r="B16">
        <v>2.311797527980417</v>
      </c>
      <c r="C16" s="12">
        <v>8.8957362296602296E-3</v>
      </c>
      <c r="D16">
        <v>0.67539954905061439</v>
      </c>
      <c r="E16" s="15">
        <v>0.31603437363464698</v>
      </c>
      <c r="F16">
        <v>1.276545695102461</v>
      </c>
      <c r="G16" s="16">
        <v>0.250267714639267</v>
      </c>
      <c r="H16">
        <v>1.1248446296071775</v>
      </c>
      <c r="I16" s="17">
        <v>1.01343777505961</v>
      </c>
      <c r="J16">
        <v>0.45781434277729777</v>
      </c>
      <c r="K16" s="18">
        <v>0.88243598341370999</v>
      </c>
      <c r="L16">
        <v>3.1590337508333337</v>
      </c>
      <c r="M16" s="19">
        <v>0.45617091532496501</v>
      </c>
    </row>
    <row r="20" spans="1:12" x14ac:dyDescent="0.25">
      <c r="A20" t="s">
        <v>171</v>
      </c>
    </row>
    <row r="21" spans="1:12" x14ac:dyDescent="0.25">
      <c r="A21" t="s">
        <v>7</v>
      </c>
      <c r="B21">
        <f>B2-dhap4!B2</f>
        <v>-0.57496218882537953</v>
      </c>
      <c r="D21">
        <f>D2-dhap4!D2</f>
        <v>-1.0892552892438989</v>
      </c>
      <c r="F21">
        <f>F2-dhap4!F2</f>
        <v>-8.1790357662894442E-2</v>
      </c>
      <c r="H21">
        <f>H2-dhap4!H2</f>
        <v>-1.248555513978771</v>
      </c>
      <c r="J21">
        <f>J2-dhap4!J2</f>
        <v>-0.85842934909234991</v>
      </c>
      <c r="L21">
        <f>L2-dhap4!L2</f>
        <v>-0.27375256803276682</v>
      </c>
    </row>
    <row r="22" spans="1:12" x14ac:dyDescent="0.25">
      <c r="A22" t="s">
        <v>8</v>
      </c>
      <c r="B22">
        <f>B3-dhap4!B3</f>
        <v>-0.60900651289139485</v>
      </c>
      <c r="D22">
        <f>D3-dhap4!D3</f>
        <v>-0.95776053723671872</v>
      </c>
      <c r="F22">
        <f>F3-dhap4!F3</f>
        <v>-0.9737455042870744</v>
      </c>
      <c r="H22">
        <f>H3-dhap4!H3</f>
        <v>-1.1270136070191068</v>
      </c>
      <c r="J22">
        <f>J3-dhap4!J3</f>
        <v>0.14151273783174267</v>
      </c>
      <c r="L22">
        <f>L3-dhap4!L3</f>
        <v>0.40181599233630605</v>
      </c>
    </row>
    <row r="23" spans="1:12" x14ac:dyDescent="0.25">
      <c r="A23" t="s">
        <v>9</v>
      </c>
      <c r="B23">
        <f>B4-dhap4!B4</f>
        <v>-0.65338985263542082</v>
      </c>
      <c r="D23">
        <f>D4-dhap4!D4</f>
        <v>-1.5744223426702637</v>
      </c>
      <c r="F23">
        <f>F4-dhap4!F4</f>
        <v>-0.34969518970110303</v>
      </c>
      <c r="H23">
        <f>H4-dhap4!H4</f>
        <v>1.0598712347134276E-2</v>
      </c>
      <c r="J23">
        <f>J4-dhap4!J4</f>
        <v>-0.34010791446014166</v>
      </c>
      <c r="L23">
        <f>L4-dhap4!L4</f>
        <v>-0.64216029100923588</v>
      </c>
    </row>
    <row r="24" spans="1:12" x14ac:dyDescent="0.25">
      <c r="A24" t="s">
        <v>10</v>
      </c>
      <c r="B24">
        <f>B5-dhap4!B5</f>
        <v>-1.3892910369075839</v>
      </c>
      <c r="D24">
        <f>D5-dhap4!D5</f>
        <v>-1.0313256041012941</v>
      </c>
      <c r="F24">
        <f>F5-dhap4!F5</f>
        <v>-0.17080124711452194</v>
      </c>
      <c r="H24">
        <f>H5-dhap4!H5</f>
        <v>-1.1092900475598224</v>
      </c>
      <c r="J24">
        <f>J5-dhap4!J5</f>
        <v>-0.62933135904112636</v>
      </c>
      <c r="L24">
        <f>L5-dhap4!L5</f>
        <v>-0.94218264344753544</v>
      </c>
    </row>
    <row r="25" spans="1:12" x14ac:dyDescent="0.25">
      <c r="A25" t="s">
        <v>11</v>
      </c>
      <c r="B25">
        <f>B6-dhap4!B6</f>
        <v>-0.63094813723637544</v>
      </c>
      <c r="D25">
        <f>D6-dhap4!D6</f>
        <v>-0.98474326963155767</v>
      </c>
      <c r="F25">
        <f>F6-dhap4!F6</f>
        <v>-0.80099285302372358</v>
      </c>
      <c r="H25">
        <f>H6-dhap4!H6</f>
        <v>-0.91587859504777203</v>
      </c>
      <c r="J25">
        <f>J6-dhap4!J6</f>
        <v>-0.89740917843705059</v>
      </c>
      <c r="L25">
        <f>L6-dhap4!L6</f>
        <v>-1.420699923152076</v>
      </c>
    </row>
    <row r="26" spans="1:12" x14ac:dyDescent="0.25">
      <c r="A26" t="s">
        <v>12</v>
      </c>
      <c r="B26">
        <f>B7-dhap4!B7</f>
        <v>0.69085376007566124</v>
      </c>
      <c r="D26">
        <f>D7-dhap4!D7</f>
        <v>0.11455000546977989</v>
      </c>
      <c r="F26">
        <f>F7-dhap4!F7</f>
        <v>-1.2777479326483934</v>
      </c>
      <c r="H26">
        <f>H7-dhap4!H7</f>
        <v>-1.0208378535236642</v>
      </c>
      <c r="J26">
        <f>J7-dhap4!J7</f>
        <v>0.31025832981284096</v>
      </c>
      <c r="L26">
        <f>L7-dhap4!L7</f>
        <v>-1.1199419445449332</v>
      </c>
    </row>
    <row r="27" spans="1:12" x14ac:dyDescent="0.25">
      <c r="A27" t="s">
        <v>13</v>
      </c>
      <c r="B27">
        <f>B8-dhap4!B8</f>
        <v>-0.41961514081929263</v>
      </c>
      <c r="D27">
        <f>D8-dhap4!D8</f>
        <v>-0.45170139132869014</v>
      </c>
      <c r="F27">
        <f>F8-dhap4!F8</f>
        <v>-0.69031929173563322</v>
      </c>
      <c r="H27">
        <f>H8-dhap4!H8</f>
        <v>1.7428572574956256</v>
      </c>
      <c r="J27">
        <f>J8-dhap4!J8</f>
        <v>-2.2192373532709508</v>
      </c>
      <c r="L27">
        <f>L8-dhap4!L8</f>
        <v>-0.97112134325858701</v>
      </c>
    </row>
    <row r="28" spans="1:12" x14ac:dyDescent="0.25">
      <c r="A28" t="s">
        <v>14</v>
      </c>
      <c r="B28">
        <f>B9-dhap4!B9</f>
        <v>-0.57961242232609134</v>
      </c>
      <c r="D28">
        <f>D9-dhap4!D9</f>
        <v>-1.3432765973868579</v>
      </c>
      <c r="F28">
        <f>F9-dhap4!F9</f>
        <v>-0.29305366642213149</v>
      </c>
      <c r="H28">
        <f>H9-dhap4!H9</f>
        <v>-1.0988841360757695</v>
      </c>
      <c r="J28">
        <f>J9-dhap4!J9</f>
        <v>-0.72652872166121873</v>
      </c>
      <c r="L28">
        <f>L9-dhap4!L9</f>
        <v>-0.87206191987635728</v>
      </c>
    </row>
    <row r="29" spans="1:12" x14ac:dyDescent="0.25">
      <c r="A29" t="s">
        <v>15</v>
      </c>
      <c r="B29">
        <f>B10-dhap4!B10</f>
        <v>2.9451417033299343E-4</v>
      </c>
      <c r="D29">
        <f>D10-dhap4!D10</f>
        <v>-0.97004897104232435</v>
      </c>
      <c r="F29">
        <f>F10-dhap4!F10</f>
        <v>-0.51662560408659441</v>
      </c>
      <c r="H29">
        <f>H10-dhap4!H10</f>
        <v>-1.2841168313557458</v>
      </c>
      <c r="J29">
        <f>J10-dhap4!J10</f>
        <v>-4.4662871182137298E-2</v>
      </c>
      <c r="L29">
        <f>L10-dhap4!L10</f>
        <v>-2.4149620890710821</v>
      </c>
    </row>
    <row r="30" spans="1:12" x14ac:dyDescent="0.25">
      <c r="A30" t="s">
        <v>16</v>
      </c>
      <c r="B30">
        <f>B11-dhap4!B11</f>
        <v>5.5291507812272211E-2</v>
      </c>
      <c r="D30">
        <f>D11-dhap4!D11</f>
        <v>-0.55140085263355498</v>
      </c>
      <c r="F30">
        <f>F11-dhap4!F11</f>
        <v>-2.9170408124421865</v>
      </c>
      <c r="H30">
        <f>H11-dhap4!H11</f>
        <v>-1.2995912125306623</v>
      </c>
      <c r="J30">
        <f>J11-dhap4!J11</f>
        <v>-5.4921800889429706</v>
      </c>
      <c r="L30">
        <f>L11-dhap4!L11</f>
        <v>-2.5507292813196969E-2</v>
      </c>
    </row>
    <row r="31" spans="1:12" x14ac:dyDescent="0.25">
      <c r="A31" t="s">
        <v>17</v>
      </c>
      <c r="B31">
        <f>B12-dhap4!B12</f>
        <v>-0.9631056658778796</v>
      </c>
      <c r="D31">
        <f>D12-dhap4!D12</f>
        <v>-0.90063115861265264</v>
      </c>
      <c r="F31">
        <f>F12-dhap4!F12</f>
        <v>-0.84400972145697528</v>
      </c>
      <c r="H31">
        <f>H12-dhap4!H12</f>
        <v>-1.2389447878039288</v>
      </c>
      <c r="J31">
        <f>J12-dhap4!J12</f>
        <v>-1.2105519821622508</v>
      </c>
      <c r="L31">
        <f>L12-dhap4!L12</f>
        <v>-0.81504000154129563</v>
      </c>
    </row>
    <row r="32" spans="1:12" x14ac:dyDescent="0.25">
      <c r="A32" t="s">
        <v>18</v>
      </c>
      <c r="B32">
        <f>B13-dhap4!B13</f>
        <v>-0.68175373869966194</v>
      </c>
      <c r="D32">
        <f>D13-dhap4!D13</f>
        <v>-0.79197233960293367</v>
      </c>
      <c r="F32">
        <f>F13-dhap4!F13</f>
        <v>-0.75488951092176726</v>
      </c>
      <c r="H32">
        <f>H13-dhap4!H13</f>
        <v>-0.61665832694008726</v>
      </c>
      <c r="J32">
        <f>J13-dhap4!J13</f>
        <v>-0.84488544345757743</v>
      </c>
      <c r="L32">
        <f>L13-dhap4!L13</f>
        <v>-1.1509162916073032</v>
      </c>
    </row>
    <row r="33" spans="1:12" x14ac:dyDescent="0.25">
      <c r="A33" t="s">
        <v>19</v>
      </c>
      <c r="B33">
        <f>B14-dhap4!B14</f>
        <v>-0.36589082831507957</v>
      </c>
      <c r="D33">
        <f>D14-dhap4!D14</f>
        <v>-0.45685982581218421</v>
      </c>
      <c r="F33">
        <f>F14-dhap4!F14</f>
        <v>-2.6484177368361497</v>
      </c>
      <c r="H33">
        <f>H14-dhap4!H14</f>
        <v>-1.7865533981332846</v>
      </c>
      <c r="J33">
        <f>J14-dhap4!J14</f>
        <v>-0.75969759231247802</v>
      </c>
      <c r="L33">
        <f>L14-dhap4!L14</f>
        <v>-1.1455453968289677</v>
      </c>
    </row>
    <row r="34" spans="1:12" x14ac:dyDescent="0.25">
      <c r="A34" t="s">
        <v>20</v>
      </c>
      <c r="B34">
        <f>B15-dhap4!B15</f>
        <v>-0.71941099999148084</v>
      </c>
      <c r="D34">
        <f>D15-dhap4!D15</f>
        <v>-0.31394474769995395</v>
      </c>
      <c r="F34">
        <f>F15-dhap4!F15</f>
        <v>-16.353076835525069</v>
      </c>
      <c r="H34">
        <f>H15-dhap4!H15</f>
        <v>-1.704568343946228</v>
      </c>
      <c r="J34">
        <f>J15-dhap4!J15</f>
        <v>-0.31372861424967613</v>
      </c>
      <c r="L34">
        <f>L15-dhap4!L15</f>
        <v>-0.62085934084126271</v>
      </c>
    </row>
    <row r="35" spans="1:12" x14ac:dyDescent="0.25">
      <c r="A35" t="s">
        <v>21</v>
      </c>
      <c r="B35">
        <f>B16-dhap4!B16</f>
        <v>-1.7810463781039374</v>
      </c>
      <c r="D35">
        <f>D16-dhap4!D16</f>
        <v>-0.61585756332317665</v>
      </c>
      <c r="F35">
        <f>F16-dhap4!F16</f>
        <v>-1.6854725827761539</v>
      </c>
      <c r="H35">
        <f>H16-dhap4!H16</f>
        <v>-0.18339615175838553</v>
      </c>
      <c r="J35">
        <f>J16-dhap4!J16</f>
        <v>-1.4675869789442968</v>
      </c>
      <c r="L35">
        <f>L16-dhap4!L16</f>
        <v>1.4115341439038946</v>
      </c>
    </row>
    <row r="37" spans="1:12" x14ac:dyDescent="0.25">
      <c r="A37" t="s">
        <v>111</v>
      </c>
    </row>
    <row r="38" spans="1:12" x14ac:dyDescent="0.25">
      <c r="A38">
        <v>1.4318485216486623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workbookViewId="0">
      <selection activeCell="A20" sqref="A20"/>
    </sheetView>
  </sheetViews>
  <sheetFormatPr defaultColWidth="8.85546875" defaultRowHeight="15" x14ac:dyDescent="0.25"/>
  <sheetData>
    <row r="1" spans="1:13" x14ac:dyDescent="0.25">
      <c r="A1" t="s">
        <v>0</v>
      </c>
      <c r="B1" t="s">
        <v>1</v>
      </c>
      <c r="C1" s="14" t="s">
        <v>22</v>
      </c>
      <c r="D1" t="s">
        <v>2</v>
      </c>
      <c r="E1" s="15" t="s">
        <v>23</v>
      </c>
      <c r="F1" t="s">
        <v>3</v>
      </c>
      <c r="G1" s="16" t="s">
        <v>24</v>
      </c>
      <c r="H1" t="s">
        <v>4</v>
      </c>
      <c r="I1" s="17" t="s">
        <v>25</v>
      </c>
      <c r="J1" t="s">
        <v>5</v>
      </c>
      <c r="K1" s="18" t="s">
        <v>26</v>
      </c>
      <c r="L1" t="s">
        <v>6</v>
      </c>
      <c r="M1" s="19" t="s">
        <v>27</v>
      </c>
    </row>
    <row r="2" spans="1:13" x14ac:dyDescent="0.25">
      <c r="A2" t="s">
        <v>7</v>
      </c>
      <c r="B2">
        <v>0.51820630315546445</v>
      </c>
      <c r="C2" s="14">
        <v>0.762384490029694</v>
      </c>
      <c r="D2">
        <v>0.15342967430076551</v>
      </c>
      <c r="E2" s="15">
        <v>0.44624975588118598</v>
      </c>
      <c r="F2">
        <v>1.3375201575909201</v>
      </c>
      <c r="G2" s="16">
        <v>0.78551996118716705</v>
      </c>
      <c r="H2">
        <v>0.10769502062634854</v>
      </c>
      <c r="I2" s="17">
        <v>0.29160072506103601</v>
      </c>
      <c r="J2">
        <v>0.21526229159377588</v>
      </c>
      <c r="K2" s="18">
        <v>0.82577386681059695</v>
      </c>
      <c r="L2">
        <v>1.0159260346188708</v>
      </c>
      <c r="M2" s="7">
        <v>4.5710095337786E-2</v>
      </c>
    </row>
    <row r="3" spans="1:13" x14ac:dyDescent="0.25">
      <c r="A3" t="s">
        <v>8</v>
      </c>
      <c r="B3">
        <v>0.30180799437297201</v>
      </c>
      <c r="C3" s="14">
        <v>8.2901279432195593E-2</v>
      </c>
      <c r="D3">
        <v>0.78961568801773474</v>
      </c>
      <c r="E3" s="9">
        <v>9.0782211164155292E-3</v>
      </c>
      <c r="F3">
        <v>0.54591947676929864</v>
      </c>
      <c r="G3" s="16">
        <v>0.52024738694317496</v>
      </c>
      <c r="H3">
        <v>0.38238981323261939</v>
      </c>
      <c r="I3" s="17">
        <v>7.2269282640789106E-2</v>
      </c>
      <c r="J3">
        <v>1.1943672882960155</v>
      </c>
      <c r="K3" s="18">
        <v>0.76388269721491497</v>
      </c>
      <c r="L3">
        <v>1.2454099030617656</v>
      </c>
      <c r="M3" s="19">
        <v>0.45347930983877699</v>
      </c>
    </row>
    <row r="4" spans="1:13" x14ac:dyDescent="0.25">
      <c r="A4" t="s">
        <v>9</v>
      </c>
      <c r="B4">
        <v>0.60003795339805421</v>
      </c>
      <c r="C4" s="14">
        <v>6.6225124959576706E-2</v>
      </c>
      <c r="D4">
        <v>0.14496421249999999</v>
      </c>
      <c r="E4" s="15">
        <v>0.61881514010194805</v>
      </c>
      <c r="F4">
        <v>1.1803841392068706</v>
      </c>
      <c r="G4" s="10">
        <v>1.6347989883004101E-2</v>
      </c>
      <c r="H4">
        <v>0.93850425171750873</v>
      </c>
      <c r="I4" s="11">
        <v>1.1178235493982801E-2</v>
      </c>
      <c r="J4">
        <v>0.786218976090863</v>
      </c>
      <c r="K4" s="18">
        <v>0.41128551861353002</v>
      </c>
      <c r="L4">
        <v>0.63043427845966371</v>
      </c>
      <c r="M4" s="7">
        <v>2.5966862137770701E-2</v>
      </c>
    </row>
    <row r="5" spans="1:13" x14ac:dyDescent="0.25">
      <c r="A5" t="s">
        <v>10</v>
      </c>
      <c r="B5">
        <v>0.42848816316868665</v>
      </c>
      <c r="C5" s="14">
        <v>0.33061324554751997</v>
      </c>
      <c r="D5">
        <v>0.63735802226420291</v>
      </c>
      <c r="E5" s="15">
        <v>0.58761063110676703</v>
      </c>
      <c r="F5">
        <v>0.81423603775312137</v>
      </c>
      <c r="G5" s="16">
        <v>0.876273721691745</v>
      </c>
      <c r="H5">
        <v>0.99054241636648455</v>
      </c>
      <c r="I5" s="17">
        <v>0.12610118972802201</v>
      </c>
      <c r="J5">
        <v>0.45888690006942806</v>
      </c>
      <c r="K5" s="18">
        <v>0.84451617033304205</v>
      </c>
      <c r="L5">
        <v>0.27201991208227633</v>
      </c>
      <c r="M5" s="19">
        <v>0.34787221257796602</v>
      </c>
    </row>
    <row r="6" spans="1:13" x14ac:dyDescent="0.25">
      <c r="A6" t="s">
        <v>11</v>
      </c>
      <c r="B6">
        <v>0.5397219177628636</v>
      </c>
      <c r="C6" s="14">
        <v>0.41886387925431101</v>
      </c>
      <c r="D6">
        <v>0.22659727426303131</v>
      </c>
      <c r="E6" s="15">
        <v>0.54683519144140802</v>
      </c>
      <c r="F6">
        <v>0.35326105333333335</v>
      </c>
      <c r="G6" s="16">
        <v>0.60936795919082498</v>
      </c>
      <c r="H6">
        <v>0.21111798635813728</v>
      </c>
      <c r="I6" s="17">
        <v>0.51888455220311103</v>
      </c>
      <c r="J6">
        <v>0.32106559279268015</v>
      </c>
      <c r="K6" s="18">
        <v>0.92811381976317897</v>
      </c>
      <c r="L6">
        <v>0.14310423164613478</v>
      </c>
      <c r="M6" s="19">
        <v>0.117144834533319</v>
      </c>
    </row>
    <row r="7" spans="1:13" x14ac:dyDescent="0.25">
      <c r="A7" t="s">
        <v>12</v>
      </c>
      <c r="B7">
        <v>1.9945728263828013</v>
      </c>
      <c r="C7" s="14">
        <v>0.73074475229926095</v>
      </c>
      <c r="D7">
        <v>1.3141644952874632</v>
      </c>
      <c r="E7" s="15">
        <v>0.482119508817688</v>
      </c>
      <c r="F7">
        <v>0.8973491941452002</v>
      </c>
      <c r="G7" s="16">
        <v>7.7299330333445299E-2</v>
      </c>
      <c r="H7">
        <v>0.4916199175</v>
      </c>
      <c r="I7" s="17">
        <v>0.41648763304756098</v>
      </c>
      <c r="J7">
        <v>1.6020374454172757</v>
      </c>
      <c r="K7" s="18">
        <v>0.92618166088133702</v>
      </c>
      <c r="L7">
        <v>0.5003549260121124</v>
      </c>
      <c r="M7" s="7">
        <v>1.5741522728162101E-2</v>
      </c>
    </row>
    <row r="8" spans="1:13" x14ac:dyDescent="0.25">
      <c r="A8" t="s">
        <v>13</v>
      </c>
      <c r="B8">
        <v>0.66765532210763945</v>
      </c>
      <c r="C8" s="12">
        <v>3.9736164584284001E-2</v>
      </c>
      <c r="D8">
        <v>0.80072097966743516</v>
      </c>
      <c r="E8" s="9">
        <v>2.23753114222145E-3</v>
      </c>
      <c r="F8">
        <v>0.30214396953074507</v>
      </c>
      <c r="G8" s="10">
        <v>2.4759724199063201E-3</v>
      </c>
      <c r="H8">
        <v>2.782313449582448</v>
      </c>
      <c r="I8" s="17">
        <v>0.42442038054964198</v>
      </c>
      <c r="J8">
        <v>0.5935956166666666</v>
      </c>
      <c r="K8" s="18">
        <v>0.57583799773840905</v>
      </c>
      <c r="L8">
        <v>0.40010634388183525</v>
      </c>
      <c r="M8" s="7">
        <v>1.1238296525258799E-3</v>
      </c>
    </row>
    <row r="9" spans="1:13" x14ac:dyDescent="0.25">
      <c r="A9" t="s">
        <v>14</v>
      </c>
      <c r="B9">
        <v>0.51505925890076298</v>
      </c>
      <c r="C9" s="14">
        <v>0.30555896896170998</v>
      </c>
      <c r="D9">
        <v>0.2965590387969203</v>
      </c>
      <c r="E9" s="15">
        <v>0.220796800536256</v>
      </c>
      <c r="F9">
        <v>0.85109626104804514</v>
      </c>
      <c r="G9" s="16">
        <v>0.34273266373509897</v>
      </c>
      <c r="H9">
        <v>0.25892374851038946</v>
      </c>
      <c r="I9" s="11">
        <v>1.6849469393969401E-2</v>
      </c>
      <c r="J9">
        <v>0.57355728341907597</v>
      </c>
      <c r="K9" s="18">
        <v>0.80207673397527102</v>
      </c>
      <c r="L9">
        <v>0.27683637751411033</v>
      </c>
      <c r="M9" s="19">
        <v>8.3557084326203193E-2</v>
      </c>
    </row>
    <row r="10" spans="1:13" x14ac:dyDescent="0.25">
      <c r="A10" t="s">
        <v>15</v>
      </c>
      <c r="B10">
        <v>0.99071083478405697</v>
      </c>
      <c r="C10" s="14">
        <v>0.40967747091093998</v>
      </c>
      <c r="D10">
        <v>0.26963339746562909</v>
      </c>
      <c r="E10" s="9">
        <v>4.93615335741312E-2</v>
      </c>
      <c r="F10">
        <v>0.96053451505978282</v>
      </c>
      <c r="G10" s="16">
        <v>7.5060611423136706E-2</v>
      </c>
      <c r="H10">
        <v>0.18425456771333773</v>
      </c>
      <c r="I10" s="17">
        <v>5.3349459021998002E-2</v>
      </c>
      <c r="J10">
        <v>1.1729183777973196</v>
      </c>
      <c r="K10" s="18">
        <v>0.83537027035042999</v>
      </c>
      <c r="L10">
        <v>0.30456166505688059</v>
      </c>
      <c r="M10" s="7">
        <v>2.0751052693414899E-3</v>
      </c>
    </row>
    <row r="11" spans="1:13" x14ac:dyDescent="0.25">
      <c r="A11" t="s">
        <v>16</v>
      </c>
      <c r="B11">
        <v>2.1657954209185526</v>
      </c>
      <c r="C11" s="14">
        <v>0.312866167848105</v>
      </c>
      <c r="D11">
        <v>0.96916677304566357</v>
      </c>
      <c r="E11" s="15">
        <v>0.36919882166698498</v>
      </c>
      <c r="F11">
        <v>0.23571057258955097</v>
      </c>
      <c r="G11" s="16">
        <v>0.32044779172975002</v>
      </c>
      <c r="H11">
        <v>0.15808487198778842</v>
      </c>
      <c r="I11" s="17">
        <v>1.01926877470356</v>
      </c>
      <c r="J11">
        <v>0.59558829079820264</v>
      </c>
      <c r="K11" s="18">
        <v>0.41730594570108798</v>
      </c>
      <c r="L11">
        <v>1.2991085393720161</v>
      </c>
      <c r="M11" s="19">
        <v>0.32964773522541801</v>
      </c>
    </row>
    <row r="12" spans="1:13" x14ac:dyDescent="0.25">
      <c r="A12" t="s">
        <v>17</v>
      </c>
      <c r="B12">
        <v>0.34789114897759943</v>
      </c>
      <c r="C12" s="14">
        <v>0.673063017606508</v>
      </c>
      <c r="D12">
        <v>0.64306593567178694</v>
      </c>
      <c r="E12" s="15">
        <v>0.48391674975244903</v>
      </c>
      <c r="F12">
        <v>0.38970517067689969</v>
      </c>
      <c r="G12" s="16">
        <v>0.37967438937929698</v>
      </c>
      <c r="H12">
        <v>0.18012664779265772</v>
      </c>
      <c r="I12" s="17">
        <v>0.61551986182630103</v>
      </c>
      <c r="J12">
        <v>0.26117035152119517</v>
      </c>
      <c r="K12" s="18">
        <v>0.96518223885221099</v>
      </c>
      <c r="L12">
        <v>0.24606557567042739</v>
      </c>
      <c r="M12" s="19">
        <v>0.77989454444137896</v>
      </c>
    </row>
    <row r="13" spans="1:13" x14ac:dyDescent="0.25">
      <c r="A13" t="s">
        <v>18</v>
      </c>
      <c r="B13">
        <v>0.48245556329333711</v>
      </c>
      <c r="C13" s="14">
        <v>9.5712795892028399E-2</v>
      </c>
      <c r="D13">
        <v>0.39365678412248828</v>
      </c>
      <c r="E13" s="15">
        <v>0.44634237725270698</v>
      </c>
      <c r="F13">
        <v>0.32392781216172728</v>
      </c>
      <c r="G13" s="16">
        <v>0.31255665386579601</v>
      </c>
      <c r="H13">
        <v>0.46696040278322037</v>
      </c>
      <c r="I13" s="17">
        <v>0.98678976939878205</v>
      </c>
      <c r="J13">
        <v>0.27201469396309813</v>
      </c>
      <c r="K13" s="18">
        <v>0.517815470814041</v>
      </c>
      <c r="L13">
        <v>0.32138354256143414</v>
      </c>
      <c r="M13" s="19">
        <v>0.297478016852251</v>
      </c>
    </row>
    <row r="14" spans="1:13" x14ac:dyDescent="0.25">
      <c r="A14" t="s">
        <v>19</v>
      </c>
      <c r="B14">
        <v>0.83836676724317216</v>
      </c>
      <c r="C14" s="14">
        <v>0.174295602147962</v>
      </c>
      <c r="D14">
        <v>0.82400461486764209</v>
      </c>
      <c r="E14" s="15">
        <v>0.86844583111990603</v>
      </c>
      <c r="F14">
        <v>0.67360449560931046</v>
      </c>
      <c r="G14" s="10">
        <v>4.3268390080787603E-2</v>
      </c>
      <c r="H14">
        <v>0.3378379172501691</v>
      </c>
      <c r="I14" s="11">
        <v>8.3521584494051695E-3</v>
      </c>
      <c r="J14">
        <v>0.36708928742273922</v>
      </c>
      <c r="K14" s="18">
        <v>0.81524617305381997</v>
      </c>
      <c r="L14">
        <v>0.74608708067586971</v>
      </c>
      <c r="M14" s="19">
        <v>6.5292475138674894E-2</v>
      </c>
    </row>
    <row r="15" spans="1:13" x14ac:dyDescent="0.25">
      <c r="A15" t="s">
        <v>20</v>
      </c>
      <c r="B15">
        <v>0.40046452384198683</v>
      </c>
      <c r="C15" s="12">
        <v>4.0424970068182499E-3</v>
      </c>
      <c r="D15">
        <v>0.94612224295791403</v>
      </c>
      <c r="E15" s="15">
        <v>5.7965913592618802E-2</v>
      </c>
      <c r="F15">
        <v>0.85074359466406813</v>
      </c>
      <c r="G15" s="16">
        <v>0.218104991549528</v>
      </c>
      <c r="H15">
        <v>0.90546523531716228</v>
      </c>
      <c r="I15" s="11">
        <v>1.17388410353965E-2</v>
      </c>
      <c r="J15">
        <v>0.69744931893840034</v>
      </c>
      <c r="K15" s="18">
        <v>0.21974386864794401</v>
      </c>
      <c r="L15">
        <v>0.65960686937972579</v>
      </c>
      <c r="M15" s="19">
        <v>0.26584607245743602</v>
      </c>
    </row>
    <row r="16" spans="1:13" x14ac:dyDescent="0.25">
      <c r="A16" t="s">
        <v>21</v>
      </c>
      <c r="B16">
        <v>2.1737019881306301</v>
      </c>
      <c r="C16" s="12">
        <v>8.8957362296602296E-3</v>
      </c>
      <c r="D16">
        <v>0.67445586136967028</v>
      </c>
      <c r="E16" s="15">
        <v>0.31603437363464698</v>
      </c>
      <c r="F16">
        <v>0.75654832053716115</v>
      </c>
      <c r="G16" s="16">
        <v>0.250267714639267</v>
      </c>
      <c r="H16">
        <v>1.0283791644274656</v>
      </c>
      <c r="I16" s="17">
        <v>1.01343777505961</v>
      </c>
      <c r="J16">
        <v>0.54053680825347772</v>
      </c>
      <c r="K16" s="18">
        <v>0.88243598341370999</v>
      </c>
      <c r="L16">
        <v>3.1590337508333337</v>
      </c>
      <c r="M16" s="19">
        <v>0.45617091532496501</v>
      </c>
    </row>
    <row r="20" spans="1:12" x14ac:dyDescent="0.25">
      <c r="A20" t="s">
        <v>170</v>
      </c>
    </row>
    <row r="21" spans="1:12" x14ac:dyDescent="0.25">
      <c r="A21" t="s">
        <v>7</v>
      </c>
      <c r="B21">
        <f>B2-dhap4!B2</f>
        <v>-0.49665529673305597</v>
      </c>
      <c r="D21">
        <f>D2-dhap4!D2</f>
        <v>-1.0453996710780691</v>
      </c>
      <c r="F21">
        <f>F2-dhap4!F2</f>
        <v>-0.11766450473169132</v>
      </c>
      <c r="H21">
        <f>H2-dhap4!H2</f>
        <v>-1.2620855679224601</v>
      </c>
      <c r="J21">
        <f>J2-dhap4!J2</f>
        <v>-0.84554718463856893</v>
      </c>
      <c r="L21">
        <f>L2-dhap4!L2</f>
        <v>-0.45774859149630842</v>
      </c>
    </row>
    <row r="22" spans="1:12" x14ac:dyDescent="0.25">
      <c r="A22" t="s">
        <v>8</v>
      </c>
      <c r="B22">
        <f>B3-dhap4!B3</f>
        <v>-0.81862080127101577</v>
      </c>
      <c r="D22">
        <f>D3-dhap4!D3</f>
        <v>-0.67574950246741516</v>
      </c>
      <c r="F22">
        <f>F3-dhap4!F3</f>
        <v>-0.90515800184120099</v>
      </c>
      <c r="H22">
        <f>H3-dhap4!H3</f>
        <v>-1.3699655485178224</v>
      </c>
      <c r="J22">
        <f>J3-dhap4!J3</f>
        <v>-1.6684458774605782E-2</v>
      </c>
      <c r="L22">
        <f>L3-dhap4!L3</f>
        <v>-0.15042929411133832</v>
      </c>
    </row>
    <row r="23" spans="1:12" x14ac:dyDescent="0.25">
      <c r="A23" t="s">
        <v>9</v>
      </c>
      <c r="B23">
        <f>B4-dhap4!B4</f>
        <v>-0.85861478981653971</v>
      </c>
      <c r="D23">
        <f>D4-dhap4!D4</f>
        <v>-1.5744223426702637</v>
      </c>
      <c r="F23">
        <f>F4-dhap4!F4</f>
        <v>-2.0805815316613518E-3</v>
      </c>
      <c r="H23">
        <f>H4-dhap4!H4</f>
        <v>-0.27068659222078362</v>
      </c>
      <c r="J23">
        <f>J4-dhap4!J4</f>
        <v>-0.32019479563779762</v>
      </c>
      <c r="L23">
        <f>L4-dhap4!L4</f>
        <v>-0.77370902966060107</v>
      </c>
    </row>
    <row r="24" spans="1:12" x14ac:dyDescent="0.25">
      <c r="A24" t="s">
        <v>10</v>
      </c>
      <c r="B24">
        <f>B5-dhap4!B5</f>
        <v>-1.4254250524249197</v>
      </c>
      <c r="D24">
        <f>D5-dhap4!D5</f>
        <v>-1.2082538487563821</v>
      </c>
      <c r="F24">
        <f>F5-dhap4!F5</f>
        <v>-0.21399808872133053</v>
      </c>
      <c r="H24">
        <f>H5-dhap4!H5</f>
        <v>-0.96440652536630134</v>
      </c>
      <c r="J24">
        <f>J5-dhap4!J5</f>
        <v>-0.72994750774445638</v>
      </c>
      <c r="L24">
        <f>L5-dhap4!L5</f>
        <v>-0.90672500756727659</v>
      </c>
    </row>
    <row r="25" spans="1:12" x14ac:dyDescent="0.25">
      <c r="A25" t="s">
        <v>11</v>
      </c>
      <c r="B25">
        <f>B6-dhap4!B6</f>
        <v>-0.62961229117125139</v>
      </c>
      <c r="D25">
        <f>D6-dhap4!D6</f>
        <v>-0.99019356270289016</v>
      </c>
      <c r="F25">
        <f>F6-dhap4!F6</f>
        <v>-0.80099285302372358</v>
      </c>
      <c r="H25">
        <f>H6-dhap4!H6</f>
        <v>-0.91563177266784768</v>
      </c>
      <c r="J25">
        <f>J6-dhap4!J6</f>
        <v>-0.88827404839004909</v>
      </c>
      <c r="L25">
        <f>L6-dhap4!L6</f>
        <v>-1.4273831748702845</v>
      </c>
    </row>
    <row r="26" spans="1:12" x14ac:dyDescent="0.25">
      <c r="A26" t="s">
        <v>12</v>
      </c>
      <c r="B26">
        <f>B7-dhap4!B7</f>
        <v>0.79978163036362426</v>
      </c>
      <c r="D26">
        <f>D7-dhap4!D7</f>
        <v>0.25351132259839271</v>
      </c>
      <c r="F26">
        <f>F7-dhap4!F7</f>
        <v>-1.1556009695129479</v>
      </c>
      <c r="H26">
        <f>H7-dhap4!H7</f>
        <v>-1.0208378535236642</v>
      </c>
      <c r="J26">
        <f>J7-dhap4!J7</f>
        <v>0.54144415711142324</v>
      </c>
      <c r="L26">
        <f>L7-dhap4!L7</f>
        <v>-1.2185493396349787</v>
      </c>
    </row>
    <row r="27" spans="1:12" x14ac:dyDescent="0.25">
      <c r="A27" t="s">
        <v>13</v>
      </c>
      <c r="B27">
        <f>B8-dhap4!B8</f>
        <v>-0.38450100266220211</v>
      </c>
      <c r="D27">
        <f>D8-dhap4!D8</f>
        <v>-0.44527053289830143</v>
      </c>
      <c r="F27">
        <f>F8-dhap4!F8</f>
        <v>-0.70251991764855992</v>
      </c>
      <c r="H27">
        <f>H8-dhap4!H8</f>
        <v>1.7244274786166618</v>
      </c>
      <c r="J27">
        <f>J8-dhap4!J8</f>
        <v>-2.2192373532709508</v>
      </c>
      <c r="L27">
        <f>L8-dhap4!L8</f>
        <v>-1.1005977304725643</v>
      </c>
    </row>
    <row r="28" spans="1:12" x14ac:dyDescent="0.25">
      <c r="A28" t="s">
        <v>14</v>
      </c>
      <c r="B28">
        <f>B9-dhap4!B9</f>
        <v>-0.57698797958793402</v>
      </c>
      <c r="D28">
        <f>D9-dhap4!D9</f>
        <v>-1.4019397693781381</v>
      </c>
      <c r="F28">
        <f>F9-dhap4!F9</f>
        <v>-0.37487746205605499</v>
      </c>
      <c r="H28">
        <f>H9-dhap4!H9</f>
        <v>-1.1071117279731038</v>
      </c>
      <c r="J28">
        <f>J9-dhap4!J9</f>
        <v>-0.733400152786431</v>
      </c>
      <c r="L28">
        <f>L9-dhap4!L9</f>
        <v>-0.86508604465964023</v>
      </c>
    </row>
    <row r="29" spans="1:12" x14ac:dyDescent="0.25">
      <c r="A29" t="s">
        <v>15</v>
      </c>
      <c r="B29">
        <f>B10-dhap4!B10</f>
        <v>-9.6404942326742127E-3</v>
      </c>
      <c r="D29">
        <f>D10-dhap4!D10</f>
        <v>-0.98783858711519223</v>
      </c>
      <c r="F29">
        <f>F10-dhap4!F10</f>
        <v>-0.32086960411551679</v>
      </c>
      <c r="H29">
        <f>H10-dhap4!H10</f>
        <v>-1.2672102886170631</v>
      </c>
      <c r="J29">
        <f>J10-dhap4!J10</f>
        <v>-1.1896720536991312E-2</v>
      </c>
      <c r="L29">
        <f>L10-dhap4!L10</f>
        <v>-2.4221701320624613</v>
      </c>
    </row>
    <row r="30" spans="1:12" x14ac:dyDescent="0.25">
      <c r="A30" t="s">
        <v>16</v>
      </c>
      <c r="B30">
        <f>B11-dhap4!B11</f>
        <v>0.57560266383284286</v>
      </c>
      <c r="D30">
        <f>D11-dhap4!D11</f>
        <v>-0.54784107050781905</v>
      </c>
      <c r="F30">
        <f>F11-dhap4!F11</f>
        <v>-2.920517424612032</v>
      </c>
      <c r="H30">
        <f>H11-dhap4!H11</f>
        <v>-1.3791426277470187</v>
      </c>
      <c r="J30">
        <f>J11-dhap4!J11</f>
        <v>-5.3117683704090517</v>
      </c>
      <c r="L30">
        <f>L11-dhap4!L11</f>
        <v>4.7145336856603492E-2</v>
      </c>
    </row>
    <row r="31" spans="1:12" x14ac:dyDescent="0.25">
      <c r="A31" t="s">
        <v>17</v>
      </c>
      <c r="B31">
        <f>B12-dhap4!B12</f>
        <v>-0.93497856154709835</v>
      </c>
      <c r="D31">
        <f>D12-dhap4!D12</f>
        <v>-0.87994182490045558</v>
      </c>
      <c r="F31">
        <f>F12-dhap4!F12</f>
        <v>-0.84109305522460875</v>
      </c>
      <c r="H31">
        <f>H12-dhap4!H12</f>
        <v>-1.2368813115575705</v>
      </c>
      <c r="J31">
        <f>J12-dhap4!J12</f>
        <v>-1.1999857831122891</v>
      </c>
      <c r="L31">
        <f>L12-dhap4!L12</f>
        <v>-0.83065497796978238</v>
      </c>
    </row>
    <row r="32" spans="1:12" x14ac:dyDescent="0.25">
      <c r="A32" t="s">
        <v>18</v>
      </c>
      <c r="B32">
        <f>B13-dhap4!B13</f>
        <v>-0.67189319545890447</v>
      </c>
      <c r="D32">
        <f>D13-dhap4!D13</f>
        <v>-0.67387779032828221</v>
      </c>
      <c r="F32">
        <f>F13-dhap4!F13</f>
        <v>-0.72459935615764848</v>
      </c>
      <c r="H32">
        <f>H13-dhap4!H13</f>
        <v>-0.6516563311593484</v>
      </c>
      <c r="J32">
        <f>J13-dhap4!J13</f>
        <v>-0.83003955929753004</v>
      </c>
      <c r="L32">
        <f>L13-dhap4!L13</f>
        <v>-1.1518860723010755</v>
      </c>
    </row>
    <row r="33" spans="1:12" x14ac:dyDescent="0.25">
      <c r="A33" t="s">
        <v>19</v>
      </c>
      <c r="B33">
        <f>B14-dhap4!B14</f>
        <v>-0.30055145533764838</v>
      </c>
      <c r="D33">
        <f>D14-dhap4!D14</f>
        <v>-0.27355082416878385</v>
      </c>
      <c r="F33">
        <f>F14-dhap4!F14</f>
        <v>-2.4984678707749128</v>
      </c>
      <c r="H33">
        <f>H14-dhap4!H14</f>
        <v>-2.1012049573037594</v>
      </c>
      <c r="J33">
        <f>J14-dhap4!J14</f>
        <v>-0.72709669122565068</v>
      </c>
      <c r="L33">
        <f>L14-dhap4!L14</f>
        <v>-1.0738593853406175</v>
      </c>
    </row>
    <row r="34" spans="1:12" x14ac:dyDescent="0.25">
      <c r="A34" t="s">
        <v>20</v>
      </c>
      <c r="B34">
        <f>B15-dhap4!B15</f>
        <v>-0.73864754867270155</v>
      </c>
      <c r="D34">
        <f>D15-dhap4!D15</f>
        <v>-0.19311925211130043</v>
      </c>
      <c r="F34">
        <f>F15-dhap4!F15</f>
        <v>-15.955750204263238</v>
      </c>
      <c r="H34">
        <f>H15-dhap4!H15</f>
        <v>-1.2621843222454006</v>
      </c>
      <c r="J34">
        <f>J15-dhap4!J15</f>
        <v>-0.31160208537534384</v>
      </c>
      <c r="L34">
        <f>L15-dhap4!L15</f>
        <v>-0.57490056342613871</v>
      </c>
    </row>
    <row r="35" spans="1:12" x14ac:dyDescent="0.25">
      <c r="A35" t="s">
        <v>21</v>
      </c>
      <c r="B35">
        <f>B16-dhap4!B16</f>
        <v>-1.9191419179537244</v>
      </c>
      <c r="D35">
        <f>D16-dhap4!D16</f>
        <v>-0.61680125100412075</v>
      </c>
      <c r="F35">
        <f>F16-dhap4!F16</f>
        <v>-2.2054699573414536</v>
      </c>
      <c r="H35">
        <f>H16-dhap4!H16</f>
        <v>-0.27986161693809741</v>
      </c>
      <c r="J35">
        <f>J16-dhap4!J16</f>
        <v>-1.3848645134681168</v>
      </c>
      <c r="L35">
        <f>L16-dhap4!L16</f>
        <v>1.4115341439038946</v>
      </c>
    </row>
    <row r="37" spans="1:12" x14ac:dyDescent="0.25">
      <c r="A37" t="s">
        <v>111</v>
      </c>
    </row>
    <row r="38" spans="1:12" x14ac:dyDescent="0.25">
      <c r="A38">
        <v>1.4434426448330233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workbookViewId="0">
      <selection activeCell="A38" sqref="A38"/>
    </sheetView>
  </sheetViews>
  <sheetFormatPr defaultColWidth="8.85546875" defaultRowHeight="15" x14ac:dyDescent="0.25"/>
  <sheetData>
    <row r="1" spans="1:13" x14ac:dyDescent="0.25">
      <c r="A1" t="s">
        <v>0</v>
      </c>
      <c r="B1" t="s">
        <v>1</v>
      </c>
      <c r="C1" s="14" t="s">
        <v>22</v>
      </c>
      <c r="D1" t="s">
        <v>2</v>
      </c>
      <c r="E1" s="15" t="s">
        <v>23</v>
      </c>
      <c r="F1" t="s">
        <v>3</v>
      </c>
      <c r="G1" s="16" t="s">
        <v>24</v>
      </c>
      <c r="H1" t="s">
        <v>4</v>
      </c>
      <c r="I1" s="17" t="s">
        <v>25</v>
      </c>
      <c r="J1" t="s">
        <v>5</v>
      </c>
      <c r="K1" s="18" t="s">
        <v>26</v>
      </c>
      <c r="L1" t="s">
        <v>6</v>
      </c>
      <c r="M1" s="19" t="s">
        <v>27</v>
      </c>
    </row>
    <row r="2" spans="1:13" x14ac:dyDescent="0.25">
      <c r="A2" t="s">
        <v>7</v>
      </c>
      <c r="B2">
        <v>0.46112215208604906</v>
      </c>
      <c r="C2" s="14">
        <v>0.762384490029694</v>
      </c>
      <c r="D2">
        <v>0.11409691296463131</v>
      </c>
      <c r="E2" s="15">
        <v>0.44624975588118598</v>
      </c>
      <c r="F2">
        <v>1.4547938266046232</v>
      </c>
      <c r="G2" s="16">
        <v>0.78551996118716705</v>
      </c>
      <c r="H2">
        <v>0.11492191751975989</v>
      </c>
      <c r="I2" s="17">
        <v>0.29160072506103601</v>
      </c>
      <c r="J2">
        <v>0.2035385812881898</v>
      </c>
      <c r="K2" s="18">
        <v>0.82577386681059695</v>
      </c>
      <c r="L2">
        <v>1.1227971509356298</v>
      </c>
      <c r="M2" s="7">
        <v>4.5710095337786E-2</v>
      </c>
    </row>
    <row r="3" spans="1:13" x14ac:dyDescent="0.25">
      <c r="A3" t="s">
        <v>8</v>
      </c>
      <c r="B3">
        <v>0.48974533391701808</v>
      </c>
      <c r="C3" s="14">
        <v>8.2901279432195593E-2</v>
      </c>
      <c r="D3">
        <v>0.29644863888675604</v>
      </c>
      <c r="E3" s="9">
        <v>9.0782211164155292E-3</v>
      </c>
      <c r="F3">
        <v>0.45852618353622643</v>
      </c>
      <c r="G3" s="16">
        <v>0.52024738694317496</v>
      </c>
      <c r="H3">
        <v>0.67278972350758515</v>
      </c>
      <c r="I3" s="17">
        <v>7.2269282640789106E-2</v>
      </c>
      <c r="J3">
        <v>1.3052211266823768</v>
      </c>
      <c r="K3" s="18">
        <v>0.76388269721491497</v>
      </c>
      <c r="L3">
        <v>1.7147736783064085</v>
      </c>
      <c r="M3" s="19">
        <v>0.45347930983877699</v>
      </c>
    </row>
    <row r="4" spans="1:13" x14ac:dyDescent="0.25">
      <c r="A4" t="s">
        <v>9</v>
      </c>
      <c r="B4">
        <v>0.82136656767930671</v>
      </c>
      <c r="C4" s="14">
        <v>6.6225124959576706E-2</v>
      </c>
      <c r="D4">
        <v>0.14496421249999999</v>
      </c>
      <c r="E4" s="15">
        <v>0.61881514010194805</v>
      </c>
      <c r="F4">
        <v>0.87911802750831702</v>
      </c>
      <c r="G4" s="10">
        <v>1.6347989883004101E-2</v>
      </c>
      <c r="H4">
        <v>1.2424380752332995</v>
      </c>
      <c r="I4" s="11">
        <v>1.1178235493982801E-2</v>
      </c>
      <c r="J4">
        <v>0.76544302081760351</v>
      </c>
      <c r="K4" s="18">
        <v>0.41128551861353002</v>
      </c>
      <c r="L4">
        <v>0.57120805224265481</v>
      </c>
      <c r="M4" s="7">
        <v>2.5966862137770701E-2</v>
      </c>
    </row>
    <row r="5" spans="1:13" x14ac:dyDescent="0.25">
      <c r="A5" t="s">
        <v>10</v>
      </c>
      <c r="B5">
        <v>0.52688788457775138</v>
      </c>
      <c r="C5" s="14">
        <v>0.33061324554751997</v>
      </c>
      <c r="D5">
        <v>0.64669699544140891</v>
      </c>
      <c r="E5" s="15">
        <v>0.58761063110676703</v>
      </c>
      <c r="F5">
        <v>0.7924598779437847</v>
      </c>
      <c r="G5" s="16">
        <v>0.876273721691745</v>
      </c>
      <c r="H5">
        <v>0.96389246062592626</v>
      </c>
      <c r="I5" s="17">
        <v>0.12610118972802201</v>
      </c>
      <c r="J5">
        <v>0.45662803886995179</v>
      </c>
      <c r="K5" s="18">
        <v>0.84451617033304205</v>
      </c>
      <c r="L5">
        <v>0.24064452764194477</v>
      </c>
      <c r="M5" s="19">
        <v>0.34787221257796602</v>
      </c>
    </row>
    <row r="6" spans="1:13" x14ac:dyDescent="0.25">
      <c r="A6" t="s">
        <v>11</v>
      </c>
      <c r="B6">
        <v>0.53963272401171725</v>
      </c>
      <c r="C6" s="14">
        <v>0.41886387925431101</v>
      </c>
      <c r="D6">
        <v>0.22687610353691937</v>
      </c>
      <c r="E6" s="15">
        <v>0.54683519144140802</v>
      </c>
      <c r="F6">
        <v>0.35326105333333335</v>
      </c>
      <c r="G6" s="16">
        <v>0.60936795919082498</v>
      </c>
      <c r="H6">
        <v>0.21108892083843003</v>
      </c>
      <c r="I6" s="17">
        <v>0.51888455220311103</v>
      </c>
      <c r="J6">
        <v>0.32055488791186487</v>
      </c>
      <c r="K6" s="18">
        <v>0.92811381976317897</v>
      </c>
      <c r="L6">
        <v>0.14344976181795074</v>
      </c>
      <c r="M6" s="19">
        <v>0.117144834533319</v>
      </c>
    </row>
    <row r="7" spans="1:13" x14ac:dyDescent="0.25">
      <c r="A7" t="s">
        <v>12</v>
      </c>
      <c r="B7">
        <v>1.8577549561755891</v>
      </c>
      <c r="C7" s="14">
        <v>0.73074475229926095</v>
      </c>
      <c r="D7">
        <v>1.2085765355786768</v>
      </c>
      <c r="E7" s="15">
        <v>0.482119508817688</v>
      </c>
      <c r="F7">
        <v>0.76855165632996802</v>
      </c>
      <c r="G7" s="16">
        <v>7.7299330333445299E-2</v>
      </c>
      <c r="H7">
        <v>0.4916199175</v>
      </c>
      <c r="I7" s="17">
        <v>0.41648763304756098</v>
      </c>
      <c r="J7">
        <v>1.3783372471540114</v>
      </c>
      <c r="K7" s="18">
        <v>0.92618166088133702</v>
      </c>
      <c r="L7">
        <v>0.6610084249152951</v>
      </c>
      <c r="M7" s="7">
        <v>1.5741522728162101E-2</v>
      </c>
    </row>
    <row r="8" spans="1:13" x14ac:dyDescent="0.25">
      <c r="A8" t="s">
        <v>13</v>
      </c>
      <c r="B8">
        <v>0.65821465139042301</v>
      </c>
      <c r="C8" s="12">
        <v>3.9736164584284001E-2</v>
      </c>
      <c r="D8">
        <v>0.71702453227371521</v>
      </c>
      <c r="E8" s="9">
        <v>2.23753114222145E-3</v>
      </c>
      <c r="F8">
        <v>0.3087062566091146</v>
      </c>
      <c r="G8" s="10">
        <v>2.4759724199063201E-3</v>
      </c>
      <c r="H8">
        <v>2.7472229191422368</v>
      </c>
      <c r="I8" s="17">
        <v>0.42442038054964198</v>
      </c>
      <c r="J8">
        <v>0.5935956166666666</v>
      </c>
      <c r="K8" s="18">
        <v>0.57583799773840905</v>
      </c>
      <c r="L8">
        <v>0.39758210802947591</v>
      </c>
      <c r="M8" s="7">
        <v>1.1238296525258799E-3</v>
      </c>
    </row>
    <row r="9" spans="1:13" x14ac:dyDescent="0.25">
      <c r="A9" t="s">
        <v>14</v>
      </c>
      <c r="B9">
        <v>0.4839265757631081</v>
      </c>
      <c r="C9" s="14">
        <v>0.30555896896170998</v>
      </c>
      <c r="D9">
        <v>0.24300740668104748</v>
      </c>
      <c r="E9" s="15">
        <v>0.220796800536256</v>
      </c>
      <c r="F9">
        <v>0.76385348049111823</v>
      </c>
      <c r="G9" s="16">
        <v>0.34273266373509897</v>
      </c>
      <c r="H9">
        <v>0.19594449143337758</v>
      </c>
      <c r="I9" s="11">
        <v>1.6849469393969401E-2</v>
      </c>
      <c r="J9">
        <v>0.38521858272591453</v>
      </c>
      <c r="K9" s="18">
        <v>0.80207673397527102</v>
      </c>
      <c r="L9">
        <v>0.278061831236255</v>
      </c>
      <c r="M9" s="19">
        <v>8.3557084326203193E-2</v>
      </c>
    </row>
    <row r="10" spans="1:13" x14ac:dyDescent="0.25">
      <c r="A10" t="s">
        <v>15</v>
      </c>
      <c r="B10">
        <v>0.99028608491458492</v>
      </c>
      <c r="C10" s="14">
        <v>0.40967747091093998</v>
      </c>
      <c r="D10">
        <v>0.27225886781414432</v>
      </c>
      <c r="E10" s="9">
        <v>4.93615335741312E-2</v>
      </c>
      <c r="F10">
        <v>0.96456717952740434</v>
      </c>
      <c r="G10" s="16">
        <v>7.5060611423136706E-2</v>
      </c>
      <c r="H10">
        <v>0.18153217623684234</v>
      </c>
      <c r="I10" s="17">
        <v>5.3349459021998002E-2</v>
      </c>
      <c r="J10">
        <v>1.1806343885973651</v>
      </c>
      <c r="K10" s="18">
        <v>0.83537027035042999</v>
      </c>
      <c r="L10">
        <v>0.3024961994296394</v>
      </c>
      <c r="M10" s="7">
        <v>2.0751052693414899E-3</v>
      </c>
    </row>
    <row r="11" spans="1:13" x14ac:dyDescent="0.25">
      <c r="A11" t="s">
        <v>16</v>
      </c>
      <c r="B11">
        <v>1.7113981939566447</v>
      </c>
      <c r="C11" s="14">
        <v>0.312866167848105</v>
      </c>
      <c r="D11">
        <v>0.89104278322303887</v>
      </c>
      <c r="E11" s="15">
        <v>0.36919882166698498</v>
      </c>
      <c r="F11">
        <v>0.44385243511702721</v>
      </c>
      <c r="G11" s="16">
        <v>0.32044779172975002</v>
      </c>
      <c r="H11">
        <v>0.14343727145828514</v>
      </c>
      <c r="I11" s="17">
        <v>1.01926877470356</v>
      </c>
      <c r="J11">
        <v>0.47454350082757868</v>
      </c>
      <c r="K11" s="18">
        <v>0.41730594570108798</v>
      </c>
      <c r="L11">
        <v>1.297413474292761</v>
      </c>
      <c r="M11" s="19">
        <v>0.32964773522541801</v>
      </c>
    </row>
    <row r="12" spans="1:13" x14ac:dyDescent="0.25">
      <c r="A12" t="s">
        <v>17</v>
      </c>
      <c r="B12">
        <v>0.29688838031233133</v>
      </c>
      <c r="C12" s="14">
        <v>0.673063017606508</v>
      </c>
      <c r="D12">
        <v>0.73874052389088429</v>
      </c>
      <c r="E12" s="15">
        <v>0.48391674975244903</v>
      </c>
      <c r="F12">
        <v>0.46209498663920695</v>
      </c>
      <c r="G12" s="16">
        <v>0.37967438937929698</v>
      </c>
      <c r="H12">
        <v>0.27735704068119521</v>
      </c>
      <c r="I12" s="17">
        <v>0.61551986182630103</v>
      </c>
      <c r="J12">
        <v>0.23854582656251241</v>
      </c>
      <c r="K12" s="18">
        <v>0.96518223885221099</v>
      </c>
      <c r="L12">
        <v>0.30686641808190623</v>
      </c>
      <c r="M12" s="19">
        <v>0.77989454444137896</v>
      </c>
    </row>
    <row r="13" spans="1:13" x14ac:dyDescent="0.25">
      <c r="A13" t="s">
        <v>18</v>
      </c>
      <c r="B13">
        <v>0.42738449183520977</v>
      </c>
      <c r="C13" s="14">
        <v>9.5712795892028399E-2</v>
      </c>
      <c r="D13">
        <v>0.21362780326051678</v>
      </c>
      <c r="E13" s="15">
        <v>0.44634237725270698</v>
      </c>
      <c r="F13">
        <v>0.26820748544976547</v>
      </c>
      <c r="G13" s="16">
        <v>0.31255665386579601</v>
      </c>
      <c r="H13">
        <v>0.49638463267009647</v>
      </c>
      <c r="I13" s="17">
        <v>0.98678976939878205</v>
      </c>
      <c r="J13">
        <v>0.26816112269166736</v>
      </c>
      <c r="K13" s="18">
        <v>0.517815470814041</v>
      </c>
      <c r="L13">
        <v>0.26500577435882161</v>
      </c>
      <c r="M13" s="19">
        <v>0.297478016852251</v>
      </c>
    </row>
    <row r="14" spans="1:13" x14ac:dyDescent="0.25">
      <c r="A14" t="s">
        <v>19</v>
      </c>
      <c r="B14">
        <v>0.90774300734455626</v>
      </c>
      <c r="C14" s="14">
        <v>0.174295602147962</v>
      </c>
      <c r="D14">
        <v>0.66641262877798357</v>
      </c>
      <c r="E14" s="15">
        <v>0.86844583111990603</v>
      </c>
      <c r="F14">
        <v>1.1724805056106791</v>
      </c>
      <c r="G14" s="10">
        <v>4.3268390080787603E-2</v>
      </c>
      <c r="H14">
        <v>0.75208338269645891</v>
      </c>
      <c r="I14" s="11">
        <v>8.3521584494051695E-3</v>
      </c>
      <c r="J14">
        <v>0.43925242938827952</v>
      </c>
      <c r="K14" s="18">
        <v>0.81524617305381997</v>
      </c>
      <c r="L14">
        <v>0.91687737258891866</v>
      </c>
      <c r="M14" s="19">
        <v>6.5292475138674894E-2</v>
      </c>
    </row>
    <row r="15" spans="1:13" x14ac:dyDescent="0.25">
      <c r="A15" t="s">
        <v>20</v>
      </c>
      <c r="B15">
        <v>0.44478698122309529</v>
      </c>
      <c r="C15" s="12">
        <v>4.0424970068182499E-3</v>
      </c>
      <c r="D15">
        <v>0.93149676145323135</v>
      </c>
      <c r="E15" s="15">
        <v>5.7965913592618802E-2</v>
      </c>
      <c r="F15">
        <v>1.426580488634615</v>
      </c>
      <c r="G15" s="16">
        <v>0.218104991549528</v>
      </c>
      <c r="H15">
        <v>0.88069436055912442</v>
      </c>
      <c r="I15" s="11">
        <v>1.17388410353965E-2</v>
      </c>
      <c r="J15">
        <v>0.73363145607850022</v>
      </c>
      <c r="K15" s="18">
        <v>0.21974386864794401</v>
      </c>
      <c r="L15">
        <v>0.64989997196925531</v>
      </c>
      <c r="M15" s="19">
        <v>0.26584607245743602</v>
      </c>
    </row>
    <row r="16" spans="1:13" x14ac:dyDescent="0.25">
      <c r="A16" t="s">
        <v>21</v>
      </c>
      <c r="B16">
        <v>2.1646445435857284</v>
      </c>
      <c r="C16" s="12">
        <v>8.8957362296602296E-3</v>
      </c>
      <c r="D16">
        <v>0.64806122058364135</v>
      </c>
      <c r="E16" s="15">
        <v>0.31603437363464698</v>
      </c>
      <c r="F16">
        <v>1.3733968034493114</v>
      </c>
      <c r="G16" s="16">
        <v>0.250267714639267</v>
      </c>
      <c r="H16">
        <v>1.165314911580607</v>
      </c>
      <c r="I16" s="17">
        <v>1.01343777505961</v>
      </c>
      <c r="J16">
        <v>0.33866935597811709</v>
      </c>
      <c r="K16" s="18">
        <v>0.88243598341370999</v>
      </c>
      <c r="L16">
        <v>3.1590337508333337</v>
      </c>
      <c r="M16" s="19">
        <v>0.45617091532496501</v>
      </c>
    </row>
    <row r="19" spans="1:12" x14ac:dyDescent="0.25">
      <c r="A19" t="s">
        <v>173</v>
      </c>
    </row>
    <row r="20" spans="1:12" x14ac:dyDescent="0.25">
      <c r="A20" t="s">
        <v>7</v>
      </c>
      <c r="B20">
        <f>B2-dhap4!B2</f>
        <v>-0.55373944780247131</v>
      </c>
      <c r="D20">
        <f>D2-dhap4!D2</f>
        <v>-1.0847324324142034</v>
      </c>
      <c r="F20">
        <f>F2-dhap4!F2</f>
        <v>-3.9083571798825822E-4</v>
      </c>
      <c r="H20">
        <f>H2-dhap4!H2</f>
        <v>-1.2548586710290488</v>
      </c>
      <c r="J20">
        <f>J2-dhap4!J2</f>
        <v>-0.85727089494415498</v>
      </c>
      <c r="L20">
        <f>L2-dhap4!L2</f>
        <v>-0.35087747517954937</v>
      </c>
    </row>
    <row r="21" spans="1:12" x14ac:dyDescent="0.25">
      <c r="A21" t="s">
        <v>8</v>
      </c>
      <c r="B21">
        <f>B3-dhap4!B3</f>
        <v>-0.63068346172696965</v>
      </c>
      <c r="D21">
        <f>D3-dhap4!D3</f>
        <v>-1.1689165515983939</v>
      </c>
      <c r="F21">
        <f>F3-dhap4!F3</f>
        <v>-0.9925512950742732</v>
      </c>
      <c r="H21">
        <f>H3-dhap4!H3</f>
        <v>-1.0795656382428565</v>
      </c>
      <c r="J21">
        <f>J3-dhap4!J3</f>
        <v>9.4169379611755533E-2</v>
      </c>
      <c r="L21">
        <f>L3-dhap4!L3</f>
        <v>0.31893448113330458</v>
      </c>
    </row>
    <row r="22" spans="1:12" x14ac:dyDescent="0.25">
      <c r="A22" t="s">
        <v>9</v>
      </c>
      <c r="B22">
        <f>B4-dhap4!B4</f>
        <v>-0.63728617553528721</v>
      </c>
      <c r="D22">
        <f>D4-dhap4!D4</f>
        <v>-1.5744223426702637</v>
      </c>
      <c r="F22">
        <f>F4-dhap4!F4</f>
        <v>-0.3033466932302149</v>
      </c>
      <c r="H22">
        <f>H4-dhap4!H4</f>
        <v>3.3247231295007174E-2</v>
      </c>
      <c r="J22">
        <f>J4-dhap4!J4</f>
        <v>-0.34097075091105711</v>
      </c>
      <c r="L22">
        <f>L4-dhap4!L4</f>
        <v>-0.83293525587760997</v>
      </c>
    </row>
    <row r="23" spans="1:12" x14ac:dyDescent="0.25">
      <c r="A23" t="s">
        <v>10</v>
      </c>
      <c r="B23">
        <f>B5-dhap4!B5</f>
        <v>-1.3270253310158548</v>
      </c>
      <c r="D23">
        <f>D5-dhap4!D5</f>
        <v>-1.1989148755791761</v>
      </c>
      <c r="F23">
        <f>F5-dhap4!F5</f>
        <v>-0.2357742485306672</v>
      </c>
      <c r="H23">
        <f>H5-dhap4!H5</f>
        <v>-0.99105648110685962</v>
      </c>
      <c r="J23">
        <f>J5-dhap4!J5</f>
        <v>-0.73220636894393265</v>
      </c>
      <c r="L23">
        <f>L5-dhap4!L5</f>
        <v>-0.9381003920076082</v>
      </c>
    </row>
    <row r="24" spans="1:12" x14ac:dyDescent="0.25">
      <c r="A24" t="s">
        <v>11</v>
      </c>
      <c r="B24">
        <f>B6-dhap4!B6</f>
        <v>-0.62970148492239775</v>
      </c>
      <c r="D24">
        <f>D6-dhap4!D6</f>
        <v>-0.98991473342900216</v>
      </c>
      <c r="F24">
        <f>F6-dhap4!F6</f>
        <v>-0.80099285302372358</v>
      </c>
      <c r="H24">
        <f>H6-dhap4!H6</f>
        <v>-0.91566083818755495</v>
      </c>
      <c r="J24">
        <f>J6-dhap4!J6</f>
        <v>-0.88878475327086437</v>
      </c>
      <c r="L24">
        <f>L6-dhap4!L6</f>
        <v>-1.4270376446984687</v>
      </c>
    </row>
    <row r="25" spans="1:12" x14ac:dyDescent="0.25">
      <c r="A25" t="s">
        <v>12</v>
      </c>
      <c r="B25">
        <f>B7-dhap4!B7</f>
        <v>0.66296376015641201</v>
      </c>
      <c r="D25">
        <f>D7-dhap4!D7</f>
        <v>0.14792336288960639</v>
      </c>
      <c r="F25">
        <f>F7-dhap4!F7</f>
        <v>-1.2843985073281798</v>
      </c>
      <c r="H25">
        <f>H7-dhap4!H7</f>
        <v>-1.0208378535236642</v>
      </c>
      <c r="J25">
        <f>J7-dhap4!J7</f>
        <v>0.31774395884815898</v>
      </c>
      <c r="L25">
        <f>L7-dhap4!L7</f>
        <v>-1.057895840731796</v>
      </c>
    </row>
    <row r="26" spans="1:12" x14ac:dyDescent="0.25">
      <c r="A26" t="s">
        <v>13</v>
      </c>
      <c r="B26">
        <f>B8-dhap4!B8</f>
        <v>-0.39394167337941854</v>
      </c>
      <c r="D26">
        <f>D8-dhap4!D8</f>
        <v>-0.52896698029202138</v>
      </c>
      <c r="F26">
        <f>F8-dhap4!F8</f>
        <v>-0.69595763057019044</v>
      </c>
      <c r="H26">
        <f>H8-dhap4!H8</f>
        <v>1.6893369481764506</v>
      </c>
      <c r="J26">
        <f>J8-dhap4!J8</f>
        <v>-2.2192373532709508</v>
      </c>
      <c r="L26">
        <f>L8-dhap4!L8</f>
        <v>-1.1031219663249237</v>
      </c>
    </row>
    <row r="27" spans="1:12" x14ac:dyDescent="0.25">
      <c r="A27" t="s">
        <v>14</v>
      </c>
      <c r="B27">
        <f>B9-dhap4!B9</f>
        <v>-0.60812066272558885</v>
      </c>
      <c r="D27">
        <f>D9-dhap4!D9</f>
        <v>-1.455491401494011</v>
      </c>
      <c r="F27">
        <f>F9-dhap4!F9</f>
        <v>-0.4621202426129819</v>
      </c>
      <c r="H27">
        <f>H9-dhap4!H9</f>
        <v>-1.1700909850501156</v>
      </c>
      <c r="J27">
        <f>J9-dhap4!J9</f>
        <v>-0.9217388534795925</v>
      </c>
      <c r="L27">
        <f>L9-dhap4!L9</f>
        <v>-0.86386059093749545</v>
      </c>
    </row>
    <row r="28" spans="1:12" x14ac:dyDescent="0.25">
      <c r="A28" t="s">
        <v>15</v>
      </c>
      <c r="B28">
        <f>B10-dhap4!B10</f>
        <v>-1.0065244102146265E-2</v>
      </c>
      <c r="D28">
        <f>D10-dhap4!D10</f>
        <v>-0.985213116766677</v>
      </c>
      <c r="F28">
        <f>F10-dhap4!F10</f>
        <v>-0.31683693964789528</v>
      </c>
      <c r="H28">
        <f>H10-dhap4!H10</f>
        <v>-1.2699326800935586</v>
      </c>
      <c r="J28">
        <f>J10-dhap4!J10</f>
        <v>-4.1807097369457313E-3</v>
      </c>
      <c r="L28">
        <f>L10-dhap4!L10</f>
        <v>-2.4242355976897025</v>
      </c>
    </row>
    <row r="29" spans="1:12" x14ac:dyDescent="0.25">
      <c r="A29" t="s">
        <v>16</v>
      </c>
      <c r="B29">
        <f>B11-dhap4!B11</f>
        <v>0.12120543687093499</v>
      </c>
      <c r="D29">
        <f>D11-dhap4!D11</f>
        <v>-0.62596506033044375</v>
      </c>
      <c r="F29">
        <f>F11-dhap4!F11</f>
        <v>-2.7123755620845555</v>
      </c>
      <c r="H29">
        <f>H11-dhap4!H11</f>
        <v>-1.3937902282765218</v>
      </c>
      <c r="J29">
        <f>J11-dhap4!J11</f>
        <v>-5.4328131603796752</v>
      </c>
      <c r="L29">
        <f>L11-dhap4!L11</f>
        <v>4.5450271777348394E-2</v>
      </c>
    </row>
    <row r="30" spans="1:12" x14ac:dyDescent="0.25">
      <c r="A30" t="s">
        <v>17</v>
      </c>
      <c r="B30">
        <f>B12-dhap4!B12</f>
        <v>-0.98598133021236645</v>
      </c>
      <c r="D30">
        <f>D12-dhap4!D12</f>
        <v>-0.78426723668135823</v>
      </c>
      <c r="F30">
        <f>F12-dhap4!F12</f>
        <v>-0.76870323926230144</v>
      </c>
      <c r="H30">
        <f>H12-dhap4!H12</f>
        <v>-1.1396509186690331</v>
      </c>
      <c r="J30">
        <f>J12-dhap4!J12</f>
        <v>-1.2226103080709718</v>
      </c>
      <c r="L30">
        <f>L12-dhap4!L12</f>
        <v>-0.76985413555830351</v>
      </c>
    </row>
    <row r="31" spans="1:12" x14ac:dyDescent="0.25">
      <c r="A31" t="s">
        <v>18</v>
      </c>
      <c r="B31">
        <f>B13-dhap4!B13</f>
        <v>-0.72696426691703186</v>
      </c>
      <c r="D31">
        <f>D13-dhap4!D13</f>
        <v>-0.85390677119025371</v>
      </c>
      <c r="F31">
        <f>F13-dhap4!F13</f>
        <v>-0.78031968286961029</v>
      </c>
      <c r="H31">
        <f>H13-dhap4!H13</f>
        <v>-0.6222321012724723</v>
      </c>
      <c r="J31">
        <f>J13-dhap4!J13</f>
        <v>-0.83389313056896075</v>
      </c>
      <c r="L31">
        <f>L13-dhap4!L13</f>
        <v>-1.2082638405036881</v>
      </c>
    </row>
    <row r="32" spans="1:12" x14ac:dyDescent="0.25">
      <c r="A32" t="s">
        <v>19</v>
      </c>
      <c r="B32">
        <f>B14-dhap4!B14</f>
        <v>-0.23117521523626428</v>
      </c>
      <c r="D32">
        <f>D14-dhap4!D14</f>
        <v>-0.43114281025844237</v>
      </c>
      <c r="F32">
        <f>F14-dhap4!F14</f>
        <v>-1.9995918607735443</v>
      </c>
      <c r="H32">
        <f>H14-dhap4!H14</f>
        <v>-1.6869594918574697</v>
      </c>
      <c r="J32">
        <f>J14-dhap4!J14</f>
        <v>-0.65493354926011027</v>
      </c>
      <c r="L32">
        <f>L14-dhap4!L14</f>
        <v>-0.90306909342756858</v>
      </c>
    </row>
    <row r="33" spans="1:12" x14ac:dyDescent="0.25">
      <c r="A33" t="s">
        <v>20</v>
      </c>
      <c r="B33">
        <f>B15-dhap4!B15</f>
        <v>-0.69432509129159303</v>
      </c>
      <c r="D33">
        <f>D15-dhap4!D15</f>
        <v>-0.20774473361598311</v>
      </c>
      <c r="F33">
        <f>F15-dhap4!F15</f>
        <v>-15.379913310292691</v>
      </c>
      <c r="H33">
        <f>H15-dhap4!H15</f>
        <v>-1.2869551970034383</v>
      </c>
      <c r="J33">
        <f>J15-dhap4!J15</f>
        <v>-0.27541994823524396</v>
      </c>
      <c r="L33">
        <f>L15-dhap4!L15</f>
        <v>-0.58460746083660919</v>
      </c>
    </row>
    <row r="34" spans="1:12" x14ac:dyDescent="0.25">
      <c r="A34" t="s">
        <v>21</v>
      </c>
      <c r="B34">
        <f>B16-dhap4!B16</f>
        <v>-1.928199362498626</v>
      </c>
      <c r="D34">
        <f>D16-dhap4!D16</f>
        <v>-0.64319589179014969</v>
      </c>
      <c r="F34">
        <f>F16-dhap4!F16</f>
        <v>-1.5886214744293035</v>
      </c>
      <c r="H34">
        <f>H16-dhap4!H16</f>
        <v>-0.14292586978495603</v>
      </c>
      <c r="J34">
        <f>J16-dhap4!J16</f>
        <v>-1.5867319657434775</v>
      </c>
      <c r="L34">
        <f>L16-dhap4!L16</f>
        <v>1.4115341439038946</v>
      </c>
    </row>
    <row r="37" spans="1:12" x14ac:dyDescent="0.25">
      <c r="A37" t="s">
        <v>111</v>
      </c>
    </row>
    <row r="38" spans="1:12" x14ac:dyDescent="0.25">
      <c r="A38">
        <v>1.4760844231147061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workbookViewId="0">
      <selection activeCell="G34" sqref="G34"/>
    </sheetView>
  </sheetViews>
  <sheetFormatPr defaultColWidth="8.85546875" defaultRowHeight="15" x14ac:dyDescent="0.25"/>
  <sheetData>
    <row r="1" spans="1:13" x14ac:dyDescent="0.25">
      <c r="A1" t="s">
        <v>0</v>
      </c>
      <c r="B1" t="s">
        <v>1</v>
      </c>
      <c r="C1" s="14" t="s">
        <v>22</v>
      </c>
      <c r="D1" t="s">
        <v>2</v>
      </c>
      <c r="E1" s="15" t="s">
        <v>23</v>
      </c>
      <c r="F1" t="s">
        <v>3</v>
      </c>
      <c r="G1" s="16" t="s">
        <v>24</v>
      </c>
      <c r="H1" t="s">
        <v>4</v>
      </c>
      <c r="I1" s="17" t="s">
        <v>25</v>
      </c>
      <c r="J1" t="s">
        <v>5</v>
      </c>
      <c r="K1" s="18" t="s">
        <v>26</v>
      </c>
      <c r="L1" t="s">
        <v>6</v>
      </c>
      <c r="M1" s="19" t="s">
        <v>27</v>
      </c>
    </row>
    <row r="2" spans="1:13" x14ac:dyDescent="0.25">
      <c r="A2" t="s">
        <v>7</v>
      </c>
      <c r="B2">
        <f>0.443259472257596/minMSE_dhap4_calculated!B2</f>
        <v>1.085552042676367</v>
      </c>
      <c r="C2" s="14">
        <v>0.762384490029694</v>
      </c>
      <c r="D2">
        <f>0.132680206376997/minMSE_dhap4_calculated!C2</f>
        <v>1.6554763215741266</v>
      </c>
      <c r="E2" s="15">
        <v>0.44624975588118598</v>
      </c>
      <c r="F2">
        <f>1.35963410861865/minMSE_dhap4_calculated!D2</f>
        <v>1.5148975441417034</v>
      </c>
      <c r="G2" s="16">
        <v>0.78551996118716705</v>
      </c>
      <c r="H2">
        <f>0.124008318768719/minMSE_dhap4_calculated!E2</f>
        <v>1.163738317384523</v>
      </c>
      <c r="I2" s="17">
        <v>0.29160072506103601</v>
      </c>
      <c r="J2">
        <f>0.199648302104125/minMSE_dhap4_calculated!F2</f>
        <v>1.005608217121156</v>
      </c>
      <c r="K2" s="18">
        <v>0.82577386681059695</v>
      </c>
      <c r="L2">
        <f>1.1875522213412/minMSE_dhap4_calculated!G2</f>
        <v>2.0662956435561539</v>
      </c>
      <c r="M2" s="7">
        <v>4.5710095337786E-2</v>
      </c>
    </row>
    <row r="3" spans="1:13" x14ac:dyDescent="0.25">
      <c r="A3" t="s">
        <v>8</v>
      </c>
      <c r="B3">
        <f>0.357217261532637/minMSE_dhap4_calculated!B3</f>
        <v>1.57828025610723</v>
      </c>
      <c r="C3" s="14">
        <v>8.2901279432195593E-2</v>
      </c>
      <c r="D3">
        <f>1.0517467736639/minMSE_dhap4_calculated!C3</f>
        <v>5.130989514431092</v>
      </c>
      <c r="E3" s="9">
        <v>9.0782211164155292E-3</v>
      </c>
      <c r="F3">
        <v>0.50786706273900151</v>
      </c>
      <c r="G3" s="16">
        <v>0.52024738694317496</v>
      </c>
      <c r="H3">
        <f>0.457516940347916/minMSE_dhap4_calculated!E3</f>
        <v>2.5355382109136761</v>
      </c>
      <c r="I3" s="17">
        <v>7.2269282640789106E-2</v>
      </c>
      <c r="J3">
        <f>1.24133079347982/minMSE_dhap4_calculated!F3</f>
        <v>1.2597853955127016</v>
      </c>
      <c r="K3" s="18">
        <v>0.76388269721491497</v>
      </c>
      <c r="L3">
        <f>1.42753253874035/minMSE_dhap4_calculated!G3</f>
        <v>1.6673850395072256</v>
      </c>
      <c r="M3" s="19">
        <v>0.45347930983877699</v>
      </c>
    </row>
    <row r="4" spans="1:13" x14ac:dyDescent="0.25">
      <c r="A4" t="s">
        <v>9</v>
      </c>
      <c r="B4">
        <f>0.720869271353741/minMSE_dhap4_calculated!B4</f>
        <v>1.2677434868747428</v>
      </c>
      <c r="C4" s="14">
        <v>6.6225124959576706E-2</v>
      </c>
      <c r="D4">
        <f>0.1449642125/minMSE_dhap4_calculated!C4</f>
        <v>1.7193865551702636</v>
      </c>
      <c r="E4" s="15">
        <v>0.61881514010194805</v>
      </c>
      <c r="F4">
        <v>0.83475365197106821</v>
      </c>
      <c r="G4" s="10">
        <v>1.6347989883004101E-2</v>
      </c>
      <c r="H4">
        <f>1.13175839241958/minMSE_dhap4_calculated!E4</f>
        <v>1.2505222095117836</v>
      </c>
      <c r="I4" s="11">
        <v>1.1178235493982801E-2</v>
      </c>
      <c r="J4">
        <f>1.10511020569027/minMSE_dhap4_calculated!F4</f>
        <v>1.5885215831440602</v>
      </c>
      <c r="K4" s="18">
        <v>0.41128551861353002</v>
      </c>
      <c r="L4">
        <f>0.840359696152635/minMSE_dhap4_calculated!G4</f>
        <v>1.7417713596408042</v>
      </c>
      <c r="M4" s="7">
        <v>2.5966862137770701E-2</v>
      </c>
    </row>
    <row r="5" spans="1:13" x14ac:dyDescent="0.25">
      <c r="A5" t="s">
        <v>10</v>
      </c>
      <c r="B5">
        <f>0.47595022871536/minMSE_dhap4_calculated!B5</f>
        <v>1.7232877445073784</v>
      </c>
      <c r="C5" s="14">
        <v>0.33061324554751997</v>
      </c>
      <c r="D5">
        <f>0.550503455912669/minMSE_dhap4_calculated!C5</f>
        <v>1.1240036389656549</v>
      </c>
      <c r="E5" s="15">
        <v>0.58761063110676703</v>
      </c>
      <c r="F5">
        <v>0.77109217217433546</v>
      </c>
      <c r="G5" s="16">
        <v>0.876273721691745</v>
      </c>
      <c r="H5">
        <f>0.843379515818491/minMSE_dhap4_calculated!E5</f>
        <v>1.8614793871776874</v>
      </c>
      <c r="I5" s="17">
        <v>0.12610118972802201</v>
      </c>
      <c r="J5">
        <f>0.559962787117334/minMSE_dhap4_calculated!F5</f>
        <v>1.3227083917918352</v>
      </c>
      <c r="K5" s="18">
        <v>0.84451617033304205</v>
      </c>
      <c r="L5">
        <f>0.219704173084262/minMSE_dhap4_calculated!G5</f>
        <v>1.1323595224310927</v>
      </c>
      <c r="M5" s="19">
        <v>0.34787221257796602</v>
      </c>
    </row>
    <row r="6" spans="1:13" x14ac:dyDescent="0.25">
      <c r="A6" t="s">
        <v>11</v>
      </c>
      <c r="B6">
        <f>0.454798441330531/minMSE_dhap4_calculated!B6</f>
        <v>1.1211901434977087</v>
      </c>
      <c r="C6" s="14">
        <v>0.41886387925431101</v>
      </c>
      <c r="D6">
        <f>0.173801399942816/minMSE_dhap4_calculated!C6</f>
        <v>1.0500581811621024</v>
      </c>
      <c r="E6" s="15">
        <v>0.54683519144140802</v>
      </c>
      <c r="F6">
        <v>0.35326105333333335</v>
      </c>
      <c r="G6" s="16">
        <v>0.60936795919082498</v>
      </c>
      <c r="H6">
        <f>0.21916875916367/minMSE_dhap4_calculated!E6</f>
        <v>1.3222818623285599</v>
      </c>
      <c r="I6" s="17">
        <v>0.51888455220311103</v>
      </c>
      <c r="J6">
        <f>0.241782738065511/minMSE_dhap4_calculated!F6</f>
        <v>1.2335008835538892</v>
      </c>
      <c r="K6" s="18">
        <v>0.92811381976317897</v>
      </c>
      <c r="L6">
        <f>0.134305886643371/minMSE_dhap4_calculated!G6</f>
        <v>1.2247383954562892</v>
      </c>
      <c r="M6" s="19">
        <v>0.117144834533319</v>
      </c>
    </row>
    <row r="7" spans="1:13" x14ac:dyDescent="0.25">
      <c r="A7" t="s">
        <v>12</v>
      </c>
      <c r="B7">
        <f>1.94050296477405/minMSE_dhap4_calculated!B7</f>
        <v>1.0783116507004233</v>
      </c>
      <c r="C7" s="14">
        <v>0.73074475229926095</v>
      </c>
      <c r="D7">
        <f>1.4075136988561/minMSE_dhap4_calculated!C7</f>
        <v>1.2858293598119648</v>
      </c>
      <c r="E7" s="15">
        <v>0.482119508817688</v>
      </c>
      <c r="F7">
        <v>1.8636293352242859</v>
      </c>
      <c r="G7" s="16">
        <v>7.7299330333445299E-2</v>
      </c>
      <c r="H7">
        <f>0.4916199175/minMSE_dhap4_calculated!E7</f>
        <v>1.5124577710236642</v>
      </c>
      <c r="I7" s="17">
        <v>0.41648763304756098</v>
      </c>
      <c r="J7">
        <f>1.62829099638108/minMSE_dhap4_calculated!F7</f>
        <v>1.2149790475836795</v>
      </c>
      <c r="K7" s="18">
        <v>0.92618166088133702</v>
      </c>
      <c r="L7">
        <f>0.533529454724754/minMSE_dhap4_calculated!G7</f>
        <v>1.6386190543480239</v>
      </c>
      <c r="M7" s="7">
        <v>1.5741522728162101E-2</v>
      </c>
    </row>
    <row r="8" spans="1:13" x14ac:dyDescent="0.25">
      <c r="A8" t="s">
        <v>13</v>
      </c>
      <c r="B8">
        <f>0.628341306374838/minMSE_dhap4_calculated!B8</f>
        <v>1.0702105891735407</v>
      </c>
      <c r="C8" s="12">
        <v>3.9736164584284001E-2</v>
      </c>
      <c r="D8">
        <f>0.733812359398877/minMSE_dhap4_calculated!C8</f>
        <v>1.336622709634707</v>
      </c>
      <c r="E8" s="9">
        <v>2.23753114222145E-3</v>
      </c>
      <c r="F8">
        <v>0.310928262790445</v>
      </c>
      <c r="G8" s="10">
        <v>2.4759724199063201E-3</v>
      </c>
      <c r="H8">
        <f>2.78197060695631/minMSE_dhap4_calculated!E8</f>
        <v>1.0408017236744611</v>
      </c>
      <c r="I8" s="17">
        <v>0.42442038054964198</v>
      </c>
      <c r="J8">
        <f>0.593595616666667/minMSE_dhap4_calculated!F8</f>
        <v>2.8128329699376176</v>
      </c>
      <c r="K8" s="18">
        <v>0.57583799773840905</v>
      </c>
      <c r="L8">
        <f>0.545190333477222/minMSE_dhap4_calculated!G8</f>
        <v>1.5616387443595494</v>
      </c>
      <c r="M8" s="7">
        <v>1.1238296525258799E-3</v>
      </c>
    </row>
    <row r="9" spans="1:13" x14ac:dyDescent="0.25">
      <c r="A9" t="s">
        <v>14</v>
      </c>
      <c r="B9">
        <f>0.515131349725246/minMSE_dhap4_calculated!B9</f>
        <v>1.2137708501139244</v>
      </c>
      <c r="C9" s="14">
        <v>0.30555896896170998</v>
      </c>
      <c r="D9">
        <f>0.296912499093345/minMSE_dhap4_calculated!C9</f>
        <v>1.3110188461577332</v>
      </c>
      <c r="E9" s="15">
        <v>0.220796800536256</v>
      </c>
      <c r="F9">
        <v>0.85066868055168232</v>
      </c>
      <c r="G9" s="16">
        <v>0.34273266373509897</v>
      </c>
      <c r="H9">
        <f>0.258551864032898/minMSE_dhap4_calculated!E9</f>
        <v>1.7069701600950387</v>
      </c>
      <c r="I9" s="11">
        <v>1.6849469393969401E-2</v>
      </c>
      <c r="J9">
        <f>0.574166292197653/minMSE_dhap4_calculated!F9</f>
        <v>1.6712322044913872</v>
      </c>
      <c r="K9" s="18">
        <v>0.80207673397527102</v>
      </c>
      <c r="L9">
        <f>0.27663869537364/minMSE_dhap4_calculated!G9</f>
        <v>1.2637880274016566</v>
      </c>
      <c r="M9" s="19">
        <v>8.3557084326203193E-2</v>
      </c>
    </row>
    <row r="10" spans="1:13" x14ac:dyDescent="0.25">
      <c r="A10" t="s">
        <v>15</v>
      </c>
      <c r="B10">
        <f>0.992851894983405/minMSE_dhap4_calculated!B10</f>
        <v>1.0109130378509024</v>
      </c>
      <c r="C10" s="14">
        <v>0.40967747091093998</v>
      </c>
      <c r="D10">
        <f>0.274315429009466/minMSE_dhap4_calculated!C10</f>
        <v>1.1286673757992298</v>
      </c>
      <c r="E10" s="9">
        <v>4.93615335741312E-2</v>
      </c>
      <c r="F10">
        <v>0.95166223244277104</v>
      </c>
      <c r="G10" s="16">
        <v>7.5060611423136706E-2</v>
      </c>
      <c r="H10">
        <f>0.1906143095363/minMSE_dhap4_calculated!E10</f>
        <v>1.5526934271472066</v>
      </c>
      <c r="I10" s="17">
        <v>5.3349459021998002E-2</v>
      </c>
      <c r="J10">
        <f>1.18483828749584/minMSE_dhap4_calculated!F10</f>
        <v>1.183967358640226</v>
      </c>
      <c r="K10" s="18">
        <v>0.83537027035042999</v>
      </c>
      <c r="L10">
        <f>0.305152724235318/minMSE_dhap4_calculated!G10</f>
        <v>3.0845165647076795</v>
      </c>
      <c r="M10" s="7">
        <v>2.0751052693414899E-3</v>
      </c>
    </row>
    <row r="11" spans="1:13" x14ac:dyDescent="0.25">
      <c r="A11" t="s">
        <v>16</v>
      </c>
      <c r="B11">
        <f>2.07311098338205/minMSE_dhap4_calculated!B11</f>
        <v>1.8351940755134233</v>
      </c>
      <c r="C11" s="14">
        <v>0.312866167848105</v>
      </c>
      <c r="D11">
        <f>1.00899568417308/minMSE_dhap4_calculated!C11</f>
        <v>1.7470627286756282</v>
      </c>
      <c r="E11" s="15">
        <v>0.36919882166698498</v>
      </c>
      <c r="F11">
        <v>0.27109189654249871</v>
      </c>
      <c r="G11" s="16">
        <v>0.32044779172975002</v>
      </c>
      <c r="H11">
        <f>0.140317647844866/minMSE_dhap4_calculated!E11</f>
        <v>1.2398088728029617</v>
      </c>
      <c r="I11" s="17">
        <v>1.01926877470356</v>
      </c>
      <c r="J11">
        <f>0.655247074647672/minMSE_dhap4_calculated!F11</f>
        <v>7.2520521997651519</v>
      </c>
      <c r="K11" s="18">
        <v>0.41730594570108798</v>
      </c>
      <c r="L11">
        <f>1.27204134990658/minMSE_dhap4_calculated!G11</f>
        <v>1.1818984440935851</v>
      </c>
      <c r="M11" s="19">
        <v>0.32964773522541801</v>
      </c>
    </row>
    <row r="12" spans="1:13" x14ac:dyDescent="0.25">
      <c r="A12" t="s">
        <v>17</v>
      </c>
      <c r="B12">
        <f>0.290692020615824/minMSE_dhap4_calculated!B12</f>
        <v>1.2067923395143971</v>
      </c>
      <c r="C12" s="14">
        <v>0.673063017606508</v>
      </c>
      <c r="D12">
        <f>0.609004630604328/minMSE_dhap4_calculated!C12</f>
        <v>1.3277705452566901</v>
      </c>
      <c r="E12" s="15">
        <v>0.48391674975244903</v>
      </c>
      <c r="F12">
        <v>0.45273866545323399</v>
      </c>
      <c r="G12" s="16">
        <v>0.37967438937929698</v>
      </c>
      <c r="H12">
        <f>0.212130438514853/minMSE_dhap4_calculated!E12</f>
        <v>1.572800045334922</v>
      </c>
      <c r="I12" s="17">
        <v>0.61551986182630103</v>
      </c>
      <c r="J12">
        <f>0.319081023814701/minMSE_dhap4_calculated!F12</f>
        <v>1.4565024037314194</v>
      </c>
      <c r="K12" s="18">
        <v>0.96518223885221099</v>
      </c>
      <c r="L12">
        <f>0.247877938164262/minMSE_dhap4_calculated!G12</f>
        <v>1.0836014651473849</v>
      </c>
      <c r="M12" s="19">
        <v>0.77989454444137896</v>
      </c>
    </row>
    <row r="13" spans="1:13" x14ac:dyDescent="0.25">
      <c r="A13" t="s">
        <v>18</v>
      </c>
      <c r="B13">
        <f>0.451657981933513/minMSE_dhap4_calculated!B13</f>
        <v>1.2918299957787323</v>
      </c>
      <c r="C13" s="14">
        <v>9.5712795892028399E-2</v>
      </c>
      <c r="D13">
        <f>0.238193703070479/minMSE_dhap4_calculated!C13</f>
        <v>1.1241273470858277</v>
      </c>
      <c r="E13" s="15">
        <v>0.44634237725270698</v>
      </c>
      <c r="F13">
        <v>0.29029346182852955</v>
      </c>
      <c r="G13" s="16">
        <v>0.31255665386579601</v>
      </c>
      <c r="H13">
        <f>0.549927111324002/minMSE_dhap4_calculated!E13</f>
        <v>1.3243719386620196</v>
      </c>
      <c r="I13" s="17">
        <v>0.98678976939878205</v>
      </c>
      <c r="J13">
        <f>0.294445216444359/minMSE_dhap4_calculated!F13</f>
        <v>1.3464227948891931</v>
      </c>
      <c r="K13" s="18">
        <v>0.517815470814041</v>
      </c>
      <c r="L13">
        <f>0.244189108987106/minMSE_dhap4_calculated!G13</f>
        <v>1.1439808367578874</v>
      </c>
      <c r="M13" s="19">
        <v>0.297478016852251</v>
      </c>
    </row>
    <row r="14" spans="1:13" x14ac:dyDescent="0.25">
      <c r="A14" t="s">
        <v>19</v>
      </c>
      <c r="B14">
        <f>0.679147813058193/minMSE_dhap4_calculated!B14</f>
        <v>1.0537268118218472</v>
      </c>
      <c r="C14" s="14">
        <v>0.174295602147962</v>
      </c>
      <c r="D14">
        <f>0.706679015357088/minMSE_dhap4_calculated!C14</f>
        <v>1.2435017081563946</v>
      </c>
      <c r="E14" s="15">
        <v>0.86844583111990603</v>
      </c>
      <c r="F14">
        <v>1.137913966938201</v>
      </c>
      <c r="G14" s="10">
        <v>4.3268390080787603E-2</v>
      </c>
      <c r="H14">
        <f>0.300575669667561/minMSE_dhap4_calculated!E14</f>
        <v>2.8914848596120604</v>
      </c>
      <c r="I14" s="11">
        <v>8.3521584494051695E-3</v>
      </c>
      <c r="J14">
        <f>0.394556441224639/minMSE_dhap4_calculated!F14</f>
        <v>1.5052929348278263</v>
      </c>
      <c r="K14" s="18">
        <v>0.81524617305381997</v>
      </c>
      <c r="L14">
        <f>0.46350032464945/minMSE_dhap4_calculated!G14</f>
        <v>1.5994338456158574</v>
      </c>
      <c r="M14" s="19">
        <v>6.5292475138674894E-2</v>
      </c>
    </row>
    <row r="15" spans="1:13" x14ac:dyDescent="0.25">
      <c r="A15" t="s">
        <v>20</v>
      </c>
      <c r="B15">
        <f>0.388762446589134/minMSE_dhap4_calculated!B15</f>
        <v>1.0937021865415544</v>
      </c>
      <c r="C15" s="12">
        <v>4.0424970068182499E-3</v>
      </c>
      <c r="D15">
        <f>0.776239198488674/minMSE_dhap4_calculated!C15</f>
        <v>1.2049421504303057</v>
      </c>
      <c r="E15" s="15">
        <v>5.7965913592618802E-2</v>
      </c>
      <c r="F15">
        <v>1.6560246615692416</v>
      </c>
      <c r="G15" s="16">
        <v>0.218104991549528</v>
      </c>
      <c r="H15">
        <f>0.620448863026595/minMSE_dhap4_calculated!E15</f>
        <v>1.8579842217422216</v>
      </c>
      <c r="I15" s="11">
        <v>1.17388410353965E-2</v>
      </c>
      <c r="J15">
        <f>0.788616631365413/minMSE_dhap4_calculated!F15</f>
        <v>1.2040615572312652</v>
      </c>
      <c r="K15" s="18">
        <v>0.21974386864794401</v>
      </c>
      <c r="L15">
        <f>0.453334058667816/minMSE_dhap4_calculated!G15</f>
        <v>1.1104484144555897</v>
      </c>
      <c r="M15" s="19">
        <v>0.26584607245743602</v>
      </c>
    </row>
    <row r="16" spans="1:13" x14ac:dyDescent="0.25">
      <c r="A16" t="s">
        <v>21</v>
      </c>
      <c r="B16">
        <f>2.30167284794618/minMSE_dhap4_calculated!B16</f>
        <v>4.0891719450477826</v>
      </c>
      <c r="C16" s="12">
        <v>8.8957362296602296E-3</v>
      </c>
      <c r="D16">
        <f>0.680242822350422/minMSE_dhap4_calculated!C16</f>
        <v>1.3042653675492202</v>
      </c>
      <c r="E16" s="15">
        <v>0.31603437363464698</v>
      </c>
      <c r="F16">
        <v>1.2797739428045249</v>
      </c>
      <c r="G16" s="16">
        <v>0.250267714639267</v>
      </c>
      <c r="H16">
        <f>1.1258438911699/minMSE_dhap4_calculated!E16</f>
        <v>1.304848725796701</v>
      </c>
      <c r="I16" s="17">
        <v>1.01343777505961</v>
      </c>
      <c r="J16">
        <f>0.454344644730586/minMSE_dhap4_calculated!F16</f>
        <v>1.8981929759008134</v>
      </c>
      <c r="K16" s="18">
        <v>0.88243598341370999</v>
      </c>
      <c r="L16">
        <f>3.15903375083333/minMSE_dhap4_calculated!G16</f>
        <v>1.7474996069294391</v>
      </c>
      <c r="M16" s="19">
        <v>0.45617091532496501</v>
      </c>
    </row>
    <row r="20" spans="1:12" x14ac:dyDescent="0.25">
      <c r="A20" t="s">
        <v>174</v>
      </c>
    </row>
    <row r="21" spans="1:12" x14ac:dyDescent="0.25">
      <c r="A21" t="s">
        <v>7</v>
      </c>
      <c r="B21">
        <f>B2-dhap4!B2</f>
        <v>7.069044278784653E-2</v>
      </c>
      <c r="D21">
        <f>D2-dhap4!D2</f>
        <v>0.45664697619529204</v>
      </c>
      <c r="F21">
        <f>F2-dhap4!F2</f>
        <v>5.9712881819091956E-2</v>
      </c>
      <c r="H21">
        <f>H2-dhap4!H2</f>
        <v>-0.20604227116428553</v>
      </c>
      <c r="J21">
        <f>J2-dhap4!J2</f>
        <v>-5.5201259111188783E-2</v>
      </c>
      <c r="L21">
        <f>L2-dhap4!L2</f>
        <v>0.59262101744097473</v>
      </c>
    </row>
    <row r="22" spans="1:12" x14ac:dyDescent="0.25">
      <c r="A22" t="s">
        <v>8</v>
      </c>
      <c r="B22">
        <f>B3-dhap4!B3</f>
        <v>0.45785146046324221</v>
      </c>
      <c r="D22">
        <f>D3-dhap4!D3</f>
        <v>3.6656243239459423</v>
      </c>
      <c r="F22">
        <f>F3-dhap4!F3</f>
        <v>-0.94321041587149812</v>
      </c>
      <c r="H22">
        <f>H3-dhap4!H3</f>
        <v>0.78318284916323444</v>
      </c>
      <c r="J22">
        <f>J3-dhap4!J3</f>
        <v>4.8733648442080391E-2</v>
      </c>
      <c r="L22">
        <f>L3-dhap4!L3</f>
        <v>0.27154584233412171</v>
      </c>
    </row>
    <row r="23" spans="1:12" x14ac:dyDescent="0.25">
      <c r="A23" t="s">
        <v>9</v>
      </c>
      <c r="B23">
        <f>B4-dhap4!B4</f>
        <v>-0.19090925633985112</v>
      </c>
      <c r="D23">
        <f>D4-dhap4!D4</f>
        <v>0</v>
      </c>
      <c r="F23">
        <f>F4-dhap4!F4</f>
        <v>-0.34771106876746372</v>
      </c>
      <c r="H23">
        <f>H4-dhap4!H4</f>
        <v>4.1331365573491263E-2</v>
      </c>
      <c r="J23">
        <f>J4-dhap4!J4</f>
        <v>0.4821078114153996</v>
      </c>
      <c r="L23">
        <f>L4-dhap4!L4</f>
        <v>0.33762805152053943</v>
      </c>
    </row>
    <row r="24" spans="1:12" x14ac:dyDescent="0.25">
      <c r="A24" t="s">
        <v>10</v>
      </c>
      <c r="B24">
        <f>B5-dhap4!B5</f>
        <v>-0.1306254710862278</v>
      </c>
      <c r="D24">
        <f>D5-dhap4!D5</f>
        <v>-0.72160823205492997</v>
      </c>
      <c r="F24">
        <f>F5-dhap4!F5</f>
        <v>-0.25714195430011644</v>
      </c>
      <c r="H24">
        <f>H5-dhap4!H5</f>
        <v>-9.3469554555098533E-2</v>
      </c>
      <c r="J24">
        <f>J5-dhap4!J5</f>
        <v>0.13387398397795081</v>
      </c>
      <c r="L24">
        <f>L5-dhap4!L5</f>
        <v>-4.6385397218460245E-2</v>
      </c>
    </row>
    <row r="25" spans="1:12" x14ac:dyDescent="0.25">
      <c r="A25" t="s">
        <v>11</v>
      </c>
      <c r="B25">
        <f>B6-dhap4!B6</f>
        <v>-4.8144065436406258E-2</v>
      </c>
      <c r="D25">
        <f>D6-dhap4!D6</f>
        <v>-0.16673265580381913</v>
      </c>
      <c r="F25">
        <f>F6-dhap4!F6</f>
        <v>-0.80099285302372358</v>
      </c>
      <c r="H25">
        <f>H6-dhap4!H6</f>
        <v>0.19553210330257498</v>
      </c>
      <c r="J25">
        <f>J6-dhap4!J6</f>
        <v>2.4161242371159908E-2</v>
      </c>
      <c r="L25">
        <f>L6-dhap4!L6</f>
        <v>-0.34574901106013023</v>
      </c>
    </row>
    <row r="26" spans="1:12" x14ac:dyDescent="0.25">
      <c r="A26" t="s">
        <v>12</v>
      </c>
      <c r="B26">
        <f>B7-dhap4!B7</f>
        <v>-0.11647954531875371</v>
      </c>
      <c r="D26">
        <f>D7-dhap4!D7</f>
        <v>0.22517618712289433</v>
      </c>
      <c r="F26">
        <f>F7-dhap4!F7</f>
        <v>-0.18932082843386211</v>
      </c>
      <c r="H26">
        <f>H7-dhap4!H7</f>
        <v>0</v>
      </c>
      <c r="J26">
        <f>J7-dhap4!J7</f>
        <v>0.15438575927782705</v>
      </c>
      <c r="L26">
        <f>L7-dhap4!L7</f>
        <v>-8.0285211299067294E-2</v>
      </c>
    </row>
    <row r="27" spans="1:12" x14ac:dyDescent="0.25">
      <c r="A27" t="s">
        <v>13</v>
      </c>
      <c r="B27">
        <f>B8-dhap4!B8</f>
        <v>1.8054264403699172E-2</v>
      </c>
      <c r="D27">
        <f>D8-dhap4!D8</f>
        <v>9.0631197068970382E-2</v>
      </c>
      <c r="F27">
        <f>F8-dhap4!F8</f>
        <v>-0.69373562438885994</v>
      </c>
      <c r="H27">
        <f>H8-dhap4!H8</f>
        <v>-1.7084247291325072E-2</v>
      </c>
      <c r="J27">
        <f>J8-dhap4!J8</f>
        <v>0</v>
      </c>
      <c r="L27">
        <f>L8-dhap4!L8</f>
        <v>6.0934670005149849E-2</v>
      </c>
    </row>
    <row r="28" spans="1:12" x14ac:dyDescent="0.25">
      <c r="A28" t="s">
        <v>14</v>
      </c>
      <c r="B28">
        <f>B9-dhap4!B9</f>
        <v>0.12172361162522738</v>
      </c>
      <c r="D28">
        <f>D9-dhap4!D9</f>
        <v>-0.38747996201732526</v>
      </c>
      <c r="F28">
        <f>F9-dhap4!F9</f>
        <v>-0.37530504255241781</v>
      </c>
      <c r="H28">
        <f>H9-dhap4!H9</f>
        <v>0.34093468361154544</v>
      </c>
      <c r="J28">
        <f>J9-dhap4!J9</f>
        <v>0.36427476828588023</v>
      </c>
      <c r="L28">
        <f>L9-dhap4!L9</f>
        <v>0.12186560522790613</v>
      </c>
    </row>
    <row r="29" spans="1:12" x14ac:dyDescent="0.25">
      <c r="A29" t="s">
        <v>15</v>
      </c>
      <c r="B29">
        <f>B10-dhap4!B10</f>
        <v>1.056170883417118E-2</v>
      </c>
      <c r="D29">
        <f>D10-dhap4!D10</f>
        <v>-0.1288046087815915</v>
      </c>
      <c r="F29">
        <f>F10-dhap4!F10</f>
        <v>-0.32974188673252858</v>
      </c>
      <c r="H29">
        <f>H10-dhap4!H10</f>
        <v>0.1012285708168057</v>
      </c>
      <c r="J29">
        <f>J10-dhap4!J10</f>
        <v>-8.4773969408491467E-4</v>
      </c>
      <c r="L29">
        <f>L10-dhap4!L10</f>
        <v>0.35778476758833744</v>
      </c>
    </row>
    <row r="30" spans="1:12" x14ac:dyDescent="0.25">
      <c r="A30" t="s">
        <v>16</v>
      </c>
      <c r="B30">
        <f>B11-dhap4!B11</f>
        <v>0.24500131842771355</v>
      </c>
      <c r="D30">
        <f>D11-dhap4!D11</f>
        <v>0.23005488512214556</v>
      </c>
      <c r="F30">
        <f>F11-dhap4!F11</f>
        <v>-2.8851361006590843</v>
      </c>
      <c r="H30">
        <f>H11-dhap4!H11</f>
        <v>-0.29741862693184529</v>
      </c>
      <c r="J30">
        <f>J11-dhap4!J11</f>
        <v>1.3446955385578976</v>
      </c>
      <c r="L30">
        <f>L11-dhap4!L11</f>
        <v>-7.0064758421827467E-2</v>
      </c>
    </row>
    <row r="31" spans="1:12" x14ac:dyDescent="0.25">
      <c r="A31" t="s">
        <v>17</v>
      </c>
      <c r="B31">
        <f>B12-dhap4!B12</f>
        <v>-7.6077371010300654E-2</v>
      </c>
      <c r="D31">
        <f>D12-dhap4!D12</f>
        <v>-0.19523721531555238</v>
      </c>
      <c r="F31">
        <f>F12-dhap4!F12</f>
        <v>-0.77805956044827451</v>
      </c>
      <c r="H31">
        <f>H12-dhap4!H12</f>
        <v>0.15579208598469374</v>
      </c>
      <c r="J31">
        <f>J12-dhap4!J12</f>
        <v>-4.6537309020648898E-3</v>
      </c>
      <c r="L31">
        <f>L12-dhap4!L12</f>
        <v>6.8809115071750693E-3</v>
      </c>
    </row>
    <row r="32" spans="1:12" x14ac:dyDescent="0.25">
      <c r="A32" t="s">
        <v>18</v>
      </c>
      <c r="B32">
        <f>B13-dhap4!B13</f>
        <v>0.13748123702649062</v>
      </c>
      <c r="D32">
        <f>D13-dhap4!D13</f>
        <v>5.6592772635057242E-2</v>
      </c>
      <c r="F32">
        <f>F13-dhap4!F13</f>
        <v>-0.7582337064908462</v>
      </c>
      <c r="H32">
        <f>H13-dhap4!H13</f>
        <v>0.20575520471945086</v>
      </c>
      <c r="J32">
        <f>J13-dhap4!J13</f>
        <v>0.24436854162856503</v>
      </c>
      <c r="L32">
        <f>L13-dhap4!L13</f>
        <v>-0.32928877810462232</v>
      </c>
    </row>
    <row r="33" spans="1:12" x14ac:dyDescent="0.25">
      <c r="A33" t="s">
        <v>19</v>
      </c>
      <c r="B33">
        <f>B14-dhap4!B14</f>
        <v>-8.5191410758973296E-2</v>
      </c>
      <c r="D33">
        <f>D14-dhap4!D14</f>
        <v>0.14594626911996866</v>
      </c>
      <c r="F33">
        <f>F14-dhap4!F14</f>
        <v>-2.0341583994460226</v>
      </c>
      <c r="H33">
        <f>H14-dhap4!H14</f>
        <v>0.45244198505813182</v>
      </c>
      <c r="J33">
        <f>J14-dhap4!J14</f>
        <v>0.41110695617943649</v>
      </c>
      <c r="L33">
        <f>L14-dhap4!L14</f>
        <v>-0.2205126204006298</v>
      </c>
    </row>
    <row r="34" spans="1:12" x14ac:dyDescent="0.25">
      <c r="A34" t="s">
        <v>20</v>
      </c>
      <c r="B34">
        <f>B15-dhap4!B15</f>
        <v>-4.5409885973134001E-2</v>
      </c>
      <c r="D34">
        <f>D15-dhap4!D15</f>
        <v>6.5700655361091265E-2</v>
      </c>
      <c r="F34">
        <f>F15-dhap4!F15</f>
        <v>-15.150469137358066</v>
      </c>
      <c r="H34">
        <f>H15-dhap4!H15</f>
        <v>-0.30966533582034117</v>
      </c>
      <c r="J34">
        <f>J15-dhap4!J15</f>
        <v>0.195010152917521</v>
      </c>
      <c r="L34">
        <f>L15-dhap4!L15</f>
        <v>-0.12405901835027477</v>
      </c>
    </row>
    <row r="35" spans="1:12" x14ac:dyDescent="0.25">
      <c r="A35" t="s">
        <v>21</v>
      </c>
      <c r="B35">
        <f>B16-dhap4!B16</f>
        <v>-3.671961036571858E-3</v>
      </c>
      <c r="D35">
        <f>D16-dhap4!D16</f>
        <v>1.300825517542914E-2</v>
      </c>
      <c r="F35">
        <f>F16-dhap4!F16</f>
        <v>-1.6822443350740899</v>
      </c>
      <c r="H35">
        <f>H16-dhap4!H16</f>
        <v>-3.392055568862018E-3</v>
      </c>
      <c r="J35">
        <f>J16-dhap4!J16</f>
        <v>-2.7208345820781243E-2</v>
      </c>
      <c r="L35">
        <f>L16-dhap4!L16</f>
        <v>0</v>
      </c>
    </row>
    <row r="37" spans="1:12" x14ac:dyDescent="0.25">
      <c r="A37" t="s">
        <v>111</v>
      </c>
    </row>
    <row r="38" spans="1:12" x14ac:dyDescent="0.25">
      <c r="A38">
        <v>1.5009483703776725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workbookViewId="0">
      <selection activeCell="A12" sqref="A12:XFD13"/>
    </sheetView>
  </sheetViews>
  <sheetFormatPr defaultColWidth="8.85546875" defaultRowHeight="15" x14ac:dyDescent="0.25"/>
  <sheetData>
    <row r="1" spans="1:13" x14ac:dyDescent="0.25">
      <c r="A1" t="s">
        <v>0</v>
      </c>
      <c r="B1" t="s">
        <v>1</v>
      </c>
      <c r="C1" s="1" t="s">
        <v>46</v>
      </c>
      <c r="D1" t="s">
        <v>2</v>
      </c>
      <c r="E1" s="2" t="s">
        <v>47</v>
      </c>
      <c r="F1" t="s">
        <v>3</v>
      </c>
      <c r="G1" s="3" t="s">
        <v>48</v>
      </c>
      <c r="H1" t="s">
        <v>4</v>
      </c>
      <c r="I1" s="4" t="s">
        <v>49</v>
      </c>
      <c r="J1" t="s">
        <v>5</v>
      </c>
      <c r="K1" s="5" t="s">
        <v>50</v>
      </c>
      <c r="L1" t="s">
        <v>6</v>
      </c>
      <c r="M1" s="6" t="s">
        <v>53</v>
      </c>
    </row>
    <row r="2" spans="1:13" x14ac:dyDescent="0.25">
      <c r="A2" t="s">
        <v>30</v>
      </c>
      <c r="B2" s="8">
        <v>0.67729766144090386</v>
      </c>
      <c r="C2" s="12">
        <v>5.5110130174900497E-3</v>
      </c>
      <c r="D2" s="8">
        <v>0.68196246659437421</v>
      </c>
      <c r="E2" s="9">
        <v>1.48061962856069E-2</v>
      </c>
      <c r="F2">
        <v>0.87916276938505267</v>
      </c>
      <c r="G2" s="3">
        <v>0.109489747665395</v>
      </c>
      <c r="H2" s="8">
        <v>0.53026242020537329</v>
      </c>
      <c r="I2" s="11">
        <v>3.5488708176194901E-4</v>
      </c>
      <c r="J2">
        <v>1.1571288707226675</v>
      </c>
      <c r="K2" s="5">
        <v>0.59933047406826501</v>
      </c>
      <c r="L2">
        <v>1.6716775611241548</v>
      </c>
      <c r="M2" s="6">
        <v>8.9506884214993296E-2</v>
      </c>
    </row>
    <row r="3" spans="1:13" x14ac:dyDescent="0.25">
      <c r="A3" t="s">
        <v>7</v>
      </c>
      <c r="B3">
        <v>0.41169586291403593</v>
      </c>
      <c r="C3" s="1">
        <v>0.762384490029694</v>
      </c>
      <c r="D3">
        <v>9.0756027931643016E-2</v>
      </c>
      <c r="E3" s="2">
        <v>0.44624975588118598</v>
      </c>
      <c r="F3">
        <v>1.2662187464981705</v>
      </c>
      <c r="G3" s="3">
        <v>0.78551996118716705</v>
      </c>
      <c r="H3">
        <v>0.1621401535242758</v>
      </c>
      <c r="I3" s="4">
        <v>0.29160072506103601</v>
      </c>
      <c r="J3">
        <v>0.20084251112828713</v>
      </c>
      <c r="K3" s="5">
        <v>0.82577386681059695</v>
      </c>
      <c r="L3" s="8">
        <v>0.85069261319772316</v>
      </c>
      <c r="M3" s="7">
        <v>4.5710095337786E-2</v>
      </c>
    </row>
    <row r="4" spans="1:13" x14ac:dyDescent="0.25">
      <c r="A4" t="s">
        <v>9</v>
      </c>
      <c r="B4">
        <v>0.82516598362110172</v>
      </c>
      <c r="C4" s="1">
        <v>6.6225124959576706E-2</v>
      </c>
      <c r="D4">
        <v>0.14496421249999999</v>
      </c>
      <c r="E4" s="2">
        <v>0.61881514010194805</v>
      </c>
      <c r="F4" s="8">
        <v>0.86592482227714251</v>
      </c>
      <c r="G4" s="10">
        <v>1.6347989883004101E-2</v>
      </c>
      <c r="H4" s="8">
        <v>1.0793416850751703</v>
      </c>
      <c r="I4" s="11">
        <v>1.1178235493982801E-2</v>
      </c>
      <c r="J4">
        <v>0.76565090227430943</v>
      </c>
      <c r="K4" s="5">
        <v>0.41128551861353002</v>
      </c>
      <c r="L4" s="8">
        <v>0.67675712736348126</v>
      </c>
      <c r="M4" s="7">
        <v>2.5966862137770701E-2</v>
      </c>
    </row>
    <row r="5" spans="1:13" x14ac:dyDescent="0.25">
      <c r="A5" t="s">
        <v>51</v>
      </c>
      <c r="B5" s="8">
        <v>0.92413241675944724</v>
      </c>
      <c r="C5" s="12">
        <v>4.6909601821964499E-4</v>
      </c>
      <c r="D5">
        <v>4.8530272923973206</v>
      </c>
      <c r="E5" s="2">
        <v>0.55709022690988397</v>
      </c>
      <c r="F5">
        <v>0.64193004786567054</v>
      </c>
      <c r="G5" s="3">
        <v>0.31905268296620898</v>
      </c>
      <c r="H5">
        <v>0.29513741245334174</v>
      </c>
      <c r="I5" s="4">
        <v>0.38626808268009999</v>
      </c>
      <c r="J5">
        <v>0.35507572983733754</v>
      </c>
      <c r="K5" s="5">
        <v>0.40086356331380801</v>
      </c>
      <c r="L5" s="8">
        <v>0.34318723871144557</v>
      </c>
      <c r="M5" s="7">
        <v>3.7601247708696897E-2</v>
      </c>
    </row>
    <row r="6" spans="1:13" x14ac:dyDescent="0.25">
      <c r="A6" t="s">
        <v>33</v>
      </c>
      <c r="B6">
        <v>0.78984768457222243</v>
      </c>
      <c r="C6" s="1">
        <v>0.62968209024807098</v>
      </c>
      <c r="D6">
        <v>1.4471645285789316</v>
      </c>
      <c r="E6" s="2">
        <v>0.27612345357056201</v>
      </c>
      <c r="F6">
        <v>1.2363179412004299</v>
      </c>
      <c r="G6" s="3">
        <v>0.27506746554800399</v>
      </c>
      <c r="H6">
        <v>0.51520523586212741</v>
      </c>
      <c r="I6" s="4">
        <v>0.50579751917041205</v>
      </c>
      <c r="J6">
        <v>0.75720696896917838</v>
      </c>
      <c r="K6" s="5">
        <v>0.91176683140218995</v>
      </c>
      <c r="L6">
        <v>0.29982854346776133</v>
      </c>
      <c r="M6" s="6">
        <v>0.52071115419199898</v>
      </c>
    </row>
    <row r="7" spans="1:13" x14ac:dyDescent="0.25">
      <c r="A7" t="s">
        <v>10</v>
      </c>
      <c r="B7">
        <v>0.48153820501935674</v>
      </c>
      <c r="C7" s="1">
        <v>0.33061324554751997</v>
      </c>
      <c r="D7">
        <v>0.85882662893306294</v>
      </c>
      <c r="E7" s="2">
        <v>0.58761063110676703</v>
      </c>
      <c r="F7">
        <v>0.78166572023767067</v>
      </c>
      <c r="G7" s="3">
        <v>0.876273721691745</v>
      </c>
      <c r="H7">
        <v>0.93699720157439981</v>
      </c>
      <c r="I7" s="4">
        <v>0.12610118972802201</v>
      </c>
      <c r="J7">
        <v>0.48478979184627996</v>
      </c>
      <c r="K7" s="5">
        <v>0.84451617033304205</v>
      </c>
      <c r="L7">
        <v>0.24300066536223378</v>
      </c>
      <c r="M7" s="6">
        <v>0.34787221257796602</v>
      </c>
    </row>
    <row r="8" spans="1:13" x14ac:dyDescent="0.25">
      <c r="A8" t="s">
        <v>11</v>
      </c>
      <c r="B8">
        <v>0.46153272911544652</v>
      </c>
      <c r="C8" s="1">
        <v>0.41886387925431101</v>
      </c>
      <c r="D8">
        <v>0.18095606114940033</v>
      </c>
      <c r="E8" s="2">
        <v>0.54683519144140802</v>
      </c>
      <c r="F8">
        <v>0.35326105333333335</v>
      </c>
      <c r="G8" s="3">
        <v>0.60936795919082498</v>
      </c>
      <c r="H8">
        <v>0.20108883926902088</v>
      </c>
      <c r="I8" s="4">
        <v>0.51888455220311103</v>
      </c>
      <c r="J8">
        <v>0.23432773382286268</v>
      </c>
      <c r="K8" s="5">
        <v>0.92811381976317897</v>
      </c>
      <c r="L8">
        <v>0.17532681958349286</v>
      </c>
      <c r="M8" s="6">
        <v>0.117144834533319</v>
      </c>
    </row>
    <row r="9" spans="1:13" x14ac:dyDescent="0.25">
      <c r="A9" t="s">
        <v>12</v>
      </c>
      <c r="B9">
        <v>2.0973513296776547</v>
      </c>
      <c r="C9" s="1">
        <v>0.73074475229926095</v>
      </c>
      <c r="D9">
        <v>1.1666840669227527</v>
      </c>
      <c r="E9" s="2">
        <v>0.482119508817688</v>
      </c>
      <c r="F9">
        <v>1.4351695736640429</v>
      </c>
      <c r="G9" s="3">
        <v>7.7299330333445299E-2</v>
      </c>
      <c r="H9">
        <v>0.4916199175</v>
      </c>
      <c r="I9" s="4">
        <v>0.41648763304756098</v>
      </c>
      <c r="J9">
        <v>1.4557305600089412</v>
      </c>
      <c r="K9" s="5">
        <v>0.92618166088133702</v>
      </c>
      <c r="L9" s="8">
        <v>0.66062822271816068</v>
      </c>
      <c r="M9" s="7">
        <v>1.5741522728162101E-2</v>
      </c>
    </row>
    <row r="10" spans="1:13" x14ac:dyDescent="0.25">
      <c r="A10" t="s">
        <v>13</v>
      </c>
      <c r="B10" s="8">
        <v>0.61959370228199551</v>
      </c>
      <c r="C10" s="12">
        <v>3.9736164584284001E-2</v>
      </c>
      <c r="D10" s="8">
        <v>0.6625830939900661</v>
      </c>
      <c r="E10" s="9">
        <v>2.23753114222145E-3</v>
      </c>
      <c r="F10" s="8">
        <v>0.29797234214239138</v>
      </c>
      <c r="G10" s="10">
        <v>2.4759724199063201E-3</v>
      </c>
      <c r="H10">
        <v>2.8517836926028113</v>
      </c>
      <c r="I10" s="4">
        <v>0.42442038054964198</v>
      </c>
      <c r="J10">
        <v>0.5935956166666666</v>
      </c>
      <c r="K10" s="5">
        <v>0.57583799773840905</v>
      </c>
      <c r="L10" s="8">
        <v>0.5226800422207869</v>
      </c>
      <c r="M10" s="7">
        <v>1.1238296525258799E-3</v>
      </c>
    </row>
    <row r="11" spans="1:13" x14ac:dyDescent="0.25">
      <c r="A11" t="s">
        <v>52</v>
      </c>
      <c r="B11">
        <v>0.772691326766342</v>
      </c>
      <c r="C11" s="1">
        <v>0.13454666329068499</v>
      </c>
      <c r="D11" s="8">
        <v>0.41254170255380657</v>
      </c>
      <c r="E11" s="9">
        <v>2.94911061361013E-2</v>
      </c>
      <c r="F11" s="8">
        <v>0.65345712055205363</v>
      </c>
      <c r="G11" s="10">
        <v>4.8848553701636398E-2</v>
      </c>
      <c r="H11" s="8">
        <v>0.32033507707229286</v>
      </c>
      <c r="I11" s="11">
        <v>1.49531455562934E-2</v>
      </c>
      <c r="J11">
        <v>0.61535331068529353</v>
      </c>
      <c r="K11" s="5">
        <v>0.52813323397358003</v>
      </c>
      <c r="L11" s="8">
        <v>0.32018177061096365</v>
      </c>
      <c r="M11" s="7">
        <v>1.58741443458029E-2</v>
      </c>
    </row>
    <row r="12" spans="1:13" x14ac:dyDescent="0.25">
      <c r="A12" t="s">
        <v>34</v>
      </c>
      <c r="B12">
        <v>1.2271062403765773</v>
      </c>
      <c r="C12" s="1">
        <v>0.93544061609455698</v>
      </c>
      <c r="D12">
        <v>0.81534434420503954</v>
      </c>
      <c r="E12" s="2">
        <v>9.3041646985444496E-2</v>
      </c>
      <c r="F12">
        <v>4.1223664213756051</v>
      </c>
      <c r="G12" s="3">
        <v>0.86765083167356505</v>
      </c>
      <c r="H12">
        <v>1.3097402940666516</v>
      </c>
      <c r="I12" s="4">
        <v>0.103131155558812</v>
      </c>
      <c r="J12">
        <v>3.1236611182714871</v>
      </c>
      <c r="K12" s="5">
        <v>0.93107028189860797</v>
      </c>
      <c r="L12">
        <v>3.7307836471196274</v>
      </c>
      <c r="M12" s="6">
        <v>0.94148592414781596</v>
      </c>
    </row>
    <row r="13" spans="1:13" x14ac:dyDescent="0.25">
      <c r="A13" t="s">
        <v>35</v>
      </c>
      <c r="B13">
        <v>0.47216801398571656</v>
      </c>
      <c r="C13" s="1">
        <v>9.9636080901766705E-2</v>
      </c>
      <c r="D13">
        <v>0.14147201781560995</v>
      </c>
      <c r="E13" s="2">
        <v>0.3002812201176</v>
      </c>
      <c r="F13">
        <v>0.16720436795920346</v>
      </c>
      <c r="G13" s="3">
        <v>0.44154795272863001</v>
      </c>
      <c r="H13">
        <v>0.18002723882275085</v>
      </c>
      <c r="I13" s="4">
        <v>0.38224544954334799</v>
      </c>
      <c r="J13">
        <v>0.25641434610548669</v>
      </c>
      <c r="K13" s="5">
        <v>0.467855983303965</v>
      </c>
      <c r="L13">
        <v>0.30810404485102832</v>
      </c>
      <c r="M13" s="6">
        <v>0.51129685475720899</v>
      </c>
    </row>
    <row r="14" spans="1:13" x14ac:dyDescent="0.25">
      <c r="A14" t="s">
        <v>14</v>
      </c>
      <c r="B14">
        <v>0.50056084871171502</v>
      </c>
      <c r="C14" s="1">
        <v>0.30555896896170998</v>
      </c>
      <c r="D14">
        <v>0.34791949104176995</v>
      </c>
      <c r="E14" s="2">
        <v>0.220796800536256</v>
      </c>
      <c r="F14">
        <v>0.81998998491969399</v>
      </c>
      <c r="G14" s="3">
        <v>0.34273266373509897</v>
      </c>
      <c r="H14" s="8">
        <v>0.22872288675760219</v>
      </c>
      <c r="I14" s="11">
        <v>1.6849469393969401E-2</v>
      </c>
      <c r="J14">
        <v>0.4214571077236986</v>
      </c>
      <c r="K14" s="5">
        <v>0.80207673397527102</v>
      </c>
      <c r="L14">
        <v>0.26842753317169832</v>
      </c>
      <c r="M14" s="6">
        <v>8.3557084326203193E-2</v>
      </c>
    </row>
    <row r="15" spans="1:13" x14ac:dyDescent="0.25">
      <c r="A15" t="s">
        <v>44</v>
      </c>
      <c r="B15">
        <v>1.5018534204048326</v>
      </c>
      <c r="C15" s="1">
        <v>0.188669282824656</v>
      </c>
      <c r="D15">
        <v>0.6806744728759937</v>
      </c>
      <c r="E15" s="2">
        <v>0.12432946611666799</v>
      </c>
      <c r="F15">
        <v>1.1841780083667377</v>
      </c>
      <c r="G15" s="3">
        <v>0.23980199199243199</v>
      </c>
      <c r="H15" s="8">
        <v>0.76885696698828554</v>
      </c>
      <c r="I15" s="11">
        <v>8.1068674348867605E-3</v>
      </c>
      <c r="J15">
        <v>0.69437661611255319</v>
      </c>
      <c r="K15" s="5">
        <v>0.62139200244320303</v>
      </c>
      <c r="L15" s="8">
        <v>1.3855442184237914</v>
      </c>
      <c r="M15" s="7">
        <v>2.1611821115451102E-3</v>
      </c>
    </row>
    <row r="16" spans="1:13" x14ac:dyDescent="0.25">
      <c r="A16" t="s">
        <v>17</v>
      </c>
      <c r="B16">
        <v>0.30716131170097971</v>
      </c>
      <c r="C16" s="1">
        <v>0.673063017606508</v>
      </c>
      <c r="D16">
        <v>0.66872087834446292</v>
      </c>
      <c r="E16" s="2">
        <v>0.48391674975244903</v>
      </c>
      <c r="F16">
        <v>0.46270667656359277</v>
      </c>
      <c r="G16" s="3">
        <v>0.37967438937929698</v>
      </c>
      <c r="H16">
        <v>0.19813379642788831</v>
      </c>
      <c r="I16" s="4">
        <v>0.61551986182630103</v>
      </c>
      <c r="J16">
        <v>0.24226923042517692</v>
      </c>
      <c r="K16" s="5">
        <v>0.96518223885221099</v>
      </c>
      <c r="L16">
        <v>0.25304809026618569</v>
      </c>
      <c r="M16" s="6">
        <v>0.77989454444137896</v>
      </c>
    </row>
    <row r="17" spans="1:13" x14ac:dyDescent="0.25">
      <c r="A17" t="s">
        <v>21</v>
      </c>
      <c r="B17" s="8">
        <v>2.2880221113534831</v>
      </c>
      <c r="C17" s="12">
        <v>8.8957362296602296E-3</v>
      </c>
      <c r="D17">
        <v>0.66973272540896278</v>
      </c>
      <c r="E17" s="2">
        <v>0.31603437363464698</v>
      </c>
      <c r="F17">
        <v>1.2875126332438869</v>
      </c>
      <c r="G17" s="3">
        <v>0.250267714639267</v>
      </c>
      <c r="H17">
        <v>1.1365593072491968</v>
      </c>
      <c r="I17" s="4">
        <v>1.01343777505961</v>
      </c>
      <c r="J17">
        <v>0.4669157045791037</v>
      </c>
      <c r="K17" s="5">
        <v>0.88243598341370999</v>
      </c>
      <c r="L17">
        <v>3.1590337508333337</v>
      </c>
      <c r="M17" s="6">
        <v>0.45617091532496501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3"/>
  <sheetViews>
    <sheetView topLeftCell="L1" workbookViewId="0">
      <selection activeCell="U1" sqref="U1:W1048576"/>
    </sheetView>
  </sheetViews>
  <sheetFormatPr defaultColWidth="8.85546875" defaultRowHeight="15" x14ac:dyDescent="0.25"/>
  <sheetData>
    <row r="1" spans="1:23" ht="14.1" customHeight="1" x14ac:dyDescent="0.25">
      <c r="A1" t="s">
        <v>0</v>
      </c>
      <c r="B1" t="s">
        <v>1</v>
      </c>
      <c r="C1" s="1" t="s">
        <v>22</v>
      </c>
      <c r="D1" t="s">
        <v>2</v>
      </c>
      <c r="E1" s="2" t="s">
        <v>23</v>
      </c>
      <c r="F1" t="s">
        <v>3</v>
      </c>
      <c r="G1" s="3" t="s">
        <v>24</v>
      </c>
      <c r="H1" t="s">
        <v>4</v>
      </c>
      <c r="I1" s="4" t="s">
        <v>25</v>
      </c>
      <c r="J1" t="s">
        <v>5</v>
      </c>
      <c r="K1" s="5" t="s">
        <v>26</v>
      </c>
      <c r="L1" t="s">
        <v>6</v>
      </c>
      <c r="M1" s="6" t="s">
        <v>27</v>
      </c>
      <c r="U1" t="s">
        <v>127</v>
      </c>
      <c r="V1" t="s">
        <v>128</v>
      </c>
    </row>
    <row r="2" spans="1:23" ht="29.1" customHeight="1" x14ac:dyDescent="0.25">
      <c r="A2" t="s">
        <v>7</v>
      </c>
      <c r="B2">
        <f>0.414394703796985/minMSE_dhap4_calculated!B2</f>
        <v>1.0148615998885204</v>
      </c>
      <c r="C2" s="1">
        <v>0.762384490029694</v>
      </c>
      <c r="D2">
        <f>0.0960816671810922/minMSE_dhap4_calculated!C2</f>
        <v>1.1988293453788346</v>
      </c>
      <c r="E2" s="2">
        <v>0.44624975588118598</v>
      </c>
      <c r="F2">
        <f>1.30604126258156/minMSE_dhap4_calculated!D2</f>
        <v>1.4551846623226115</v>
      </c>
      <c r="G2" s="3">
        <v>0.78551996118716705</v>
      </c>
      <c r="H2">
        <f>0.145964247572195/minMSE_dhap4_calculated!E2</f>
        <v>1.3697805885488086</v>
      </c>
      <c r="I2" s="4">
        <v>0.29160072506103601</v>
      </c>
      <c r="J2">
        <f>0.210607677204608/minMSE_dhap4_calculated!F2</f>
        <v>1.0608094762323448</v>
      </c>
      <c r="K2" s="5">
        <v>0.82577386681059695</v>
      </c>
      <c r="L2" s="8">
        <f>0.846957975851573/minMSE_dhap4_calculated!G2</f>
        <v>1.4736746261151792</v>
      </c>
      <c r="M2" s="7">
        <v>4.5710095337786E-2</v>
      </c>
      <c r="N2" s="29" t="s">
        <v>84</v>
      </c>
      <c r="O2" s="29"/>
      <c r="P2" s="29"/>
      <c r="Q2" s="29"/>
      <c r="R2" s="29"/>
      <c r="S2" s="29"/>
      <c r="U2" t="s">
        <v>129</v>
      </c>
      <c r="V2">
        <v>1.4262899447569053</v>
      </c>
      <c r="W2">
        <v>1.4262899447569053</v>
      </c>
    </row>
    <row r="3" spans="1:23" ht="29.1" customHeight="1" x14ac:dyDescent="0.25">
      <c r="A3" t="s">
        <v>8</v>
      </c>
      <c r="B3">
        <f>0.253590263562838/minMSE_dhap4_calculated!B3</f>
        <v>1.1204287956439878</v>
      </c>
      <c r="C3" s="1">
        <v>8.2901279432195593E-2</v>
      </c>
      <c r="D3" s="8">
        <f>0.300369569455849/minMSE_dhap4_calculated!C3</f>
        <v>1.4653651904851499</v>
      </c>
      <c r="E3" s="9">
        <v>9.0782211164155292E-3</v>
      </c>
      <c r="F3">
        <f>0.634273404788882/minMSE_dhap4_calculated!D3</f>
        <v>1.4510774786104996</v>
      </c>
      <c r="G3" s="3">
        <v>0.52024738694317496</v>
      </c>
      <c r="H3">
        <f>0.316198060064504/minMSE_dhap4_calculated!E3</f>
        <v>1.7523553617504417</v>
      </c>
      <c r="I3" s="4">
        <v>7.2269282640789106E-2</v>
      </c>
      <c r="J3">
        <f>1.19331104447713/minMSE_dhap4_calculated!F3</f>
        <v>1.2110517470706212</v>
      </c>
      <c r="K3" s="5">
        <v>0.76388269721491497</v>
      </c>
      <c r="L3">
        <f>1.19504842948735/minMSE_dhap4_calculated!G3</f>
        <v>1.3958391971731039</v>
      </c>
      <c r="M3" s="6">
        <v>0.45347930983877699</v>
      </c>
      <c r="N3" s="29" t="s">
        <v>85</v>
      </c>
      <c r="O3" s="29"/>
      <c r="P3" s="29"/>
      <c r="Q3" s="29"/>
      <c r="R3" s="29"/>
      <c r="S3" s="29"/>
      <c r="U3" t="s">
        <v>130</v>
      </c>
      <c r="V3">
        <v>1.4529772496030113</v>
      </c>
      <c r="W3">
        <v>1.4262899447569053</v>
      </c>
    </row>
    <row r="4" spans="1:23" ht="29.1" customHeight="1" x14ac:dyDescent="0.25">
      <c r="A4" t="s">
        <v>9</v>
      </c>
      <c r="B4">
        <f>0.829424841102048/minMSE_dhap4_calculated!B4</f>
        <v>1.4586527432145939</v>
      </c>
      <c r="C4" s="1">
        <v>6.6225124959576706E-2</v>
      </c>
      <c r="D4">
        <f>0.1449642125/minMSE_dhap4_calculated!C4</f>
        <v>1.7193865551702636</v>
      </c>
      <c r="E4" s="2">
        <v>0.61881514010194805</v>
      </c>
      <c r="F4" s="8">
        <f>0.867920058674275/minMSE_dhap4_calculated!D4</f>
        <v>1.1824647207385319</v>
      </c>
      <c r="G4" s="10">
        <v>1.6347989883004101E-2</v>
      </c>
      <c r="H4" s="8">
        <f>1.09435232357717/minMSE_dhap4_calculated!E4</f>
        <v>1.2091908439382923</v>
      </c>
      <c r="I4" s="11">
        <v>1.1178235493982801E-2</v>
      </c>
      <c r="J4">
        <f>0.769715163978809/minMSE_dhap4_calculated!F4</f>
        <v>1.1064137717286606</v>
      </c>
      <c r="K4" s="5">
        <v>0.41128551861353002</v>
      </c>
      <c r="L4" s="8">
        <f>0.677462881241797/minMSE_dhap4_calculated!G4</f>
        <v>1.4041433081202648</v>
      </c>
      <c r="M4" s="7">
        <v>2.5966862137770701E-2</v>
      </c>
      <c r="N4" s="29" t="s">
        <v>74</v>
      </c>
      <c r="O4" s="29"/>
      <c r="P4" s="29"/>
      <c r="Q4" s="29"/>
      <c r="R4" s="29"/>
      <c r="S4" s="29"/>
      <c r="U4" t="s">
        <v>131</v>
      </c>
      <c r="V4">
        <v>1.4277504444793809</v>
      </c>
      <c r="W4">
        <v>1.4262899447569053</v>
      </c>
    </row>
    <row r="5" spans="1:23" ht="29.1" customHeight="1" x14ac:dyDescent="0.25">
      <c r="A5" t="s">
        <v>10</v>
      </c>
      <c r="B5">
        <f>0.512027327875207/minMSE_dhap4_calculated!B5</f>
        <v>1.8539132155936062</v>
      </c>
      <c r="C5" s="1">
        <v>0.33061324554751997</v>
      </c>
      <c r="D5">
        <f>0.903925644053297/minMSE_dhap4_calculated!C5</f>
        <v>1.8456118710205849</v>
      </c>
      <c r="E5" s="2">
        <v>0.58761063110676703</v>
      </c>
      <c r="F5">
        <f>0.769177281382929/minMSE_dhap4_calculated!D5</f>
        <v>1.0282341264744519</v>
      </c>
      <c r="G5" s="3">
        <v>0.876273721691745</v>
      </c>
      <c r="H5">
        <f>0.885727719192351/minMSE_dhap4_calculated!E5</f>
        <v>1.9549489417327859</v>
      </c>
      <c r="I5" s="4">
        <v>0.12610118972802201</v>
      </c>
      <c r="J5">
        <f>0.503287824097524/minMSE_dhap4_calculated!F5</f>
        <v>1.1888344078138844</v>
      </c>
      <c r="K5" s="5">
        <v>0.84451617033304205</v>
      </c>
      <c r="L5">
        <f>0.22870402263486/minMSE_dhap4_calculated!G5</f>
        <v>1.178744919649553</v>
      </c>
      <c r="M5" s="6">
        <v>0.34787221257796602</v>
      </c>
      <c r="N5" s="29" t="s">
        <v>86</v>
      </c>
      <c r="O5" s="29"/>
      <c r="P5" s="29"/>
      <c r="Q5" s="29"/>
      <c r="R5" s="29"/>
      <c r="S5" s="29"/>
      <c r="U5" t="s">
        <v>132</v>
      </c>
      <c r="V5">
        <v>1.4302051790725405</v>
      </c>
      <c r="W5">
        <v>1.4262899447569053</v>
      </c>
    </row>
    <row r="6" spans="1:23" ht="29.1" customHeight="1" x14ac:dyDescent="0.25">
      <c r="A6" t="s">
        <v>11</v>
      </c>
      <c r="B6">
        <f>0.474327551577153/minMSE_dhap4_calculated!B6</f>
        <v>1.169334208934115</v>
      </c>
      <c r="C6" s="1">
        <v>0.41886387925431101</v>
      </c>
      <c r="D6">
        <f>0.201398317442013/minMSE_dhap4_calculated!C6</f>
        <v>1.2167908369659215</v>
      </c>
      <c r="E6" s="2">
        <v>0.54683519144140802</v>
      </c>
      <c r="F6">
        <f>0.353261053333333/minMSE_dhap4_calculated!D6</f>
        <v>1.1542539063570569</v>
      </c>
      <c r="G6" s="3">
        <v>0.60936795919082498</v>
      </c>
      <c r="H6">
        <f>0.186759233117521/minMSE_dhap4_calculated!E6</f>
        <v>1.126749759025985</v>
      </c>
      <c r="I6" s="4">
        <v>0.51888455220311103</v>
      </c>
      <c r="J6">
        <f>0.237046810095413/minMSE_dhap4_calculated!F6</f>
        <v>1.2093396411827293</v>
      </c>
      <c r="K6" s="5">
        <v>0.92811381976317897</v>
      </c>
      <c r="L6">
        <f>0.17222102644692/minMSE_dhap4_calculated!G6</f>
        <v>1.5704874065164194</v>
      </c>
      <c r="M6" s="6">
        <v>0.117144834533319</v>
      </c>
      <c r="N6" s="29" t="s">
        <v>87</v>
      </c>
      <c r="O6" s="29"/>
      <c r="P6" s="29"/>
      <c r="Q6" s="29"/>
      <c r="R6" s="29"/>
      <c r="S6" s="29"/>
      <c r="U6" t="s">
        <v>133</v>
      </c>
      <c r="V6">
        <v>1.4932686836654068</v>
      </c>
      <c r="W6">
        <v>1.4262899447569053</v>
      </c>
    </row>
    <row r="7" spans="1:23" ht="29.1" customHeight="1" x14ac:dyDescent="0.25">
      <c r="A7" t="s">
        <v>12</v>
      </c>
      <c r="B7">
        <f>2.15011667235085/minMSE_dhap4_calculated!B7</f>
        <v>1.194791196019177</v>
      </c>
      <c r="C7" s="1">
        <v>0.73074475229926095</v>
      </c>
      <c r="D7">
        <f>1.16102798470348/minMSE_dhap4_calculated!C7</f>
        <v>1.0606531726890704</v>
      </c>
      <c r="E7" s="2">
        <v>0.482119508817688</v>
      </c>
      <c r="F7">
        <f>1.34459543271997/minMSE_dhap4_calculated!D7</f>
        <v>2.052950163658148</v>
      </c>
      <c r="G7" s="3">
        <v>7.7299330333445299E-2</v>
      </c>
      <c r="H7">
        <f>0.4916199175/minMSE_dhap4_calculated!E7</f>
        <v>1.5124577710236642</v>
      </c>
      <c r="I7" s="4">
        <v>0.41648763304756098</v>
      </c>
      <c r="J7">
        <f>1.4213862416847/minMSE_dhap4_calculated!F7</f>
        <v>1.0605932883058524</v>
      </c>
      <c r="K7" s="5">
        <v>0.92618166088133702</v>
      </c>
      <c r="L7" s="8">
        <f>0.559670078985892/minMSE_dhap4_calculated!G7</f>
        <v>1.7189042656470912</v>
      </c>
      <c r="M7" s="7">
        <v>1.5741522728162101E-2</v>
      </c>
      <c r="N7" s="29" t="s">
        <v>88</v>
      </c>
      <c r="O7" s="29"/>
      <c r="P7" s="29"/>
      <c r="Q7" s="29"/>
      <c r="R7" s="29"/>
      <c r="S7" s="29"/>
      <c r="U7" s="21"/>
      <c r="V7" s="21">
        <v>1.4932686836654068</v>
      </c>
      <c r="W7" s="21">
        <v>1.4262899447569053</v>
      </c>
    </row>
    <row r="8" spans="1:23" ht="29.1" customHeight="1" x14ac:dyDescent="0.25">
      <c r="A8" t="s">
        <v>13</v>
      </c>
      <c r="B8" s="8">
        <f>0.617741299053085/minMSE_dhap4_calculated!B8</f>
        <v>1.0521563247698416</v>
      </c>
      <c r="C8" s="12">
        <v>3.9736164584284001E-2</v>
      </c>
      <c r="D8" s="8">
        <f>0.684055392023617/minMSE_dhap4_calculated!C8</f>
        <v>1.2459915125657366</v>
      </c>
      <c r="E8" s="9">
        <v>2.23753114222145E-3</v>
      </c>
      <c r="F8" s="8">
        <f>0.296719115042242/minMSE_dhap4_calculated!D8</f>
        <v>1.004663887179305</v>
      </c>
      <c r="G8" s="10">
        <v>2.4759724199063201E-3</v>
      </c>
      <c r="H8">
        <f>2.82763528325858/minMSE_dhap4_calculated!E8</f>
        <v>1.0578859709657862</v>
      </c>
      <c r="I8" s="4">
        <v>0.42442038054964198</v>
      </c>
      <c r="J8">
        <f>0.593595616666667/minMSE_dhap4_calculated!F8</f>
        <v>2.8128329699376176</v>
      </c>
      <c r="K8" s="5">
        <v>0.57583799773840905</v>
      </c>
      <c r="L8" s="8">
        <f>0.523917172075187/minMSE_dhap4_calculated!G8</f>
        <v>1.5007040743543996</v>
      </c>
      <c r="M8" s="7">
        <v>1.1238296525258799E-3</v>
      </c>
      <c r="N8" s="29" t="s">
        <v>75</v>
      </c>
      <c r="O8" s="29"/>
      <c r="P8" s="29"/>
      <c r="Q8" s="29"/>
      <c r="R8" s="29"/>
      <c r="S8" s="29"/>
      <c r="U8" t="s">
        <v>134</v>
      </c>
      <c r="V8">
        <v>1.4312963121043751</v>
      </c>
      <c r="W8">
        <v>1.4262899447569053</v>
      </c>
    </row>
    <row r="9" spans="1:23" ht="29.1" customHeight="1" x14ac:dyDescent="0.25">
      <c r="A9" t="s">
        <v>14</v>
      </c>
      <c r="B9">
        <f>0.463471146859071/minMSE_dhap4_calculated!B9</f>
        <v>1.092047238488697</v>
      </c>
      <c r="C9" s="1">
        <v>0.30555896896170998</v>
      </c>
      <c r="D9">
        <f>0.384666877459708/minMSE_dhap4_calculated!C9</f>
        <v>1.6984988081750585</v>
      </c>
      <c r="E9" s="2">
        <v>0.220796800536256</v>
      </c>
      <c r="F9">
        <f>0.769304839826346/minMSE_dhap4_calculated!D9</f>
        <v>1.2259737231041001</v>
      </c>
      <c r="G9" s="3">
        <v>0.34273266373509897</v>
      </c>
      <c r="H9" s="8">
        <f>0.206911067947556/minMSE_dhap4_calculated!E9</f>
        <v>1.3660354764834932</v>
      </c>
      <c r="I9" s="11">
        <v>1.6849469393969401E-2</v>
      </c>
      <c r="J9">
        <f>0.449016541920123/minMSE_dhap4_calculated!F9</f>
        <v>1.306957436205507</v>
      </c>
      <c r="K9" s="5">
        <v>0.80207673397527102</v>
      </c>
      <c r="L9">
        <f>0.249962748687802/minMSE_dhap4_calculated!G9</f>
        <v>1.1419224221737505</v>
      </c>
      <c r="M9" s="6">
        <v>8.3557084326203193E-2</v>
      </c>
      <c r="N9" s="29" t="s">
        <v>89</v>
      </c>
      <c r="O9" s="29"/>
      <c r="P9" s="29"/>
      <c r="Q9" s="29"/>
      <c r="R9" s="29"/>
      <c r="S9" s="29"/>
      <c r="U9" s="21" t="s">
        <v>135</v>
      </c>
      <c r="V9" s="21">
        <v>1.5202127530724623</v>
      </c>
      <c r="W9" s="21">
        <v>1.4262899447569053</v>
      </c>
    </row>
    <row r="10" spans="1:23" ht="29.1" customHeight="1" x14ac:dyDescent="0.25">
      <c r="A10" t="s">
        <v>15</v>
      </c>
      <c r="B10">
        <f>0.982478883420944/minMSE_dhap4_calculated!B10</f>
        <v>1.0003513290167312</v>
      </c>
      <c r="C10" s="1">
        <v>0.40967747091093998</v>
      </c>
      <c r="D10" s="8">
        <f>0.30562057016436/minMSE_dhap4_calculated!C10</f>
        <v>1.2574719845808213</v>
      </c>
      <c r="E10" s="9">
        <v>4.93615335741312E-2</v>
      </c>
      <c r="F10">
        <f>0.970621558985955/minMSE_dhap4_calculated!D10</f>
        <v>1.2814041191752996</v>
      </c>
      <c r="G10" s="3">
        <v>7.5060611423136706E-2</v>
      </c>
      <c r="H10">
        <f>0.178187120888349/minMSE_dhap4_calculated!E10</f>
        <v>1.4514648563304009</v>
      </c>
      <c r="I10" s="4">
        <v>5.3349459021998002E-2</v>
      </c>
      <c r="J10">
        <f>1.18568665078901/minMSE_dhap4_calculated!F10</f>
        <v>1.1848150983343109</v>
      </c>
      <c r="K10" s="5">
        <v>0.83537027035042999</v>
      </c>
      <c r="L10" s="8">
        <f>0.269756903130422/minMSE_dhap4_calculated!G10</f>
        <v>2.7267317971193421</v>
      </c>
      <c r="M10" s="7">
        <v>2.0751052693414899E-3</v>
      </c>
      <c r="N10" s="29" t="s">
        <v>76</v>
      </c>
      <c r="O10" s="29"/>
      <c r="P10" s="29"/>
      <c r="Q10" s="29"/>
      <c r="R10" s="29"/>
      <c r="S10" s="29"/>
      <c r="U10" t="s">
        <v>136</v>
      </c>
      <c r="V10">
        <v>1.4772793948104261</v>
      </c>
      <c r="W10">
        <v>1.4262899447569053</v>
      </c>
    </row>
    <row r="11" spans="1:23" ht="29.1" customHeight="1" x14ac:dyDescent="0.25">
      <c r="A11" t="s">
        <v>16</v>
      </c>
      <c r="B11">
        <f>1.79634738058245/minMSE_dhap4_calculated!B11</f>
        <v>1.5901927570857097</v>
      </c>
      <c r="C11" s="1">
        <v>0.312866167848105</v>
      </c>
      <c r="D11">
        <f>0.876130170874/minMSE_dhap4_calculated!C11</f>
        <v>1.5170078435534826</v>
      </c>
      <c r="E11" s="2">
        <v>0.36919882166698498</v>
      </c>
      <c r="F11">
        <f>0.389002502684925/minMSE_dhap4_calculated!D11</f>
        <v>3.156227997201583</v>
      </c>
      <c r="G11" s="3">
        <v>0.32044779172975002</v>
      </c>
      <c r="H11">
        <f>0.173978547578529/minMSE_dhap4_calculated!E11</f>
        <v>1.537227499734807</v>
      </c>
      <c r="I11" s="4">
        <v>1.01926877470356</v>
      </c>
      <c r="J11">
        <f>0.533749353221953/minMSE_dhap4_calculated!F11</f>
        <v>5.9073566612072543</v>
      </c>
      <c r="K11" s="5">
        <v>0.41730594570108798</v>
      </c>
      <c r="L11">
        <f>1.34744991849314/minMSE_dhap4_calculated!G11</f>
        <v>1.2519632025154126</v>
      </c>
      <c r="M11" s="6">
        <v>0.32964773522541801</v>
      </c>
      <c r="N11" s="29" t="s">
        <v>90</v>
      </c>
      <c r="O11" s="29"/>
      <c r="P11" s="29"/>
      <c r="Q11" s="29"/>
      <c r="R11" s="29"/>
      <c r="S11" s="29"/>
      <c r="U11" t="s">
        <v>137</v>
      </c>
      <c r="V11">
        <v>1.4247047673594277</v>
      </c>
      <c r="W11">
        <v>1.4262899447569053</v>
      </c>
    </row>
    <row r="12" spans="1:23" ht="29.1" customHeight="1" x14ac:dyDescent="0.25">
      <c r="A12" t="s">
        <v>17</v>
      </c>
      <c r="B12">
        <f>0.309017530297981/minMSE_dhap4_calculated!B12</f>
        <v>1.2828697105246978</v>
      </c>
      <c r="C12" s="1">
        <v>0.673063017606508</v>
      </c>
      <c r="D12">
        <f>0.698553512840211/minMSE_dhap4_calculated!C12</f>
        <v>1.5230077605722425</v>
      </c>
      <c r="E12" s="2">
        <v>0.48391674975244903</v>
      </c>
      <c r="F12">
        <f>0.469640962002207/minMSE_dhap4_calculated!D12</f>
        <v>1.2307982259015084</v>
      </c>
      <c r="G12" s="3">
        <v>0.37967438937929698</v>
      </c>
      <c r="H12">
        <f>0.191118076762257/minMSE_dhap4_calculated!E12</f>
        <v>1.4170079593502283</v>
      </c>
      <c r="I12" s="4">
        <v>0.61551986182630103</v>
      </c>
      <c r="J12">
        <f>0.320100532754051/minMSE_dhap4_calculated!F12</f>
        <v>1.4611561346334843</v>
      </c>
      <c r="K12" s="5">
        <v>0.96518223885221099</v>
      </c>
      <c r="L12">
        <f>0.246303903602711/minMSE_dhap4_calculated!G12</f>
        <v>1.0767205536402098</v>
      </c>
      <c r="M12" s="6">
        <v>0.77989454444137896</v>
      </c>
      <c r="N12" s="29" t="s">
        <v>91</v>
      </c>
      <c r="O12" s="29"/>
      <c r="P12" s="29"/>
      <c r="Q12" s="29"/>
      <c r="R12" s="29"/>
      <c r="S12" s="29"/>
      <c r="U12" t="s">
        <v>138</v>
      </c>
      <c r="V12">
        <v>1.4920723175922099</v>
      </c>
      <c r="W12">
        <v>1.4262899447569053</v>
      </c>
    </row>
    <row r="13" spans="1:23" ht="29.1" customHeight="1" x14ac:dyDescent="0.25">
      <c r="A13" t="s">
        <v>18</v>
      </c>
      <c r="B13">
        <f>0.403590900141008/minMSE_dhap4_calculated!B13</f>
        <v>1.1543487587522416</v>
      </c>
      <c r="C13" s="1">
        <v>9.5712795892028399E-2</v>
      </c>
      <c r="D13">
        <f>0.226202141690965/minMSE_dhap4_calculated!C13</f>
        <v>1.0675345744507705</v>
      </c>
      <c r="E13" s="2">
        <v>0.44634237725270698</v>
      </c>
      <c r="F13">
        <f>0.280213967048718/minMSE_dhap4_calculated!D13</f>
        <v>1.0485271683193758</v>
      </c>
      <c r="G13" s="3">
        <v>0.31255665386579601</v>
      </c>
      <c r="H13">
        <f>0.464490111287925/minMSE_dhap4_calculated!E13</f>
        <v>1.1186167339425688</v>
      </c>
      <c r="I13" s="4">
        <v>0.98678976939878205</v>
      </c>
      <c r="J13">
        <f>0.241004983253761/minMSE_dhap4_calculated!F13</f>
        <v>1.1020542532606281</v>
      </c>
      <c r="K13" s="5">
        <v>0.517815470814041</v>
      </c>
      <c r="L13">
        <f>0.314477640701242/minMSE_dhap4_calculated!G13</f>
        <v>1.4732696148625097</v>
      </c>
      <c r="M13" s="6">
        <v>0.297478016852251</v>
      </c>
      <c r="N13" s="29" t="s">
        <v>92</v>
      </c>
      <c r="O13" s="29"/>
      <c r="P13" s="29"/>
      <c r="Q13" s="29"/>
      <c r="R13" s="29"/>
      <c r="S13" s="29"/>
      <c r="U13" t="s">
        <v>139</v>
      </c>
      <c r="V13">
        <v>1.4741303710931064</v>
      </c>
      <c r="W13">
        <v>1.4262899447569053</v>
      </c>
    </row>
    <row r="14" spans="1:23" ht="29.1" customHeight="1" x14ac:dyDescent="0.25">
      <c r="A14" t="s">
        <v>19</v>
      </c>
      <c r="B14">
        <f>0.734055365622283/minMSE_dhap4_calculated!B14</f>
        <v>1.1389182225808205</v>
      </c>
      <c r="C14" s="1">
        <v>0.174295602147962</v>
      </c>
      <c r="D14">
        <f>0.623738103350099/minMSE_dhap4_calculated!C14</f>
        <v>1.0975554390364259</v>
      </c>
      <c r="E14" s="2">
        <v>0.86844583111990603</v>
      </c>
      <c r="F14" s="8">
        <f>1.04238516353039/minMSE_dhap4_calculated!D14</f>
        <v>3.1720723663842234</v>
      </c>
      <c r="G14" s="10">
        <v>4.3268390080787603E-2</v>
      </c>
      <c r="H14" s="8">
        <f>0.253543414875532/minMSE_dhap4_calculated!E14</f>
        <v>2.4390428745539285</v>
      </c>
      <c r="I14" s="11">
        <v>8.3521584494051695E-3</v>
      </c>
      <c r="J14">
        <f>0.286800074447162/minMSE_dhap4_calculated!F14</f>
        <v>1.0941859786483898</v>
      </c>
      <c r="K14" s="5">
        <v>0.81524617305381997</v>
      </c>
      <c r="L14">
        <f>0.52740273075718/minMSE_dhap4_calculated!G14</f>
        <v>1.8199464660164872</v>
      </c>
      <c r="M14" s="6">
        <v>6.5292475138674894E-2</v>
      </c>
      <c r="N14" s="29" t="s">
        <v>77</v>
      </c>
      <c r="O14" s="29"/>
      <c r="P14" s="29"/>
      <c r="Q14" s="29"/>
      <c r="R14" s="29"/>
      <c r="S14" s="29"/>
      <c r="U14" s="21" t="s">
        <v>140</v>
      </c>
      <c r="V14" s="21">
        <v>1.5080249002354402</v>
      </c>
      <c r="W14" s="21">
        <v>1.4262899447569053</v>
      </c>
    </row>
    <row r="15" spans="1:23" ht="29.1" customHeight="1" x14ac:dyDescent="0.25">
      <c r="A15" t="s">
        <v>20</v>
      </c>
      <c r="B15" s="8">
        <f>0.404903639856812/minMSE_dhap4_calculated!B15</f>
        <v>1.1391120725146884</v>
      </c>
      <c r="C15" s="12">
        <v>4.0424970068182499E-3</v>
      </c>
      <c r="D15">
        <f>0.733913993050835/minMSE_dhap4_calculated!C15</f>
        <v>1.1392414950692145</v>
      </c>
      <c r="E15" s="2">
        <v>5.7965913592618802E-2</v>
      </c>
      <c r="F15">
        <f>1.48892042595193/minMSE_dhap4_calculated!D15</f>
        <v>16.806493798927306</v>
      </c>
      <c r="G15" s="3">
        <v>0.218104991549528</v>
      </c>
      <c r="H15" s="8">
        <f>0.723857440602307/minMSE_dhap4_calculated!E15</f>
        <v>2.1676495575625627</v>
      </c>
      <c r="I15" s="11">
        <v>1.17388410353965E-2</v>
      </c>
      <c r="J15">
        <f>0.660892057025954/minMSE_dhap4_calculated!F15</f>
        <v>1.0090514043137442</v>
      </c>
      <c r="K15" s="5">
        <v>0.21974386864794401</v>
      </c>
      <c r="L15">
        <f>0.503980426001005/minMSE_dhap4_calculated!G15</f>
        <v>1.2345074328058645</v>
      </c>
      <c r="M15" s="6">
        <v>0.26584607245743602</v>
      </c>
      <c r="N15" s="29" t="s">
        <v>78</v>
      </c>
      <c r="O15" s="29"/>
      <c r="P15" s="29"/>
      <c r="Q15" s="29"/>
      <c r="R15" s="29"/>
      <c r="S15" s="29"/>
      <c r="U15" t="s">
        <v>141</v>
      </c>
      <c r="V15">
        <v>1.4373264328589175</v>
      </c>
      <c r="W15">
        <v>1.4262899447569053</v>
      </c>
    </row>
    <row r="16" spans="1:23" ht="29.1" customHeight="1" x14ac:dyDescent="0.25">
      <c r="A16" t="s">
        <v>21</v>
      </c>
      <c r="B16" s="8">
        <f>2.30373968522526/minMSE_dhap4_calculated!B16</f>
        <v>4.0928439060843544</v>
      </c>
      <c r="C16" s="12">
        <v>8.8957362296602296E-3</v>
      </c>
      <c r="D16">
        <f>0.673458334749547/minMSE_dhap4_calculated!C16</f>
        <v>1.291257112373791</v>
      </c>
      <c r="E16" s="2">
        <v>0.31603437363464698</v>
      </c>
      <c r="F16">
        <f>1.28021987230448/minMSE_dhap4_calculated!D16</f>
        <v>2.9620182778786148</v>
      </c>
      <c r="G16" s="3">
        <v>0.250267714639267</v>
      </c>
      <c r="H16">
        <f>1.12877060977353/minMSE_dhap4_calculated!E16</f>
        <v>1.308240781365563</v>
      </c>
      <c r="I16" s="4">
        <v>1.01343777505961</v>
      </c>
      <c r="J16">
        <f>0.460857136543903/minMSE_dhap4_calculated!F16</f>
        <v>1.9254013217215946</v>
      </c>
      <c r="K16" s="5">
        <v>0.88243598341370999</v>
      </c>
      <c r="L16">
        <f>3.15903375083333/minMSE_dhap4_calculated!G16</f>
        <v>1.7474996069294391</v>
      </c>
      <c r="M16" s="6">
        <v>0.45617091532496501</v>
      </c>
      <c r="N16" s="29" t="s">
        <v>93</v>
      </c>
      <c r="O16" s="29"/>
      <c r="P16" s="29"/>
      <c r="Q16" s="29"/>
      <c r="R16" s="29"/>
      <c r="S16" s="29"/>
      <c r="U16" t="s">
        <v>142</v>
      </c>
      <c r="V16">
        <v>1.4585603192939989</v>
      </c>
      <c r="W16">
        <v>1.4262899447569053</v>
      </c>
    </row>
    <row r="17" spans="1:23" x14ac:dyDescent="0.25">
      <c r="U17" s="20" t="s">
        <v>143</v>
      </c>
      <c r="V17" s="20">
        <v>1.406274906534285</v>
      </c>
      <c r="W17" s="20">
        <v>1.4262899447569053</v>
      </c>
    </row>
    <row r="18" spans="1:23" x14ac:dyDescent="0.25">
      <c r="U18" s="20" t="s">
        <v>144</v>
      </c>
      <c r="V18" s="20">
        <v>1.4164661667032181</v>
      </c>
      <c r="W18" s="20">
        <v>1.4262899447569053</v>
      </c>
    </row>
    <row r="19" spans="1:23" x14ac:dyDescent="0.25">
      <c r="A19" t="s">
        <v>28</v>
      </c>
      <c r="U19" t="s">
        <v>146</v>
      </c>
      <c r="V19">
        <v>1.4929661684491689</v>
      </c>
      <c r="W19">
        <v>1.4262899447569053</v>
      </c>
    </row>
    <row r="20" spans="1:23" x14ac:dyDescent="0.25">
      <c r="A20" t="s">
        <v>29</v>
      </c>
      <c r="U20" t="s">
        <v>145</v>
      </c>
      <c r="V20">
        <v>1.4318481493703141</v>
      </c>
      <c r="W20">
        <v>1.4262899447569053</v>
      </c>
    </row>
    <row r="21" spans="1:23" x14ac:dyDescent="0.25">
      <c r="U21" t="s">
        <v>148</v>
      </c>
      <c r="V21">
        <v>1.4305504465900958</v>
      </c>
      <c r="W21">
        <v>1.4262899447569053</v>
      </c>
    </row>
    <row r="22" spans="1:23" x14ac:dyDescent="0.25">
      <c r="U22" t="s">
        <v>155</v>
      </c>
      <c r="V22">
        <v>1.4817458907365531</v>
      </c>
      <c r="W22">
        <v>1.4262899447569053</v>
      </c>
    </row>
    <row r="23" spans="1:23" x14ac:dyDescent="0.25">
      <c r="A23" t="s">
        <v>80</v>
      </c>
      <c r="U23" t="s">
        <v>156</v>
      </c>
      <c r="V23">
        <v>1.4527745613945509</v>
      </c>
      <c r="W23">
        <v>1.4262899447569053</v>
      </c>
    </row>
    <row r="24" spans="1:23" x14ac:dyDescent="0.25">
      <c r="A24">
        <v>1.4262899447569053</v>
      </c>
      <c r="U24" t="s">
        <v>157</v>
      </c>
      <c r="V24">
        <v>1.4839400290137403</v>
      </c>
      <c r="W24">
        <v>1.4262899447569053</v>
      </c>
    </row>
    <row r="25" spans="1:23" x14ac:dyDescent="0.25">
      <c r="U25" t="s">
        <v>158</v>
      </c>
      <c r="V25">
        <v>1.4332184572675248</v>
      </c>
      <c r="W25">
        <v>1.4262899447569053</v>
      </c>
    </row>
    <row r="26" spans="1:23" x14ac:dyDescent="0.25">
      <c r="U26" s="20" t="s">
        <v>159</v>
      </c>
      <c r="V26" s="20">
        <v>1.3880085624760619</v>
      </c>
      <c r="W26" s="20">
        <v>1.4262899447569053</v>
      </c>
    </row>
    <row r="27" spans="1:23" x14ac:dyDescent="0.25">
      <c r="U27" t="s">
        <v>160</v>
      </c>
      <c r="V27">
        <v>1.4433091987442899</v>
      </c>
      <c r="W27">
        <v>1.42628994475691</v>
      </c>
    </row>
    <row r="28" spans="1:23" x14ac:dyDescent="0.25">
      <c r="U28" t="s">
        <v>161</v>
      </c>
      <c r="V28">
        <v>1.4205617992424076</v>
      </c>
      <c r="W28">
        <v>1.42628994475691</v>
      </c>
    </row>
    <row r="29" spans="1:23" x14ac:dyDescent="0.25">
      <c r="U29" t="s">
        <v>162</v>
      </c>
      <c r="V29">
        <v>1.4519850220020576</v>
      </c>
      <c r="W29">
        <v>1.42628994475691</v>
      </c>
    </row>
    <row r="30" spans="1:23" x14ac:dyDescent="0.25">
      <c r="U30" t="s">
        <v>163</v>
      </c>
      <c r="V30">
        <v>1.4318485216486623</v>
      </c>
      <c r="W30">
        <v>1.42628994475691</v>
      </c>
    </row>
    <row r="31" spans="1:23" x14ac:dyDescent="0.25">
      <c r="U31" t="s">
        <v>164</v>
      </c>
      <c r="V31">
        <v>1.4434426448330233</v>
      </c>
      <c r="W31">
        <v>1.42628994475691</v>
      </c>
    </row>
    <row r="32" spans="1:23" x14ac:dyDescent="0.25">
      <c r="U32" t="s">
        <v>165</v>
      </c>
      <c r="V32">
        <v>1.4760844231147061</v>
      </c>
      <c r="W32">
        <v>1.42628994475691</v>
      </c>
    </row>
    <row r="33" spans="21:23" x14ac:dyDescent="0.25">
      <c r="U33" s="21" t="s">
        <v>172</v>
      </c>
      <c r="V33" s="21">
        <v>1.5009483703776725</v>
      </c>
      <c r="W33">
        <v>1.42628994475691</v>
      </c>
    </row>
  </sheetData>
  <mergeCells count="15">
    <mergeCell ref="N7:S7"/>
    <mergeCell ref="N2:S2"/>
    <mergeCell ref="N3:S3"/>
    <mergeCell ref="N4:S4"/>
    <mergeCell ref="N5:S5"/>
    <mergeCell ref="N6:S6"/>
    <mergeCell ref="N14:S14"/>
    <mergeCell ref="N15:S15"/>
    <mergeCell ref="N16:S16"/>
    <mergeCell ref="N8:S8"/>
    <mergeCell ref="N9:S9"/>
    <mergeCell ref="N10:S10"/>
    <mergeCell ref="N11:S11"/>
    <mergeCell ref="N12:S12"/>
    <mergeCell ref="N13:S13"/>
  </mergeCells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tabSelected="1" workbookViewId="0">
      <selection activeCell="Q12" sqref="Q12"/>
    </sheetView>
  </sheetViews>
  <sheetFormatPr defaultColWidth="11.42578125" defaultRowHeight="15" x14ac:dyDescent="0.25"/>
  <sheetData>
    <row r="1" spans="1:5" x14ac:dyDescent="0.25">
      <c r="A1" s="23" t="s">
        <v>127</v>
      </c>
      <c r="B1" s="23" t="s">
        <v>128</v>
      </c>
      <c r="C1" s="23"/>
      <c r="D1" t="s">
        <v>186</v>
      </c>
      <c r="E1">
        <f>AVERAGE(B2:B7)</f>
        <v>1.3853649907928176</v>
      </c>
    </row>
    <row r="2" spans="1:5" x14ac:dyDescent="0.25">
      <c r="A2" s="23" t="s">
        <v>181</v>
      </c>
      <c r="B2" s="22">
        <v>1.4206000000000001</v>
      </c>
      <c r="C2" s="23">
        <v>1.4262899447569053</v>
      </c>
      <c r="D2" t="s">
        <v>187</v>
      </c>
      <c r="E2">
        <f>AVERAGE(B8:B37)</f>
        <v>1.453792748124634</v>
      </c>
    </row>
    <row r="3" spans="1:5" x14ac:dyDescent="0.25">
      <c r="A3" s="23" t="s">
        <v>182</v>
      </c>
      <c r="B3" s="28">
        <v>1.3580000000000001</v>
      </c>
      <c r="C3" s="23">
        <v>1.4262899447569053</v>
      </c>
    </row>
    <row r="4" spans="1:5" x14ac:dyDescent="0.25">
      <c r="A4" s="23" t="s">
        <v>183</v>
      </c>
      <c r="B4" s="26">
        <v>1.41</v>
      </c>
      <c r="C4" s="23">
        <v>1.4262899447569053</v>
      </c>
    </row>
    <row r="5" spans="1:5" x14ac:dyDescent="0.25">
      <c r="A5" s="23" t="s">
        <v>184</v>
      </c>
      <c r="B5" s="26">
        <v>1.3</v>
      </c>
      <c r="C5" s="23">
        <v>1.4262899447569053</v>
      </c>
    </row>
    <row r="6" spans="1:5" x14ac:dyDescent="0.25">
      <c r="A6" s="23" t="s">
        <v>185</v>
      </c>
      <c r="B6" s="27">
        <v>1.3973</v>
      </c>
      <c r="C6" s="23">
        <v>1.4262899447569053</v>
      </c>
    </row>
    <row r="7" spans="1:5" x14ac:dyDescent="0.25">
      <c r="A7" s="23" t="s">
        <v>129</v>
      </c>
      <c r="B7" s="23">
        <v>1.4262899447569053</v>
      </c>
      <c r="C7" s="23">
        <v>1.4262899447569053</v>
      </c>
    </row>
    <row r="8" spans="1:5" x14ac:dyDescent="0.25">
      <c r="A8" s="23" t="s">
        <v>130</v>
      </c>
      <c r="B8" s="23">
        <v>1.4529772496030113</v>
      </c>
      <c r="C8" s="23">
        <v>1.4262899447569053</v>
      </c>
    </row>
    <row r="9" spans="1:5" x14ac:dyDescent="0.25">
      <c r="A9" s="23" t="s">
        <v>131</v>
      </c>
      <c r="B9" s="23">
        <v>1.4277504444793809</v>
      </c>
      <c r="C9" s="23">
        <v>1.4262899447569053</v>
      </c>
    </row>
    <row r="10" spans="1:5" x14ac:dyDescent="0.25">
      <c r="A10" s="23" t="s">
        <v>132</v>
      </c>
      <c r="B10" s="23">
        <v>1.4302051790725405</v>
      </c>
      <c r="C10" s="23">
        <v>1.4262899447569053</v>
      </c>
    </row>
    <row r="11" spans="1:5" x14ac:dyDescent="0.25">
      <c r="A11" s="23" t="s">
        <v>133</v>
      </c>
      <c r="B11" s="23">
        <v>1.4932686836654068</v>
      </c>
      <c r="C11" s="23">
        <v>1.4262899447569053</v>
      </c>
    </row>
    <row r="12" spans="1:5" x14ac:dyDescent="0.25">
      <c r="A12" s="23" t="s">
        <v>134</v>
      </c>
      <c r="B12" s="23">
        <v>1.4312963121043751</v>
      </c>
      <c r="C12" s="23">
        <v>1.4262899447569053</v>
      </c>
    </row>
    <row r="13" spans="1:5" x14ac:dyDescent="0.25">
      <c r="A13" s="24" t="s">
        <v>135</v>
      </c>
      <c r="B13" s="24">
        <v>1.5202127530724623</v>
      </c>
      <c r="C13" s="24">
        <v>1.4262899447569053</v>
      </c>
    </row>
    <row r="14" spans="1:5" x14ac:dyDescent="0.25">
      <c r="A14" s="23" t="s">
        <v>136</v>
      </c>
      <c r="B14" s="23">
        <v>1.4772793948104261</v>
      </c>
      <c r="C14" s="23">
        <v>1.4262899447569053</v>
      </c>
    </row>
    <row r="15" spans="1:5" x14ac:dyDescent="0.25">
      <c r="A15" s="23" t="s">
        <v>137</v>
      </c>
      <c r="B15" s="23">
        <v>1.4247047673594277</v>
      </c>
      <c r="C15" s="23">
        <v>1.4262899447569053</v>
      </c>
    </row>
    <row r="16" spans="1:5" x14ac:dyDescent="0.25">
      <c r="A16" s="23" t="s">
        <v>138</v>
      </c>
      <c r="B16" s="23">
        <v>1.4920723175922099</v>
      </c>
      <c r="C16" s="23">
        <v>1.4262899447569053</v>
      </c>
    </row>
    <row r="17" spans="1:3" x14ac:dyDescent="0.25">
      <c r="A17" s="23" t="s">
        <v>139</v>
      </c>
      <c r="B17" s="23">
        <v>1.4741303710931064</v>
      </c>
      <c r="C17" s="23">
        <v>1.4262899447569053</v>
      </c>
    </row>
    <row r="18" spans="1:3" x14ac:dyDescent="0.25">
      <c r="A18" s="24" t="s">
        <v>140</v>
      </c>
      <c r="B18" s="24">
        <v>1.5080249002354402</v>
      </c>
      <c r="C18" s="24">
        <v>1.4262899447569053</v>
      </c>
    </row>
    <row r="19" spans="1:3" x14ac:dyDescent="0.25">
      <c r="A19" s="23" t="s">
        <v>141</v>
      </c>
      <c r="B19" s="23">
        <v>1.4373264328589175</v>
      </c>
      <c r="C19" s="23">
        <v>1.4262899447569053</v>
      </c>
    </row>
    <row r="20" spans="1:3" x14ac:dyDescent="0.25">
      <c r="A20" s="23" t="s">
        <v>142</v>
      </c>
      <c r="B20" s="23">
        <v>1.4585603192939989</v>
      </c>
      <c r="C20" s="23">
        <v>1.4262899447569053</v>
      </c>
    </row>
    <row r="21" spans="1:3" x14ac:dyDescent="0.25">
      <c r="A21" s="25" t="s">
        <v>143</v>
      </c>
      <c r="B21" s="25">
        <v>1.406274906534285</v>
      </c>
      <c r="C21" s="25">
        <v>1.4262899447569053</v>
      </c>
    </row>
    <row r="22" spans="1:3" x14ac:dyDescent="0.25">
      <c r="A22" s="25" t="s">
        <v>144</v>
      </c>
      <c r="B22" s="25">
        <v>1.4164661667032181</v>
      </c>
      <c r="C22" s="25">
        <v>1.4262899447569053</v>
      </c>
    </row>
    <row r="23" spans="1:3" x14ac:dyDescent="0.25">
      <c r="A23" s="23" t="s">
        <v>146</v>
      </c>
      <c r="B23" s="23">
        <v>1.4929661684491689</v>
      </c>
      <c r="C23" s="23">
        <v>1.4262899447569053</v>
      </c>
    </row>
    <row r="24" spans="1:3" x14ac:dyDescent="0.25">
      <c r="A24" s="23" t="s">
        <v>145</v>
      </c>
      <c r="B24" s="23">
        <v>1.4318481493703141</v>
      </c>
      <c r="C24" s="23">
        <v>1.4262899447569053</v>
      </c>
    </row>
    <row r="25" spans="1:3" x14ac:dyDescent="0.25">
      <c r="A25" s="23" t="s">
        <v>148</v>
      </c>
      <c r="B25" s="23">
        <v>1.4305504465900958</v>
      </c>
      <c r="C25" s="23">
        <v>1.4262899447569053</v>
      </c>
    </row>
    <row r="26" spans="1:3" x14ac:dyDescent="0.25">
      <c r="A26" s="23" t="s">
        <v>155</v>
      </c>
      <c r="B26" s="23">
        <v>1.4817458907365531</v>
      </c>
      <c r="C26" s="23">
        <v>1.4262899447569053</v>
      </c>
    </row>
    <row r="27" spans="1:3" x14ac:dyDescent="0.25">
      <c r="A27" s="23" t="s">
        <v>156</v>
      </c>
      <c r="B27" s="23">
        <v>1.4527745613945509</v>
      </c>
      <c r="C27" s="23">
        <v>1.4262899447569053</v>
      </c>
    </row>
    <row r="28" spans="1:3" x14ac:dyDescent="0.25">
      <c r="A28" s="23" t="s">
        <v>157</v>
      </c>
      <c r="B28" s="23">
        <v>1.4839400290137403</v>
      </c>
      <c r="C28" s="23">
        <v>1.4262899447569053</v>
      </c>
    </row>
    <row r="29" spans="1:3" x14ac:dyDescent="0.25">
      <c r="A29" s="23" t="s">
        <v>158</v>
      </c>
      <c r="B29" s="23">
        <v>1.4332184572675248</v>
      </c>
      <c r="C29" s="23">
        <v>1.4262899447569053</v>
      </c>
    </row>
    <row r="30" spans="1:3" x14ac:dyDescent="0.25">
      <c r="A30" s="25" t="s">
        <v>159</v>
      </c>
      <c r="B30" s="25">
        <v>1.3880085624760619</v>
      </c>
      <c r="C30" s="25">
        <v>1.4262899447569053</v>
      </c>
    </row>
    <row r="31" spans="1:3" x14ac:dyDescent="0.25">
      <c r="A31" s="23" t="s">
        <v>160</v>
      </c>
      <c r="B31" s="23">
        <v>1.4433091987442899</v>
      </c>
      <c r="C31" s="23">
        <v>1.42628994475691</v>
      </c>
    </row>
    <row r="32" spans="1:3" x14ac:dyDescent="0.25">
      <c r="A32" s="23" t="s">
        <v>161</v>
      </c>
      <c r="B32" s="23">
        <v>1.4205617992424076</v>
      </c>
      <c r="C32" s="23">
        <v>1.42628994475691</v>
      </c>
    </row>
    <row r="33" spans="1:3" x14ac:dyDescent="0.25">
      <c r="A33" s="23" t="s">
        <v>162</v>
      </c>
      <c r="B33" s="23">
        <v>1.4519850220020576</v>
      </c>
      <c r="C33" s="23">
        <v>1.42628994475691</v>
      </c>
    </row>
    <row r="34" spans="1:3" x14ac:dyDescent="0.25">
      <c r="A34" s="23" t="s">
        <v>163</v>
      </c>
      <c r="B34" s="23">
        <v>1.4318485216486623</v>
      </c>
      <c r="C34" s="23">
        <v>1.42628994475691</v>
      </c>
    </row>
    <row r="35" spans="1:3" x14ac:dyDescent="0.25">
      <c r="A35" s="23" t="s">
        <v>164</v>
      </c>
      <c r="B35" s="23">
        <v>1.4434426448330233</v>
      </c>
      <c r="C35" s="23">
        <v>1.42628994475691</v>
      </c>
    </row>
    <row r="36" spans="1:3" x14ac:dyDescent="0.25">
      <c r="A36" s="23" t="s">
        <v>165</v>
      </c>
      <c r="B36" s="23">
        <v>1.4760844231147061</v>
      </c>
      <c r="C36" s="23">
        <v>1.42628994475691</v>
      </c>
    </row>
    <row r="37" spans="1:3" x14ac:dyDescent="0.25">
      <c r="A37" s="24" t="s">
        <v>172</v>
      </c>
      <c r="B37" s="24">
        <v>1.5009483703776725</v>
      </c>
      <c r="C37" s="23">
        <v>1.42628994475691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B2" sqref="B2"/>
    </sheetView>
  </sheetViews>
  <sheetFormatPr defaultColWidth="11.42578125" defaultRowHeight="15" x14ac:dyDescent="0.25"/>
  <sheetData>
    <row r="1" spans="1:7" x14ac:dyDescent="0.25">
      <c r="A1" s="1" t="s">
        <v>0</v>
      </c>
      <c r="B1" s="1" t="s">
        <v>175</v>
      </c>
      <c r="C1" s="1" t="s">
        <v>176</v>
      </c>
      <c r="D1" s="1" t="s">
        <v>177</v>
      </c>
      <c r="E1" s="1" t="s">
        <v>178</v>
      </c>
      <c r="F1" s="1" t="s">
        <v>179</v>
      </c>
      <c r="G1" s="1" t="s">
        <v>180</v>
      </c>
    </row>
    <row r="2" spans="1:7" x14ac:dyDescent="0.25">
      <c r="A2" s="1" t="s">
        <v>7</v>
      </c>
      <c r="B2" s="1">
        <v>0.40832632138461544</v>
      </c>
      <c r="C2" s="1">
        <v>8.0146242291666656E-2</v>
      </c>
      <c r="D2" s="1">
        <v>0.89750895291666666</v>
      </c>
      <c r="E2" s="1">
        <v>0.10656031250000003</v>
      </c>
      <c r="F2" s="1">
        <v>0.19853487541666667</v>
      </c>
      <c r="G2" s="1">
        <v>0.57472522145833338</v>
      </c>
    </row>
    <row r="3" spans="1:7" x14ac:dyDescent="0.25">
      <c r="A3" s="1" t="s">
        <v>8</v>
      </c>
      <c r="B3" s="1">
        <v>0.22633322576923073</v>
      </c>
      <c r="C3" s="1">
        <v>0.20497932625000001</v>
      </c>
      <c r="D3" s="1">
        <v>0.43710512645833338</v>
      </c>
      <c r="E3" s="1">
        <v>0.18044174541666666</v>
      </c>
      <c r="F3" s="1">
        <v>0.98535099541666682</v>
      </c>
      <c r="G3" s="1">
        <v>0.85615050208333343</v>
      </c>
    </row>
    <row r="4" spans="1:7" x14ac:dyDescent="0.25">
      <c r="A4" s="1" t="s">
        <v>9</v>
      </c>
      <c r="B4" s="1">
        <v>0.56862392023076924</v>
      </c>
      <c r="C4" s="1">
        <v>8.4311588958333336E-2</v>
      </c>
      <c r="D4" s="1">
        <v>0.73399234958333326</v>
      </c>
      <c r="E4" s="1">
        <v>0.90502862229166625</v>
      </c>
      <c r="F4" s="1">
        <v>0.69568472812499993</v>
      </c>
      <c r="G4" s="1">
        <v>0.48247417291666667</v>
      </c>
    </row>
    <row r="5" spans="1:7" x14ac:dyDescent="0.25">
      <c r="A5" s="1" t="s">
        <v>10</v>
      </c>
      <c r="B5" s="1">
        <v>0.27618732288461545</v>
      </c>
      <c r="C5" s="1">
        <v>0.48977017229166658</v>
      </c>
      <c r="D5" s="1">
        <v>0.7480565579166667</v>
      </c>
      <c r="E5" s="1">
        <v>0.45306948958333337</v>
      </c>
      <c r="F5" s="1">
        <v>0.42334560708333341</v>
      </c>
      <c r="G5" s="1">
        <v>0.19402333687499998</v>
      </c>
    </row>
    <row r="6" spans="1:7" x14ac:dyDescent="0.25">
      <c r="A6" s="1" t="s">
        <v>11</v>
      </c>
      <c r="B6" s="1">
        <v>0.40563899349999988</v>
      </c>
      <c r="C6" s="1">
        <v>0.16551597145833336</v>
      </c>
      <c r="D6" s="1">
        <v>0.30605142541666669</v>
      </c>
      <c r="E6" s="1">
        <v>0.16575040874999999</v>
      </c>
      <c r="F6" s="1">
        <v>0.19601342916666667</v>
      </c>
      <c r="G6" s="1">
        <v>0.10966087708333333</v>
      </c>
    </row>
    <row r="7" spans="1:7" x14ac:dyDescent="0.25">
      <c r="A7" s="1" t="s">
        <v>12</v>
      </c>
      <c r="B7" s="1">
        <v>1.7995752559230771</v>
      </c>
      <c r="C7" s="1">
        <v>1.0946349047916668</v>
      </c>
      <c r="D7" s="1">
        <v>0.65495765875</v>
      </c>
      <c r="E7" s="1">
        <v>0.32504703729166667</v>
      </c>
      <c r="F7" s="1">
        <v>1.3401803097916669</v>
      </c>
      <c r="G7" s="1">
        <v>0.32559700395833335</v>
      </c>
    </row>
    <row r="8" spans="1:7" x14ac:dyDescent="0.25">
      <c r="A8" s="1" t="s">
        <v>13</v>
      </c>
      <c r="B8" s="1">
        <v>0.58711931346153856</v>
      </c>
      <c r="C8" s="1">
        <v>0.549004856875</v>
      </c>
      <c r="D8" s="1">
        <v>0.29534167479166668</v>
      </c>
      <c r="E8" s="1">
        <v>2.6729112218749997</v>
      </c>
      <c r="F8" s="1">
        <v>0.21103123541666666</v>
      </c>
      <c r="G8" s="1">
        <v>0.34911424645833339</v>
      </c>
    </row>
    <row r="9" spans="1:7" x14ac:dyDescent="0.25">
      <c r="A9" s="1" t="s">
        <v>14</v>
      </c>
      <c r="B9" s="1">
        <v>0.42440576792307694</v>
      </c>
      <c r="C9" s="1">
        <v>0.226474623125</v>
      </c>
      <c r="D9" s="1">
        <v>0.6275051620833334</v>
      </c>
      <c r="E9" s="1">
        <v>0.15146829750000002</v>
      </c>
      <c r="F9" s="1">
        <v>0.34355865729166662</v>
      </c>
      <c r="G9" s="1">
        <v>0.21889643625000002</v>
      </c>
    </row>
    <row r="10" spans="1:7" x14ac:dyDescent="0.25">
      <c r="A10" s="1" t="s">
        <v>15</v>
      </c>
      <c r="B10" s="1">
        <v>0.98213383130769227</v>
      </c>
      <c r="C10" s="1">
        <v>0.24304364145833332</v>
      </c>
      <c r="D10" s="1">
        <v>0.75746717562499999</v>
      </c>
      <c r="E10" s="1">
        <v>0.122763648125</v>
      </c>
      <c r="F10" s="1">
        <v>1.0007356020833331</v>
      </c>
      <c r="G10" s="1">
        <v>9.8930486458333342E-2</v>
      </c>
    </row>
    <row r="11" spans="1:7" x14ac:dyDescent="0.25">
      <c r="A11" s="1" t="s">
        <v>16</v>
      </c>
      <c r="B11" s="1">
        <v>1.1296412793846153</v>
      </c>
      <c r="C11" s="1">
        <v>0.5775383262499999</v>
      </c>
      <c r="D11" s="1">
        <v>0.12324917687500002</v>
      </c>
      <c r="E11" s="1">
        <v>0.11317683791666668</v>
      </c>
      <c r="F11" s="1">
        <v>9.0353331250000002E-2</v>
      </c>
      <c r="G11" s="1">
        <v>1.0762695866666672</v>
      </c>
    </row>
    <row r="12" spans="1:7" x14ac:dyDescent="0.25">
      <c r="A12" s="1" t="s">
        <v>17</v>
      </c>
      <c r="B12" s="1">
        <v>0.24087990211538463</v>
      </c>
      <c r="C12" s="1">
        <v>0.45866707374999999</v>
      </c>
      <c r="D12" s="1">
        <v>0.38157429229166673</v>
      </c>
      <c r="E12" s="1">
        <v>0.13487438479166663</v>
      </c>
      <c r="F12" s="1">
        <v>0.21907346187500001</v>
      </c>
      <c r="G12" s="1">
        <v>0.22875378645833333</v>
      </c>
    </row>
    <row r="13" spans="1:7" x14ac:dyDescent="0.25">
      <c r="A13" s="1" t="s">
        <v>18</v>
      </c>
      <c r="B13" s="1">
        <v>0.34962648600000001</v>
      </c>
      <c r="C13" s="1">
        <v>0.21189209895833339</v>
      </c>
      <c r="D13" s="1">
        <v>0.26724530895833337</v>
      </c>
      <c r="E13" s="1">
        <v>0.41523615479166659</v>
      </c>
      <c r="F13" s="1">
        <v>0.21868704062499997</v>
      </c>
      <c r="G13" s="1">
        <v>0.21345559395833333</v>
      </c>
    </row>
    <row r="14" spans="1:7" x14ac:dyDescent="0.25">
      <c r="A14" s="1" t="s">
        <v>19</v>
      </c>
      <c r="B14" s="1">
        <v>0.64451981807692305</v>
      </c>
      <c r="C14" s="1">
        <v>0.56829758312499989</v>
      </c>
      <c r="D14" s="1">
        <v>0.32861329854166671</v>
      </c>
      <c r="E14" s="1">
        <v>0.10395201229166667</v>
      </c>
      <c r="F14" s="1">
        <v>0.26211273041666666</v>
      </c>
      <c r="G14" s="1">
        <v>0.28979024416666671</v>
      </c>
    </row>
    <row r="15" spans="1:7" x14ac:dyDescent="0.25">
      <c r="A15" s="1" t="s">
        <v>20</v>
      </c>
      <c r="B15" s="1">
        <v>0.35545548996153836</v>
      </c>
      <c r="C15" s="1">
        <v>0.64421283479166658</v>
      </c>
      <c r="D15" s="1">
        <v>8.8591971875000008E-2</v>
      </c>
      <c r="E15" s="1">
        <v>0.33393656187499993</v>
      </c>
      <c r="F15" s="1">
        <v>0.654963715625</v>
      </c>
      <c r="G15" s="1">
        <v>0.40824414062499997</v>
      </c>
    </row>
    <row r="16" spans="1:7" x14ac:dyDescent="0.25">
      <c r="A16" s="1" t="s">
        <v>21</v>
      </c>
      <c r="B16" s="1">
        <v>0.56287015534615392</v>
      </c>
      <c r="C16" s="1">
        <v>0.52155246875000005</v>
      </c>
      <c r="D16" s="1">
        <v>0.43221200958333322</v>
      </c>
      <c r="E16" s="1">
        <v>0.86281564208333339</v>
      </c>
      <c r="F16" s="1">
        <v>0.23935640395833335</v>
      </c>
      <c r="G16" s="1">
        <v>1.807745042291667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workbookViewId="0">
      <selection activeCell="E17" sqref="E17"/>
    </sheetView>
  </sheetViews>
  <sheetFormatPr defaultColWidth="8.85546875" defaultRowHeight="15" x14ac:dyDescent="0.25"/>
  <sheetData>
    <row r="1" spans="1:13" x14ac:dyDescent="0.25">
      <c r="A1" s="13" t="s">
        <v>0</v>
      </c>
      <c r="B1" s="13" t="s">
        <v>1</v>
      </c>
      <c r="C1" s="14" t="s">
        <v>22</v>
      </c>
      <c r="D1" s="13" t="s">
        <v>2</v>
      </c>
      <c r="E1" s="15" t="s">
        <v>23</v>
      </c>
      <c r="F1" s="13" t="s">
        <v>3</v>
      </c>
      <c r="G1" s="16" t="s">
        <v>24</v>
      </c>
      <c r="H1" s="13" t="s">
        <v>4</v>
      </c>
      <c r="I1" s="17" t="s">
        <v>25</v>
      </c>
      <c r="J1" s="13" t="s">
        <v>5</v>
      </c>
      <c r="K1" s="18" t="s">
        <v>26</v>
      </c>
      <c r="L1" s="13" t="s">
        <v>6</v>
      </c>
      <c r="M1" s="19" t="s">
        <v>27</v>
      </c>
    </row>
    <row r="2" spans="1:13" x14ac:dyDescent="0.25">
      <c r="A2" s="13" t="s">
        <v>7</v>
      </c>
      <c r="B2" s="13">
        <v>0.49943241461318028</v>
      </c>
      <c r="C2" s="14">
        <v>0.762384490029694</v>
      </c>
      <c r="D2" s="13">
        <v>0.14709344988578046</v>
      </c>
      <c r="E2" s="15">
        <v>0.44624975588118598</v>
      </c>
      <c r="F2" s="13">
        <v>1.2335582605122648</v>
      </c>
      <c r="G2" s="16">
        <v>0.78551996118716705</v>
      </c>
      <c r="H2" s="13">
        <v>0.10823838037097554</v>
      </c>
      <c r="I2" s="17">
        <v>0.29160072506103601</v>
      </c>
      <c r="J2" s="13">
        <v>0.22104047968456661</v>
      </c>
      <c r="K2" s="18">
        <v>0.82577386681059695</v>
      </c>
      <c r="L2" s="8">
        <v>1.0160283909533248</v>
      </c>
      <c r="M2" s="7">
        <v>4.5710095337786E-2</v>
      </c>
    </row>
    <row r="3" spans="1:13" x14ac:dyDescent="0.25">
      <c r="A3" s="13" t="s">
        <v>8</v>
      </c>
      <c r="B3" s="13">
        <v>0.40341617371518923</v>
      </c>
      <c r="C3" s="14">
        <v>8.2901279432195593E-2</v>
      </c>
      <c r="D3" s="8">
        <v>0.65269753278107367</v>
      </c>
      <c r="E3" s="9">
        <v>9.0782211164155292E-3</v>
      </c>
      <c r="F3" s="13">
        <v>0.55956054129737831</v>
      </c>
      <c r="G3" s="16">
        <v>0.52024738694317496</v>
      </c>
      <c r="H3" s="13">
        <v>0.21112327504066367</v>
      </c>
      <c r="I3" s="17">
        <v>7.2269282640789106E-2</v>
      </c>
      <c r="J3" s="13">
        <v>1.1691003657336887</v>
      </c>
      <c r="K3" s="18">
        <v>0.76388269721491497</v>
      </c>
      <c r="L3" s="13">
        <v>1.3262840268471077</v>
      </c>
      <c r="M3" s="19">
        <v>0.45347930983877699</v>
      </c>
    </row>
    <row r="4" spans="1:13" x14ac:dyDescent="0.25">
      <c r="A4" s="13" t="s">
        <v>9</v>
      </c>
      <c r="B4" s="13">
        <v>0.74280103769314521</v>
      </c>
      <c r="C4" s="14">
        <v>6.6225124959576706E-2</v>
      </c>
      <c r="D4" s="13">
        <v>0.14496421249999999</v>
      </c>
      <c r="E4" s="15">
        <v>0.61881514010194805</v>
      </c>
      <c r="F4" s="8">
        <v>0.89415500282576987</v>
      </c>
      <c r="G4" s="10">
        <v>1.6347989883004101E-2</v>
      </c>
      <c r="H4" s="8">
        <v>1.1673616550321195</v>
      </c>
      <c r="I4" s="11">
        <v>1.1178235493982801E-2</v>
      </c>
      <c r="J4" s="13">
        <v>0.83451764044709975</v>
      </c>
      <c r="K4" s="18">
        <v>0.41128551861353002</v>
      </c>
      <c r="L4" s="8">
        <v>0.54819620728197871</v>
      </c>
      <c r="M4" s="7">
        <v>2.5966862137770701E-2</v>
      </c>
    </row>
    <row r="5" spans="1:13" x14ac:dyDescent="0.25">
      <c r="A5" s="13" t="s">
        <v>10</v>
      </c>
      <c r="B5" s="13">
        <v>0.46099081975152839</v>
      </c>
      <c r="C5" s="14">
        <v>0.33061324554751997</v>
      </c>
      <c r="D5" s="13">
        <v>0.79550157196615101</v>
      </c>
      <c r="E5" s="15">
        <v>0.58761063110676703</v>
      </c>
      <c r="F5" s="13">
        <v>0.75670862537802408</v>
      </c>
      <c r="G5" s="16">
        <v>0.876273721691745</v>
      </c>
      <c r="H5" s="13">
        <v>1.0376358043249361</v>
      </c>
      <c r="I5" s="17">
        <v>0.12610118972802201</v>
      </c>
      <c r="J5" s="13">
        <v>0.46859501534613868</v>
      </c>
      <c r="K5" s="18">
        <v>0.84451617033304205</v>
      </c>
      <c r="L5" s="13">
        <v>0.27205031503127047</v>
      </c>
      <c r="M5" s="19">
        <v>0.34787221257796602</v>
      </c>
    </row>
    <row r="6" spans="1:13" x14ac:dyDescent="0.25">
      <c r="A6" s="13" t="s">
        <v>11</v>
      </c>
      <c r="B6" s="13">
        <v>0.6069986642521934</v>
      </c>
      <c r="C6" s="14">
        <v>0.41886387925431101</v>
      </c>
      <c r="D6" s="13">
        <v>0.25451466336976786</v>
      </c>
      <c r="E6" s="15">
        <v>0.54683519144140802</v>
      </c>
      <c r="F6" s="13">
        <v>0.35326105333333335</v>
      </c>
      <c r="G6" s="16">
        <v>0.60936795919082498</v>
      </c>
      <c r="H6" s="13">
        <v>0.21996545204598314</v>
      </c>
      <c r="I6" s="17">
        <v>0.51888455220311103</v>
      </c>
      <c r="J6" s="13">
        <v>0.34884443209181915</v>
      </c>
      <c r="K6" s="18">
        <v>0.92811381976317897</v>
      </c>
      <c r="L6" s="13">
        <v>0.15394508393757547</v>
      </c>
      <c r="M6" s="19">
        <v>0.117144834533319</v>
      </c>
    </row>
    <row r="7" spans="1:13" x14ac:dyDescent="0.25">
      <c r="A7" s="13" t="s">
        <v>12</v>
      </c>
      <c r="B7" s="13">
        <v>1.8650932620982499</v>
      </c>
      <c r="C7" s="14">
        <v>0.73074475229926095</v>
      </c>
      <c r="D7" s="13">
        <v>1.391770342556409</v>
      </c>
      <c r="E7" s="15">
        <v>0.482119508817688</v>
      </c>
      <c r="F7" s="13">
        <v>2.3061993715426712</v>
      </c>
      <c r="G7" s="16">
        <v>7.7299330333445299E-2</v>
      </c>
      <c r="H7" s="13">
        <v>0.4916199175</v>
      </c>
      <c r="I7" s="17">
        <v>0.41648763304756098</v>
      </c>
      <c r="J7" s="13">
        <v>1.6695016289902809</v>
      </c>
      <c r="K7" s="18">
        <v>0.92618166088133702</v>
      </c>
      <c r="L7" s="8">
        <v>0.92137075860971607</v>
      </c>
      <c r="M7" s="7">
        <v>1.5741522728162101E-2</v>
      </c>
    </row>
    <row r="8" spans="1:13" x14ac:dyDescent="0.25">
      <c r="A8" s="13" t="s">
        <v>13</v>
      </c>
      <c r="B8" s="8">
        <v>0.62645336767292825</v>
      </c>
      <c r="C8" s="12">
        <v>3.9736164584284001E-2</v>
      </c>
      <c r="D8" s="8">
        <v>0.65449126571834759</v>
      </c>
      <c r="E8" s="9">
        <v>2.23753114222145E-3</v>
      </c>
      <c r="F8" s="8">
        <v>0.35885397139454533</v>
      </c>
      <c r="G8" s="10">
        <v>2.4759724199063201E-3</v>
      </c>
      <c r="H8" s="13">
        <v>2.9180452019698855</v>
      </c>
      <c r="I8" s="17">
        <v>0.42442038054964198</v>
      </c>
      <c r="J8" s="13">
        <v>0.5935956166666666</v>
      </c>
      <c r="K8" s="18">
        <v>0.57583799773840905</v>
      </c>
      <c r="L8" s="8">
        <v>0.50260563481789</v>
      </c>
      <c r="M8" s="7">
        <v>1.1238296525258799E-3</v>
      </c>
    </row>
    <row r="9" spans="1:13" x14ac:dyDescent="0.25">
      <c r="A9" s="13" t="s">
        <v>14</v>
      </c>
      <c r="B9" s="13">
        <v>0.52134007093022605</v>
      </c>
      <c r="C9" s="14">
        <v>0.30555896896170998</v>
      </c>
      <c r="D9" s="13">
        <v>0.29328423518852464</v>
      </c>
      <c r="E9" s="15">
        <v>0.220796800536256</v>
      </c>
      <c r="F9" s="13">
        <v>0.89707527262568088</v>
      </c>
      <c r="G9" s="16">
        <v>0.34273266373509897</v>
      </c>
      <c r="H9" s="8">
        <v>0.25500288771464535</v>
      </c>
      <c r="I9" s="11">
        <v>1.6849469393969401E-2</v>
      </c>
      <c r="J9" s="13">
        <v>0.58259174262920965</v>
      </c>
      <c r="K9" s="18">
        <v>0.80207673397527102</v>
      </c>
      <c r="L9" s="13">
        <v>0.27271577399171348</v>
      </c>
      <c r="M9" s="19">
        <v>8.3557084326203193E-2</v>
      </c>
    </row>
    <row r="10" spans="1:13" x14ac:dyDescent="0.25">
      <c r="A10" s="13" t="s">
        <v>15</v>
      </c>
      <c r="B10" s="13">
        <v>0.99090883155290055</v>
      </c>
      <c r="C10" s="14">
        <v>0.40967747091093998</v>
      </c>
      <c r="D10" s="8">
        <v>0.26934101926872106</v>
      </c>
      <c r="E10" s="9">
        <v>4.93615335741312E-2</v>
      </c>
      <c r="F10" s="13">
        <v>0.96581777972073402</v>
      </c>
      <c r="G10" s="16">
        <v>7.5060611423136706E-2</v>
      </c>
      <c r="H10" s="13">
        <v>0.18129154102987943</v>
      </c>
      <c r="I10" s="17">
        <v>5.3349459021998002E-2</v>
      </c>
      <c r="J10" s="13">
        <v>1.1693623687518766</v>
      </c>
      <c r="K10" s="18">
        <v>0.83537027035042999</v>
      </c>
      <c r="L10" s="8">
        <v>0.30352726404273478</v>
      </c>
      <c r="M10" s="7">
        <v>2.0751052693414899E-3</v>
      </c>
    </row>
    <row r="11" spans="1:13" x14ac:dyDescent="0.25">
      <c r="A11" s="13" t="s">
        <v>16</v>
      </c>
      <c r="B11" s="13">
        <v>2.2139682915607048</v>
      </c>
      <c r="C11" s="14">
        <v>0.312866167848105</v>
      </c>
      <c r="D11" s="13">
        <v>1.0401974377326451</v>
      </c>
      <c r="E11" s="15">
        <v>0.36919882166698498</v>
      </c>
      <c r="F11" s="13">
        <v>0.13368709963734471</v>
      </c>
      <c r="G11" s="16">
        <v>0.32044779172975002</v>
      </c>
      <c r="H11" s="13">
        <v>0.15728062870586967</v>
      </c>
      <c r="I11" s="17">
        <v>1.01926877470356</v>
      </c>
      <c r="J11" s="13">
        <v>0.64906213735894502</v>
      </c>
      <c r="K11" s="18">
        <v>0.41730594570108798</v>
      </c>
      <c r="L11" s="13">
        <v>1.2349381185198764</v>
      </c>
      <c r="M11" s="19">
        <v>0.32964773522541801</v>
      </c>
    </row>
    <row r="12" spans="1:13" x14ac:dyDescent="0.25">
      <c r="A12" s="13" t="s">
        <v>17</v>
      </c>
      <c r="B12" s="13">
        <v>0.31068417464250242</v>
      </c>
      <c r="C12" s="14">
        <v>0.673063017606508</v>
      </c>
      <c r="D12" s="13">
        <v>0.72103653309031068</v>
      </c>
      <c r="E12" s="15">
        <v>0.48391674975244903</v>
      </c>
      <c r="F12" s="13">
        <v>0.47450432749665211</v>
      </c>
      <c r="G12" s="16">
        <v>0.37967438937929698</v>
      </c>
      <c r="H12" s="13">
        <v>0.1972765913564434</v>
      </c>
      <c r="I12" s="17">
        <v>0.61551986182630103</v>
      </c>
      <c r="J12" s="13">
        <v>0.29490216368070316</v>
      </c>
      <c r="K12" s="18">
        <v>0.96518223885221099</v>
      </c>
      <c r="L12" s="13">
        <v>0.24774444007494334</v>
      </c>
      <c r="M12" s="19">
        <v>0.77989454444137896</v>
      </c>
    </row>
    <row r="13" spans="1:13" x14ac:dyDescent="0.25">
      <c r="A13" s="13" t="s">
        <v>18</v>
      </c>
      <c r="B13" s="13">
        <v>0.48011938996145598</v>
      </c>
      <c r="C13" s="14">
        <v>9.5712795892028399E-2</v>
      </c>
      <c r="D13" s="13">
        <v>0.22145719140967934</v>
      </c>
      <c r="E13" s="15">
        <v>0.44634237725270698</v>
      </c>
      <c r="F13" s="13">
        <v>0.28926143766487428</v>
      </c>
      <c r="G13" s="16">
        <v>0.31255665386579601</v>
      </c>
      <c r="H13" s="13">
        <v>0.58008382961119043</v>
      </c>
      <c r="I13" s="17">
        <v>0.98678976939878205</v>
      </c>
      <c r="J13" s="13">
        <v>0.26555386940877401</v>
      </c>
      <c r="K13" s="18">
        <v>0.517815470814041</v>
      </c>
      <c r="L13" s="13">
        <v>0.27180895872603333</v>
      </c>
      <c r="M13" s="19">
        <v>0.297478016852251</v>
      </c>
    </row>
    <row r="14" spans="1:13" x14ac:dyDescent="0.25">
      <c r="A14" s="13" t="s">
        <v>19</v>
      </c>
      <c r="B14" s="13">
        <v>0.71081826338996668</v>
      </c>
      <c r="C14" s="14">
        <v>0.174295602147962</v>
      </c>
      <c r="D14" s="13">
        <v>0.59140979026148577</v>
      </c>
      <c r="E14" s="15">
        <v>0.86844583111990603</v>
      </c>
      <c r="F14" s="8">
        <v>0.44116922971328648</v>
      </c>
      <c r="G14" s="10">
        <v>4.3268390080787603E-2</v>
      </c>
      <c r="H14" s="8">
        <v>0.30467515561059755</v>
      </c>
      <c r="I14" s="11">
        <v>8.3521584494051695E-3</v>
      </c>
      <c r="J14" s="13">
        <v>0.34016385436924179</v>
      </c>
      <c r="K14" s="18">
        <v>0.81524617305381997</v>
      </c>
      <c r="L14" s="13">
        <v>0.52967263494909966</v>
      </c>
      <c r="M14" s="19">
        <v>6.5292475138674894E-2</v>
      </c>
    </row>
    <row r="15" spans="1:13" x14ac:dyDescent="0.25">
      <c r="A15" s="13" t="s">
        <v>20</v>
      </c>
      <c r="B15" s="8">
        <v>0.36536357079068682</v>
      </c>
      <c r="C15" s="12">
        <v>4.0424970068182499E-3</v>
      </c>
      <c r="D15" s="13">
        <v>0.81979168589071361</v>
      </c>
      <c r="E15" s="15">
        <v>5.7965913592618802E-2</v>
      </c>
      <c r="F15" s="13">
        <v>0.12698463221801584</v>
      </c>
      <c r="G15" s="16">
        <v>0.218104991549528</v>
      </c>
      <c r="H15" s="8">
        <v>0.46512788876555095</v>
      </c>
      <c r="I15" s="11">
        <v>1.17388410353965E-2</v>
      </c>
      <c r="J15" s="13">
        <v>0.66388453354589305</v>
      </c>
      <c r="K15" s="18">
        <v>0.21974386864794401</v>
      </c>
      <c r="L15" s="13">
        <v>0.45414515741133887</v>
      </c>
      <c r="M15" s="19">
        <v>0.26584607245743602</v>
      </c>
    </row>
    <row r="16" spans="1:13" x14ac:dyDescent="0.25">
      <c r="A16" s="13" t="s">
        <v>21</v>
      </c>
      <c r="B16" s="8">
        <v>2.3468045738623382</v>
      </c>
      <c r="C16" s="12">
        <v>8.8957362296602296E-3</v>
      </c>
      <c r="D16" s="13">
        <v>0.66877915856657066</v>
      </c>
      <c r="E16" s="15">
        <v>0.31603437363464698</v>
      </c>
      <c r="F16" s="13">
        <v>1.2649401663214157</v>
      </c>
      <c r="G16" s="16">
        <v>0.250267714639267</v>
      </c>
      <c r="H16" s="13">
        <v>1.1168015855581388</v>
      </c>
      <c r="I16" s="17">
        <v>1.01343777505961</v>
      </c>
      <c r="J16" s="13">
        <v>0.46062824974243033</v>
      </c>
      <c r="K16" s="18">
        <v>0.88243598341370999</v>
      </c>
      <c r="L16" s="13">
        <v>3.1590337508333337</v>
      </c>
      <c r="M16" s="19">
        <v>0.45617091532496501</v>
      </c>
    </row>
    <row r="19" spans="1:12" x14ac:dyDescent="0.25">
      <c r="A19" t="s">
        <v>79</v>
      </c>
    </row>
    <row r="20" spans="1:12" x14ac:dyDescent="0.25">
      <c r="A20" s="13" t="s">
        <v>7</v>
      </c>
      <c r="B20">
        <f>B2-dhap4!B2</f>
        <v>-0.5154291852753401</v>
      </c>
      <c r="D20">
        <f>D2-dhap4!D2</f>
        <v>-1.051735895493054</v>
      </c>
      <c r="F20">
        <f>F2-dhap4!F2</f>
        <v>-0.22162640181034665</v>
      </c>
      <c r="H20">
        <f>H2-dhap4!H2</f>
        <v>-1.2615422081778331</v>
      </c>
      <c r="J20">
        <f>J2-dhap4!J2</f>
        <v>-0.83976899654777815</v>
      </c>
      <c r="L20">
        <f>L2-dhap4!L2</f>
        <v>-0.45764623516185443</v>
      </c>
    </row>
    <row r="21" spans="1:12" x14ac:dyDescent="0.25">
      <c r="A21" s="13" t="s">
        <v>8</v>
      </c>
      <c r="B21">
        <f>B3-dhap4!B3</f>
        <v>-0.71701262192879855</v>
      </c>
      <c r="D21">
        <f>D3-dhap4!D3</f>
        <v>-0.81266765770407623</v>
      </c>
      <c r="F21">
        <f>F3-dhap4!F3</f>
        <v>-0.89151693731312132</v>
      </c>
      <c r="H21">
        <f>H3-dhap4!H3</f>
        <v>-1.541232086709778</v>
      </c>
      <c r="J21">
        <f>J3-dhap4!J3</f>
        <v>-4.1951381336932547E-2</v>
      </c>
      <c r="L21">
        <f>L3-dhap4!L3</f>
        <v>-6.955517032599623E-2</v>
      </c>
    </row>
    <row r="22" spans="1:12" x14ac:dyDescent="0.25">
      <c r="A22" s="13" t="s">
        <v>9</v>
      </c>
      <c r="B22">
        <f>B4-dhap4!B4</f>
        <v>-0.71585170552144872</v>
      </c>
      <c r="D22">
        <f>D4-dhap4!D4</f>
        <v>-1.5744223426702637</v>
      </c>
      <c r="F22">
        <f>F4-dhap4!F4</f>
        <v>-0.28830971791276205</v>
      </c>
      <c r="H22">
        <f>H4-dhap4!H4</f>
        <v>-4.1829188906172821E-2</v>
      </c>
      <c r="J22">
        <f>J4-dhap4!J4</f>
        <v>-0.27189613128156087</v>
      </c>
      <c r="L22">
        <f>L4-dhap4!L4</f>
        <v>-0.85594710083828607</v>
      </c>
    </row>
    <row r="23" spans="1:12" x14ac:dyDescent="0.25">
      <c r="A23" s="13" t="s">
        <v>10</v>
      </c>
      <c r="B23">
        <f>B5-dhap4!B5</f>
        <v>-1.3929223958420778</v>
      </c>
      <c r="D23">
        <f>D5-dhap4!D5</f>
        <v>-1.0501102990544338</v>
      </c>
      <c r="F23">
        <f>F5-dhap4!F5</f>
        <v>-0.27152550109642781</v>
      </c>
      <c r="H23">
        <f>H5-dhap4!H5</f>
        <v>-0.91731313740784981</v>
      </c>
      <c r="J23">
        <f>J5-dhap4!J5</f>
        <v>-0.72023939246774571</v>
      </c>
      <c r="L23">
        <f>L5-dhap4!L5</f>
        <v>-0.90669460461828244</v>
      </c>
    </row>
    <row r="24" spans="1:12" x14ac:dyDescent="0.25">
      <c r="A24" s="13" t="s">
        <v>11</v>
      </c>
      <c r="B24">
        <f>B6-dhap4!B6</f>
        <v>-0.5623355446819216</v>
      </c>
      <c r="D24">
        <f>D6-dhap4!D6</f>
        <v>-0.96227617359615358</v>
      </c>
      <c r="F24">
        <f>F6-dhap4!F6</f>
        <v>-0.80099285302372358</v>
      </c>
      <c r="H24">
        <f>H6-dhap4!H6</f>
        <v>-0.90678430698000179</v>
      </c>
      <c r="J24">
        <f>J6-dhap4!J6</f>
        <v>-0.86049520909091015</v>
      </c>
      <c r="L24">
        <f>L6-dhap4!L6</f>
        <v>-1.4165423225788438</v>
      </c>
    </row>
    <row r="25" spans="1:12" x14ac:dyDescent="0.25">
      <c r="A25" s="13" t="s">
        <v>12</v>
      </c>
      <c r="B25">
        <f>B7-dhap4!B7</f>
        <v>0.67030206607907283</v>
      </c>
      <c r="D25">
        <f>D7-dhap4!D7</f>
        <v>0.33111716986733852</v>
      </c>
      <c r="F25">
        <f>F7-dhap4!F7</f>
        <v>0.25324920788452321</v>
      </c>
      <c r="H25">
        <f>H7-dhap4!H7</f>
        <v>-1.0208378535236642</v>
      </c>
      <c r="J25">
        <f>J7-dhap4!J7</f>
        <v>0.60890834068442845</v>
      </c>
      <c r="L25">
        <f>L7-dhap4!L7</f>
        <v>-0.79753350703737513</v>
      </c>
    </row>
    <row r="26" spans="1:12" x14ac:dyDescent="0.25">
      <c r="A26" s="13" t="s">
        <v>13</v>
      </c>
      <c r="B26">
        <f>B8-dhap4!B8</f>
        <v>-0.4257029570969133</v>
      </c>
      <c r="D26">
        <f>D8-dhap4!D8</f>
        <v>-0.591500246847389</v>
      </c>
      <c r="F26">
        <f>F8-dhap4!F8</f>
        <v>-0.64580991578475966</v>
      </c>
      <c r="H26">
        <f>H8-dhap4!H8</f>
        <v>1.8601592310040993</v>
      </c>
      <c r="J26">
        <f>J8-dhap4!J8</f>
        <v>-2.2192373532709508</v>
      </c>
      <c r="L26">
        <f>L8-dhap4!L8</f>
        <v>-0.99809843953650956</v>
      </c>
    </row>
    <row r="27" spans="1:12" x14ac:dyDescent="0.25">
      <c r="A27" s="13" t="s">
        <v>14</v>
      </c>
      <c r="B27">
        <f>B9-dhap4!B9</f>
        <v>-0.57070716755847095</v>
      </c>
      <c r="D27">
        <f>D9-dhap4!D9</f>
        <v>-1.4052145729865337</v>
      </c>
      <c r="F27">
        <f>F9-dhap4!F9</f>
        <v>-0.32889845047841926</v>
      </c>
      <c r="H27">
        <f>H9-dhap4!H9</f>
        <v>-1.1110325887688479</v>
      </c>
      <c r="J27">
        <f>J9-dhap4!J9</f>
        <v>-0.72436569357629732</v>
      </c>
      <c r="L27">
        <f>L9-dhap4!L9</f>
        <v>-0.86920664818203708</v>
      </c>
    </row>
    <row r="28" spans="1:12" x14ac:dyDescent="0.25">
      <c r="A28" s="13" t="s">
        <v>15</v>
      </c>
      <c r="B28">
        <f>B10-dhap4!B10</f>
        <v>-9.4424974638306347E-3</v>
      </c>
      <c r="D28">
        <f>D10-dhap4!D10</f>
        <v>-0.98813096531210021</v>
      </c>
      <c r="F28">
        <f>F10-dhap4!F10</f>
        <v>-0.3155863394545656</v>
      </c>
      <c r="H28">
        <f>H10-dhap4!H10</f>
        <v>-1.2701733153005215</v>
      </c>
      <c r="J28">
        <f>J10-dhap4!J10</f>
        <v>-1.5452729582434266E-2</v>
      </c>
      <c r="L28">
        <f>L10-dhap4!L10</f>
        <v>-2.4232045330766074</v>
      </c>
    </row>
    <row r="29" spans="1:12" x14ac:dyDescent="0.25">
      <c r="A29" s="13" t="s">
        <v>16</v>
      </c>
      <c r="B29">
        <f>B11-dhap4!B11</f>
        <v>0.62377553447499512</v>
      </c>
      <c r="D29">
        <f>D11-dhap4!D11</f>
        <v>-0.47681040582083756</v>
      </c>
      <c r="F29">
        <f>F11-dhap4!F11</f>
        <v>-3.0225408975642383</v>
      </c>
      <c r="H29">
        <f>H11-dhap4!H11</f>
        <v>-1.3799468710289373</v>
      </c>
      <c r="J29">
        <f>J11-dhap4!J11</f>
        <v>-5.258294523848309</v>
      </c>
      <c r="L29">
        <f>L11-dhap4!L11</f>
        <v>-1.702508399553615E-2</v>
      </c>
    </row>
    <row r="30" spans="1:12" x14ac:dyDescent="0.25">
      <c r="A30" s="13" t="s">
        <v>17</v>
      </c>
      <c r="B30">
        <f>B12-dhap4!B12</f>
        <v>-0.97218553588219536</v>
      </c>
      <c r="D30">
        <f>D12-dhap4!D12</f>
        <v>-0.80197122748193184</v>
      </c>
      <c r="F30">
        <f>F12-dhap4!F12</f>
        <v>-0.75629389840485639</v>
      </c>
      <c r="H30">
        <f>H12-dhap4!H12</f>
        <v>-1.2197313679937849</v>
      </c>
      <c r="J30">
        <f>J12-dhap4!J12</f>
        <v>-1.166253970952781</v>
      </c>
      <c r="L30">
        <f>L12-dhap4!L12</f>
        <v>-0.82897611356526646</v>
      </c>
    </row>
    <row r="31" spans="1:12" x14ac:dyDescent="0.25">
      <c r="A31" s="13" t="s">
        <v>18</v>
      </c>
      <c r="B31">
        <f>B13-dhap4!B13</f>
        <v>-0.67422936879078565</v>
      </c>
      <c r="D31">
        <f>D13-dhap4!D13</f>
        <v>-0.84607738304109115</v>
      </c>
      <c r="F31">
        <f>F13-dhap4!F13</f>
        <v>-0.75926573065450143</v>
      </c>
      <c r="H31">
        <f>H13-dhap4!H13</f>
        <v>-0.53853290433137835</v>
      </c>
      <c r="J31">
        <f>J13-dhap4!J13</f>
        <v>-0.8365003838518541</v>
      </c>
      <c r="L31">
        <f>L13-dhap4!L13</f>
        <v>-1.2014606561364765</v>
      </c>
    </row>
    <row r="32" spans="1:12" x14ac:dyDescent="0.25">
      <c r="A32" s="13" t="s">
        <v>19</v>
      </c>
      <c r="B32">
        <f>B14-dhap4!B14</f>
        <v>-0.42809995919085386</v>
      </c>
      <c r="D32">
        <f>D14-dhap4!D14</f>
        <v>-0.50614564877494017</v>
      </c>
      <c r="F32">
        <f>F14-dhap4!F14</f>
        <v>-2.7309031366709369</v>
      </c>
      <c r="H32">
        <f>H14-dhap4!H14</f>
        <v>-2.1343677189433308</v>
      </c>
      <c r="J32">
        <f>J14-dhap4!J14</f>
        <v>-0.75402212427914805</v>
      </c>
      <c r="L32">
        <f>L14-dhap4!L14</f>
        <v>-1.2902738310673876</v>
      </c>
    </row>
    <row r="33" spans="1:12" x14ac:dyDescent="0.25">
      <c r="A33" s="13" t="s">
        <v>20</v>
      </c>
      <c r="B33">
        <f>B15-dhap4!B15</f>
        <v>-0.77374850172400156</v>
      </c>
      <c r="D33">
        <f>D15-dhap4!D15</f>
        <v>-0.31944980917850085</v>
      </c>
      <c r="F33">
        <f>F15-dhap4!F15</f>
        <v>-16.679509166709291</v>
      </c>
      <c r="H33">
        <f>H15-dhap4!H15</f>
        <v>-1.7025216687970117</v>
      </c>
      <c r="J33">
        <f>J15-dhap4!J15</f>
        <v>-0.34516687076785113</v>
      </c>
      <c r="L33">
        <f>L15-dhap4!L15</f>
        <v>-0.78036227539452563</v>
      </c>
    </row>
    <row r="34" spans="1:12" x14ac:dyDescent="0.25">
      <c r="A34" s="13" t="s">
        <v>21</v>
      </c>
      <c r="B34">
        <f>B16-dhap4!B16</f>
        <v>-1.7460393322220162</v>
      </c>
      <c r="D34">
        <f>D16-dhap4!D16</f>
        <v>-0.62247795380722037</v>
      </c>
      <c r="F34">
        <f>F16-dhap4!F16</f>
        <v>-1.6970781115571991</v>
      </c>
      <c r="H34">
        <f>H16-dhap4!H16</f>
        <v>-0.19143919580742419</v>
      </c>
      <c r="J34">
        <f>J16-dhap4!J16</f>
        <v>-1.4647730719791643</v>
      </c>
      <c r="L34">
        <f>L16-dhap4!L16</f>
        <v>1.4115341439038946</v>
      </c>
    </row>
    <row r="37" spans="1:12" x14ac:dyDescent="0.25">
      <c r="A37" t="s">
        <v>80</v>
      </c>
    </row>
    <row r="38" spans="1:12" x14ac:dyDescent="0.25">
      <c r="A38">
        <v>1.4529772496030113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workbookViewId="0">
      <selection activeCell="A38" sqref="A38"/>
    </sheetView>
  </sheetViews>
  <sheetFormatPr defaultColWidth="8.85546875" defaultRowHeight="15" x14ac:dyDescent="0.25"/>
  <sheetData>
    <row r="1" spans="1:13" x14ac:dyDescent="0.25">
      <c r="A1" s="13" t="s">
        <v>0</v>
      </c>
      <c r="B1" s="13" t="s">
        <v>1</v>
      </c>
      <c r="C1" s="14" t="s">
        <v>22</v>
      </c>
      <c r="D1" s="13" t="s">
        <v>2</v>
      </c>
      <c r="E1" s="15" t="s">
        <v>23</v>
      </c>
      <c r="F1" s="13" t="s">
        <v>3</v>
      </c>
      <c r="G1" s="16" t="s">
        <v>24</v>
      </c>
      <c r="H1" s="13" t="s">
        <v>4</v>
      </c>
      <c r="I1" s="17" t="s">
        <v>25</v>
      </c>
      <c r="J1" s="13" t="s">
        <v>5</v>
      </c>
      <c r="K1" s="18" t="s">
        <v>26</v>
      </c>
      <c r="L1" s="13" t="s">
        <v>6</v>
      </c>
      <c r="M1" s="19" t="s">
        <v>27</v>
      </c>
    </row>
    <row r="2" spans="1:13" x14ac:dyDescent="0.25">
      <c r="A2" s="13" t="s">
        <v>7</v>
      </c>
      <c r="B2" s="13">
        <v>0.46762921981325017</v>
      </c>
      <c r="C2" s="14">
        <v>0.762384490029694</v>
      </c>
      <c r="D2" s="13">
        <v>0.15507718760812175</v>
      </c>
      <c r="E2" s="15">
        <v>0.44624975588118598</v>
      </c>
      <c r="F2" s="13">
        <v>1.3531695317610319</v>
      </c>
      <c r="G2" s="16">
        <v>0.78551996118716705</v>
      </c>
      <c r="H2" s="13">
        <v>0.13184417685843439</v>
      </c>
      <c r="I2" s="17">
        <v>0.29160072506103601</v>
      </c>
      <c r="J2" s="13">
        <v>0.21633234084068123</v>
      </c>
      <c r="K2" s="18">
        <v>0.82577386681059695</v>
      </c>
      <c r="L2" s="8">
        <v>1.0225183597932404</v>
      </c>
      <c r="M2" s="7">
        <v>4.5710095337786E-2</v>
      </c>
    </row>
    <row r="3" spans="1:13" x14ac:dyDescent="0.25">
      <c r="A3" s="13" t="s">
        <v>8</v>
      </c>
      <c r="B3" s="13">
        <v>0.36744055241724194</v>
      </c>
      <c r="C3" s="14">
        <v>8.2901279432195593E-2</v>
      </c>
      <c r="D3" s="8">
        <v>1.0332534211359279</v>
      </c>
      <c r="E3" s="9">
        <v>9.0782211164155292E-3</v>
      </c>
      <c r="F3" s="13">
        <v>0.45576767493097242</v>
      </c>
      <c r="G3" s="16">
        <v>0.52024738694317496</v>
      </c>
      <c r="H3" s="13">
        <v>0.35242521088531681</v>
      </c>
      <c r="I3" s="17">
        <v>7.2269282640789106E-2</v>
      </c>
      <c r="J3" s="13">
        <v>1.2596766861136974</v>
      </c>
      <c r="K3" s="18">
        <v>0.76388269721491497</v>
      </c>
      <c r="L3" s="13">
        <v>1.5287111853551032</v>
      </c>
      <c r="M3" s="19">
        <v>0.45347930983877699</v>
      </c>
    </row>
    <row r="4" spans="1:13" x14ac:dyDescent="0.25">
      <c r="A4" s="13" t="s">
        <v>9</v>
      </c>
      <c r="B4" s="13">
        <v>0.64449196315906043</v>
      </c>
      <c r="C4" s="14">
        <v>6.6225124959576706E-2</v>
      </c>
      <c r="D4" s="13">
        <v>0.14496421249999999</v>
      </c>
      <c r="E4" s="15">
        <v>0.61881514010194805</v>
      </c>
      <c r="F4" s="8">
        <v>0.89962560433343353</v>
      </c>
      <c r="G4" s="10">
        <v>1.6347989883004101E-2</v>
      </c>
      <c r="H4" s="8">
        <v>1.1725477334353624</v>
      </c>
      <c r="I4" s="11">
        <v>1.1178235493982801E-2</v>
      </c>
      <c r="J4" s="13">
        <v>0.97251846917235241</v>
      </c>
      <c r="K4" s="18">
        <v>0.41128551861353002</v>
      </c>
      <c r="L4" s="8">
        <v>1.0053480656287401</v>
      </c>
      <c r="M4" s="7">
        <v>2.5966862137770701E-2</v>
      </c>
    </row>
    <row r="5" spans="1:13" x14ac:dyDescent="0.25">
      <c r="A5" s="13" t="s">
        <v>10</v>
      </c>
      <c r="B5" s="13">
        <v>0.4288779966154691</v>
      </c>
      <c r="C5" s="14">
        <v>0.33061324554751997</v>
      </c>
      <c r="D5" s="13">
        <v>0.79915311693452307</v>
      </c>
      <c r="E5" s="15">
        <v>0.58761063110676703</v>
      </c>
      <c r="F5" s="13">
        <v>0.9660822252194482</v>
      </c>
      <c r="G5" s="16">
        <v>0.876273721691745</v>
      </c>
      <c r="H5" s="13">
        <v>0.93934811513080341</v>
      </c>
      <c r="I5" s="17">
        <v>0.12610118972802201</v>
      </c>
      <c r="J5" s="13">
        <v>0.55632510435610427</v>
      </c>
      <c r="K5" s="18">
        <v>0.84451617033304205</v>
      </c>
      <c r="L5" s="13">
        <v>0.24962262625214857</v>
      </c>
      <c r="M5" s="19">
        <v>0.34787221257796602</v>
      </c>
    </row>
    <row r="6" spans="1:13" x14ac:dyDescent="0.25">
      <c r="A6" s="13" t="s">
        <v>11</v>
      </c>
      <c r="B6" s="13">
        <v>0.51847534986040478</v>
      </c>
      <c r="C6" s="14">
        <v>0.41886387925431101</v>
      </c>
      <c r="D6" s="13">
        <v>0.22012216031867282</v>
      </c>
      <c r="E6" s="15">
        <v>0.54683519144140802</v>
      </c>
      <c r="F6" s="13">
        <v>0.35326105333333335</v>
      </c>
      <c r="G6" s="16">
        <v>0.60936795919082498</v>
      </c>
      <c r="H6" s="13">
        <v>0.21675962268811891</v>
      </c>
      <c r="I6" s="17">
        <v>0.51888455220311103</v>
      </c>
      <c r="J6" s="13">
        <v>0.31056794874410643</v>
      </c>
      <c r="K6" s="18">
        <v>0.92811381976317897</v>
      </c>
      <c r="L6" s="13">
        <v>0.14990317153823232</v>
      </c>
      <c r="M6" s="19">
        <v>0.117144834533319</v>
      </c>
    </row>
    <row r="7" spans="1:13" x14ac:dyDescent="0.25">
      <c r="A7" s="13" t="s">
        <v>12</v>
      </c>
      <c r="B7" s="13">
        <v>1.921107263358492</v>
      </c>
      <c r="C7" s="14">
        <v>0.73074475229926095</v>
      </c>
      <c r="D7" s="13">
        <v>1.3184813118381991</v>
      </c>
      <c r="E7" s="15">
        <v>0.482119508817688</v>
      </c>
      <c r="F7" s="13">
        <v>0.87114243940969038</v>
      </c>
      <c r="G7" s="16">
        <v>7.7299330333445299E-2</v>
      </c>
      <c r="H7" s="13">
        <v>0.4916199175</v>
      </c>
      <c r="I7" s="17">
        <v>0.41648763304756098</v>
      </c>
      <c r="J7" s="13">
        <v>1.4184843926467146</v>
      </c>
      <c r="K7" s="18">
        <v>0.92618166088133702</v>
      </c>
      <c r="L7" s="8">
        <v>0.66743518717518713</v>
      </c>
      <c r="M7" s="7">
        <v>1.5741522728162101E-2</v>
      </c>
    </row>
    <row r="8" spans="1:13" x14ac:dyDescent="0.25">
      <c r="A8" s="13" t="s">
        <v>13</v>
      </c>
      <c r="B8" s="8">
        <v>0.63022491766999744</v>
      </c>
      <c r="C8" s="12">
        <v>3.9736164584284001E-2</v>
      </c>
      <c r="D8" s="8">
        <v>0.73409738305206418</v>
      </c>
      <c r="E8" s="9">
        <v>2.23753114222145E-3</v>
      </c>
      <c r="F8" s="8">
        <v>0.30421955873229006</v>
      </c>
      <c r="G8" s="10">
        <v>2.4759724199063201E-3</v>
      </c>
      <c r="H8" s="13">
        <v>2.8113522142792289</v>
      </c>
      <c r="I8" s="17">
        <v>0.42442038054964198</v>
      </c>
      <c r="J8" s="13">
        <v>0.5935956166666666</v>
      </c>
      <c r="K8" s="18">
        <v>0.57583799773840905</v>
      </c>
      <c r="L8" s="8">
        <v>0.50182440663058081</v>
      </c>
      <c r="M8" s="7">
        <v>1.1238296525258799E-3</v>
      </c>
    </row>
    <row r="9" spans="1:13" x14ac:dyDescent="0.25">
      <c r="A9" s="13" t="s">
        <v>14</v>
      </c>
      <c r="B9" s="13">
        <v>0.44246578767364425</v>
      </c>
      <c r="C9" s="14">
        <v>0.30555896896170998</v>
      </c>
      <c r="D9" s="13">
        <v>0.32018108890811586</v>
      </c>
      <c r="E9" s="15">
        <v>0.220796800536256</v>
      </c>
      <c r="F9" s="13">
        <v>0.74008527908572086</v>
      </c>
      <c r="G9" s="16">
        <v>0.34273266373509897</v>
      </c>
      <c r="H9" s="8">
        <v>0.25886684257527803</v>
      </c>
      <c r="I9" s="11">
        <v>1.6849469393969401E-2</v>
      </c>
      <c r="J9" s="13">
        <v>0.47886307133961775</v>
      </c>
      <c r="K9" s="18">
        <v>0.80207673397527102</v>
      </c>
      <c r="L9" s="13">
        <v>0.26942001350631795</v>
      </c>
      <c r="M9" s="19">
        <v>8.3557084326203193E-2</v>
      </c>
    </row>
    <row r="10" spans="1:13" x14ac:dyDescent="0.25">
      <c r="A10" s="13" t="s">
        <v>15</v>
      </c>
      <c r="B10" s="13">
        <v>0.99089111138215757</v>
      </c>
      <c r="C10" s="14">
        <v>0.40967747091093998</v>
      </c>
      <c r="D10" s="8">
        <v>0.27262481883085277</v>
      </c>
      <c r="E10" s="9">
        <v>4.93615335741312E-2</v>
      </c>
      <c r="F10" s="13">
        <v>0.99473022479074003</v>
      </c>
      <c r="G10" s="16">
        <v>7.5060611423136706E-2</v>
      </c>
      <c r="H10" s="13">
        <v>0.18648307931970642</v>
      </c>
      <c r="I10" s="17">
        <v>5.3349459021998002E-2</v>
      </c>
      <c r="J10" s="13">
        <v>1.1820504051938578</v>
      </c>
      <c r="K10" s="18">
        <v>0.83537027035042999</v>
      </c>
      <c r="L10" s="8">
        <v>0.30735662036626643</v>
      </c>
      <c r="M10" s="7">
        <v>2.0751052693414899E-3</v>
      </c>
    </row>
    <row r="11" spans="1:13" x14ac:dyDescent="0.25">
      <c r="A11" s="13" t="s">
        <v>16</v>
      </c>
      <c r="B11" s="13">
        <v>2.1957590732105192</v>
      </c>
      <c r="C11" s="14">
        <v>0.312866167848105</v>
      </c>
      <c r="D11" s="13">
        <v>0.93306426678878263</v>
      </c>
      <c r="E11" s="15">
        <v>0.36919882166698498</v>
      </c>
      <c r="F11" s="13">
        <v>0.38867473389801388</v>
      </c>
      <c r="G11" s="16">
        <v>0.32044779172975002</v>
      </c>
      <c r="H11" s="13">
        <v>0.18554527265367718</v>
      </c>
      <c r="I11" s="17">
        <v>1.01926877470356</v>
      </c>
      <c r="J11" s="13">
        <v>0.55660240254580107</v>
      </c>
      <c r="K11" s="18">
        <v>0.41730594570108798</v>
      </c>
      <c r="L11" s="13">
        <v>1.3520900242499672</v>
      </c>
      <c r="M11" s="19">
        <v>0.32964773522541801</v>
      </c>
    </row>
    <row r="12" spans="1:13" x14ac:dyDescent="0.25">
      <c r="A12" s="13" t="s">
        <v>17</v>
      </c>
      <c r="B12" s="13">
        <v>0.30991511536110455</v>
      </c>
      <c r="C12" s="14">
        <v>0.673063017606508</v>
      </c>
      <c r="D12" s="13">
        <v>0.72431139869952321</v>
      </c>
      <c r="E12" s="15">
        <v>0.48391674975244903</v>
      </c>
      <c r="F12" s="13">
        <v>0.47346994515140545</v>
      </c>
      <c r="G12" s="16">
        <v>0.37967438937929698</v>
      </c>
      <c r="H12" s="13">
        <v>0.19815125280133275</v>
      </c>
      <c r="I12" s="17">
        <v>0.61551986182630103</v>
      </c>
      <c r="J12" s="13">
        <v>0.29617576916422272</v>
      </c>
      <c r="K12" s="18">
        <v>0.96518223885221099</v>
      </c>
      <c r="L12" s="13">
        <v>0.24730202451883712</v>
      </c>
      <c r="M12" s="19">
        <v>0.77989454444137896</v>
      </c>
    </row>
    <row r="13" spans="1:13" x14ac:dyDescent="0.25">
      <c r="A13" s="13" t="s">
        <v>18</v>
      </c>
      <c r="B13" s="13">
        <v>0.49186507942959712</v>
      </c>
      <c r="C13" s="14">
        <v>9.5712795892028399E-2</v>
      </c>
      <c r="D13" s="13">
        <v>0.34632056872017669</v>
      </c>
      <c r="E13" s="15">
        <v>0.44634237725270698</v>
      </c>
      <c r="F13" s="13">
        <v>0.29196274728891991</v>
      </c>
      <c r="G13" s="16">
        <v>0.31255665386579601</v>
      </c>
      <c r="H13" s="13">
        <v>0.43419024412434842</v>
      </c>
      <c r="I13" s="17">
        <v>0.98678976939878205</v>
      </c>
      <c r="J13" s="13">
        <v>0.29505389654542502</v>
      </c>
      <c r="K13" s="18">
        <v>0.517815470814041</v>
      </c>
      <c r="L13" s="13">
        <v>0.38788627559080663</v>
      </c>
      <c r="M13" s="19">
        <v>0.297478016852251</v>
      </c>
    </row>
    <row r="14" spans="1:13" x14ac:dyDescent="0.25">
      <c r="A14" s="13" t="s">
        <v>19</v>
      </c>
      <c r="B14" s="13">
        <v>0.66952270948276638</v>
      </c>
      <c r="C14" s="14">
        <v>0.174295602147962</v>
      </c>
      <c r="D14" s="13">
        <v>0.63213462105640117</v>
      </c>
      <c r="E14" s="15">
        <v>0.86844583111990603</v>
      </c>
      <c r="F14" s="8">
        <v>0.57906792641075422</v>
      </c>
      <c r="G14" s="10">
        <v>4.3268390080787603E-2</v>
      </c>
      <c r="H14" s="8">
        <v>0.2768364016552104</v>
      </c>
      <c r="I14" s="11">
        <v>8.3521584494051695E-3</v>
      </c>
      <c r="J14" s="13">
        <v>0.29977196577080628</v>
      </c>
      <c r="K14" s="18">
        <v>0.81524617305381997</v>
      </c>
      <c r="L14" s="13">
        <v>0.45437758885298524</v>
      </c>
      <c r="M14" s="19">
        <v>6.5292475138674894E-2</v>
      </c>
    </row>
    <row r="15" spans="1:13" x14ac:dyDescent="0.25">
      <c r="A15" s="13" t="s">
        <v>20</v>
      </c>
      <c r="B15" s="8">
        <v>0.36273449767965604</v>
      </c>
      <c r="C15" s="12">
        <v>4.0424970068182499E-3</v>
      </c>
      <c r="D15" s="13">
        <v>0.78138836030638492</v>
      </c>
      <c r="E15" s="15">
        <v>5.7965913592618802E-2</v>
      </c>
      <c r="F15" s="13">
        <v>0.1187863391244976</v>
      </c>
      <c r="G15" s="16">
        <v>0.218104991549528</v>
      </c>
      <c r="H15" s="8">
        <v>0.37847135728016162</v>
      </c>
      <c r="I15" s="11">
        <v>1.17388410353965E-2</v>
      </c>
      <c r="J15" s="13">
        <v>0.68710592868541553</v>
      </c>
      <c r="K15" s="18">
        <v>0.21974386864794401</v>
      </c>
      <c r="L15" s="13">
        <v>0.4399607625345649</v>
      </c>
      <c r="M15" s="19">
        <v>0.26584607245743602</v>
      </c>
    </row>
    <row r="16" spans="1:13" x14ac:dyDescent="0.25">
      <c r="A16" s="13" t="s">
        <v>21</v>
      </c>
      <c r="B16" s="8">
        <v>2.0620941583142103</v>
      </c>
      <c r="C16" s="12">
        <v>8.8957362296602296E-3</v>
      </c>
      <c r="D16" s="13">
        <v>0.74314059057793569</v>
      </c>
      <c r="E16" s="15">
        <v>0.31603437363464698</v>
      </c>
      <c r="F16" s="13">
        <v>1.0719777621248878</v>
      </c>
      <c r="G16" s="16">
        <v>0.250267714639267</v>
      </c>
      <c r="H16" s="13">
        <v>1.2265392148812089</v>
      </c>
      <c r="I16" s="17">
        <v>1.01343777505961</v>
      </c>
      <c r="J16" s="13">
        <v>0.51022100995054709</v>
      </c>
      <c r="K16" s="18">
        <v>0.88243598341370999</v>
      </c>
      <c r="L16" s="13">
        <v>3.1590337508333337</v>
      </c>
      <c r="M16" s="19">
        <v>0.45617091532496501</v>
      </c>
    </row>
    <row r="20" spans="1:12" x14ac:dyDescent="0.25">
      <c r="A20" t="s">
        <v>81</v>
      </c>
    </row>
    <row r="21" spans="1:12" x14ac:dyDescent="0.25">
      <c r="A21" s="13" t="s">
        <v>7</v>
      </c>
      <c r="B21">
        <f>B2-dhap4!B2</f>
        <v>-0.54723238007527031</v>
      </c>
      <c r="D21">
        <f>D2-dhap4!D2</f>
        <v>-1.0437521577707127</v>
      </c>
      <c r="F21">
        <f>F2-dhap4!F2</f>
        <v>-0.10201513056157951</v>
      </c>
      <c r="H21">
        <f>H2-dhap4!H2</f>
        <v>-1.2379364116903742</v>
      </c>
      <c r="J21">
        <f>J2-dhap4!J2</f>
        <v>-0.84447713539166358</v>
      </c>
      <c r="L21">
        <f>L2-dhap4!L2</f>
        <v>-0.45115626632193884</v>
      </c>
    </row>
    <row r="22" spans="1:12" x14ac:dyDescent="0.25">
      <c r="A22" s="13" t="s">
        <v>8</v>
      </c>
      <c r="B22">
        <f>B3-dhap4!B3</f>
        <v>-0.75298824322674585</v>
      </c>
      <c r="D22">
        <f>D3-dhap4!D3</f>
        <v>-0.43211176934922202</v>
      </c>
      <c r="F22">
        <f>F3-dhap4!F3</f>
        <v>-0.99530980367952715</v>
      </c>
      <c r="H22">
        <f>H3-dhap4!H3</f>
        <v>-1.399930150865125</v>
      </c>
      <c r="J22">
        <f>J3-dhap4!J3</f>
        <v>4.8624939043076187E-2</v>
      </c>
      <c r="L22">
        <f>L3-dhap4!L3</f>
        <v>0.1328719881819993</v>
      </c>
    </row>
    <row r="23" spans="1:12" x14ac:dyDescent="0.25">
      <c r="A23" s="13" t="s">
        <v>9</v>
      </c>
      <c r="B23">
        <f>B4-dhap4!B4</f>
        <v>-0.8141607800555335</v>
      </c>
      <c r="D23">
        <f>D4-dhap4!D4</f>
        <v>-1.5744223426702637</v>
      </c>
      <c r="F23">
        <f>F4-dhap4!F4</f>
        <v>-0.2828391164050984</v>
      </c>
      <c r="H23">
        <f>H4-dhap4!H4</f>
        <v>-3.6643110502929899E-2</v>
      </c>
      <c r="J23">
        <f>J4-dhap4!J4</f>
        <v>-0.13389530255630822</v>
      </c>
      <c r="L23">
        <f>L4-dhap4!L4</f>
        <v>-0.39879524249152465</v>
      </c>
    </row>
    <row r="24" spans="1:12" x14ac:dyDescent="0.25">
      <c r="A24" s="13" t="s">
        <v>10</v>
      </c>
      <c r="B24">
        <f>B5-dhap4!B5</f>
        <v>-1.4250352189781372</v>
      </c>
      <c r="D24">
        <f>D5-dhap4!D5</f>
        <v>-1.0464587540860619</v>
      </c>
      <c r="F24">
        <f>F5-dhap4!F5</f>
        <v>-6.2151901255003694E-2</v>
      </c>
      <c r="H24">
        <f>H5-dhap4!H5</f>
        <v>-1.0156008266019825</v>
      </c>
      <c r="J24">
        <f>J5-dhap4!J5</f>
        <v>-0.63250930345778011</v>
      </c>
      <c r="L24">
        <f>L5-dhap4!L5</f>
        <v>-0.92912229339740438</v>
      </c>
    </row>
    <row r="25" spans="1:12" x14ac:dyDescent="0.25">
      <c r="A25" s="13" t="s">
        <v>11</v>
      </c>
      <c r="B25">
        <f>B6-dhap4!B6</f>
        <v>-0.65085885907371022</v>
      </c>
      <c r="D25">
        <f>D6-dhap4!D6</f>
        <v>-0.99666867664724867</v>
      </c>
      <c r="F25">
        <f>F6-dhap4!F6</f>
        <v>-0.80099285302372358</v>
      </c>
      <c r="H25">
        <f>H6-dhap4!H6</f>
        <v>-0.90999013633786607</v>
      </c>
      <c r="J25">
        <f>J6-dhap4!J6</f>
        <v>-0.89877169243862287</v>
      </c>
      <c r="L25">
        <f>L6-dhap4!L6</f>
        <v>-1.420584234978187</v>
      </c>
    </row>
    <row r="26" spans="1:12" x14ac:dyDescent="0.25">
      <c r="A26" s="13" t="s">
        <v>12</v>
      </c>
      <c r="B26">
        <f>B7-dhap4!B7</f>
        <v>0.72631606733931497</v>
      </c>
      <c r="D26">
        <f>D7-dhap4!D7</f>
        <v>0.25782813914912861</v>
      </c>
      <c r="F26">
        <f>F7-dhap4!F7</f>
        <v>-1.1818077242484577</v>
      </c>
      <c r="H26">
        <f>H7-dhap4!H7</f>
        <v>-1.0208378535236642</v>
      </c>
      <c r="J26">
        <f>J7-dhap4!J7</f>
        <v>0.35789110434086213</v>
      </c>
      <c r="L26">
        <f>L7-dhap4!L7</f>
        <v>-1.0514690784719041</v>
      </c>
    </row>
    <row r="27" spans="1:12" x14ac:dyDescent="0.25">
      <c r="A27" s="13" t="s">
        <v>13</v>
      </c>
      <c r="B27">
        <f>B8-dhap4!B8</f>
        <v>-0.42193140709984411</v>
      </c>
      <c r="D27">
        <f>D8-dhap4!D8</f>
        <v>-0.51189412951367241</v>
      </c>
      <c r="F27">
        <f>F8-dhap4!F8</f>
        <v>-0.70044432844701499</v>
      </c>
      <c r="H27">
        <f>H8-dhap4!H8</f>
        <v>1.7534662433134427</v>
      </c>
      <c r="J27">
        <f>J8-dhap4!J8</f>
        <v>-2.2192373532709508</v>
      </c>
      <c r="L27">
        <f>L8-dhap4!L8</f>
        <v>-0.99887966772381875</v>
      </c>
    </row>
    <row r="28" spans="1:12" x14ac:dyDescent="0.25">
      <c r="A28" s="13" t="s">
        <v>14</v>
      </c>
      <c r="B28">
        <f>B9-dhap4!B9</f>
        <v>-0.64958145081505281</v>
      </c>
      <c r="D28">
        <f>D9-dhap4!D9</f>
        <v>-1.3783177192669427</v>
      </c>
      <c r="F28">
        <f>F9-dhap4!F9</f>
        <v>-0.48588844401837927</v>
      </c>
      <c r="H28">
        <f>H9-dhap4!H9</f>
        <v>-1.1071686339082152</v>
      </c>
      <c r="J28">
        <f>J9-dhap4!J9</f>
        <v>-0.82809436486588917</v>
      </c>
      <c r="L28">
        <f>L9-dhap4!L9</f>
        <v>-0.87250240866743256</v>
      </c>
    </row>
    <row r="29" spans="1:12" x14ac:dyDescent="0.25">
      <c r="A29" s="13" t="s">
        <v>15</v>
      </c>
      <c r="B29">
        <f>B10-dhap4!B10</f>
        <v>-9.4602176345736089E-3</v>
      </c>
      <c r="D29">
        <f>D10-dhap4!D10</f>
        <v>-0.98484716574996856</v>
      </c>
      <c r="F29">
        <f>F10-dhap4!F10</f>
        <v>-0.28667389438455959</v>
      </c>
      <c r="H29">
        <f>H10-dhap4!H10</f>
        <v>-1.2649817770106946</v>
      </c>
      <c r="J29">
        <f>J10-dhap4!J10</f>
        <v>-2.7646931404530228E-3</v>
      </c>
      <c r="L29">
        <f>L10-dhap4!L10</f>
        <v>-2.4193751767530758</v>
      </c>
    </row>
    <row r="30" spans="1:12" x14ac:dyDescent="0.25">
      <c r="A30" s="13" t="s">
        <v>16</v>
      </c>
      <c r="B30">
        <f>B11-dhap4!B11</f>
        <v>0.60556631612480949</v>
      </c>
      <c r="D30">
        <f>D11-dhap4!D11</f>
        <v>-0.58394357676469999</v>
      </c>
      <c r="F30">
        <f>F11-dhap4!F11</f>
        <v>-2.7675532633035691</v>
      </c>
      <c r="H30">
        <f>H11-dhap4!H11</f>
        <v>-1.3516822270811297</v>
      </c>
      <c r="J30">
        <f>J11-dhap4!J11</f>
        <v>-5.3507542586614534</v>
      </c>
      <c r="L30">
        <f>L11-dhap4!L11</f>
        <v>0.10012682173455456</v>
      </c>
    </row>
    <row r="31" spans="1:12" x14ac:dyDescent="0.25">
      <c r="A31" s="13" t="s">
        <v>17</v>
      </c>
      <c r="B31">
        <f>B12-dhap4!B12</f>
        <v>-0.97295459516359317</v>
      </c>
      <c r="D31">
        <f>D12-dhap4!D12</f>
        <v>-0.79869636187271931</v>
      </c>
      <c r="F31">
        <f>F12-dhap4!F12</f>
        <v>-0.75732828075010294</v>
      </c>
      <c r="H31">
        <f>H12-dhap4!H12</f>
        <v>-1.2188567065488956</v>
      </c>
      <c r="J31">
        <f>J12-dhap4!J12</f>
        <v>-1.1649803654692614</v>
      </c>
      <c r="L31">
        <f>L12-dhap4!L12</f>
        <v>-0.82941852912137271</v>
      </c>
    </row>
    <row r="32" spans="1:12" x14ac:dyDescent="0.25">
      <c r="A32" s="13" t="s">
        <v>18</v>
      </c>
      <c r="B32">
        <f>B13-dhap4!B13</f>
        <v>-0.66248367932264451</v>
      </c>
      <c r="D32">
        <f>D13-dhap4!D13</f>
        <v>-0.7212140057305938</v>
      </c>
      <c r="F32">
        <f>F13-dhap4!F13</f>
        <v>-0.75656442103045585</v>
      </c>
      <c r="H32">
        <f>H13-dhap4!H13</f>
        <v>-0.68442648981822041</v>
      </c>
      <c r="J32">
        <f>J13-dhap4!J13</f>
        <v>-0.80700035671520309</v>
      </c>
      <c r="L32">
        <f>L13-dhap4!L13</f>
        <v>-1.0853833392717032</v>
      </c>
    </row>
    <row r="33" spans="1:12" x14ac:dyDescent="0.25">
      <c r="A33" s="13" t="s">
        <v>19</v>
      </c>
      <c r="B33">
        <f>B14-dhap4!B14</f>
        <v>-0.46939551309805416</v>
      </c>
      <c r="D33">
        <f>D14-dhap4!D14</f>
        <v>-0.46542081798002477</v>
      </c>
      <c r="F33">
        <f>F14-dhap4!F14</f>
        <v>-2.5930044399734693</v>
      </c>
      <c r="H33">
        <f>H14-dhap4!H14</f>
        <v>-2.1622064728987183</v>
      </c>
      <c r="J33">
        <f>J14-dhap4!J14</f>
        <v>-0.79441401287758362</v>
      </c>
      <c r="L33">
        <f>L14-dhap4!L14</f>
        <v>-1.3655688771635019</v>
      </c>
    </row>
    <row r="34" spans="1:12" x14ac:dyDescent="0.25">
      <c r="A34" s="13" t="s">
        <v>20</v>
      </c>
      <c r="B34">
        <f>B15-dhap4!B15</f>
        <v>-0.77637757483503234</v>
      </c>
      <c r="D34">
        <f>D15-dhap4!D15</f>
        <v>-0.35785313476282954</v>
      </c>
      <c r="F34">
        <f>F15-dhap4!F15</f>
        <v>-16.687707459802809</v>
      </c>
      <c r="H34">
        <f>H15-dhap4!H15</f>
        <v>-1.789178200282401</v>
      </c>
      <c r="J34">
        <f>J15-dhap4!J15</f>
        <v>-0.32194547562832865</v>
      </c>
      <c r="L34">
        <f>L15-dhap4!L15</f>
        <v>-0.79454667027129955</v>
      </c>
    </row>
    <row r="35" spans="1:12" x14ac:dyDescent="0.25">
      <c r="A35" s="13" t="s">
        <v>21</v>
      </c>
      <c r="B35">
        <f>B16-dhap4!B16</f>
        <v>-2.0307497477701442</v>
      </c>
      <c r="D35">
        <f>D16-dhap4!D16</f>
        <v>-0.54811652179585535</v>
      </c>
      <c r="F35">
        <f>F16-dhap4!F16</f>
        <v>-1.890040515753727</v>
      </c>
      <c r="H35">
        <f>H16-dhap4!H16</f>
        <v>-8.1701566484354116E-2</v>
      </c>
      <c r="J35">
        <f>J16-dhap4!J16</f>
        <v>-1.4151803117710475</v>
      </c>
      <c r="L35">
        <f>L16-dhap4!L16</f>
        <v>1.4115341439038946</v>
      </c>
    </row>
    <row r="37" spans="1:12" x14ac:dyDescent="0.25">
      <c r="A37" t="s">
        <v>80</v>
      </c>
    </row>
    <row r="38" spans="1:12" x14ac:dyDescent="0.25">
      <c r="A38">
        <v>1.4277504444793809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38</vt:i4>
      </vt:variant>
    </vt:vector>
  </HeadingPairs>
  <TitlesOfParts>
    <vt:vector size="38" baseType="lpstr">
      <vt:lpstr>wt</vt:lpstr>
      <vt:lpstr>dcin5_17</vt:lpstr>
      <vt:lpstr>dgln3</vt:lpstr>
      <vt:lpstr>dzap1</vt:lpstr>
      <vt:lpstr>dhap4</vt:lpstr>
      <vt:lpstr>Graphs</vt:lpstr>
      <vt:lpstr>minMSE_dhap4_calculated</vt:lpstr>
      <vt:lpstr>rand1</vt:lpstr>
      <vt:lpstr>rand2</vt:lpstr>
      <vt:lpstr>rand3</vt:lpstr>
      <vt:lpstr>rand4</vt:lpstr>
      <vt:lpstr>rand5</vt:lpstr>
      <vt:lpstr>rand6</vt:lpstr>
      <vt:lpstr>rand7</vt:lpstr>
      <vt:lpstr>rand8</vt:lpstr>
      <vt:lpstr>rand9</vt:lpstr>
      <vt:lpstr>rand10</vt:lpstr>
      <vt:lpstr>rand11</vt:lpstr>
      <vt:lpstr>rand12</vt:lpstr>
      <vt:lpstr>rand13</vt:lpstr>
      <vt:lpstr>rand14</vt:lpstr>
      <vt:lpstr>rand15</vt:lpstr>
      <vt:lpstr>rand16</vt:lpstr>
      <vt:lpstr>rand17</vt:lpstr>
      <vt:lpstr>rand18</vt:lpstr>
      <vt:lpstr>rand19</vt:lpstr>
      <vt:lpstr>rand20</vt:lpstr>
      <vt:lpstr>rand21</vt:lpstr>
      <vt:lpstr>rand22</vt:lpstr>
      <vt:lpstr>rand23</vt:lpstr>
      <vt:lpstr>rand24</vt:lpstr>
      <vt:lpstr>rand25</vt:lpstr>
      <vt:lpstr>rand26</vt:lpstr>
      <vt:lpstr>rand27</vt:lpstr>
      <vt:lpstr>rand28</vt:lpstr>
      <vt:lpstr>rand29</vt:lpstr>
      <vt:lpstr>rand30</vt:lpstr>
      <vt:lpstr>rand31</vt:lpstr>
    </vt:vector>
  </TitlesOfParts>
  <Company>LMU-ITS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Williams, Natalie</dc:creator>
  <cp:lastModifiedBy>Williams, Natalie</cp:lastModifiedBy>
  <dcterms:created xsi:type="dcterms:W3CDTF">2017-02-16T21:44:09Z</dcterms:created>
  <dcterms:modified xsi:type="dcterms:W3CDTF">2017-03-20T23:15:49Z</dcterms:modified>
</cp:coreProperties>
</file>