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users\borders_project\Final_Results\"/>
    </mc:Choice>
  </mc:AlternateContent>
  <bookViews>
    <workbookView xWindow="120" yWindow="75" windowWidth="11280" windowHeight="5955" firstSheet="2" activeTab="3"/>
  </bookViews>
  <sheets>
    <sheet name="Income and Pop" sheetId="2" r:id="rId1"/>
    <sheet name="Employment and Productivity" sheetId="3" r:id="rId2"/>
    <sheet name="Out of Sample" sheetId="15" r:id="rId3"/>
    <sheet name="Non-Farm_Time" sheetId="11" r:id="rId4"/>
    <sheet name="Output_per_Worker_Time" sheetId="12" r:id="rId5"/>
    <sheet name="Population_Time" sheetId="13" r:id="rId6"/>
    <sheet name="Wage_Employment_Time" sheetId="14" r:id="rId7"/>
  </sheets>
  <calcPr calcId="152511"/>
</workbook>
</file>

<file path=xl/calcChain.xml><?xml version="1.0" encoding="utf-8"?>
<calcChain xmlns="http://schemas.openxmlformats.org/spreadsheetml/2006/main">
  <c r="AD30" i="2" l="1"/>
  <c r="AC30" i="2"/>
  <c r="AG29" i="3"/>
  <c r="AF29" i="3"/>
  <c r="AG22" i="3"/>
  <c r="AF22" i="3"/>
  <c r="AG15" i="3"/>
  <c r="AF15" i="3"/>
  <c r="AG8" i="3"/>
  <c r="AF8" i="3"/>
  <c r="AD29" i="3"/>
  <c r="AC29" i="3"/>
  <c r="AD22" i="3"/>
  <c r="AC22" i="3"/>
  <c r="AD15" i="3"/>
  <c r="AC15" i="3"/>
  <c r="AD8" i="3"/>
  <c r="AC8" i="3"/>
  <c r="AA29" i="3"/>
  <c r="Z29" i="3"/>
  <c r="AA22" i="3"/>
  <c r="Z22" i="3"/>
  <c r="AA15" i="3"/>
  <c r="Z15" i="3"/>
  <c r="AA8" i="3"/>
  <c r="Z8" i="3"/>
  <c r="X29" i="3"/>
  <c r="W29" i="3"/>
  <c r="X22" i="3"/>
  <c r="W22" i="3"/>
  <c r="X15" i="3"/>
  <c r="W15" i="3"/>
  <c r="X8" i="3"/>
  <c r="W8" i="3"/>
  <c r="U29" i="3"/>
  <c r="T29" i="3"/>
  <c r="U22" i="3"/>
  <c r="T22" i="3"/>
  <c r="U15" i="3"/>
  <c r="T15" i="3"/>
  <c r="U8" i="3"/>
  <c r="T8" i="3"/>
  <c r="R29" i="3"/>
  <c r="Q29" i="3"/>
  <c r="Q22" i="3"/>
  <c r="R22" i="3"/>
  <c r="R15" i="3"/>
  <c r="Q15" i="3"/>
  <c r="R8" i="3"/>
  <c r="Q8" i="3"/>
  <c r="L29" i="3"/>
  <c r="K29" i="3"/>
  <c r="L22" i="3"/>
  <c r="K22" i="3"/>
  <c r="L15" i="3"/>
  <c r="K15" i="3"/>
  <c r="L8" i="3"/>
  <c r="K8" i="3"/>
  <c r="I15" i="3"/>
  <c r="H15" i="3"/>
  <c r="I22" i="3"/>
  <c r="H22" i="3"/>
  <c r="I29" i="3"/>
  <c r="H29" i="3"/>
  <c r="I8" i="3"/>
  <c r="H8" i="3"/>
  <c r="F22" i="3"/>
  <c r="E22" i="3"/>
  <c r="F15" i="3"/>
  <c r="E15" i="3"/>
  <c r="F8" i="3"/>
  <c r="E8" i="3"/>
  <c r="C29" i="3"/>
  <c r="B29" i="3"/>
  <c r="C22" i="3"/>
  <c r="B22" i="3"/>
  <c r="C15" i="3"/>
  <c r="B15" i="3"/>
  <c r="C8" i="3"/>
  <c r="B8" i="3"/>
  <c r="F29" i="3"/>
  <c r="E29" i="3"/>
  <c r="AG29" i="2"/>
  <c r="AF29" i="2"/>
  <c r="AG22" i="2"/>
  <c r="AF22" i="2"/>
  <c r="AG15" i="2"/>
  <c r="AF15" i="2"/>
  <c r="AG8" i="2"/>
  <c r="AF8" i="2"/>
  <c r="AD29" i="2"/>
  <c r="AC29" i="2"/>
  <c r="AD22" i="2"/>
  <c r="AC22" i="2"/>
  <c r="AD15" i="2"/>
  <c r="AC15" i="2"/>
  <c r="AD8" i="2"/>
  <c r="AC8" i="2"/>
  <c r="AA29" i="2"/>
  <c r="Z29" i="2"/>
  <c r="AA22" i="2"/>
  <c r="Z22" i="2"/>
  <c r="AA15" i="2"/>
  <c r="Z15" i="2"/>
  <c r="AA8" i="2"/>
  <c r="Z8" i="2"/>
  <c r="X29" i="2"/>
  <c r="W29" i="2"/>
  <c r="X22" i="2"/>
  <c r="W22" i="2"/>
  <c r="X15" i="2"/>
  <c r="W15" i="2"/>
  <c r="X8" i="2"/>
  <c r="W8" i="2"/>
  <c r="U29" i="2"/>
  <c r="T29" i="2"/>
  <c r="U22" i="2"/>
  <c r="T22" i="2"/>
  <c r="U15" i="2"/>
  <c r="T15" i="2"/>
  <c r="U8" i="2"/>
  <c r="T8" i="2"/>
  <c r="R29" i="2"/>
  <c r="Q29" i="2"/>
  <c r="R22" i="2"/>
  <c r="Q22" i="2"/>
  <c r="R15" i="2"/>
  <c r="Q15" i="2"/>
  <c r="R8" i="2"/>
  <c r="Q8" i="2"/>
  <c r="L29" i="2"/>
  <c r="K29" i="2"/>
  <c r="L22" i="2"/>
  <c r="K22" i="2"/>
  <c r="L15" i="2"/>
  <c r="K15" i="2"/>
  <c r="L8" i="2"/>
  <c r="K8" i="2"/>
  <c r="I29" i="2"/>
  <c r="H29" i="2"/>
  <c r="I22" i="2"/>
  <c r="H22" i="2"/>
  <c r="I15" i="2"/>
  <c r="H15" i="2"/>
  <c r="I8" i="2"/>
  <c r="H8" i="2"/>
  <c r="F22" i="2"/>
  <c r="E22" i="2"/>
  <c r="F15" i="2"/>
  <c r="E15" i="2"/>
  <c r="F8" i="2"/>
  <c r="E8" i="2"/>
  <c r="F29" i="2"/>
  <c r="E29" i="2"/>
  <c r="B29" i="2"/>
  <c r="C29" i="2"/>
  <c r="C22" i="2"/>
  <c r="B22" i="2"/>
  <c r="C15" i="2"/>
  <c r="B15" i="2"/>
  <c r="C8" i="2"/>
  <c r="B8" i="2"/>
</calcChain>
</file>

<file path=xl/sharedStrings.xml><?xml version="1.0" encoding="utf-8"?>
<sst xmlns="http://schemas.openxmlformats.org/spreadsheetml/2006/main" count="1887" uniqueCount="493">
  <si>
    <t>Metrics</t>
  </si>
  <si>
    <t>Backcast</t>
  </si>
  <si>
    <t>Forecast</t>
  </si>
  <si>
    <t>Aggregate Income</t>
  </si>
  <si>
    <t>Nonfarm Income</t>
  </si>
  <si>
    <t>Per capita Income</t>
  </si>
  <si>
    <t>Population</t>
  </si>
  <si>
    <r>
      <t>R</t>
    </r>
    <r>
      <rPr>
        <vertAlign val="superscript"/>
        <sz val="12"/>
        <color theme="1"/>
        <rFont val="Times New Roman"/>
        <family val="1"/>
      </rPr>
      <t>2</t>
    </r>
  </si>
  <si>
    <t>Beacon Hill</t>
  </si>
  <si>
    <t>CED Policy</t>
  </si>
  <si>
    <t>CED Capacity</t>
  </si>
  <si>
    <t>CED Fiscal Policy</t>
  </si>
  <si>
    <t>Fantus</t>
  </si>
  <si>
    <t>Grant Thornton</t>
  </si>
  <si>
    <t>New Economy</t>
  </si>
  <si>
    <t>Fraser</t>
  </si>
  <si>
    <t>Small Business</t>
  </si>
  <si>
    <t>Pacific Institute</t>
  </si>
  <si>
    <t>Tax Foundation</t>
  </si>
  <si>
    <t>4/4</t>
  </si>
  <si>
    <t>2/4</t>
  </si>
  <si>
    <t>1/4</t>
  </si>
  <si>
    <t>0/4</t>
  </si>
  <si>
    <t>3/4</t>
  </si>
  <si>
    <t>0/5</t>
  </si>
  <si>
    <t>3/5</t>
  </si>
  <si>
    <t>4/5</t>
  </si>
  <si>
    <t>1/5</t>
  </si>
  <si>
    <t>2/10</t>
  </si>
  <si>
    <t>5/10</t>
  </si>
  <si>
    <t>0/10</t>
  </si>
  <si>
    <t>4/10</t>
  </si>
  <si>
    <t>1/10</t>
  </si>
  <si>
    <t>8/10</t>
  </si>
  <si>
    <t>6/10</t>
  </si>
  <si>
    <t>3/10</t>
  </si>
  <si>
    <t>9/10</t>
  </si>
  <si>
    <t>5/5</t>
  </si>
  <si>
    <t>2/5</t>
  </si>
  <si>
    <t>0/1</t>
  </si>
  <si>
    <t>1/1</t>
  </si>
  <si>
    <t>0/2</t>
  </si>
  <si>
    <t>2/2</t>
  </si>
  <si>
    <t>1/2</t>
  </si>
  <si>
    <t>6/7</t>
  </si>
  <si>
    <t>7/7</t>
  </si>
  <si>
    <t>2/7</t>
  </si>
  <si>
    <t>3/7</t>
  </si>
  <si>
    <t>4/7</t>
  </si>
  <si>
    <t>0/7</t>
  </si>
  <si>
    <t>1/7</t>
  </si>
  <si>
    <t>5/7</t>
  </si>
  <si>
    <t>Table x:  Performance of Business Climate Indexes in Predicting Relative Income or Population Growth at State Borders Over the Next 5 Years</t>
  </si>
  <si>
    <t>Table y:  Performance of Business Climate Indexes in Predicting Relative Employment, Wage or Productivity Growth at State Borders Over the Next 5 Years</t>
  </si>
  <si>
    <t>Average Wage</t>
  </si>
  <si>
    <t>Productivity</t>
  </si>
  <si>
    <t>Wage Bill</t>
  </si>
  <si>
    <t>Employment</t>
  </si>
  <si>
    <t>10/10</t>
  </si>
  <si>
    <t>7/10</t>
  </si>
  <si>
    <t>R-sq</t>
  </si>
  <si>
    <t>0.0325***</t>
  </si>
  <si>
    <t>-0.0287*</t>
  </si>
  <si>
    <t>-0.0616***</t>
  </si>
  <si>
    <t>-0.0288***</t>
  </si>
  <si>
    <t>-0.0589*</t>
  </si>
  <si>
    <t>//see results_1, there are 9 years here</t>
  </si>
  <si>
    <t>positive</t>
  </si>
  <si>
    <t>significant</t>
  </si>
  <si>
    <t>best R2</t>
  </si>
  <si>
    <t>After 2005</t>
  </si>
  <si>
    <t>95-00</t>
  </si>
  <si>
    <t>0.128***</t>
  </si>
  <si>
    <t>0.0420***</t>
  </si>
  <si>
    <t>0.0552***</t>
  </si>
  <si>
    <t>90-95</t>
  </si>
  <si>
    <t>0.0486***</t>
  </si>
  <si>
    <t>0.0423**</t>
  </si>
  <si>
    <t>0.0413**</t>
  </si>
  <si>
    <t>85-90</t>
  </si>
  <si>
    <t>0.0510**</t>
  </si>
  <si>
    <t>75-80</t>
  </si>
  <si>
    <t>0.0678**</t>
  </si>
  <si>
    <t>0.0493*</t>
  </si>
  <si>
    <t>0.0643**</t>
  </si>
  <si>
    <t>-0.103***</t>
  </si>
  <si>
    <t>-0.158***</t>
  </si>
  <si>
    <t>-0.0553**</t>
  </si>
  <si>
    <t>00-05</t>
  </si>
  <si>
    <t>-0.0137**</t>
  </si>
  <si>
    <t>-0.0160**</t>
  </si>
  <si>
    <t>-0.0203***</t>
  </si>
  <si>
    <t>-0.0211***</t>
  </si>
  <si>
    <t>-0.0175***</t>
  </si>
  <si>
    <t>-0.0252***</t>
  </si>
  <si>
    <t>-0.00867*</t>
  </si>
  <si>
    <t>-0.0638*</t>
  </si>
  <si>
    <t>-0.0571***</t>
  </si>
  <si>
    <t>-0.0622***</t>
  </si>
  <si>
    <t>-0.0610***</t>
  </si>
  <si>
    <t>-0.0900**</t>
  </si>
  <si>
    <t>-0.0964**</t>
  </si>
  <si>
    <t>-0.0909**</t>
  </si>
  <si>
    <t>-0.0799**</t>
  </si>
  <si>
    <t>0.036</t>
  </si>
  <si>
    <t>0.033</t>
  </si>
  <si>
    <t>0.032</t>
  </si>
  <si>
    <t>0.035</t>
  </si>
  <si>
    <t>0.03</t>
  </si>
  <si>
    <t>0.007</t>
  </si>
  <si>
    <t>0.066</t>
  </si>
  <si>
    <t>0.067</t>
  </si>
  <si>
    <t>0.072</t>
  </si>
  <si>
    <t>0.07</t>
  </si>
  <si>
    <t>0.005</t>
  </si>
  <si>
    <t>0.023</t>
  </si>
  <si>
    <t>0.012</t>
  </si>
  <si>
    <t>0.02</t>
  </si>
  <si>
    <t>0.019</t>
  </si>
  <si>
    <t>0.05</t>
  </si>
  <si>
    <t>0.075</t>
  </si>
  <si>
    <t>0.024</t>
  </si>
  <si>
    <t>0.021</t>
  </si>
  <si>
    <t>0.022</t>
  </si>
  <si>
    <t>0.016</t>
  </si>
  <si>
    <t>0.04</t>
  </si>
  <si>
    <t>0.037</t>
  </si>
  <si>
    <t>0.009</t>
  </si>
  <si>
    <t>0.006</t>
  </si>
  <si>
    <t>0.008</t>
  </si>
  <si>
    <t>05-10</t>
  </si>
  <si>
    <t>0.011</t>
  </si>
  <si>
    <t>0.038</t>
  </si>
  <si>
    <t>0.039</t>
  </si>
  <si>
    <t>0.047</t>
  </si>
  <si>
    <t>0.044</t>
  </si>
  <si>
    <t>0.034</t>
  </si>
  <si>
    <t>0.014</t>
  </si>
  <si>
    <t>0.0670**</t>
  </si>
  <si>
    <t>0.0278*</t>
  </si>
  <si>
    <t>0.0306**</t>
  </si>
  <si>
    <t>0.0259**</t>
  </si>
  <si>
    <t>0.015</t>
  </si>
  <si>
    <t>0.0213*</t>
  </si>
  <si>
    <t>0.017</t>
  </si>
  <si>
    <t>0.0263*</t>
  </si>
  <si>
    <t>0.013</t>
  </si>
  <si>
    <t>80-85</t>
  </si>
  <si>
    <t>-0.0360*</t>
  </si>
  <si>
    <t>-0.0674**</t>
  </si>
  <si>
    <t>0.0567**</t>
  </si>
  <si>
    <t>0.0485*</t>
  </si>
  <si>
    <t>0.0437*</t>
  </si>
  <si>
    <t>0.01</t>
  </si>
  <si>
    <t>-0.0366*</t>
  </si>
  <si>
    <t>-0.0538**</t>
  </si>
  <si>
    <t>0.0667*</t>
  </si>
  <si>
    <t>0.018</t>
  </si>
  <si>
    <t>-0.00708*</t>
  </si>
  <si>
    <t>0.027</t>
  </si>
  <si>
    <t>-0.0141***</t>
  </si>
  <si>
    <t>0.029</t>
  </si>
  <si>
    <t>-0.0143***</t>
  </si>
  <si>
    <t>-0.00915**</t>
  </si>
  <si>
    <t>-0.0157*</t>
  </si>
  <si>
    <t>-0.0119**</t>
  </si>
  <si>
    <t>-0.0106*</t>
  </si>
  <si>
    <t>-0.0144***</t>
  </si>
  <si>
    <t>-0.00880*</t>
  </si>
  <si>
    <t>-0.0104*</t>
  </si>
  <si>
    <t>-0.0141**</t>
  </si>
  <si>
    <t>-0.0152***</t>
  </si>
  <si>
    <t>-0.0118*</t>
  </si>
  <si>
    <t>0.004</t>
  </si>
  <si>
    <t>0.0347*</t>
  </si>
  <si>
    <t>0.003</t>
  </si>
  <si>
    <t>0.045</t>
  </si>
  <si>
    <t>0.0320***</t>
  </si>
  <si>
    <t>0.0477***</t>
  </si>
  <si>
    <t>0.031</t>
  </si>
  <si>
    <t>0.0341***</t>
  </si>
  <si>
    <t>0.0396***</t>
  </si>
  <si>
    <t>0.0378***</t>
  </si>
  <si>
    <t>0.051</t>
  </si>
  <si>
    <t>0.057</t>
  </si>
  <si>
    <t>0.058</t>
  </si>
  <si>
    <t>0.061</t>
  </si>
  <si>
    <t>0.002</t>
  </si>
  <si>
    <t>-0.0625***</t>
  </si>
  <si>
    <t>-0.0277*</t>
  </si>
  <si>
    <t>0.048</t>
  </si>
  <si>
    <t>-0.0771***</t>
  </si>
  <si>
    <t>-0.0337*</t>
  </si>
  <si>
    <t>-0.0118***</t>
  </si>
  <si>
    <t>-0.00553*</t>
  </si>
  <si>
    <t>-0.0124***</t>
  </si>
  <si>
    <t>-0.00509*</t>
  </si>
  <si>
    <t>-0.00996***</t>
  </si>
  <si>
    <t>-0.0108*</t>
  </si>
  <si>
    <t>0.001</t>
  </si>
  <si>
    <t>-0.0462*</t>
  </si>
  <si>
    <t>-0.0273***</t>
  </si>
  <si>
    <t>-0.0149*</t>
  </si>
  <si>
    <t>0.025</t>
  </si>
  <si>
    <t>-0.0302***</t>
  </si>
  <si>
    <t>-0.0338**</t>
  </si>
  <si>
    <t>-0.0554*</t>
  </si>
  <si>
    <t>-0.0581**</t>
  </si>
  <si>
    <t>-0.0205*</t>
  </si>
  <si>
    <t>0.028</t>
  </si>
  <si>
    <t>-0.0515**</t>
  </si>
  <si>
    <t>-0.0198*</t>
  </si>
  <si>
    <t>-0.0457*</t>
  </si>
  <si>
    <t>0.043</t>
  </si>
  <si>
    <t>0.0826***</t>
  </si>
  <si>
    <t>0.0310*</t>
  </si>
  <si>
    <t>0.0818***</t>
  </si>
  <si>
    <t>0.0325*</t>
  </si>
  <si>
    <t>0.0553*</t>
  </si>
  <si>
    <t>0.0280*</t>
  </si>
  <si>
    <t>0.0729*</t>
  </si>
  <si>
    <t>0.0691**</t>
  </si>
  <si>
    <t>0.026</t>
  </si>
  <si>
    <t>0.139**</t>
  </si>
  <si>
    <t>-0.0950*</t>
  </si>
  <si>
    <t>-0.0162*</t>
  </si>
  <si>
    <t>-0.00991*</t>
  </si>
  <si>
    <t>-0.0785**</t>
  </si>
  <si>
    <t>-0.0590***</t>
  </si>
  <si>
    <t>-0.0625*</t>
  </si>
  <si>
    <t>-0.0472*</t>
  </si>
  <si>
    <t>-0.0417*</t>
  </si>
  <si>
    <t>-0.0573*</t>
  </si>
  <si>
    <t>-0.0453*</t>
  </si>
  <si>
    <t>0.135***</t>
  </si>
  <si>
    <t>0.049</t>
  </si>
  <si>
    <t>0.129***</t>
  </si>
  <si>
    <t>gt86differ~e</t>
  </si>
  <si>
    <t>(-0.45)</t>
  </si>
  <si>
    <t>ft75differ~e</t>
  </si>
  <si>
    <t>(-1.91)</t>
  </si>
  <si>
    <t>sb00differ~e</t>
  </si>
  <si>
    <t>(-2.95)</t>
  </si>
  <si>
    <t>ne99differ~e</t>
  </si>
  <si>
    <t>0.0620*</t>
  </si>
  <si>
    <t>bh04differ~e</t>
  </si>
  <si>
    <t>(-0.51)</t>
  </si>
  <si>
    <t>frsg04diff~e</t>
  </si>
  <si>
    <t>pri04diffe~e</t>
  </si>
  <si>
    <t>cedp90diff~e</t>
  </si>
  <si>
    <t>(-0.04)</t>
  </si>
  <si>
    <t>cedc89diff~e</t>
  </si>
  <si>
    <t>cedpi95dif~e</t>
  </si>
  <si>
    <t>(-0.34)</t>
  </si>
  <si>
    <t>tf03differ~e</t>
  </si>
  <si>
    <t>-0.119*</t>
  </si>
  <si>
    <t>(-2.12)</t>
  </si>
  <si>
    <t>_cons</t>
  </si>
  <si>
    <t>(-1.72)</t>
  </si>
  <si>
    <t>N</t>
  </si>
  <si>
    <t>statistics</t>
  </si>
  <si>
    <t>in</t>
  </si>
  <si>
    <t>parentheses</t>
  </si>
  <si>
    <t>*</t>
  </si>
  <si>
    <t>p&lt;0.05,</t>
  </si>
  <si>
    <t>**</t>
  </si>
  <si>
    <t>p&lt;0.01,</t>
  </si>
  <si>
    <t>***</t>
  </si>
  <si>
    <t>p&lt;0.001</t>
  </si>
  <si>
    <t>(-3.63)</t>
  </si>
  <si>
    <t>(-1.86)</t>
  </si>
  <si>
    <t>(-0.36)</t>
  </si>
  <si>
    <t>(-1.80)</t>
  </si>
  <si>
    <t>(-0.81)</t>
  </si>
  <si>
    <t>(-0.40)</t>
  </si>
  <si>
    <t>(-3.06)</t>
  </si>
  <si>
    <t>(-0.33)</t>
  </si>
  <si>
    <t>(-1.69)</t>
  </si>
  <si>
    <t>0.0488*</t>
  </si>
  <si>
    <t>-0.00608*</t>
  </si>
  <si>
    <t>(-2.47)</t>
  </si>
  <si>
    <t>0.0369*</t>
  </si>
  <si>
    <t>(-0.15)</t>
  </si>
  <si>
    <t>0.0933*</t>
  </si>
  <si>
    <t>(-1.65)</t>
  </si>
  <si>
    <t>0.0840**</t>
  </si>
  <si>
    <t>0.130***</t>
  </si>
  <si>
    <t>0.0508**</t>
  </si>
  <si>
    <t>tstatistics</t>
  </si>
  <si>
    <t>Output Per Worker</t>
  </si>
  <si>
    <t>Wage Employment</t>
  </si>
  <si>
    <t>Regressions of indices against 5 year intervals (both in and out of sample)</t>
  </si>
  <si>
    <t>needs to be formatted.</t>
  </si>
  <si>
    <t>0.00705</t>
  </si>
  <si>
    <t>0.120***</t>
  </si>
  <si>
    <t>0.126***</t>
  </si>
  <si>
    <t>0.107***</t>
  </si>
  <si>
    <t>0.109***</t>
  </si>
  <si>
    <t>0.124***</t>
  </si>
  <si>
    <t>0.0211</t>
  </si>
  <si>
    <t>-0.0444</t>
  </si>
  <si>
    <t>-0.0834</t>
  </si>
  <si>
    <t>0.0703**</t>
  </si>
  <si>
    <t>0.00807</t>
  </si>
  <si>
    <t>-0.00628</t>
  </si>
  <si>
    <t>-0.00688</t>
  </si>
  <si>
    <t>0.00714*</t>
  </si>
  <si>
    <t>0.00806*</t>
  </si>
  <si>
    <t>0.00741*</t>
  </si>
  <si>
    <t>-0.00670</t>
  </si>
  <si>
    <t>0.00882*</t>
  </si>
  <si>
    <t>positive and significant</t>
  </si>
  <si>
    <t>best R2: year</t>
  </si>
  <si>
    <t>best R2: coeff</t>
  </si>
  <si>
    <t>0.0163</t>
  </si>
  <si>
    <t>0.00987*</t>
  </si>
  <si>
    <t>-0.0261</t>
  </si>
  <si>
    <t>0.0243</t>
  </si>
  <si>
    <t>0.0203</t>
  </si>
  <si>
    <t>0.0212</t>
  </si>
  <si>
    <t>0.0345*</t>
  </si>
  <si>
    <t>-0.0472</t>
  </si>
  <si>
    <t>0.0525*</t>
  </si>
  <si>
    <t>0.0523***</t>
  </si>
  <si>
    <t>0.00894</t>
  </si>
  <si>
    <t>-0.0272</t>
  </si>
  <si>
    <t>0.0297</t>
  </si>
  <si>
    <t>0.0273</t>
  </si>
  <si>
    <t>0.0254</t>
  </si>
  <si>
    <t>-0.0221</t>
  </si>
  <si>
    <t>-0.0259</t>
  </si>
  <si>
    <t>0.0309</t>
  </si>
  <si>
    <t>-0.0626</t>
  </si>
  <si>
    <t>-0.0628</t>
  </si>
  <si>
    <t>0.0180</t>
  </si>
  <si>
    <t>-0.00685</t>
  </si>
  <si>
    <t>0.00348</t>
  </si>
  <si>
    <t>0.00306</t>
  </si>
  <si>
    <t>0.00549</t>
  </si>
  <si>
    <t>0.00445</t>
  </si>
  <si>
    <t>-0.00657</t>
  </si>
  <si>
    <t>0.00553</t>
  </si>
  <si>
    <t>-0.00486</t>
  </si>
  <si>
    <t>-0.00768</t>
  </si>
  <si>
    <t>-0.00243</t>
  </si>
  <si>
    <t>0.0108</t>
  </si>
  <si>
    <t>-0.0186</t>
  </si>
  <si>
    <t>-0.0333</t>
  </si>
  <si>
    <t>-0.0126</t>
  </si>
  <si>
    <t>-0.0207</t>
  </si>
  <si>
    <t>0.0419</t>
  </si>
  <si>
    <t>-0.000995</t>
  </si>
  <si>
    <t>-0.0191</t>
  </si>
  <si>
    <t>-0.00228</t>
  </si>
  <si>
    <t>-0.00695</t>
  </si>
  <si>
    <t>0.000259</t>
  </si>
  <si>
    <t>0.00611</t>
  </si>
  <si>
    <t>0.00485</t>
  </si>
  <si>
    <t>0.0260</t>
  </si>
  <si>
    <t>positive &amp; significant</t>
  </si>
  <si>
    <t>0.108***</t>
  </si>
  <si>
    <t>0.00669</t>
  </si>
  <si>
    <t>0.0741***</t>
  </si>
  <si>
    <t>0.0774***</t>
  </si>
  <si>
    <t>0.0673***</t>
  </si>
  <si>
    <t>0.0699***</t>
  </si>
  <si>
    <t>0.0808***</t>
  </si>
  <si>
    <t>-0.0127</t>
  </si>
  <si>
    <t>-0.0345</t>
  </si>
  <si>
    <t>-0.0176</t>
  </si>
  <si>
    <t>-0.0209</t>
  </si>
  <si>
    <t>-0.0330</t>
  </si>
  <si>
    <t>-0.0311</t>
  </si>
  <si>
    <t>0.0766***</t>
  </si>
  <si>
    <t>0.0442**</t>
  </si>
  <si>
    <t>-0.00319</t>
  </si>
  <si>
    <t>-0.00331</t>
  </si>
  <si>
    <t>-0.00351</t>
  </si>
  <si>
    <t>-0.00479</t>
  </si>
  <si>
    <t>-0.00423</t>
  </si>
  <si>
    <t>-0.00395</t>
  </si>
  <si>
    <t>0.00381</t>
  </si>
  <si>
    <t>0.00354</t>
  </si>
  <si>
    <t>0.0214</t>
  </si>
  <si>
    <t>0.00912</t>
  </si>
  <si>
    <t>0.0156</t>
  </si>
  <si>
    <t>0.0116</t>
  </si>
  <si>
    <t>0.00590</t>
  </si>
  <si>
    <t>0.00683</t>
  </si>
  <si>
    <t>0.00121</t>
  </si>
  <si>
    <t>0.00329</t>
  </si>
  <si>
    <t>0.0392***</t>
  </si>
  <si>
    <t>0.0376**</t>
  </si>
  <si>
    <t>0.0332***</t>
  </si>
  <si>
    <t>0.0386***</t>
  </si>
  <si>
    <t>-0.0161</t>
  </si>
  <si>
    <t>0.00153</t>
  </si>
  <si>
    <t>-0.000730</t>
  </si>
  <si>
    <t>0.00500</t>
  </si>
  <si>
    <t>-0.0168</t>
  </si>
  <si>
    <t>0.0360*</t>
  </si>
  <si>
    <t>0.0104</t>
  </si>
  <si>
    <t>-0.00298</t>
  </si>
  <si>
    <t>-0.00516</t>
  </si>
  <si>
    <t>-0.00441</t>
  </si>
  <si>
    <t>-0.00206</t>
  </si>
  <si>
    <t>-0.00130</t>
  </si>
  <si>
    <t>-0.00181</t>
  </si>
  <si>
    <t>0.000179</t>
  </si>
  <si>
    <t>0.000848</t>
  </si>
  <si>
    <t>-0.00143</t>
  </si>
  <si>
    <t>-0.00155</t>
  </si>
  <si>
    <t>-0.00262</t>
  </si>
  <si>
    <t>-0.00223</t>
  </si>
  <si>
    <t>-0.00999</t>
  </si>
  <si>
    <t>-0.0106</t>
  </si>
  <si>
    <t>-0.0117</t>
  </si>
  <si>
    <t>-0.00650</t>
  </si>
  <si>
    <t>-0.0202</t>
  </si>
  <si>
    <t>0.118</t>
  </si>
  <si>
    <t>0.0219</t>
  </si>
  <si>
    <t>0.0263</t>
  </si>
  <si>
    <t>0.0311</t>
  </si>
  <si>
    <t>0.0506</t>
  </si>
  <si>
    <t>-0.0102</t>
  </si>
  <si>
    <t>0.0638*</t>
  </si>
  <si>
    <t>0.0629*</t>
  </si>
  <si>
    <t>0.0526</t>
  </si>
  <si>
    <t>0.0465*</t>
  </si>
  <si>
    <t>0.0497*</t>
  </si>
  <si>
    <t>0.0266</t>
  </si>
  <si>
    <t>0.0739</t>
  </si>
  <si>
    <t>0.0553</t>
  </si>
  <si>
    <t>0.0817</t>
  </si>
  <si>
    <t>-0.0648</t>
  </si>
  <si>
    <t>-0.0636</t>
  </si>
  <si>
    <t>-0.0956</t>
  </si>
  <si>
    <t>-0.0124</t>
  </si>
  <si>
    <t>0.0110</t>
  </si>
  <si>
    <t>-0.00910</t>
  </si>
  <si>
    <t>0.0208***</t>
  </si>
  <si>
    <t>0.0128*</t>
  </si>
  <si>
    <t>0.0122</t>
  </si>
  <si>
    <t>0.0114</t>
  </si>
  <si>
    <t>0.0105</t>
  </si>
  <si>
    <t>0.0117*</t>
  </si>
  <si>
    <t>0.0100</t>
  </si>
  <si>
    <t>0.0122*</t>
  </si>
  <si>
    <t>0.0116*</t>
  </si>
  <si>
    <t>0.0121*</t>
  </si>
  <si>
    <t>-0.0308</t>
  </si>
  <si>
    <t>-0.0433</t>
  </si>
  <si>
    <t>-0.0374</t>
  </si>
  <si>
    <t>0.0450</t>
  </si>
  <si>
    <t>0.0584</t>
  </si>
  <si>
    <t>0.0478</t>
  </si>
  <si>
    <t>0.0252</t>
  </si>
  <si>
    <t>0.0231</t>
  </si>
  <si>
    <t>0.000916</t>
  </si>
  <si>
    <t>0.0466*</t>
  </si>
  <si>
    <t>0.0415*</t>
  </si>
  <si>
    <t>0.0129</t>
  </si>
  <si>
    <t>0.00835</t>
  </si>
  <si>
    <t>0.00636</t>
  </si>
  <si>
    <t>-0.0135</t>
  </si>
  <si>
    <t>0.0322</t>
  </si>
  <si>
    <t>0.00655</t>
  </si>
  <si>
    <t>-0.0307</t>
  </si>
  <si>
    <t>-0.0243</t>
  </si>
  <si>
    <t>0.0218</t>
  </si>
  <si>
    <t>0.00156</t>
  </si>
  <si>
    <t>-0.00405</t>
  </si>
  <si>
    <t>-0.00116</t>
  </si>
  <si>
    <t>-0.00258</t>
  </si>
  <si>
    <t>-0.00399</t>
  </si>
  <si>
    <t>0.00230</t>
  </si>
  <si>
    <t>0.000898</t>
  </si>
  <si>
    <t>-0.00103</t>
  </si>
  <si>
    <t>-0.000852</t>
  </si>
  <si>
    <t>-0.00242</t>
  </si>
  <si>
    <t>-0.00207</t>
  </si>
  <si>
    <t>-0.00239</t>
  </si>
  <si>
    <t>-0.0249</t>
  </si>
  <si>
    <t>-0.0232</t>
  </si>
  <si>
    <t>-0.0134</t>
  </si>
  <si>
    <t>0.0491</t>
  </si>
  <si>
    <t>Grant Thorton</t>
  </si>
  <si>
    <t>Pacific Research Institute</t>
  </si>
  <si>
    <t>Center for Economic Development: Development</t>
  </si>
  <si>
    <t>Center for Economic Development: Capacity</t>
  </si>
  <si>
    <t>Center for Economic Development: Fiscal Policies</t>
  </si>
  <si>
    <t>Index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</si>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</sst>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NumberFormat="1"/>
    <xf numFmtId="12" fontId="0" fillId="0" borderId="0" xfId="0" applyNumberFormat="1"/>
    <xf numFmtId="49" fontId="0" fillId="0" borderId="0" xfId="0" applyNumberFormat="1" applyBorder="1"/>
    <xf numFmtId="12" fontId="0" fillId="0" borderId="0" xfId="0" applyNumberForma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NumberFormat="1" applyBorder="1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Border="1" applyAlignment="1"/>
    <xf numFmtId="0" fontId="0" fillId="0" borderId="0" xfId="0" applyAlignment="1"/>
    <xf numFmtId="0" fontId="0" fillId="0" borderId="0" xfId="0" applyBorder="1" applyAlignment="1"/>
    <xf numFmtId="0" fontId="0" fillId="0" borderId="0" xfId="0" applyAlignment="1"/>
    <xf numFmtId="0" fontId="0" fillId="0" borderId="0" xfId="0" applyFill="1" applyBorder="1" applyAlignment="1"/>
    <xf numFmtId="0" fontId="0" fillId="0" borderId="5" xfId="0" applyBorder="1" applyAlignment="1"/>
    <xf numFmtId="0" fontId="0" fillId="0" borderId="6" xfId="0" applyBorder="1" applyAlignment="1"/>
    <xf numFmtId="49" fontId="0" fillId="0" borderId="5" xfId="0" applyNumberFormat="1" applyBorder="1"/>
    <xf numFmtId="49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 applyAlignment="1"/>
    <xf numFmtId="49" fontId="0" fillId="0" borderId="11" xfId="0" applyNumberFormat="1" applyBorder="1"/>
    <xf numFmtId="0" fontId="0" fillId="0" borderId="12" xfId="0" applyBorder="1"/>
    <xf numFmtId="0" fontId="0" fillId="0" borderId="5" xfId="0" applyFill="1" applyBorder="1" applyAlignment="1"/>
    <xf numFmtId="0" fontId="0" fillId="0" borderId="6" xfId="0" applyFill="1" applyBorder="1" applyAlignment="1"/>
    <xf numFmtId="0" fontId="0" fillId="0" borderId="13" xfId="0" applyBorder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4" xfId="0" applyBorder="1"/>
    <xf numFmtId="0" fontId="0" fillId="0" borderId="5" xfId="0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10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0</xdr:col>
      <xdr:colOff>419100</xdr:colOff>
      <xdr:row>5</xdr:row>
      <xdr:rowOff>19050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0" y="381000"/>
          <a:ext cx="419100" cy="20955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438150</xdr:colOff>
      <xdr:row>6</xdr:row>
      <xdr:rowOff>19050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0" y="571500"/>
          <a:ext cx="438150" cy="20955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438150</xdr:colOff>
      <xdr:row>7</xdr:row>
      <xdr:rowOff>19050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0" y="762000"/>
          <a:ext cx="438150" cy="20955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114300</xdr:colOff>
      <xdr:row>8</xdr:row>
      <xdr:rowOff>19050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0" y="952500"/>
          <a:ext cx="114300" cy="20955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419100</xdr:colOff>
      <xdr:row>12</xdr:row>
      <xdr:rowOff>19050</xdr:rowOff>
    </xdr:to>
    <xdr:pic>
      <xdr:nvPicPr>
        <xdr:cNvPr id="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0" y="2143125"/>
          <a:ext cx="419100" cy="20955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438150</xdr:colOff>
      <xdr:row>13</xdr:row>
      <xdr:rowOff>19050</xdr:rowOff>
    </xdr:to>
    <xdr:pic>
      <xdr:nvPicPr>
        <xdr:cNvPr id="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0" y="952500"/>
          <a:ext cx="438150" cy="20955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438150</xdr:colOff>
      <xdr:row>14</xdr:row>
      <xdr:rowOff>19050</xdr:rowOff>
    </xdr:to>
    <xdr:pic>
      <xdr:nvPicPr>
        <xdr:cNvPr id="9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0" y="1143000"/>
          <a:ext cx="438150" cy="20955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114300</xdr:colOff>
      <xdr:row>15</xdr:row>
      <xdr:rowOff>19050</xdr:rowOff>
    </xdr:to>
    <xdr:pic>
      <xdr:nvPicPr>
        <xdr:cNvPr id="1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0" y="1333500"/>
          <a:ext cx="114300" cy="20955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419100</xdr:colOff>
      <xdr:row>19</xdr:row>
      <xdr:rowOff>19050</xdr:rowOff>
    </xdr:to>
    <xdr:pic>
      <xdr:nvPicPr>
        <xdr:cNvPr id="1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0" y="2143125"/>
          <a:ext cx="419100" cy="20955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438150</xdr:colOff>
      <xdr:row>20</xdr:row>
      <xdr:rowOff>19050</xdr:rowOff>
    </xdr:to>
    <xdr:pic>
      <xdr:nvPicPr>
        <xdr:cNvPr id="1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0" y="2333625"/>
          <a:ext cx="438150" cy="20955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438150</xdr:colOff>
      <xdr:row>21</xdr:row>
      <xdr:rowOff>19050</xdr:rowOff>
    </xdr:to>
    <xdr:pic>
      <xdr:nvPicPr>
        <xdr:cNvPr id="1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0" y="2524125"/>
          <a:ext cx="438150" cy="20955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114300</xdr:colOff>
      <xdr:row>22</xdr:row>
      <xdr:rowOff>19050</xdr:rowOff>
    </xdr:to>
    <xdr:pic>
      <xdr:nvPicPr>
        <xdr:cNvPr id="1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0" y="2714625"/>
          <a:ext cx="114300" cy="20955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419100</xdr:colOff>
      <xdr:row>26</xdr:row>
      <xdr:rowOff>19050</xdr:rowOff>
    </xdr:to>
    <xdr:pic>
      <xdr:nvPicPr>
        <xdr:cNvPr id="1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0" y="3524250"/>
          <a:ext cx="419100" cy="20955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438150</xdr:colOff>
      <xdr:row>27</xdr:row>
      <xdr:rowOff>19050</xdr:rowOff>
    </xdr:to>
    <xdr:pic>
      <xdr:nvPicPr>
        <xdr:cNvPr id="1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0" y="3714750"/>
          <a:ext cx="438150" cy="20955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438150</xdr:colOff>
      <xdr:row>28</xdr:row>
      <xdr:rowOff>19050</xdr:rowOff>
    </xdr:to>
    <xdr:pic>
      <xdr:nvPicPr>
        <xdr:cNvPr id="17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0" y="3905250"/>
          <a:ext cx="438150" cy="20955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114300</xdr:colOff>
      <xdr:row>29</xdr:row>
      <xdr:rowOff>19050</xdr:rowOff>
    </xdr:to>
    <xdr:pic>
      <xdr:nvPicPr>
        <xdr:cNvPr id="18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0" y="4095750"/>
          <a:ext cx="114300" cy="2095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0</xdr:col>
      <xdr:colOff>419100</xdr:colOff>
      <xdr:row>5</xdr:row>
      <xdr:rowOff>19050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0" y="800100"/>
          <a:ext cx="419100" cy="21907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438150</xdr:colOff>
      <xdr:row>6</xdr:row>
      <xdr:rowOff>19050</xdr:rowOff>
    </xdr:to>
    <xdr:pic>
      <xdr:nvPicPr>
        <xdr:cNvPr id="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0" y="1000125"/>
          <a:ext cx="438150" cy="21907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438150</xdr:colOff>
      <xdr:row>7</xdr:row>
      <xdr:rowOff>19050</xdr:rowOff>
    </xdr:to>
    <xdr:pic>
      <xdr:nvPicPr>
        <xdr:cNvPr id="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0" y="1200150"/>
          <a:ext cx="438150" cy="21907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114300</xdr:colOff>
      <xdr:row>8</xdr:row>
      <xdr:rowOff>19050</xdr:rowOff>
    </xdr:to>
    <xdr:pic>
      <xdr:nvPicPr>
        <xdr:cNvPr id="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0" y="1400175"/>
          <a:ext cx="114300" cy="21907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419100</xdr:colOff>
      <xdr:row>12</xdr:row>
      <xdr:rowOff>19050</xdr:rowOff>
    </xdr:to>
    <xdr:pic>
      <xdr:nvPicPr>
        <xdr:cNvPr id="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0" y="2238375"/>
          <a:ext cx="419100" cy="21907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438150</xdr:colOff>
      <xdr:row>13</xdr:row>
      <xdr:rowOff>19050</xdr:rowOff>
    </xdr:to>
    <xdr:pic>
      <xdr:nvPicPr>
        <xdr:cNvPr id="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0" y="2438400"/>
          <a:ext cx="438150" cy="21907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438150</xdr:colOff>
      <xdr:row>14</xdr:row>
      <xdr:rowOff>19050</xdr:rowOff>
    </xdr:to>
    <xdr:pic>
      <xdr:nvPicPr>
        <xdr:cNvPr id="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0" y="2638425"/>
          <a:ext cx="438150" cy="21907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114300</xdr:colOff>
      <xdr:row>15</xdr:row>
      <xdr:rowOff>19050</xdr:rowOff>
    </xdr:to>
    <xdr:pic>
      <xdr:nvPicPr>
        <xdr:cNvPr id="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0" y="2838450"/>
          <a:ext cx="114300" cy="21907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419100</xdr:colOff>
      <xdr:row>19</xdr:row>
      <xdr:rowOff>19050</xdr:rowOff>
    </xdr:to>
    <xdr:pic>
      <xdr:nvPicPr>
        <xdr:cNvPr id="1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0" y="3676650"/>
          <a:ext cx="419100" cy="21907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438150</xdr:colOff>
      <xdr:row>20</xdr:row>
      <xdr:rowOff>19050</xdr:rowOff>
    </xdr:to>
    <xdr:pic>
      <xdr:nvPicPr>
        <xdr:cNvPr id="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0" y="3876675"/>
          <a:ext cx="438150" cy="21907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438150</xdr:colOff>
      <xdr:row>21</xdr:row>
      <xdr:rowOff>19050</xdr:rowOff>
    </xdr:to>
    <xdr:pic>
      <xdr:nvPicPr>
        <xdr:cNvPr id="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0" y="4076700"/>
          <a:ext cx="438150" cy="21907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114300</xdr:colOff>
      <xdr:row>22</xdr:row>
      <xdr:rowOff>19050</xdr:rowOff>
    </xdr:to>
    <xdr:pic>
      <xdr:nvPicPr>
        <xdr:cNvPr id="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0" y="4276725"/>
          <a:ext cx="114300" cy="21907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419100</xdr:colOff>
      <xdr:row>26</xdr:row>
      <xdr:rowOff>19050</xdr:rowOff>
    </xdr:to>
    <xdr:pic>
      <xdr:nvPicPr>
        <xdr:cNvPr id="1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0" y="5114925"/>
          <a:ext cx="419100" cy="21907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438150</xdr:colOff>
      <xdr:row>27</xdr:row>
      <xdr:rowOff>19050</xdr:rowOff>
    </xdr:to>
    <xdr:pic>
      <xdr:nvPicPr>
        <xdr:cNvPr id="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0" y="5314950"/>
          <a:ext cx="438150" cy="21907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438150</xdr:colOff>
      <xdr:row>28</xdr:row>
      <xdr:rowOff>19050</xdr:rowOff>
    </xdr:to>
    <xdr:pic>
      <xdr:nvPicPr>
        <xdr:cNvPr id="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0" y="5514975"/>
          <a:ext cx="438150" cy="21907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114300</xdr:colOff>
      <xdr:row>29</xdr:row>
      <xdr:rowOff>19050</xdr:rowOff>
    </xdr:to>
    <xdr:pic>
      <xdr:nvPicPr>
        <xdr:cNvPr id="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0" y="5715000"/>
          <a:ext cx="114300" cy="21907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114300</xdr:colOff>
      <xdr:row>29</xdr:row>
      <xdr:rowOff>19050</xdr:rowOff>
    </xdr:to>
    <xdr:pic>
      <xdr:nvPicPr>
        <xdr:cNvPr id="18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0" y="4276725"/>
          <a:ext cx="114300" cy="2190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1"/>
  <sheetViews>
    <sheetView workbookViewId="0">
      <selection activeCell="L22" sqref="L22"/>
    </sheetView>
  </sheetViews>
  <sheetFormatPr defaultRowHeight="15" x14ac:dyDescent="0.25"/>
  <cols>
    <col min="1" max="1" width="20" customWidth="1"/>
    <col min="4" max="4" width="3" customWidth="1"/>
    <col min="7" max="7" width="3" customWidth="1"/>
    <col min="10" max="10" width="3.7109375" customWidth="1"/>
    <col min="13" max="13" width="2.85546875" customWidth="1"/>
    <col min="16" max="16" width="2.42578125" customWidth="1"/>
    <col min="18" max="18" width="9.7109375" customWidth="1"/>
    <col min="19" max="19" width="2.140625" customWidth="1"/>
    <col min="22" max="22" width="2.5703125" customWidth="1"/>
    <col min="25" max="25" width="2.85546875" customWidth="1"/>
    <col min="28" max="28" width="3.85546875" customWidth="1"/>
    <col min="31" max="31" width="3" customWidth="1"/>
  </cols>
  <sheetData>
    <row r="1" spans="1:33" ht="15.75" x14ac:dyDescent="0.25">
      <c r="A1" s="1" t="s">
        <v>52</v>
      </c>
    </row>
    <row r="2" spans="1:33" s="7" customFormat="1" ht="15.75" x14ac:dyDescent="0.25">
      <c r="B2" s="20" t="s">
        <v>8</v>
      </c>
      <c r="C2" s="20"/>
      <c r="D2" s="4"/>
      <c r="E2" s="20" t="s">
        <v>9</v>
      </c>
      <c r="F2" s="20"/>
      <c r="G2" s="4"/>
      <c r="H2" s="20" t="s">
        <v>10</v>
      </c>
      <c r="I2" s="20"/>
      <c r="K2" s="20" t="s">
        <v>11</v>
      </c>
      <c r="L2" s="20"/>
      <c r="M2" s="4"/>
      <c r="N2" s="20" t="s">
        <v>12</v>
      </c>
      <c r="O2" s="20"/>
      <c r="P2" s="4"/>
      <c r="Q2" s="20" t="s">
        <v>15</v>
      </c>
      <c r="R2" s="20"/>
      <c r="T2" s="20" t="s">
        <v>13</v>
      </c>
      <c r="U2" s="20"/>
      <c r="W2" s="20" t="s">
        <v>14</v>
      </c>
      <c r="X2" s="20"/>
      <c r="Z2" s="19" t="s">
        <v>17</v>
      </c>
      <c r="AA2" s="19"/>
      <c r="AC2" s="19" t="s">
        <v>16</v>
      </c>
      <c r="AD2" s="19"/>
      <c r="AF2" s="20" t="s">
        <v>18</v>
      </c>
      <c r="AG2" s="20"/>
    </row>
    <row r="3" spans="1:33" ht="15.75" x14ac:dyDescent="0.25">
      <c r="A3" s="1" t="s">
        <v>0</v>
      </c>
      <c r="B3" s="4" t="s">
        <v>1</v>
      </c>
      <c r="C3" s="4" t="s">
        <v>2</v>
      </c>
      <c r="D3" s="1"/>
      <c r="E3" s="1" t="s">
        <v>1</v>
      </c>
      <c r="F3" s="1" t="s">
        <v>2</v>
      </c>
      <c r="G3" s="1"/>
      <c r="H3" s="1" t="s">
        <v>1</v>
      </c>
      <c r="I3" s="1" t="s">
        <v>2</v>
      </c>
      <c r="K3" s="1" t="s">
        <v>1</v>
      </c>
      <c r="L3" s="1" t="s">
        <v>2</v>
      </c>
      <c r="M3" s="1"/>
      <c r="N3" s="1" t="s">
        <v>1</v>
      </c>
      <c r="O3" s="1" t="s">
        <v>2</v>
      </c>
      <c r="P3" s="1"/>
      <c r="Q3" s="1" t="s">
        <v>1</v>
      </c>
      <c r="R3" s="1" t="s">
        <v>2</v>
      </c>
      <c r="T3" s="1" t="s">
        <v>1</v>
      </c>
      <c r="U3" s="1" t="s">
        <v>2</v>
      </c>
      <c r="W3" s="1" t="s">
        <v>1</v>
      </c>
      <c r="X3" s="1" t="s">
        <v>2</v>
      </c>
      <c r="Z3" s="1" t="s">
        <v>1</v>
      </c>
      <c r="AA3" s="1" t="s">
        <v>2</v>
      </c>
      <c r="AC3" s="1" t="s">
        <v>1</v>
      </c>
      <c r="AD3" s="1" t="s">
        <v>2</v>
      </c>
      <c r="AF3" s="1" t="s">
        <v>1</v>
      </c>
      <c r="AG3" s="1" t="s">
        <v>2</v>
      </c>
    </row>
    <row r="4" spans="1:33" ht="15.75" x14ac:dyDescent="0.25">
      <c r="A4" s="1" t="s">
        <v>3</v>
      </c>
      <c r="B4" s="4"/>
      <c r="C4" s="4"/>
      <c r="D4" s="1"/>
      <c r="E4" s="1"/>
      <c r="F4" s="1"/>
      <c r="G4" s="1"/>
      <c r="H4" s="1"/>
      <c r="I4" s="1"/>
      <c r="K4" t="s">
        <v>66</v>
      </c>
    </row>
    <row r="5" spans="1:33" ht="15.75" x14ac:dyDescent="0.25">
      <c r="A5" s="1"/>
      <c r="B5" s="5" t="s">
        <v>19</v>
      </c>
      <c r="C5" s="5" t="s">
        <v>20</v>
      </c>
      <c r="D5" s="3"/>
      <c r="E5" s="5" t="s">
        <v>24</v>
      </c>
      <c r="F5" s="5" t="s">
        <v>24</v>
      </c>
      <c r="G5" s="3"/>
      <c r="H5" s="5" t="s">
        <v>28</v>
      </c>
      <c r="I5" s="5" t="s">
        <v>29</v>
      </c>
      <c r="J5" s="3"/>
      <c r="K5" s="5" t="s">
        <v>24</v>
      </c>
      <c r="L5" s="5" t="s">
        <v>24</v>
      </c>
      <c r="M5" s="3"/>
      <c r="N5" s="5" t="s">
        <v>39</v>
      </c>
      <c r="O5" s="5" t="s">
        <v>40</v>
      </c>
      <c r="P5" s="3"/>
      <c r="Q5" s="5" t="s">
        <v>41</v>
      </c>
      <c r="R5" s="5" t="s">
        <v>42</v>
      </c>
      <c r="S5" s="3"/>
      <c r="T5" s="5" t="s">
        <v>44</v>
      </c>
      <c r="U5" s="5" t="s">
        <v>45</v>
      </c>
      <c r="V5" s="3"/>
      <c r="W5" s="5" t="s">
        <v>42</v>
      </c>
      <c r="X5" s="5" t="s">
        <v>43</v>
      </c>
      <c r="Y5" s="3"/>
      <c r="Z5" s="5" t="s">
        <v>43</v>
      </c>
      <c r="AA5" s="5" t="s">
        <v>41</v>
      </c>
      <c r="AB5" s="3"/>
      <c r="AC5" s="5" t="s">
        <v>26</v>
      </c>
      <c r="AD5" s="5" t="s">
        <v>38</v>
      </c>
      <c r="AE5" s="3"/>
      <c r="AF5" s="5" t="s">
        <v>41</v>
      </c>
      <c r="AG5" s="5" t="s">
        <v>41</v>
      </c>
    </row>
    <row r="6" spans="1:33" ht="15.75" x14ac:dyDescent="0.25">
      <c r="A6" s="1"/>
      <c r="B6" s="5" t="s">
        <v>21</v>
      </c>
      <c r="C6" s="5" t="s">
        <v>22</v>
      </c>
      <c r="D6" s="3"/>
      <c r="E6" s="5" t="s">
        <v>24</v>
      </c>
      <c r="F6" s="5" t="s">
        <v>24</v>
      </c>
      <c r="G6" s="3"/>
      <c r="H6" s="5" t="s">
        <v>30</v>
      </c>
      <c r="I6" s="5" t="s">
        <v>31</v>
      </c>
      <c r="J6" s="3"/>
      <c r="K6" s="5" t="s">
        <v>24</v>
      </c>
      <c r="L6" s="5" t="s">
        <v>24</v>
      </c>
      <c r="M6" s="3"/>
      <c r="N6" s="5" t="s">
        <v>39</v>
      </c>
      <c r="O6" s="5" t="s">
        <v>39</v>
      </c>
      <c r="P6" s="3"/>
      <c r="Q6" s="5" t="s">
        <v>41</v>
      </c>
      <c r="R6" s="5" t="s">
        <v>41</v>
      </c>
      <c r="S6" s="3"/>
      <c r="T6" s="5" t="s">
        <v>47</v>
      </c>
      <c r="U6" s="5" t="s">
        <v>48</v>
      </c>
      <c r="V6" s="3"/>
      <c r="W6" s="5" t="s">
        <v>42</v>
      </c>
      <c r="X6" s="5" t="s">
        <v>41</v>
      </c>
      <c r="Y6" s="3"/>
      <c r="Z6" s="5" t="s">
        <v>41</v>
      </c>
      <c r="AA6" s="5" t="s">
        <v>41</v>
      </c>
      <c r="AB6" s="3"/>
      <c r="AC6" s="5" t="s">
        <v>24</v>
      </c>
      <c r="AD6" s="5" t="s">
        <v>27</v>
      </c>
      <c r="AE6" s="3"/>
      <c r="AF6" s="5" t="s">
        <v>41</v>
      </c>
      <c r="AG6" s="5" t="s">
        <v>41</v>
      </c>
    </row>
    <row r="7" spans="1:33" ht="15.75" x14ac:dyDescent="0.25">
      <c r="A7" s="1"/>
      <c r="B7" s="5" t="s">
        <v>22</v>
      </c>
      <c r="C7" s="5" t="s">
        <v>22</v>
      </c>
      <c r="D7" s="3"/>
      <c r="E7" s="5" t="s">
        <v>25</v>
      </c>
      <c r="F7" s="5" t="s">
        <v>25</v>
      </c>
      <c r="G7" s="3"/>
      <c r="H7" s="5" t="s">
        <v>30</v>
      </c>
      <c r="I7" s="5" t="s">
        <v>32</v>
      </c>
      <c r="J7" s="3"/>
      <c r="K7" s="5" t="s">
        <v>26</v>
      </c>
      <c r="L7" s="5" t="s">
        <v>38</v>
      </c>
      <c r="M7" s="3"/>
      <c r="N7" s="5" t="s">
        <v>40</v>
      </c>
      <c r="O7" s="5" t="s">
        <v>39</v>
      </c>
      <c r="P7" s="3"/>
      <c r="Q7" s="5" t="s">
        <v>41</v>
      </c>
      <c r="R7" s="5" t="s">
        <v>41</v>
      </c>
      <c r="S7" s="3"/>
      <c r="T7" s="5" t="s">
        <v>49</v>
      </c>
      <c r="U7" s="5" t="s">
        <v>49</v>
      </c>
      <c r="V7" s="3"/>
      <c r="W7" s="5" t="s">
        <v>41</v>
      </c>
      <c r="X7" s="5" t="s">
        <v>43</v>
      </c>
      <c r="Y7" s="3"/>
      <c r="Z7" s="5" t="s">
        <v>41</v>
      </c>
      <c r="AA7" s="5" t="s">
        <v>41</v>
      </c>
      <c r="AB7" s="3"/>
      <c r="AC7" s="5" t="s">
        <v>24</v>
      </c>
      <c r="AD7" s="5" t="s">
        <v>24</v>
      </c>
      <c r="AE7" s="3"/>
      <c r="AF7" s="5" t="s">
        <v>41</v>
      </c>
      <c r="AG7" s="5" t="s">
        <v>41</v>
      </c>
    </row>
    <row r="8" spans="1:33" ht="15.75" x14ac:dyDescent="0.25">
      <c r="A8" s="1"/>
      <c r="B8" s="6">
        <f>(0.0504+0.0826+0.0478+0.0134)/4</f>
        <v>4.8550000000000003E-2</v>
      </c>
      <c r="C8" s="6">
        <f>(0.0175-0.0166-0.01243+0.0288)/4</f>
        <v>4.3175000000000002E-3</v>
      </c>
      <c r="D8" s="3"/>
      <c r="E8" s="6">
        <f>(-0.00732-0.00591-0.0206-0.0182-0.0272)/5</f>
        <v>-1.5845999999999999E-2</v>
      </c>
      <c r="F8" s="6">
        <f>(-0.0243-0.0145-0.036-0.0411-0.00794)/5</f>
        <v>-2.4768000000000002E-2</v>
      </c>
      <c r="G8" s="3"/>
      <c r="H8" s="6">
        <f>(0.00972-0.00205-0.000905-0.00067-0.00975-0.0135-0.018-0.0242-0.00982+0.00831)/10</f>
        <v>-6.0864999999999999E-3</v>
      </c>
      <c r="I8" s="6">
        <f>(-0.0149-0.0193-0.0257-0.0145+0.00757-0.00139+0.0174+0.0248+0.0249+0.0181)/10</f>
        <v>1.6979999999999994E-3</v>
      </c>
      <c r="J8" s="3"/>
      <c r="K8" s="6">
        <f>(-0.108-0.0193-0.048-0.0663-0.08)/5</f>
        <v>-6.4320000000000002E-2</v>
      </c>
      <c r="L8" s="6">
        <f>(-0.108-0.0523-0.0904-0.00603-0.0313)/5</f>
        <v>-5.7605999999999991E-2</v>
      </c>
      <c r="M8" s="3"/>
      <c r="N8" s="6">
        <v>-2.5100000000000001E-2</v>
      </c>
      <c r="O8" s="6">
        <v>1.4999999999999999E-2</v>
      </c>
      <c r="P8" s="3"/>
      <c r="Q8" s="6">
        <f>(-0.00232-0.0133)/2</f>
        <v>-7.8099999999999992E-3</v>
      </c>
      <c r="R8" s="6">
        <f>(0.00735+0.0362)/2</f>
        <v>2.1775000000000003E-2</v>
      </c>
      <c r="S8" s="3"/>
      <c r="T8" s="6">
        <f>(0.00935+0.0584+0.0227+0.0479+0.0311+0.0658-0.0101)/7</f>
        <v>3.2164285714285715E-2</v>
      </c>
      <c r="U8" s="6">
        <f>(0.224+0.0196+0.118+0.0542+0.0285+0.0164+0.0608)/7</f>
        <v>7.4500000000000011E-2</v>
      </c>
      <c r="V8" s="3"/>
      <c r="W8" s="6">
        <f>(0.0719+0.0712)/2</f>
        <v>7.1550000000000002E-2</v>
      </c>
      <c r="X8" s="6">
        <f>(0.0162-0.0487)/2</f>
        <v>-1.6250000000000001E-2</v>
      </c>
      <c r="Y8" s="3"/>
      <c r="Z8" s="6">
        <f>(0.0826-0.0495)/2</f>
        <v>1.6550000000000002E-2</v>
      </c>
      <c r="AA8" s="6">
        <f>(-0.077-0.011)/2</f>
        <v>-4.3999999999999997E-2</v>
      </c>
      <c r="AB8" s="3"/>
      <c r="AC8" s="6">
        <f>(0.0276-0.00682+0.0428+0.0525+0.0496)/5</f>
        <v>3.3135999999999999E-2</v>
      </c>
      <c r="AD8" s="6">
        <f>(0.078+0.0315-0.0132-0.00965-0.00368)/5</f>
        <v>1.6593999999999998E-2</v>
      </c>
      <c r="AE8" s="3"/>
      <c r="AF8" s="6">
        <f>(-0.0325-0.0457)/2</f>
        <v>-3.9099999999999996E-2</v>
      </c>
      <c r="AG8" s="6">
        <f>(-0.0293-0.0765)/2</f>
        <v>-5.2900000000000003E-2</v>
      </c>
    </row>
    <row r="9" spans="1:33" ht="18.75" x14ac:dyDescent="0.25">
      <c r="A9" s="1" t="s">
        <v>7</v>
      </c>
      <c r="B9" s="9">
        <v>4.7499999999999999E-3</v>
      </c>
      <c r="C9" s="5">
        <v>1.25E-3</v>
      </c>
      <c r="D9" s="3"/>
      <c r="E9" s="5">
        <v>1.0600000000000002E-2</v>
      </c>
      <c r="F9">
        <v>2.6200000000000001E-2</v>
      </c>
      <c r="G9" s="3"/>
      <c r="H9" s="5">
        <v>6.7000000000000002E-3</v>
      </c>
      <c r="I9" s="5">
        <v>1.67E-2</v>
      </c>
      <c r="J9" s="3"/>
      <c r="K9" s="5">
        <v>1.7666666666666667E-2</v>
      </c>
      <c r="L9" s="5">
        <v>1.0333333333333337E-2</v>
      </c>
      <c r="M9" s="3"/>
      <c r="N9" s="5">
        <v>1.9E-2</v>
      </c>
      <c r="O9" s="5">
        <v>5.0000000000000001E-3</v>
      </c>
      <c r="P9" s="3"/>
      <c r="Q9" s="5">
        <v>0</v>
      </c>
      <c r="R9" s="5">
        <v>1.5E-3</v>
      </c>
      <c r="S9" s="3"/>
      <c r="T9" s="5">
        <v>5.7142857142857134E-3</v>
      </c>
      <c r="U9" s="5">
        <v>1.3857142857142858E-2</v>
      </c>
      <c r="V9" s="3"/>
      <c r="W9" s="5">
        <v>1.6500000000000001E-2</v>
      </c>
      <c r="X9" s="5">
        <v>3.5000000000000001E-3</v>
      </c>
      <c r="Y9" s="3"/>
      <c r="Z9" s="5">
        <v>6.0000000000000001E-3</v>
      </c>
      <c r="AA9" s="5">
        <v>3.0000000000000001E-3</v>
      </c>
      <c r="AB9" s="3"/>
      <c r="AC9" s="5">
        <v>5.2000000000000006E-3</v>
      </c>
      <c r="AD9" s="5">
        <v>5.4000000000000003E-3</v>
      </c>
      <c r="AE9" s="3"/>
      <c r="AF9">
        <v>3.0000000000000001E-3</v>
      </c>
      <c r="AG9">
        <v>6.4999999999999997E-3</v>
      </c>
    </row>
    <row r="10" spans="1:33" ht="15.75" x14ac:dyDescent="0.25">
      <c r="A10" s="1"/>
      <c r="B10" s="5"/>
      <c r="C10" s="5"/>
      <c r="D10" s="3"/>
      <c r="E10" s="5"/>
      <c r="F10" s="5"/>
      <c r="G10" s="3"/>
      <c r="H10" s="5"/>
      <c r="I10" s="5"/>
      <c r="J10" s="3"/>
      <c r="K10" s="5"/>
      <c r="L10" s="5"/>
      <c r="M10" s="3"/>
      <c r="N10" s="5"/>
      <c r="O10" s="5"/>
      <c r="P10" s="3"/>
      <c r="Q10" s="5"/>
      <c r="R10" s="5"/>
      <c r="S10" s="3"/>
      <c r="T10" s="5"/>
      <c r="U10" s="5"/>
      <c r="V10" s="3"/>
      <c r="W10" s="5"/>
      <c r="X10" s="5"/>
      <c r="Y10" s="3"/>
      <c r="Z10" s="5"/>
      <c r="AA10" s="5"/>
      <c r="AB10" s="3"/>
      <c r="AC10" s="5"/>
      <c r="AD10" s="5"/>
      <c r="AE10" s="3"/>
      <c r="AF10" s="5"/>
      <c r="AG10" s="5"/>
    </row>
    <row r="11" spans="1:33" ht="15.75" x14ac:dyDescent="0.25">
      <c r="A11" s="1" t="s">
        <v>4</v>
      </c>
      <c r="B11" s="5"/>
      <c r="C11" s="5"/>
      <c r="D11" s="3"/>
      <c r="E11" s="5"/>
      <c r="F11" s="5"/>
      <c r="G11" s="3"/>
      <c r="H11" s="5"/>
      <c r="I11" s="5"/>
      <c r="J11" s="3"/>
      <c r="K11" s="5"/>
      <c r="L11" s="5"/>
      <c r="M11" s="3"/>
      <c r="N11" s="5"/>
      <c r="O11" s="5"/>
      <c r="P11" s="3"/>
      <c r="Q11" s="5"/>
      <c r="R11" s="5"/>
      <c r="S11" s="3"/>
      <c r="T11" s="5"/>
      <c r="U11" s="5"/>
      <c r="V11" s="3"/>
      <c r="W11" s="5"/>
      <c r="X11" s="5"/>
      <c r="Y11" s="3"/>
      <c r="Z11" s="5"/>
      <c r="AA11" s="5"/>
      <c r="AB11" s="3"/>
      <c r="AC11" s="5"/>
      <c r="AD11" s="5"/>
      <c r="AE11" s="3"/>
      <c r="AF11" s="5"/>
      <c r="AG11" s="5"/>
    </row>
    <row r="12" spans="1:33" ht="15.75" x14ac:dyDescent="0.25">
      <c r="A12" s="1"/>
      <c r="B12" s="5" t="s">
        <v>23</v>
      </c>
      <c r="C12" s="5" t="s">
        <v>21</v>
      </c>
      <c r="D12" s="3"/>
      <c r="E12" s="5" t="s">
        <v>24</v>
      </c>
      <c r="F12" s="5" t="s">
        <v>24</v>
      </c>
      <c r="G12" s="3"/>
      <c r="H12" s="5" t="s">
        <v>29</v>
      </c>
      <c r="I12" s="5" t="s">
        <v>33</v>
      </c>
      <c r="J12" s="3"/>
      <c r="K12" s="5" t="s">
        <v>24</v>
      </c>
      <c r="L12" s="5" t="s">
        <v>24</v>
      </c>
      <c r="M12" s="3"/>
      <c r="N12" s="5" t="s">
        <v>39</v>
      </c>
      <c r="O12" s="5" t="s">
        <v>39</v>
      </c>
      <c r="P12" s="3"/>
      <c r="Q12" s="5" t="s">
        <v>41</v>
      </c>
      <c r="R12" s="5" t="s">
        <v>42</v>
      </c>
      <c r="S12" s="3"/>
      <c r="T12" s="5" t="s">
        <v>48</v>
      </c>
      <c r="U12" s="5" t="s">
        <v>45</v>
      </c>
      <c r="V12" s="3"/>
      <c r="W12" s="5" t="s">
        <v>42</v>
      </c>
      <c r="X12" s="5" t="s">
        <v>41</v>
      </c>
      <c r="Y12" s="3"/>
      <c r="Z12" s="5" t="s">
        <v>42</v>
      </c>
      <c r="AA12" s="5" t="s">
        <v>43</v>
      </c>
      <c r="AB12" s="3"/>
      <c r="AC12" s="5" t="s">
        <v>24</v>
      </c>
      <c r="AD12" s="5" t="s">
        <v>24</v>
      </c>
      <c r="AE12" s="3"/>
      <c r="AF12" s="5" t="s">
        <v>42</v>
      </c>
      <c r="AG12" s="5" t="s">
        <v>43</v>
      </c>
    </row>
    <row r="13" spans="1:33" ht="15.75" x14ac:dyDescent="0.25">
      <c r="A13" s="1"/>
      <c r="B13" s="5" t="s">
        <v>21</v>
      </c>
      <c r="C13" s="5" t="s">
        <v>22</v>
      </c>
      <c r="D13" s="3"/>
      <c r="E13" s="5" t="s">
        <v>24</v>
      </c>
      <c r="F13" s="5" t="s">
        <v>24</v>
      </c>
      <c r="G13" s="3"/>
      <c r="H13" s="5" t="s">
        <v>32</v>
      </c>
      <c r="I13" s="5" t="s">
        <v>32</v>
      </c>
      <c r="J13" s="3"/>
      <c r="K13" s="5" t="s">
        <v>24</v>
      </c>
      <c r="L13" s="5" t="s">
        <v>24</v>
      </c>
      <c r="M13" s="3"/>
      <c r="N13" s="5" t="s">
        <v>39</v>
      </c>
      <c r="O13" s="5" t="s">
        <v>39</v>
      </c>
      <c r="P13" s="3"/>
      <c r="Q13" s="5" t="s">
        <v>41</v>
      </c>
      <c r="R13" s="5" t="s">
        <v>41</v>
      </c>
      <c r="S13" s="3"/>
      <c r="T13" s="5" t="s">
        <v>47</v>
      </c>
      <c r="U13" s="5" t="s">
        <v>44</v>
      </c>
      <c r="V13" s="3"/>
      <c r="W13" s="5" t="s">
        <v>43</v>
      </c>
      <c r="X13" s="5" t="s">
        <v>41</v>
      </c>
      <c r="Y13" s="3"/>
      <c r="Z13" s="5" t="s">
        <v>43</v>
      </c>
      <c r="AA13" s="5" t="s">
        <v>41</v>
      </c>
      <c r="AB13" s="3"/>
      <c r="AC13" s="5" t="s">
        <v>24</v>
      </c>
      <c r="AD13" s="5" t="s">
        <v>24</v>
      </c>
      <c r="AE13" s="3"/>
      <c r="AF13" s="5" t="s">
        <v>41</v>
      </c>
      <c r="AG13" s="5" t="s">
        <v>41</v>
      </c>
    </row>
    <row r="14" spans="1:33" ht="15.75" x14ac:dyDescent="0.25">
      <c r="A14" s="1"/>
      <c r="B14" s="5" t="s">
        <v>22</v>
      </c>
      <c r="C14" s="5" t="s">
        <v>22</v>
      </c>
      <c r="D14" s="3"/>
      <c r="E14" s="5" t="s">
        <v>25</v>
      </c>
      <c r="F14" s="5" t="s">
        <v>26</v>
      </c>
      <c r="G14" s="3"/>
      <c r="H14" s="5" t="s">
        <v>30</v>
      </c>
      <c r="I14" s="5" t="s">
        <v>30</v>
      </c>
      <c r="J14" s="3"/>
      <c r="K14" s="5" t="s">
        <v>37</v>
      </c>
      <c r="L14" s="5" t="s">
        <v>26</v>
      </c>
      <c r="M14" s="3"/>
      <c r="N14" s="5" t="s">
        <v>40</v>
      </c>
      <c r="O14" s="5" t="s">
        <v>39</v>
      </c>
      <c r="P14" s="3"/>
      <c r="Q14" s="5" t="s">
        <v>43</v>
      </c>
      <c r="R14" s="5" t="s">
        <v>41</v>
      </c>
      <c r="S14" s="3"/>
      <c r="T14" s="5" t="s">
        <v>49</v>
      </c>
      <c r="U14" s="5" t="s">
        <v>49</v>
      </c>
      <c r="V14" s="3"/>
      <c r="W14" s="5" t="s">
        <v>41</v>
      </c>
      <c r="X14" s="5" t="s">
        <v>43</v>
      </c>
      <c r="Y14" s="3"/>
      <c r="Z14" s="5" t="s">
        <v>41</v>
      </c>
      <c r="AA14" s="5" t="s">
        <v>41</v>
      </c>
      <c r="AB14" s="3"/>
      <c r="AC14" s="5" t="s">
        <v>27</v>
      </c>
      <c r="AD14" s="5" t="s">
        <v>26</v>
      </c>
      <c r="AE14" s="3"/>
      <c r="AF14" s="5" t="s">
        <v>41</v>
      </c>
      <c r="AG14" s="5" t="s">
        <v>41</v>
      </c>
    </row>
    <row r="15" spans="1:33" ht="15.75" x14ac:dyDescent="0.25">
      <c r="A15" s="1"/>
      <c r="B15" s="6">
        <f>(0.072+0.0295+0.0455-0.0177)/4</f>
        <v>3.2325E-2</v>
      </c>
      <c r="C15" s="6">
        <f>(-0.0115-0.0132-0.00717+0.0227)/4</f>
        <v>-2.2925000000000003E-3</v>
      </c>
      <c r="D15" s="3"/>
      <c r="E15" s="6">
        <f>(-0.00609-0.009-0.0192-0.0213-0.00965)/5</f>
        <v>-1.3048000000000001E-2</v>
      </c>
      <c r="F15" s="6">
        <f>(-0.0135-0.00652-0.0168-0.0211-0.0149)/5</f>
        <v>-1.4563999999999999E-2</v>
      </c>
      <c r="G15" s="3"/>
      <c r="H15" s="6">
        <f>(0.00228-0.00141-0.0000979-0.00281-0.00394-0.00729+0.000527+0.00113+0.00605+0.0113)/10</f>
        <v>5.7390999999999985E-4</v>
      </c>
      <c r="I15" s="6">
        <f>(-0.00896+0.0000208-0.00176+0.00526+0.00721+0.00629+0.00538+0.00736+0.00592+0.00875)/10</f>
        <v>3.5470800000000002E-3</v>
      </c>
      <c r="J15" s="3"/>
      <c r="K15" s="6">
        <f>(-0.0713-0.0635-0.0616-0.0554-0.0493)/5</f>
        <v>-6.022000000000001E-2</v>
      </c>
      <c r="L15" s="6">
        <f>(-0.0488-0.0302-0.0387-0.0347-0.0142)/5</f>
        <v>-3.3320000000000002E-2</v>
      </c>
      <c r="M15" s="3"/>
      <c r="N15" s="6">
        <v>-1.0200000000000001E-2</v>
      </c>
      <c r="O15" s="6">
        <v>-3.81E-3</v>
      </c>
      <c r="P15" s="3"/>
      <c r="Q15" s="6">
        <f>(-0.0303-0.0483)/2</f>
        <v>-3.9300000000000002E-2</v>
      </c>
      <c r="R15" s="6">
        <f>(0.0103+0.0175)/2</f>
        <v>1.3900000000000001E-2</v>
      </c>
      <c r="S15" s="3"/>
      <c r="T15" s="6">
        <f>(0.119+0.0437+0.0349-0.000788-0.00532+0.011-0.00438)/7</f>
        <v>2.8301714285714288E-2</v>
      </c>
      <c r="U15" s="6">
        <f>(0.0353+0.0197+0.0735+0.065+0.0484+0.0375+0.0654)/7</f>
        <v>4.9257142857142854E-2</v>
      </c>
      <c r="V15" s="3"/>
      <c r="W15" s="6">
        <f>(0.0263+0.072)/2</f>
        <v>4.9149999999999999E-2</v>
      </c>
      <c r="X15" s="6">
        <f>(-0.00131-0.0394)/2</f>
        <v>-2.0354999999999998E-2</v>
      </c>
      <c r="Y15" s="3"/>
      <c r="Z15" s="6">
        <f>(0.0914+0.0216)/2</f>
        <v>5.6499999999999995E-2</v>
      </c>
      <c r="AA15" s="6">
        <f>(0.0237-0.0158)/2</f>
        <v>3.9499999999999987E-3</v>
      </c>
      <c r="AB15" s="3"/>
      <c r="AC15" s="6">
        <f>(-0.0236-0.0112-0.00258-0.0218-0.0418)/5</f>
        <v>-2.0195999999999999E-2</v>
      </c>
      <c r="AD15" s="6">
        <f>(-0.0523-0.0687-0.0715-0.0551-0.00269)/5</f>
        <v>-5.0058000000000005E-2</v>
      </c>
      <c r="AE15" s="3"/>
      <c r="AF15" s="6">
        <f>(0.0404+0.0438)/2</f>
        <v>4.2099999999999999E-2</v>
      </c>
      <c r="AG15" s="6">
        <f>(0.0233-0.0261)/2</f>
        <v>-1.4000000000000002E-3</v>
      </c>
    </row>
    <row r="16" spans="1:33" ht="18.75" x14ac:dyDescent="0.25">
      <c r="A16" s="1" t="s">
        <v>7</v>
      </c>
      <c r="B16" s="5">
        <v>1.15E-2</v>
      </c>
      <c r="C16" s="5">
        <v>1.25E-3</v>
      </c>
      <c r="D16" s="3"/>
      <c r="E16" s="5">
        <v>1.44E-2</v>
      </c>
      <c r="F16" s="5">
        <v>2.1999999999999999E-2</v>
      </c>
      <c r="G16" s="3"/>
      <c r="H16" s="5">
        <v>3.0000000000000001E-3</v>
      </c>
      <c r="I16" s="5">
        <v>4.7000000000000002E-3</v>
      </c>
      <c r="J16" s="3"/>
      <c r="K16" s="5">
        <v>2.3555555555555562E-2</v>
      </c>
      <c r="L16" s="5">
        <v>8.1111111111111123E-3</v>
      </c>
      <c r="M16" s="3"/>
      <c r="N16" s="5">
        <v>0.01</v>
      </c>
      <c r="O16" s="5">
        <v>1E-3</v>
      </c>
      <c r="P16" s="3"/>
      <c r="Q16" s="5">
        <v>0.01</v>
      </c>
      <c r="R16" s="5">
        <v>1.5E-3</v>
      </c>
      <c r="S16" s="3"/>
      <c r="T16" s="5">
        <v>8.9999999999999993E-3</v>
      </c>
      <c r="U16" s="5">
        <v>2.9857142857142856E-2</v>
      </c>
      <c r="V16" s="3"/>
      <c r="W16" s="5">
        <v>3.5000000000000001E-3</v>
      </c>
      <c r="X16" s="5">
        <v>4.4999999999999997E-3</v>
      </c>
      <c r="Y16" s="3"/>
      <c r="Z16" s="5">
        <v>1.15E-2</v>
      </c>
      <c r="AA16" s="5">
        <v>3.0000000000000001E-3</v>
      </c>
      <c r="AB16" s="3"/>
      <c r="AC16" s="5">
        <v>5.4000000000000003E-3</v>
      </c>
      <c r="AD16" s="5">
        <v>2.7400000000000001E-2</v>
      </c>
      <c r="AE16" s="3"/>
      <c r="AF16" s="5">
        <v>1.0999999999999999E-2</v>
      </c>
      <c r="AG16" s="5">
        <v>3.5000000000000001E-3</v>
      </c>
    </row>
    <row r="17" spans="1:33" ht="15.75" x14ac:dyDescent="0.25">
      <c r="A17" s="1"/>
      <c r="B17" s="5"/>
      <c r="C17" s="5"/>
      <c r="D17" s="3"/>
      <c r="E17" s="5"/>
      <c r="F17" s="5"/>
      <c r="G17" s="3"/>
      <c r="H17" s="5"/>
      <c r="I17" s="5"/>
      <c r="J17" s="3"/>
      <c r="K17" s="5"/>
      <c r="L17" s="5"/>
      <c r="M17" s="3"/>
      <c r="N17" s="5"/>
      <c r="O17" s="5"/>
      <c r="P17" s="3"/>
      <c r="Q17" s="5"/>
      <c r="R17" s="5"/>
      <c r="S17" s="3"/>
      <c r="T17" s="5"/>
      <c r="U17" s="5"/>
      <c r="V17" s="3"/>
      <c r="W17" s="5"/>
      <c r="X17" s="5"/>
      <c r="Y17" s="3"/>
      <c r="Z17" s="5"/>
      <c r="AA17" s="5"/>
      <c r="AB17" s="3"/>
      <c r="AC17" s="5"/>
      <c r="AD17" s="5"/>
      <c r="AE17" s="3"/>
      <c r="AF17" s="5"/>
      <c r="AG17" s="5"/>
    </row>
    <row r="18" spans="1:33" ht="15.75" x14ac:dyDescent="0.25">
      <c r="A18" s="1" t="s">
        <v>5</v>
      </c>
      <c r="B18" s="5"/>
      <c r="C18" s="5"/>
      <c r="D18" s="3"/>
      <c r="E18" s="5"/>
      <c r="F18" s="5"/>
      <c r="G18" s="3"/>
      <c r="H18" s="5"/>
      <c r="I18" s="5"/>
      <c r="J18" s="3"/>
      <c r="K18" s="5"/>
      <c r="L18" s="5"/>
      <c r="M18" s="3"/>
      <c r="N18" s="5"/>
      <c r="O18" s="5"/>
      <c r="P18" s="3"/>
      <c r="Q18" s="5"/>
      <c r="R18" s="5"/>
      <c r="S18" s="3"/>
      <c r="T18" s="5"/>
      <c r="U18" s="5"/>
      <c r="V18" s="3"/>
      <c r="W18" s="5"/>
      <c r="X18" s="5"/>
      <c r="Y18" s="3"/>
      <c r="Z18" s="5"/>
      <c r="AA18" s="5"/>
      <c r="AB18" s="3"/>
      <c r="AC18" s="5"/>
      <c r="AD18" s="5"/>
      <c r="AE18" s="3"/>
      <c r="AF18" s="5"/>
      <c r="AG18" s="5"/>
    </row>
    <row r="19" spans="1:33" ht="15.75" x14ac:dyDescent="0.25">
      <c r="A19" s="1"/>
      <c r="B19" s="5" t="s">
        <v>23</v>
      </c>
      <c r="C19" s="5" t="s">
        <v>20</v>
      </c>
      <c r="D19" s="3"/>
      <c r="E19" s="5" t="s">
        <v>27</v>
      </c>
      <c r="F19" s="5" t="s">
        <v>24</v>
      </c>
      <c r="G19" s="3"/>
      <c r="H19" s="5" t="s">
        <v>28</v>
      </c>
      <c r="I19" s="5" t="s">
        <v>34</v>
      </c>
      <c r="J19" s="3"/>
      <c r="K19" s="5" t="s">
        <v>24</v>
      </c>
      <c r="L19" s="5" t="s">
        <v>38</v>
      </c>
      <c r="M19" s="3"/>
      <c r="N19" s="5" t="s">
        <v>39</v>
      </c>
      <c r="O19" s="5" t="s">
        <v>40</v>
      </c>
      <c r="P19" s="3"/>
      <c r="Q19" s="5" t="s">
        <v>42</v>
      </c>
      <c r="R19" s="5" t="s">
        <v>42</v>
      </c>
      <c r="S19" s="3"/>
      <c r="T19" s="5" t="s">
        <v>46</v>
      </c>
      <c r="U19" s="5" t="s">
        <v>51</v>
      </c>
      <c r="V19" s="3"/>
      <c r="W19" s="5" t="s">
        <v>42</v>
      </c>
      <c r="X19" s="5" t="s">
        <v>43</v>
      </c>
      <c r="Y19" s="3"/>
      <c r="Z19" s="5" t="s">
        <v>41</v>
      </c>
      <c r="AA19" s="5" t="s">
        <v>41</v>
      </c>
      <c r="AB19" s="3"/>
      <c r="AC19" s="5" t="s">
        <v>37</v>
      </c>
      <c r="AD19" s="5" t="s">
        <v>26</v>
      </c>
      <c r="AE19" s="3"/>
      <c r="AF19" s="5" t="s">
        <v>41</v>
      </c>
      <c r="AG19" s="5" t="s">
        <v>41</v>
      </c>
    </row>
    <row r="20" spans="1:33" ht="15.75" x14ac:dyDescent="0.25">
      <c r="A20" s="1"/>
      <c r="B20" s="5" t="s">
        <v>21</v>
      </c>
      <c r="C20" s="5" t="s">
        <v>21</v>
      </c>
      <c r="D20" s="3"/>
      <c r="E20" s="5" t="s">
        <v>24</v>
      </c>
      <c r="F20" s="5" t="s">
        <v>24</v>
      </c>
      <c r="G20" s="3"/>
      <c r="H20" s="5" t="s">
        <v>32</v>
      </c>
      <c r="I20" s="5" t="s">
        <v>35</v>
      </c>
      <c r="J20" s="3"/>
      <c r="K20" s="5" t="s">
        <v>24</v>
      </c>
      <c r="L20" s="5" t="s">
        <v>24</v>
      </c>
      <c r="M20" s="3"/>
      <c r="N20" s="5" t="s">
        <v>39</v>
      </c>
      <c r="O20" s="5" t="s">
        <v>40</v>
      </c>
      <c r="P20" s="3"/>
      <c r="Q20" s="5" t="s">
        <v>41</v>
      </c>
      <c r="R20" s="5" t="s">
        <v>42</v>
      </c>
      <c r="S20" s="3"/>
      <c r="T20" s="5" t="s">
        <v>50</v>
      </c>
      <c r="U20" s="5" t="s">
        <v>46</v>
      </c>
      <c r="V20" s="3"/>
      <c r="W20" s="5" t="s">
        <v>43</v>
      </c>
      <c r="X20" s="5" t="s">
        <v>41</v>
      </c>
      <c r="Y20" s="3"/>
      <c r="Z20" s="5" t="s">
        <v>41</v>
      </c>
      <c r="AA20" s="5" t="s">
        <v>41</v>
      </c>
      <c r="AB20" s="3"/>
      <c r="AC20" s="5" t="s">
        <v>27</v>
      </c>
      <c r="AD20" s="5" t="s">
        <v>38</v>
      </c>
      <c r="AE20" s="3"/>
      <c r="AF20" s="5" t="s">
        <v>41</v>
      </c>
      <c r="AG20" s="5" t="s">
        <v>41</v>
      </c>
    </row>
    <row r="21" spans="1:33" ht="15.75" x14ac:dyDescent="0.25">
      <c r="A21" s="1"/>
      <c r="B21" s="5" t="s">
        <v>22</v>
      </c>
      <c r="C21" s="5" t="s">
        <v>22</v>
      </c>
      <c r="D21" s="3"/>
      <c r="E21" s="5" t="s">
        <v>25</v>
      </c>
      <c r="F21" s="5" t="s">
        <v>25</v>
      </c>
      <c r="G21" s="3"/>
      <c r="H21" s="5" t="s">
        <v>28</v>
      </c>
      <c r="I21" s="5" t="s">
        <v>28</v>
      </c>
      <c r="J21" s="3"/>
      <c r="K21" s="5" t="s">
        <v>25</v>
      </c>
      <c r="L21" s="5" t="s">
        <v>38</v>
      </c>
      <c r="M21" s="3"/>
      <c r="N21" s="5" t="s">
        <v>40</v>
      </c>
      <c r="O21" s="5" t="s">
        <v>39</v>
      </c>
      <c r="P21" s="3"/>
      <c r="Q21" s="5" t="s">
        <v>41</v>
      </c>
      <c r="R21" s="5" t="s">
        <v>41</v>
      </c>
      <c r="S21" s="3"/>
      <c r="T21" s="5" t="s">
        <v>49</v>
      </c>
      <c r="U21" s="5" t="s">
        <v>49</v>
      </c>
      <c r="V21" s="3"/>
      <c r="W21" s="5" t="s">
        <v>41</v>
      </c>
      <c r="X21" s="5" t="s">
        <v>43</v>
      </c>
      <c r="Y21" s="3"/>
      <c r="Z21" s="5" t="s">
        <v>41</v>
      </c>
      <c r="AA21" s="5" t="s">
        <v>43</v>
      </c>
      <c r="AB21" s="3"/>
      <c r="AC21" s="5" t="s">
        <v>24</v>
      </c>
      <c r="AD21" s="5" t="s">
        <v>24</v>
      </c>
      <c r="AE21" s="3"/>
      <c r="AF21" s="5" t="s">
        <v>41</v>
      </c>
      <c r="AG21" s="5" t="s">
        <v>42</v>
      </c>
    </row>
    <row r="22" spans="1:33" ht="15.75" x14ac:dyDescent="0.25">
      <c r="A22" s="1"/>
      <c r="B22" s="6">
        <f>(0.045+0.0347+0.0273-0.00399)/4</f>
        <v>2.5752500000000001E-2</v>
      </c>
      <c r="C22" s="6">
        <f>(0.00509-0.00168-0.0106+0.046)/4</f>
        <v>9.7024999999999993E-3</v>
      </c>
      <c r="D22" s="3"/>
      <c r="E22" s="6">
        <f>(0.00296-0.00609-0.015-0.012-0.0186)/5</f>
        <v>-9.7459999999999995E-3</v>
      </c>
      <c r="F22" s="6">
        <f>(-0.0171-0.00565-0.0175-0.0153-0.000446)/5</f>
        <v>-1.1199200000000001E-2</v>
      </c>
      <c r="G22" s="3"/>
      <c r="H22" s="6">
        <f>(0.0166-0.00106-0.000705-0.000369-0.00885-0.0118-0.00851-0.0163-0.00474+0.00278)/10</f>
        <v>-3.2954000000000004E-3</v>
      </c>
      <c r="I22" s="6">
        <f>(-0.0114-0.0105-0.0164-0.00577+0.0031+0.000111+0.00761+0.0136+0.00921+0.0102)/10</f>
        <v>-2.3899999999999964E-5</v>
      </c>
      <c r="J22" s="3"/>
      <c r="K22" s="6">
        <f>(-0.0375-0.0124-0.026-0.0274-0.0345)/5</f>
        <v>-2.7560000000000001E-2</v>
      </c>
      <c r="L22" s="6">
        <f>(-0.0538-0.0225-0.0391+0.00188+0.000912)/5</f>
        <v>-2.2521599999999999E-2</v>
      </c>
      <c r="M22" s="3"/>
      <c r="N22" s="6">
        <v>-2.07E-2</v>
      </c>
      <c r="O22" s="6">
        <v>1.5900000000000001E-2</v>
      </c>
      <c r="P22" s="3"/>
      <c r="Q22" s="6">
        <f>(0.0249+0.015)/2</f>
        <v>1.9949999999999999E-2</v>
      </c>
      <c r="R22" s="6">
        <f>(0.0592+0.0848)/2</f>
        <v>7.2000000000000008E-2</v>
      </c>
      <c r="S22" s="3"/>
      <c r="T22" s="6">
        <f>(-0.0442+0.0255-0.012-0.00251-0.000926+0.028-0.0211)/7</f>
        <v>-3.8908571428571438E-3</v>
      </c>
      <c r="U22" s="6">
        <f>(0.0844-0.0111+0.0675+0.0243+0.00306-0.0037+0.0185)/7</f>
        <v>2.6137142857142855E-2</v>
      </c>
      <c r="V22" s="3"/>
      <c r="W22" s="6">
        <f>(0.0395+0.0218)/2</f>
        <v>3.065E-2</v>
      </c>
      <c r="X22" s="6">
        <f>(0.000497-0.0389)/2</f>
        <v>-1.92015E-2</v>
      </c>
      <c r="Y22" s="3"/>
      <c r="Z22" s="6">
        <f>(-0.0107-0.0158)/2</f>
        <v>-1.3250000000000001E-2</v>
      </c>
      <c r="AA22" s="6">
        <f>(-0.0498-0.034)/2</f>
        <v>-4.19E-2</v>
      </c>
      <c r="AB22" s="3"/>
      <c r="AC22" s="6">
        <f>(0.0108+0.0079+0.0275+0.0271+0.0192)/5</f>
        <v>1.8499999999999999E-2</v>
      </c>
      <c r="AD22" s="6">
        <f>(0.0358+0.0171-0.0077+0.00898+0.0513)/5</f>
        <v>2.1096E-2</v>
      </c>
      <c r="AE22" s="3"/>
      <c r="AF22" s="6">
        <f>(-0.0175-0.0228)/2</f>
        <v>-2.0150000000000001E-2</v>
      </c>
      <c r="AG22" s="6">
        <f>(-0.0453-0.109)/2</f>
        <v>-7.7149999999999996E-2</v>
      </c>
    </row>
    <row r="23" spans="1:33" ht="18.75" x14ac:dyDescent="0.25">
      <c r="A23" s="1" t="s">
        <v>7</v>
      </c>
      <c r="B23" s="5">
        <v>5.0000000000000001E-3</v>
      </c>
      <c r="C23" s="5">
        <v>2.4999999999999996E-3</v>
      </c>
      <c r="D23" s="3"/>
      <c r="E23" s="5">
        <v>1.5800000000000002E-2</v>
      </c>
      <c r="F23" s="5">
        <v>1.84E-2</v>
      </c>
      <c r="G23" s="3"/>
      <c r="H23" s="5">
        <v>1.0200000000000001E-2</v>
      </c>
      <c r="I23" s="5">
        <v>1.4100000000000001E-2</v>
      </c>
      <c r="J23" s="3"/>
      <c r="K23" s="5">
        <v>1.2666666666666666E-2</v>
      </c>
      <c r="L23" s="5">
        <v>7.6666666666666671E-3</v>
      </c>
      <c r="M23" s="3"/>
      <c r="N23" s="5">
        <v>2.9000000000000001E-2</v>
      </c>
      <c r="O23" s="5">
        <v>1.2999999999999999E-2</v>
      </c>
      <c r="P23" s="3"/>
      <c r="Q23" s="2">
        <v>2.5000000000000001E-3</v>
      </c>
      <c r="R23" s="2">
        <v>2.5000000000000001E-2</v>
      </c>
      <c r="S23" s="3"/>
      <c r="T23" s="5">
        <v>3.5714285714285713E-3</v>
      </c>
      <c r="U23" s="5">
        <v>8.2857142857142851E-3</v>
      </c>
      <c r="V23" s="3"/>
      <c r="W23" s="5">
        <v>1.2499999999999999E-2</v>
      </c>
      <c r="X23" s="5">
        <v>4.4999999999999997E-3</v>
      </c>
      <c r="Y23" s="3"/>
      <c r="Z23" s="5">
        <v>5.0000000000000001E-4</v>
      </c>
      <c r="AA23" s="5">
        <v>6.0000000000000001E-3</v>
      </c>
      <c r="AB23" s="3"/>
      <c r="AC23" s="5">
        <v>3.9999999999999992E-3</v>
      </c>
      <c r="AD23" s="5">
        <v>6.6E-3</v>
      </c>
      <c r="AE23" s="3"/>
      <c r="AF23" s="5">
        <v>2.5000000000000001E-3</v>
      </c>
      <c r="AG23" s="5">
        <v>3.2000000000000001E-2</v>
      </c>
    </row>
    <row r="24" spans="1:33" ht="15.75" x14ac:dyDescent="0.25">
      <c r="A24" s="1"/>
      <c r="B24" s="5"/>
      <c r="C24" s="5"/>
      <c r="D24" s="3"/>
      <c r="E24" s="5"/>
      <c r="F24" s="5"/>
      <c r="G24" s="3"/>
      <c r="H24" s="5"/>
      <c r="I24" s="5"/>
      <c r="J24" s="3"/>
      <c r="K24" s="5"/>
      <c r="L24" s="5"/>
      <c r="M24" s="3"/>
      <c r="N24" s="5"/>
      <c r="O24" s="5"/>
      <c r="P24" s="3"/>
      <c r="Q24" s="5"/>
      <c r="R24" s="5"/>
      <c r="S24" s="3"/>
      <c r="T24" s="5"/>
      <c r="U24" s="5"/>
      <c r="V24" s="3"/>
      <c r="W24" s="5"/>
      <c r="X24" s="5"/>
      <c r="Y24" s="3"/>
      <c r="Z24" s="5"/>
      <c r="AA24" s="5"/>
      <c r="AB24" s="3"/>
      <c r="AC24" s="5"/>
      <c r="AD24" s="5"/>
      <c r="AE24" s="3"/>
      <c r="AF24" s="5"/>
      <c r="AG24" s="5"/>
    </row>
    <row r="25" spans="1:33" ht="15.75" x14ac:dyDescent="0.25">
      <c r="A25" s="1" t="s">
        <v>6</v>
      </c>
      <c r="B25" s="5"/>
      <c r="C25" s="5"/>
      <c r="D25" s="3"/>
      <c r="E25" s="5"/>
      <c r="F25" s="5"/>
      <c r="G25" s="3"/>
      <c r="H25" s="5"/>
      <c r="I25" s="5"/>
      <c r="J25" s="3"/>
      <c r="K25" s="5"/>
      <c r="L25" s="5"/>
      <c r="M25" s="3"/>
      <c r="N25" s="5"/>
      <c r="O25" s="5"/>
      <c r="P25" s="3"/>
      <c r="Q25" s="5"/>
      <c r="R25" s="5"/>
      <c r="S25" s="3"/>
      <c r="T25" s="5"/>
      <c r="U25" s="5"/>
      <c r="V25" s="3"/>
      <c r="W25" s="5"/>
      <c r="X25" s="5"/>
      <c r="Y25" s="3"/>
      <c r="Z25" s="5"/>
      <c r="AA25" s="5"/>
      <c r="AB25" s="3"/>
      <c r="AC25" s="5"/>
      <c r="AD25" s="5"/>
      <c r="AE25" s="3"/>
      <c r="AF25" s="5"/>
      <c r="AG25" s="5"/>
    </row>
    <row r="26" spans="1:33" ht="15.75" x14ac:dyDescent="0.25">
      <c r="A26" s="1"/>
      <c r="B26" s="5" t="s">
        <v>19</v>
      </c>
      <c r="C26" s="5" t="s">
        <v>22</v>
      </c>
      <c r="D26" s="3"/>
      <c r="E26" s="5" t="s">
        <v>19</v>
      </c>
      <c r="F26" s="5" t="s">
        <v>22</v>
      </c>
      <c r="G26" s="3"/>
      <c r="H26" s="5" t="s">
        <v>29</v>
      </c>
      <c r="I26" s="5" t="s">
        <v>36</v>
      </c>
      <c r="J26" s="3"/>
      <c r="K26" s="5" t="s">
        <v>24</v>
      </c>
      <c r="L26" s="5" t="s">
        <v>24</v>
      </c>
      <c r="M26" s="3"/>
      <c r="N26" s="5" t="s">
        <v>39</v>
      </c>
      <c r="O26" s="5" t="s">
        <v>39</v>
      </c>
      <c r="P26" s="3"/>
      <c r="Q26" s="5" t="s">
        <v>41</v>
      </c>
      <c r="R26" s="5" t="s">
        <v>41</v>
      </c>
      <c r="S26" s="3"/>
      <c r="T26" s="5" t="s">
        <v>45</v>
      </c>
      <c r="U26" s="5" t="s">
        <v>45</v>
      </c>
      <c r="V26" s="3"/>
      <c r="W26" s="5" t="s">
        <v>42</v>
      </c>
      <c r="X26" s="5" t="s">
        <v>43</v>
      </c>
      <c r="Y26" s="3"/>
      <c r="Z26" s="5" t="s">
        <v>42</v>
      </c>
      <c r="AA26" s="5" t="s">
        <v>42</v>
      </c>
      <c r="AB26" s="3"/>
      <c r="AC26" s="5" t="s">
        <v>24</v>
      </c>
      <c r="AD26" s="5" t="s">
        <v>24</v>
      </c>
      <c r="AE26" s="3"/>
      <c r="AF26" s="5" t="s">
        <v>42</v>
      </c>
      <c r="AG26" s="5" t="s">
        <v>42</v>
      </c>
    </row>
    <row r="27" spans="1:33" ht="15.75" x14ac:dyDescent="0.25">
      <c r="A27" s="1"/>
      <c r="B27" s="5" t="s">
        <v>22</v>
      </c>
      <c r="C27" s="5" t="s">
        <v>22</v>
      </c>
      <c r="D27" s="3"/>
      <c r="E27" s="5" t="s">
        <v>22</v>
      </c>
      <c r="F27" s="5" t="s">
        <v>22</v>
      </c>
      <c r="G27" s="3"/>
      <c r="H27" s="5" t="s">
        <v>30</v>
      </c>
      <c r="I27" s="5" t="s">
        <v>31</v>
      </c>
      <c r="J27" s="3"/>
      <c r="K27" s="5" t="s">
        <v>24</v>
      </c>
      <c r="L27" s="5" t="s">
        <v>24</v>
      </c>
      <c r="M27" s="3"/>
      <c r="N27" s="5" t="s">
        <v>39</v>
      </c>
      <c r="O27" s="5" t="s">
        <v>39</v>
      </c>
      <c r="P27" s="3"/>
      <c r="Q27" s="5" t="s">
        <v>41</v>
      </c>
      <c r="R27" s="5" t="s">
        <v>41</v>
      </c>
      <c r="S27" s="3"/>
      <c r="T27" s="5" t="s">
        <v>47</v>
      </c>
      <c r="U27" s="5" t="s">
        <v>45</v>
      </c>
      <c r="V27" s="3"/>
      <c r="W27" s="5" t="s">
        <v>41</v>
      </c>
      <c r="X27" s="5" t="s">
        <v>41</v>
      </c>
      <c r="Y27" s="3"/>
      <c r="Z27" s="5" t="s">
        <v>43</v>
      </c>
      <c r="AA27" s="5" t="s">
        <v>43</v>
      </c>
      <c r="AB27" s="3"/>
      <c r="AC27" s="5" t="s">
        <v>24</v>
      </c>
      <c r="AD27" s="5" t="s">
        <v>24</v>
      </c>
      <c r="AE27" s="3"/>
      <c r="AF27" s="5" t="s">
        <v>43</v>
      </c>
      <c r="AG27" s="5" t="s">
        <v>42</v>
      </c>
    </row>
    <row r="28" spans="1:33" ht="15.75" x14ac:dyDescent="0.25">
      <c r="A28" s="1"/>
      <c r="B28" s="5" t="s">
        <v>22</v>
      </c>
      <c r="C28" s="5" t="s">
        <v>22</v>
      </c>
      <c r="D28" s="3"/>
      <c r="E28" s="5" t="s">
        <v>22</v>
      </c>
      <c r="F28" s="5" t="s">
        <v>22</v>
      </c>
      <c r="G28" s="3"/>
      <c r="H28" s="5" t="s">
        <v>30</v>
      </c>
      <c r="I28" s="5" t="s">
        <v>30</v>
      </c>
      <c r="J28" s="3"/>
      <c r="K28" s="5" t="s">
        <v>37</v>
      </c>
      <c r="L28" s="5" t="s">
        <v>37</v>
      </c>
      <c r="M28" s="3"/>
      <c r="N28" s="5" t="s">
        <v>39</v>
      </c>
      <c r="O28" s="5" t="s">
        <v>39</v>
      </c>
      <c r="P28" s="3"/>
      <c r="Q28" s="5" t="s">
        <v>42</v>
      </c>
      <c r="R28" s="5" t="s">
        <v>42</v>
      </c>
      <c r="S28" s="3"/>
      <c r="T28" s="5" t="s">
        <v>49</v>
      </c>
      <c r="U28" s="5" t="s">
        <v>49</v>
      </c>
      <c r="V28" s="3"/>
      <c r="W28" s="5" t="s">
        <v>41</v>
      </c>
      <c r="X28" s="5" t="s">
        <v>41</v>
      </c>
      <c r="Y28" s="3"/>
      <c r="Z28" s="5" t="s">
        <v>41</v>
      </c>
      <c r="AA28" s="5" t="s">
        <v>41</v>
      </c>
      <c r="AB28" s="3"/>
      <c r="AC28" s="5" t="s">
        <v>27</v>
      </c>
      <c r="AD28" s="5" t="s">
        <v>37</v>
      </c>
      <c r="AE28" s="3"/>
      <c r="AF28" s="5" t="s">
        <v>41</v>
      </c>
      <c r="AG28" s="5" t="s">
        <v>41</v>
      </c>
    </row>
    <row r="29" spans="1:33" ht="15.75" x14ac:dyDescent="0.25">
      <c r="A29" s="1"/>
      <c r="B29" s="6">
        <f>(0.0125+0.0165+0.0203+0.00189)/4</f>
        <v>1.27975E-2</v>
      </c>
      <c r="C29" s="6">
        <f>(-0.00125-0.0139-0.00432-0.0185)/4</f>
        <v>-9.4924999999999992E-3</v>
      </c>
      <c r="D29" s="3"/>
      <c r="E29" s="6">
        <f>(0.0125+0.0165+0.0203+0.00189)/4</f>
        <v>1.27975E-2</v>
      </c>
      <c r="F29" s="6">
        <f>(-0.00125-0.0139-0.00432-0.0185)/4</f>
        <v>-9.4924999999999992E-3</v>
      </c>
      <c r="G29" s="3"/>
      <c r="H29" s="6">
        <f>(-0.00696-0.00166+0.000633-0.0013+0.00107-0.000454-0.000249+0.00104+0.00262+0.00522)/10</f>
        <v>-4.0000000000000108E-6</v>
      </c>
      <c r="I29" s="6">
        <f>(-0.00145+0.00142+0.000467+0.00188+0.00338+0.00102+0.00111+0.00213+0.00381+0.00373)/10</f>
        <v>1.7497000000000003E-3</v>
      </c>
      <c r="J29" s="3"/>
      <c r="K29" s="6">
        <f>(-0.0512-0.0272-0.0301-0.0342-0.0335)/5</f>
        <v>-3.524E-2</v>
      </c>
      <c r="L29" s="6">
        <f>(-0.0294-0.0231-0.0288-0.0294-0.0232)/5</f>
        <v>-2.6779999999999998E-2</v>
      </c>
      <c r="M29" s="3"/>
      <c r="N29" s="6">
        <v>-2.3700000000000001E-3</v>
      </c>
      <c r="O29" s="6">
        <v>-3.3700000000000002E-3</v>
      </c>
      <c r="P29" s="3"/>
      <c r="Q29" s="6">
        <f>(-0.0416-0.0521)/2</f>
        <v>-4.6850000000000003E-2</v>
      </c>
      <c r="R29" s="6">
        <f>(-0.0403-0.0488)/2</f>
        <v>-4.4550000000000006E-2</v>
      </c>
      <c r="S29" s="3"/>
      <c r="T29" s="6">
        <f>(0.0662+0.0229+0.0316+0.0156+0.00873+0.00906+0.0127)/7</f>
        <v>2.3827142857142856E-2</v>
      </c>
      <c r="U29" s="6">
        <f>(0.0457+0.0242+0.0232+0.0335+0.0335+0.0325+0.0415)/7</f>
        <v>3.3442857142857142E-2</v>
      </c>
      <c r="V29" s="3"/>
      <c r="W29" s="6">
        <f>(0.00745+0.0125)/2</f>
        <v>9.9750000000000012E-3</v>
      </c>
      <c r="X29" s="6">
        <f>(0.00612-0.0153)/2</f>
        <v>-4.5900000000000003E-3</v>
      </c>
      <c r="Y29" s="3"/>
      <c r="Z29" s="6">
        <f>(0.0898+0.0103)/2</f>
        <v>5.0050000000000004E-2</v>
      </c>
      <c r="AA29" s="6">
        <f>(0.0406+0.0164)/2</f>
        <v>2.8499999999999998E-2</v>
      </c>
      <c r="AB29" s="3"/>
      <c r="AC29" s="6">
        <f>(-0.0238-0.0226-0.0188-0.0194-0.0287)/5</f>
        <v>-2.266E-2</v>
      </c>
      <c r="AD29" s="6">
        <f>(-0.0345-0.0484-0.044-0.046-0.0506)/5</f>
        <v>-4.4700000000000004E-2</v>
      </c>
      <c r="AE29" s="3"/>
      <c r="AF29" s="6">
        <f>(0.0279+0.033)/2</f>
        <v>3.0450000000000001E-2</v>
      </c>
      <c r="AG29" s="6">
        <f>(0.0431+0.0491)/2</f>
        <v>4.6100000000000002E-2</v>
      </c>
    </row>
    <row r="30" spans="1:33" ht="18.75" x14ac:dyDescent="0.25">
      <c r="A30" s="1" t="s">
        <v>7</v>
      </c>
      <c r="B30" s="2">
        <v>1.75E-3</v>
      </c>
      <c r="C30">
        <v>1.5E-3</v>
      </c>
      <c r="D30" s="3"/>
      <c r="E30" s="2">
        <v>5.6000000000000008E-3</v>
      </c>
      <c r="F30" s="2">
        <v>1.9200000000000002E-2</v>
      </c>
      <c r="G30" s="3"/>
      <c r="H30" s="2">
        <v>1.7000000000000001E-3</v>
      </c>
      <c r="I30" s="2">
        <v>1.2000000000000001E-3</v>
      </c>
      <c r="J30" s="3"/>
      <c r="K30" s="2">
        <v>1.7333333333333329E-2</v>
      </c>
      <c r="L30" s="2">
        <v>1.2333333333333333E-2</v>
      </c>
      <c r="M30" s="3"/>
      <c r="N30" s="2">
        <v>1E-3</v>
      </c>
      <c r="O30" s="2">
        <v>2E-3</v>
      </c>
      <c r="P30" s="3"/>
      <c r="Q30">
        <v>2.0500000000000001E-2</v>
      </c>
      <c r="R30">
        <v>2.2499999999999999E-2</v>
      </c>
      <c r="S30" s="3"/>
      <c r="T30" s="2">
        <v>8.1428571428571427E-3</v>
      </c>
      <c r="U30" s="2">
        <v>2.4714285714285716E-2</v>
      </c>
      <c r="V30" s="3"/>
      <c r="W30" s="2">
        <v>2E-3</v>
      </c>
      <c r="X30" s="2">
        <v>1.5E-3</v>
      </c>
      <c r="Y30" s="3"/>
      <c r="Z30" s="2">
        <v>1.6500000000000001E-2</v>
      </c>
      <c r="AA30" s="2">
        <v>5.0000000000000001E-3</v>
      </c>
      <c r="AB30" s="3"/>
      <c r="AC30">
        <f>(U30+U32+U34+U36+U38)/5</f>
        <v>4.9428571428571429E-3</v>
      </c>
      <c r="AD30">
        <f>(V30+V32+V34+V36+V38)/5</f>
        <v>0</v>
      </c>
      <c r="AE30" s="3"/>
      <c r="AF30">
        <v>8.0000000000000002E-3</v>
      </c>
      <c r="AG30">
        <v>2.1499999999999998E-2</v>
      </c>
    </row>
    <row r="31" spans="1:33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</sheetData>
  <mergeCells count="11">
    <mergeCell ref="Q2:R2"/>
    <mergeCell ref="B2:C2"/>
    <mergeCell ref="E2:F2"/>
    <mergeCell ref="H2:I2"/>
    <mergeCell ref="K2:L2"/>
    <mergeCell ref="N2:O2"/>
    <mergeCell ref="Z2:AA2"/>
    <mergeCell ref="AC2:AD2"/>
    <mergeCell ref="AF2:AG2"/>
    <mergeCell ref="T2:U2"/>
    <mergeCell ref="W2:X2"/>
  </mergeCells>
  <pageMargins left="0.7" right="0.7" top="0.75" bottom="0.75" header="0.3" footer="0.3"/>
  <pageSetup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0"/>
  <sheetViews>
    <sheetView topLeftCell="E1" workbookViewId="0">
      <selection activeCell="L5" sqref="L5"/>
    </sheetView>
  </sheetViews>
  <sheetFormatPr defaultRowHeight="15" x14ac:dyDescent="0.25"/>
  <sheetData>
    <row r="1" spans="1:33" ht="15.75" x14ac:dyDescent="0.25">
      <c r="A1" s="1" t="s">
        <v>53</v>
      </c>
    </row>
    <row r="2" spans="1:33" ht="15.75" x14ac:dyDescent="0.25">
      <c r="A2" s="7"/>
      <c r="B2" s="20" t="s">
        <v>8</v>
      </c>
      <c r="C2" s="20"/>
      <c r="D2" s="8"/>
      <c r="E2" s="20" t="s">
        <v>9</v>
      </c>
      <c r="F2" s="20"/>
      <c r="G2" s="8"/>
      <c r="H2" s="20" t="s">
        <v>10</v>
      </c>
      <c r="I2" s="20"/>
      <c r="J2" s="7"/>
      <c r="K2" s="20" t="s">
        <v>11</v>
      </c>
      <c r="L2" s="20"/>
      <c r="M2" s="8"/>
      <c r="N2" s="20" t="s">
        <v>12</v>
      </c>
      <c r="O2" s="20"/>
      <c r="P2" s="8"/>
      <c r="Q2" s="20" t="s">
        <v>15</v>
      </c>
      <c r="R2" s="20"/>
      <c r="S2" s="7"/>
      <c r="T2" s="20" t="s">
        <v>13</v>
      </c>
      <c r="U2" s="20"/>
      <c r="V2" s="7"/>
      <c r="W2" s="20" t="s">
        <v>14</v>
      </c>
      <c r="X2" s="20"/>
      <c r="Y2" s="7"/>
      <c r="Z2" s="19" t="s">
        <v>17</v>
      </c>
      <c r="AA2" s="19"/>
      <c r="AB2" s="7"/>
      <c r="AC2" s="19" t="s">
        <v>16</v>
      </c>
      <c r="AD2" s="19"/>
      <c r="AE2" s="7"/>
      <c r="AF2" s="20" t="s">
        <v>18</v>
      </c>
      <c r="AG2" s="20"/>
    </row>
    <row r="3" spans="1:33" ht="15.75" x14ac:dyDescent="0.25">
      <c r="A3" s="1" t="s">
        <v>0</v>
      </c>
      <c r="B3" s="8" t="s">
        <v>1</v>
      </c>
      <c r="C3" s="8" t="s">
        <v>2</v>
      </c>
      <c r="D3" s="1"/>
      <c r="E3" s="1" t="s">
        <v>1</v>
      </c>
      <c r="F3" s="1" t="s">
        <v>2</v>
      </c>
      <c r="G3" s="1"/>
      <c r="H3" s="1" t="s">
        <v>1</v>
      </c>
      <c r="I3" s="1" t="s">
        <v>2</v>
      </c>
      <c r="K3" s="1" t="s">
        <v>1</v>
      </c>
      <c r="L3" s="1" t="s">
        <v>2</v>
      </c>
      <c r="M3" s="1"/>
      <c r="N3" s="1" t="s">
        <v>1</v>
      </c>
      <c r="O3" s="1" t="s">
        <v>2</v>
      </c>
      <c r="P3" s="1"/>
      <c r="Q3" s="1" t="s">
        <v>1</v>
      </c>
      <c r="R3" s="1" t="s">
        <v>2</v>
      </c>
      <c r="T3" s="1" t="s">
        <v>1</v>
      </c>
      <c r="U3" s="1" t="s">
        <v>2</v>
      </c>
      <c r="W3" s="1" t="s">
        <v>1</v>
      </c>
      <c r="X3" s="1" t="s">
        <v>2</v>
      </c>
      <c r="Z3" s="1" t="s">
        <v>1</v>
      </c>
      <c r="AA3" s="1" t="s">
        <v>2</v>
      </c>
      <c r="AC3" s="1" t="s">
        <v>1</v>
      </c>
      <c r="AD3" s="1" t="s">
        <v>2</v>
      </c>
      <c r="AF3" s="1" t="s">
        <v>1</v>
      </c>
      <c r="AG3" s="1" t="s">
        <v>2</v>
      </c>
    </row>
    <row r="4" spans="1:33" ht="15.75" x14ac:dyDescent="0.25">
      <c r="A4" s="1" t="s">
        <v>54</v>
      </c>
      <c r="B4" s="8"/>
      <c r="C4" s="8"/>
      <c r="D4" s="1"/>
      <c r="E4" s="1"/>
      <c r="F4" s="1"/>
      <c r="G4" s="1"/>
      <c r="H4" s="1"/>
      <c r="I4" s="1"/>
    </row>
    <row r="5" spans="1:33" ht="15.75" x14ac:dyDescent="0.25">
      <c r="A5" s="1"/>
      <c r="B5" s="5" t="s">
        <v>21</v>
      </c>
      <c r="C5" s="5" t="s">
        <v>22</v>
      </c>
      <c r="D5" s="3"/>
      <c r="E5" s="5" t="s">
        <v>27</v>
      </c>
      <c r="F5" s="5" t="s">
        <v>38</v>
      </c>
      <c r="G5" s="3"/>
      <c r="H5" s="5" t="s">
        <v>58</v>
      </c>
      <c r="I5" s="5" t="s">
        <v>34</v>
      </c>
      <c r="J5" s="3"/>
      <c r="K5" s="5" t="s">
        <v>24</v>
      </c>
      <c r="L5" s="5" t="s">
        <v>24</v>
      </c>
      <c r="M5" s="3"/>
      <c r="N5" s="5" t="s">
        <v>39</v>
      </c>
      <c r="O5" s="5" t="s">
        <v>39</v>
      </c>
      <c r="P5" s="3"/>
      <c r="Q5" s="5" t="s">
        <v>42</v>
      </c>
      <c r="R5" s="5" t="s">
        <v>42</v>
      </c>
      <c r="S5" s="3"/>
      <c r="T5" s="5" t="s">
        <v>46</v>
      </c>
      <c r="U5" s="5" t="s">
        <v>45</v>
      </c>
      <c r="V5" s="3"/>
      <c r="W5" s="5" t="s">
        <v>42</v>
      </c>
      <c r="X5" s="5" t="s">
        <v>43</v>
      </c>
      <c r="Y5" s="3"/>
      <c r="Z5" s="5" t="s">
        <v>43</v>
      </c>
      <c r="AA5" s="5" t="s">
        <v>41</v>
      </c>
      <c r="AB5" s="3"/>
      <c r="AC5" s="5" t="s">
        <v>26</v>
      </c>
      <c r="AD5" s="5" t="s">
        <v>26</v>
      </c>
      <c r="AE5" s="3"/>
      <c r="AF5" s="5" t="s">
        <v>41</v>
      </c>
      <c r="AG5" s="5" t="s">
        <v>41</v>
      </c>
    </row>
    <row r="6" spans="1:33" ht="15.75" x14ac:dyDescent="0.25">
      <c r="A6" s="1"/>
      <c r="B6" s="5" t="s">
        <v>21</v>
      </c>
      <c r="C6" s="5" t="s">
        <v>22</v>
      </c>
      <c r="D6" s="3"/>
      <c r="E6" s="5" t="s">
        <v>24</v>
      </c>
      <c r="F6" s="5" t="s">
        <v>27</v>
      </c>
      <c r="G6" s="3"/>
      <c r="H6" s="5" t="s">
        <v>30</v>
      </c>
      <c r="I6" s="5" t="s">
        <v>30</v>
      </c>
      <c r="J6" s="3"/>
      <c r="K6" s="5" t="s">
        <v>24</v>
      </c>
      <c r="L6" s="5" t="s">
        <v>24</v>
      </c>
      <c r="M6" s="3"/>
      <c r="N6" s="5" t="s">
        <v>39</v>
      </c>
      <c r="O6" s="5" t="s">
        <v>39</v>
      </c>
      <c r="P6" s="3"/>
      <c r="Q6" s="5" t="s">
        <v>41</v>
      </c>
      <c r="R6" s="5" t="s">
        <v>43</v>
      </c>
      <c r="S6" s="3"/>
      <c r="T6" s="5" t="s">
        <v>49</v>
      </c>
      <c r="U6" s="5" t="s">
        <v>47</v>
      </c>
      <c r="V6" s="3"/>
      <c r="W6" s="5" t="s">
        <v>41</v>
      </c>
      <c r="X6" s="5" t="s">
        <v>41</v>
      </c>
      <c r="Y6" s="3"/>
      <c r="Z6" s="5" t="s">
        <v>43</v>
      </c>
      <c r="AA6" s="5" t="s">
        <v>41</v>
      </c>
      <c r="AB6" s="3"/>
      <c r="AC6" s="5" t="s">
        <v>38</v>
      </c>
      <c r="AD6" s="5" t="s">
        <v>27</v>
      </c>
      <c r="AE6" s="3"/>
      <c r="AF6" s="5" t="s">
        <v>41</v>
      </c>
      <c r="AG6" s="5" t="s">
        <v>41</v>
      </c>
    </row>
    <row r="7" spans="1:33" ht="15.75" x14ac:dyDescent="0.25">
      <c r="A7" s="1"/>
      <c r="B7" s="5" t="s">
        <v>22</v>
      </c>
      <c r="C7" s="5" t="s">
        <v>22</v>
      </c>
      <c r="D7" s="3"/>
      <c r="E7" s="5" t="s">
        <v>24</v>
      </c>
      <c r="F7" s="5" t="s">
        <v>25</v>
      </c>
      <c r="G7" s="3"/>
      <c r="H7" s="5" t="s">
        <v>30</v>
      </c>
      <c r="I7" s="5" t="s">
        <v>30</v>
      </c>
      <c r="J7" s="3"/>
      <c r="K7" s="5" t="s">
        <v>24</v>
      </c>
      <c r="L7" s="5" t="s">
        <v>24</v>
      </c>
      <c r="M7" s="3"/>
      <c r="N7" s="5" t="s">
        <v>39</v>
      </c>
      <c r="O7" s="5" t="s">
        <v>39</v>
      </c>
      <c r="P7" s="3"/>
      <c r="Q7" s="5" t="s">
        <v>41</v>
      </c>
      <c r="R7" s="5" t="s">
        <v>41</v>
      </c>
      <c r="S7" s="3"/>
      <c r="T7" s="5" t="s">
        <v>50</v>
      </c>
      <c r="U7" s="5" t="s">
        <v>49</v>
      </c>
      <c r="V7" s="3"/>
      <c r="W7" s="5" t="s">
        <v>41</v>
      </c>
      <c r="X7" s="5" t="s">
        <v>41</v>
      </c>
      <c r="Y7" s="3"/>
      <c r="Z7" s="5" t="s">
        <v>41</v>
      </c>
      <c r="AA7" s="5" t="s">
        <v>43</v>
      </c>
      <c r="AB7" s="3"/>
      <c r="AC7" s="5" t="s">
        <v>24</v>
      </c>
      <c r="AD7" s="5" t="s">
        <v>24</v>
      </c>
      <c r="AE7" s="3"/>
      <c r="AF7" s="5" t="s">
        <v>41</v>
      </c>
      <c r="AG7" s="5" t="s">
        <v>42</v>
      </c>
    </row>
    <row r="8" spans="1:33" ht="15.75" x14ac:dyDescent="0.25">
      <c r="A8" s="1"/>
      <c r="B8" s="6">
        <f>(0.0478+0.0135+0.01+0.0156)/4</f>
        <v>2.1725000000000001E-2</v>
      </c>
      <c r="C8" s="6">
        <f>(-0.0129-0.00196)</f>
        <v>-1.486E-2</v>
      </c>
      <c r="D8" s="3"/>
      <c r="E8" s="6">
        <f>(-0.00389-0.00278+0.00246-0.00573-0.00251/5)</f>
        <v>-1.0442000000000002E-2</v>
      </c>
      <c r="F8" s="6">
        <f>(0.00618+0.00821-0.00533-0.0101-0.00595)/2</f>
        <v>-3.4949999999999998E-3</v>
      </c>
      <c r="G8" s="3"/>
      <c r="H8" s="6">
        <f>(-0.00159-0.000493+0.000862+0.00272+0.00164+0.000986-0.00195+0.000617+0.00351)/10</f>
        <v>6.3020000000000003E-4</v>
      </c>
      <c r="I8" s="6">
        <f>(0.00273+0.000865-0.00347-0.000832+0.00175-0.00118-0.00000443+0.00213-0.0000476-0.00186)/10</f>
        <v>8.0969999999999226E-6</v>
      </c>
      <c r="J8" s="3"/>
      <c r="K8" s="6">
        <f>(-0.0145-0.00823-0.00827-0.00897-0.00909)/5</f>
        <v>-9.8119999999999995E-3</v>
      </c>
      <c r="L8" s="6">
        <f>(-0.000155-0.00108-0.00836-0.00402-0.0127)/5</f>
        <v>-5.2629999999999994E-3</v>
      </c>
      <c r="M8" s="3"/>
      <c r="N8" s="6">
        <v>-6.3E-3</v>
      </c>
      <c r="O8" s="6">
        <v>-4.8399999999999997E-3</v>
      </c>
      <c r="P8" s="3"/>
      <c r="Q8" s="6">
        <f>(0.0219+0.0237)/2</f>
        <v>2.2800000000000001E-2</v>
      </c>
      <c r="R8" s="6">
        <f>(0.0285+0.0404)/2</f>
        <v>3.4450000000000001E-2</v>
      </c>
      <c r="S8" s="3"/>
      <c r="T8" s="6">
        <f>(-0.0247-0.00552-0.0173-0.0223-0.0138+0.00579+0.00154)/7</f>
        <v>-1.0898571428571428E-2</v>
      </c>
      <c r="U8" s="6">
        <f>(0.0162+0.000301+0.027+0.0207+0.0137+0.0153+0.0263)/7</f>
        <v>1.7071571428571429E-2</v>
      </c>
      <c r="V8" s="3"/>
      <c r="W8" s="6">
        <f>(0.00394+0.0101)/2</f>
        <v>7.0200000000000002E-3</v>
      </c>
      <c r="X8" s="6">
        <f>(0.00576-0.0182)/2</f>
        <v>-6.2199999999999998E-3</v>
      </c>
      <c r="Y8" s="3"/>
      <c r="Z8" s="6">
        <f>(0.0762-0.0185)/2</f>
        <v>2.8850000000000001E-2</v>
      </c>
      <c r="AA8" s="6">
        <f>(-0.0383-0.0434)/2</f>
        <v>-4.0849999999999997E-2</v>
      </c>
      <c r="AB8" s="3"/>
      <c r="AC8" s="6">
        <f>(-0.0217+0.0229+0.0225+0.0277+0.0341)/5</f>
        <v>1.7099999999999997E-2</v>
      </c>
      <c r="AD8" s="6">
        <f>(0.0185-0.00381+0.00179+0.00746+0.0316)/5</f>
        <v>1.1108E-2</v>
      </c>
      <c r="AE8" s="3"/>
      <c r="AF8" s="6">
        <f>(-0.0127-0.0358)/2</f>
        <v>-2.4250000000000001E-2</v>
      </c>
      <c r="AG8" s="6">
        <f>(-0.0407-0.0608)/2</f>
        <v>-5.0750000000000003E-2</v>
      </c>
    </row>
    <row r="9" spans="1:33" ht="18.75" x14ac:dyDescent="0.25">
      <c r="A9" s="1" t="s">
        <v>7</v>
      </c>
      <c r="B9" s="5">
        <v>5.000000000000001E-3</v>
      </c>
      <c r="C9" s="5">
        <v>5.0000000000000001E-4</v>
      </c>
      <c r="D9" s="3"/>
      <c r="E9" s="5">
        <v>1.6000000000000001E-3</v>
      </c>
      <c r="F9" s="5">
        <v>8.0000000000000002E-3</v>
      </c>
      <c r="G9" s="3"/>
      <c r="H9" s="5">
        <v>2.3999999999999998E-3</v>
      </c>
      <c r="I9" s="5">
        <v>9.0000000000000008E-4</v>
      </c>
      <c r="J9" s="3"/>
      <c r="K9" s="5">
        <v>8.8888888888888893E-4</v>
      </c>
      <c r="L9" s="5">
        <v>6.5555555555555558E-3</v>
      </c>
      <c r="M9" s="3"/>
      <c r="N9" s="5">
        <v>5.0000000000000001E-3</v>
      </c>
      <c r="O9" s="5">
        <v>3.0000000000000001E-3</v>
      </c>
      <c r="P9" s="3"/>
      <c r="Q9" s="5">
        <v>4.0000000000000001E-3</v>
      </c>
      <c r="R9" s="5">
        <v>8.5000000000000006E-3</v>
      </c>
      <c r="S9" s="3"/>
      <c r="T9" s="5">
        <v>2.4285714285714288E-3</v>
      </c>
      <c r="U9" s="5">
        <v>6.1428571428571435E-3</v>
      </c>
      <c r="V9" s="3"/>
      <c r="W9" s="5">
        <v>5.0000000000000001E-4</v>
      </c>
      <c r="X9" s="5">
        <v>2E-3</v>
      </c>
      <c r="Y9" s="3"/>
      <c r="Z9" s="5">
        <v>1.15E-2</v>
      </c>
      <c r="AA9" s="5">
        <v>8.9999999999999993E-3</v>
      </c>
      <c r="AB9" s="3"/>
      <c r="AC9" s="5">
        <v>8.2000000000000007E-3</v>
      </c>
      <c r="AD9" s="5">
        <v>3.0000000000000001E-3</v>
      </c>
      <c r="AE9" s="3"/>
      <c r="AF9" s="5">
        <v>4.9999999999999992E-3</v>
      </c>
      <c r="AG9" s="5">
        <v>1.9E-2</v>
      </c>
    </row>
    <row r="10" spans="1:33" ht="15.75" x14ac:dyDescent="0.25">
      <c r="A10" s="1"/>
      <c r="B10" s="5"/>
      <c r="C10" s="5"/>
      <c r="D10" s="3"/>
      <c r="E10" s="5"/>
      <c r="F10" s="5"/>
      <c r="G10" s="3"/>
      <c r="H10" s="5"/>
      <c r="I10" s="5"/>
      <c r="J10" s="3"/>
      <c r="K10" s="5"/>
      <c r="L10" s="5"/>
      <c r="M10" s="3"/>
      <c r="N10" s="5"/>
      <c r="O10" s="5"/>
      <c r="P10" s="3"/>
      <c r="Q10" s="5"/>
      <c r="R10" s="5"/>
      <c r="S10" s="3"/>
      <c r="T10" s="5"/>
      <c r="U10" s="5"/>
      <c r="V10" s="3"/>
      <c r="W10" s="5"/>
      <c r="X10" s="5"/>
      <c r="Y10" s="3"/>
      <c r="Z10" s="5"/>
      <c r="AA10" s="5"/>
      <c r="AB10" s="3"/>
      <c r="AC10" s="5"/>
      <c r="AD10" s="5"/>
      <c r="AE10" s="3"/>
      <c r="AF10" s="5"/>
      <c r="AG10" s="5"/>
    </row>
    <row r="11" spans="1:33" ht="15.75" x14ac:dyDescent="0.25">
      <c r="A11" s="1" t="s">
        <v>55</v>
      </c>
      <c r="B11" s="5"/>
      <c r="C11" s="5"/>
      <c r="D11" s="3"/>
      <c r="E11" s="5"/>
      <c r="F11" s="5"/>
      <c r="G11" s="3"/>
      <c r="H11" s="5"/>
      <c r="I11" s="5"/>
      <c r="J11" s="3"/>
      <c r="K11" s="5"/>
      <c r="L11" s="5"/>
      <c r="M11" s="3"/>
      <c r="N11" s="5"/>
      <c r="O11" s="5"/>
      <c r="P11" s="3"/>
      <c r="Q11" s="5"/>
      <c r="R11" s="5"/>
      <c r="S11" s="3"/>
      <c r="T11" s="5"/>
      <c r="U11" s="5"/>
      <c r="V11" s="3"/>
      <c r="W11" s="5"/>
      <c r="X11" s="5"/>
      <c r="Y11" s="3"/>
      <c r="Z11" s="5"/>
      <c r="AA11" s="5"/>
      <c r="AB11" s="3"/>
      <c r="AC11" s="5"/>
      <c r="AD11" s="5"/>
      <c r="AE11" s="3"/>
      <c r="AF11" s="5"/>
      <c r="AG11" s="5"/>
    </row>
    <row r="12" spans="1:33" ht="15.75" x14ac:dyDescent="0.25">
      <c r="A12" s="1"/>
      <c r="B12" s="5" t="s">
        <v>20</v>
      </c>
      <c r="C12" s="5" t="s">
        <v>20</v>
      </c>
      <c r="D12" s="3"/>
      <c r="E12" s="5" t="s">
        <v>27</v>
      </c>
      <c r="F12" s="5" t="s">
        <v>38</v>
      </c>
      <c r="G12" s="3"/>
      <c r="H12" s="5" t="s">
        <v>59</v>
      </c>
      <c r="I12" s="5" t="s">
        <v>31</v>
      </c>
      <c r="J12" s="3"/>
      <c r="K12" s="5" t="s">
        <v>24</v>
      </c>
      <c r="L12" s="5" t="s">
        <v>27</v>
      </c>
      <c r="M12" s="3"/>
      <c r="N12" s="5" t="s">
        <v>39</v>
      </c>
      <c r="O12" s="5" t="s">
        <v>39</v>
      </c>
      <c r="P12" s="3"/>
      <c r="Q12" s="5" t="s">
        <v>42</v>
      </c>
      <c r="R12" s="5" t="s">
        <v>42</v>
      </c>
      <c r="S12" s="3"/>
      <c r="T12" s="5" t="s">
        <v>50</v>
      </c>
      <c r="U12" s="5" t="s">
        <v>48</v>
      </c>
      <c r="V12" s="3"/>
      <c r="W12" s="5" t="s">
        <v>43</v>
      </c>
      <c r="X12" s="5" t="s">
        <v>41</v>
      </c>
      <c r="Y12" s="3"/>
      <c r="Z12" s="5" t="s">
        <v>43</v>
      </c>
      <c r="AA12" s="5" t="s">
        <v>41</v>
      </c>
      <c r="AB12" s="3"/>
      <c r="AC12" s="5" t="s">
        <v>26</v>
      </c>
      <c r="AD12" s="5" t="s">
        <v>38</v>
      </c>
      <c r="AE12" s="3"/>
      <c r="AF12" s="5" t="s">
        <v>43</v>
      </c>
      <c r="AG12" s="5" t="s">
        <v>41</v>
      </c>
    </row>
    <row r="13" spans="1:33" ht="15.75" x14ac:dyDescent="0.25">
      <c r="A13" s="1"/>
      <c r="B13" s="5" t="s">
        <v>21</v>
      </c>
      <c r="C13" s="5" t="s">
        <v>22</v>
      </c>
      <c r="D13" s="3"/>
      <c r="E13" s="5" t="s">
        <v>24</v>
      </c>
      <c r="F13" s="5" t="s">
        <v>27</v>
      </c>
      <c r="G13" s="3"/>
      <c r="H13" s="5" t="s">
        <v>30</v>
      </c>
      <c r="I13" s="5" t="s">
        <v>30</v>
      </c>
      <c r="J13" s="3"/>
      <c r="K13" s="5" t="s">
        <v>24</v>
      </c>
      <c r="L13" s="5" t="s">
        <v>24</v>
      </c>
      <c r="M13" s="3"/>
      <c r="N13" s="5" t="s">
        <v>39</v>
      </c>
      <c r="O13" s="5" t="s">
        <v>39</v>
      </c>
      <c r="P13" s="3"/>
      <c r="Q13" s="5" t="s">
        <v>41</v>
      </c>
      <c r="R13" s="5" t="s">
        <v>42</v>
      </c>
      <c r="S13" s="3"/>
      <c r="T13" s="5" t="s">
        <v>49</v>
      </c>
      <c r="U13" s="5" t="s">
        <v>46</v>
      </c>
      <c r="V13" s="3"/>
      <c r="W13" s="5" t="s">
        <v>41</v>
      </c>
      <c r="X13" s="5" t="s">
        <v>41</v>
      </c>
      <c r="Y13" s="3"/>
      <c r="Z13" s="5" t="s">
        <v>43</v>
      </c>
      <c r="AA13" s="5" t="s">
        <v>41</v>
      </c>
      <c r="AB13" s="3"/>
      <c r="AC13" s="5" t="s">
        <v>24</v>
      </c>
      <c r="AD13" s="5" t="s">
        <v>24</v>
      </c>
      <c r="AE13" s="3"/>
      <c r="AF13" s="5" t="s">
        <v>41</v>
      </c>
      <c r="AG13" s="5" t="s">
        <v>41</v>
      </c>
    </row>
    <row r="14" spans="1:33" ht="15.75" x14ac:dyDescent="0.25">
      <c r="A14" s="1"/>
      <c r="B14" s="5" t="s">
        <v>22</v>
      </c>
      <c r="C14" s="5" t="s">
        <v>22</v>
      </c>
      <c r="D14" s="3"/>
      <c r="E14" s="5" t="s">
        <v>38</v>
      </c>
      <c r="F14" s="5" t="s">
        <v>25</v>
      </c>
      <c r="G14" s="3"/>
      <c r="H14" s="5" t="s">
        <v>30</v>
      </c>
      <c r="I14" s="5" t="s">
        <v>30</v>
      </c>
      <c r="J14" s="3"/>
      <c r="K14" s="5" t="s">
        <v>27</v>
      </c>
      <c r="L14" s="5" t="s">
        <v>24</v>
      </c>
      <c r="M14" s="3"/>
      <c r="N14" s="5" t="s">
        <v>39</v>
      </c>
      <c r="O14" s="5" t="s">
        <v>39</v>
      </c>
      <c r="P14" s="3"/>
      <c r="Q14" s="5" t="s">
        <v>41</v>
      </c>
      <c r="R14" s="5" t="s">
        <v>41</v>
      </c>
      <c r="S14" s="3"/>
      <c r="T14" s="5" t="s">
        <v>50</v>
      </c>
      <c r="U14" s="5" t="s">
        <v>49</v>
      </c>
      <c r="V14" s="3"/>
      <c r="W14" s="5" t="s">
        <v>41</v>
      </c>
      <c r="X14" s="5" t="s">
        <v>41</v>
      </c>
      <c r="Y14" s="3"/>
      <c r="Z14" s="5" t="s">
        <v>41</v>
      </c>
      <c r="AA14" s="5" t="s">
        <v>41</v>
      </c>
      <c r="AB14" s="3"/>
      <c r="AC14" s="5" t="s">
        <v>24</v>
      </c>
      <c r="AD14" s="5" t="s">
        <v>24</v>
      </c>
      <c r="AE14" s="3"/>
      <c r="AF14" s="5" t="s">
        <v>41</v>
      </c>
      <c r="AG14" s="5" t="s">
        <v>42</v>
      </c>
    </row>
    <row r="15" spans="1:33" ht="15.75" x14ac:dyDescent="0.25">
      <c r="A15" s="1"/>
      <c r="B15" s="6">
        <f>(0.0506+0.0229-0.00194-0.0182)/4</f>
        <v>1.3339999999999999E-2</v>
      </c>
      <c r="C15" s="6">
        <f>(-0.0114-0.00988+0.00281+0.00743)/4</f>
        <v>-2.7600000000000003E-3</v>
      </c>
      <c r="D15" s="3"/>
      <c r="E15" s="6">
        <f>(-0.00041+0.00148-0.000157-0.01194-0.000729)/5</f>
        <v>-2.3511999999999999E-3</v>
      </c>
      <c r="F15" s="6">
        <f>(0.000937+0.00885-0.00952-0.0143-0.00909)/5</f>
        <v>-4.6246000000000004E-3</v>
      </c>
      <c r="G15" s="3"/>
      <c r="H15" s="6">
        <f>(-0.00159-0.000493+0.000862+0.00272+0.00294+0.00164+0.000986-0.00195+0.000617+0.00351)/10</f>
        <v>9.2420000000000002E-4</v>
      </c>
      <c r="I15" s="6">
        <f>(0.00273+0.000865-0.00347-0.000832+0.00175-0.00118-0.0000443+0.00213-0.0000476-0.00186)/10</f>
        <v>4.1099999999999429E-6</v>
      </c>
      <c r="J15" s="3"/>
      <c r="K15" s="6">
        <f>(-0.00387-0.00856-0.0118-0.00968-0.0258)/5</f>
        <v>-1.1941999999999999E-2</v>
      </c>
      <c r="L15" s="6">
        <f>(-0.0118+0.00172-0.0113-0.0113-0.0159)/5</f>
        <v>-9.7159999999999989E-3</v>
      </c>
      <c r="M15" s="3"/>
      <c r="N15" s="6">
        <v>-7.1900000000000002E-3</v>
      </c>
      <c r="O15" s="6">
        <v>-4.5500000000000002E-3</v>
      </c>
      <c r="P15" s="3"/>
      <c r="Q15" s="6">
        <f>(0.0351+0.0308)/2</f>
        <v>3.295E-2</v>
      </c>
      <c r="R15" s="6">
        <f>(0.0367+0.0515)/2</f>
        <v>4.41E-2</v>
      </c>
      <c r="S15" s="3"/>
      <c r="T15" s="6">
        <f>(0.00386-0.00116-0.0102-0.011-0.0141-0.00779-0.02)/7</f>
        <v>-8.6271428571428575E-3</v>
      </c>
      <c r="U15" s="6">
        <f>(-0.0221-0.01-0.00339+0.0156+0.00834+0.0143+0.0419)/7</f>
        <v>6.3785714285714279E-3</v>
      </c>
      <c r="V15" s="3"/>
      <c r="W15" s="6">
        <f>(0.0133-0.0105)/2</f>
        <v>1.3999999999999993E-3</v>
      </c>
      <c r="X15" s="6">
        <f>(-0.00849-0.0249)/2</f>
        <v>-1.6694999999999998E-2</v>
      </c>
      <c r="Y15" s="3"/>
      <c r="Z15" s="6">
        <f>(0.0267-0.0186)/2</f>
        <v>4.0500000000000015E-3</v>
      </c>
      <c r="AA15" s="6">
        <f>(-0.0267-0.0186)/2</f>
        <v>-2.265E-2</v>
      </c>
      <c r="AB15" s="3"/>
      <c r="AC15" s="6">
        <f>(-0.0274+0.0159+0.0307+0.0219+0.0258)/5</f>
        <v>1.338E-2</v>
      </c>
      <c r="AD15" s="6">
        <f>(0.00742-0.0105-0.0135-0.00401+0.0166)/5</f>
        <v>-7.980000000000001E-4</v>
      </c>
      <c r="AE15" s="3"/>
      <c r="AF15" s="6">
        <f>(0.00506-0.0168)/2</f>
        <v>-5.8699999999999994E-3</v>
      </c>
      <c r="AG15" s="6">
        <f>(-0.0392-0.0689)/2</f>
        <v>-5.4050000000000001E-2</v>
      </c>
    </row>
    <row r="16" spans="1:33" ht="18.75" x14ac:dyDescent="0.25">
      <c r="A16" s="1" t="s">
        <v>7</v>
      </c>
      <c r="B16" s="5">
        <v>3.7499999999999999E-3</v>
      </c>
      <c r="C16" s="5">
        <v>5.0000000000000001E-4</v>
      </c>
      <c r="D16" s="3"/>
      <c r="E16">
        <v>3.5999999999999999E-3</v>
      </c>
      <c r="F16">
        <v>1.3000000000000001E-2</v>
      </c>
      <c r="G16" s="3"/>
      <c r="H16" s="5">
        <v>5.0000000000000001E-4</v>
      </c>
      <c r="I16" s="5">
        <v>5.0000000000000001E-4</v>
      </c>
      <c r="J16" s="3"/>
      <c r="K16" s="5">
        <v>1.888888888888889E-3</v>
      </c>
      <c r="L16" s="5">
        <v>6.5555555555555567E-3</v>
      </c>
      <c r="M16" s="3"/>
      <c r="N16" s="5">
        <v>6.0000000000000001E-3</v>
      </c>
      <c r="O16" s="5">
        <v>3.0000000000000001E-3</v>
      </c>
      <c r="P16" s="3"/>
      <c r="Q16" s="5">
        <v>5.4999999999999997E-3</v>
      </c>
      <c r="R16" s="5">
        <v>8.0000000000000002E-3</v>
      </c>
      <c r="S16" s="3"/>
      <c r="T16" s="5">
        <v>1.8571428571428573E-3</v>
      </c>
      <c r="U16" s="5">
        <v>5.7142857142857143E-3</v>
      </c>
      <c r="V16" s="3"/>
      <c r="W16" s="5">
        <v>1.5E-3</v>
      </c>
      <c r="X16" s="5">
        <v>3.0000000000000001E-3</v>
      </c>
      <c r="Y16" s="3"/>
      <c r="Z16" s="5">
        <v>1.5E-3</v>
      </c>
      <c r="AA16" s="5">
        <v>4.0000000000000001E-3</v>
      </c>
      <c r="AB16" s="3"/>
      <c r="AC16" s="5">
        <v>4.6000000000000008E-3</v>
      </c>
      <c r="AD16" s="5">
        <v>1.2000000000000001E-3</v>
      </c>
      <c r="AE16" s="3"/>
      <c r="AF16" s="5">
        <v>5.0000000000000001E-4</v>
      </c>
      <c r="AG16" s="5">
        <v>1.2999999999999999E-2</v>
      </c>
    </row>
    <row r="17" spans="1:33" ht="15.75" x14ac:dyDescent="0.25">
      <c r="A17" s="1"/>
      <c r="B17" s="5"/>
      <c r="C17" s="5"/>
      <c r="D17" s="3"/>
      <c r="E17" s="5"/>
      <c r="F17" s="5"/>
      <c r="G17" s="3"/>
      <c r="H17" s="5"/>
      <c r="I17" s="5"/>
      <c r="J17" s="3"/>
      <c r="K17" s="5"/>
      <c r="L17" s="5"/>
      <c r="M17" s="3"/>
      <c r="N17" s="5"/>
      <c r="O17" s="5"/>
      <c r="P17" s="3"/>
      <c r="Q17" s="5"/>
      <c r="R17" s="5"/>
      <c r="S17" s="3"/>
      <c r="T17" s="5"/>
      <c r="U17" s="5"/>
      <c r="V17" s="3"/>
      <c r="W17" s="5"/>
      <c r="X17" s="5"/>
      <c r="Y17" s="3"/>
      <c r="Z17" s="5"/>
      <c r="AA17" s="5"/>
      <c r="AB17" s="3"/>
      <c r="AC17" s="5"/>
      <c r="AD17" s="5"/>
      <c r="AE17" s="3"/>
      <c r="AF17" s="5"/>
      <c r="AG17" s="5"/>
    </row>
    <row r="18" spans="1:33" ht="15.75" x14ac:dyDescent="0.25">
      <c r="A18" s="1" t="s">
        <v>56</v>
      </c>
      <c r="B18" s="5"/>
      <c r="C18" s="5"/>
      <c r="D18" s="3"/>
      <c r="E18" s="5"/>
      <c r="F18" s="5"/>
      <c r="G18" s="3"/>
      <c r="H18" s="5"/>
      <c r="I18" s="5"/>
      <c r="J18" s="3"/>
      <c r="K18" s="5"/>
      <c r="L18" s="5"/>
      <c r="M18" s="3"/>
      <c r="N18" s="5"/>
      <c r="O18" s="5"/>
      <c r="P18" s="3"/>
      <c r="Q18" s="5"/>
      <c r="R18" s="5"/>
      <c r="S18" s="3"/>
      <c r="T18" s="5"/>
      <c r="U18" s="5"/>
      <c r="V18" s="3"/>
      <c r="W18" s="5"/>
      <c r="X18" s="5"/>
      <c r="Y18" s="3"/>
      <c r="Z18" s="5"/>
      <c r="AA18" s="5"/>
      <c r="AB18" s="3"/>
      <c r="AC18" s="5"/>
      <c r="AD18" s="5"/>
      <c r="AE18" s="3"/>
      <c r="AF18" s="5"/>
      <c r="AG18" s="5"/>
    </row>
    <row r="19" spans="1:33" ht="15.75" x14ac:dyDescent="0.25">
      <c r="A19" s="1"/>
      <c r="B19" s="5" t="s">
        <v>19</v>
      </c>
      <c r="C19" s="5" t="s">
        <v>19</v>
      </c>
      <c r="D19" s="3"/>
      <c r="E19" s="5" t="s">
        <v>27</v>
      </c>
      <c r="F19" s="5" t="s">
        <v>24</v>
      </c>
      <c r="G19" s="3"/>
      <c r="H19" s="5" t="s">
        <v>34</v>
      </c>
      <c r="I19" s="5" t="s">
        <v>33</v>
      </c>
      <c r="J19" s="3"/>
      <c r="K19" s="5" t="s">
        <v>25</v>
      </c>
      <c r="L19" s="5" t="s">
        <v>24</v>
      </c>
      <c r="M19" s="3"/>
      <c r="N19" s="5" t="s">
        <v>39</v>
      </c>
      <c r="O19" s="5" t="s">
        <v>39</v>
      </c>
      <c r="P19" s="3"/>
      <c r="Q19" s="5" t="s">
        <v>43</v>
      </c>
      <c r="R19" s="5" t="s">
        <v>41</v>
      </c>
      <c r="S19" s="3"/>
      <c r="T19" s="5" t="s">
        <v>44</v>
      </c>
      <c r="U19" s="5" t="s">
        <v>45</v>
      </c>
      <c r="V19" s="3"/>
      <c r="W19" s="5" t="s">
        <v>42</v>
      </c>
      <c r="X19" s="5" t="s">
        <v>42</v>
      </c>
      <c r="Y19" s="3"/>
      <c r="Z19" s="5" t="s">
        <v>43</v>
      </c>
      <c r="AA19" s="5" t="s">
        <v>41</v>
      </c>
      <c r="AB19" s="3"/>
      <c r="AC19" s="5" t="s">
        <v>38</v>
      </c>
      <c r="AD19" s="5" t="s">
        <v>24</v>
      </c>
      <c r="AE19" s="3"/>
      <c r="AF19" s="5" t="s">
        <v>43</v>
      </c>
      <c r="AG19" s="5" t="s">
        <v>42</v>
      </c>
    </row>
    <row r="20" spans="1:33" ht="15.75" x14ac:dyDescent="0.25">
      <c r="A20" s="1"/>
      <c r="B20" s="5" t="s">
        <v>22</v>
      </c>
      <c r="C20" s="5" t="s">
        <v>21</v>
      </c>
      <c r="D20" s="3"/>
      <c r="E20" s="5" t="s">
        <v>24</v>
      </c>
      <c r="F20" s="5" t="s">
        <v>24</v>
      </c>
      <c r="G20" s="3"/>
      <c r="H20" s="5" t="s">
        <v>30</v>
      </c>
      <c r="I20" s="5" t="s">
        <v>28</v>
      </c>
      <c r="J20" s="3"/>
      <c r="K20" s="5" t="s">
        <v>24</v>
      </c>
      <c r="L20" s="5" t="s">
        <v>24</v>
      </c>
      <c r="M20" s="3"/>
      <c r="N20" s="5" t="s">
        <v>39</v>
      </c>
      <c r="O20" s="5" t="s">
        <v>39</v>
      </c>
      <c r="P20" s="3"/>
      <c r="Q20" s="5" t="s">
        <v>41</v>
      </c>
      <c r="R20" s="5" t="s">
        <v>41</v>
      </c>
      <c r="S20" s="3"/>
      <c r="T20" s="5" t="s">
        <v>50</v>
      </c>
      <c r="U20" s="5" t="s">
        <v>50</v>
      </c>
      <c r="V20" s="3"/>
      <c r="W20" s="5" t="s">
        <v>43</v>
      </c>
      <c r="X20" s="5" t="s">
        <v>41</v>
      </c>
      <c r="Y20" s="3"/>
      <c r="Z20" s="5" t="s">
        <v>41</v>
      </c>
      <c r="AA20" s="5" t="s">
        <v>41</v>
      </c>
      <c r="AB20" s="3"/>
      <c r="AC20" s="5" t="s">
        <v>24</v>
      </c>
      <c r="AD20" s="5" t="s">
        <v>24</v>
      </c>
      <c r="AE20" s="3"/>
      <c r="AF20" s="5" t="s">
        <v>41</v>
      </c>
      <c r="AG20" s="5" t="s">
        <v>43</v>
      </c>
    </row>
    <row r="21" spans="1:33" ht="15.75" x14ac:dyDescent="0.25">
      <c r="A21" s="1"/>
      <c r="B21" s="5" t="s">
        <v>22</v>
      </c>
      <c r="C21" s="5" t="s">
        <v>22</v>
      </c>
      <c r="D21" s="3"/>
      <c r="E21" s="5" t="s">
        <v>24</v>
      </c>
      <c r="F21" s="5" t="s">
        <v>24</v>
      </c>
      <c r="G21" s="3"/>
      <c r="H21" s="5" t="s">
        <v>30</v>
      </c>
      <c r="I21" s="5" t="s">
        <v>30</v>
      </c>
      <c r="J21" s="3"/>
      <c r="K21" s="5" t="s">
        <v>24</v>
      </c>
      <c r="L21" s="5" t="s">
        <v>25</v>
      </c>
      <c r="M21" s="3"/>
      <c r="N21" s="5" t="s">
        <v>39</v>
      </c>
      <c r="O21" s="5" t="s">
        <v>39</v>
      </c>
      <c r="P21" s="3"/>
      <c r="Q21" s="5" t="s">
        <v>41</v>
      </c>
      <c r="R21" s="5" t="s">
        <v>43</v>
      </c>
      <c r="S21" s="3"/>
      <c r="T21" s="5" t="s">
        <v>49</v>
      </c>
      <c r="U21" s="5" t="s">
        <v>49</v>
      </c>
      <c r="V21" s="3"/>
      <c r="W21" s="5" t="s">
        <v>41</v>
      </c>
      <c r="X21" s="5" t="s">
        <v>41</v>
      </c>
      <c r="Y21" s="3"/>
      <c r="Z21" s="5" t="s">
        <v>41</v>
      </c>
      <c r="AA21" s="5" t="s">
        <v>41</v>
      </c>
      <c r="AB21" s="3"/>
      <c r="AC21" s="5" t="s">
        <v>24</v>
      </c>
      <c r="AD21" s="5" t="s">
        <v>25</v>
      </c>
      <c r="AE21" s="3"/>
      <c r="AF21" s="5" t="s">
        <v>41</v>
      </c>
      <c r="AG21" s="5" t="s">
        <v>41</v>
      </c>
    </row>
    <row r="22" spans="1:33" ht="15.75" x14ac:dyDescent="0.25">
      <c r="A22" s="1"/>
      <c r="B22" s="6">
        <f>(0.0228+0.0338+0.0315+0.0149)/4</f>
        <v>2.5749999999999999E-2</v>
      </c>
      <c r="C22" s="6">
        <f>(0.0383+0.0241+0.099+0.0283)/4</f>
        <v>4.7424999999999995E-2</v>
      </c>
      <c r="D22" s="3"/>
      <c r="E22" s="6">
        <f>(0.00334-0.00968-0.00422-0.0135-0.00495)/5</f>
        <v>-5.8019999999999999E-3</v>
      </c>
      <c r="F22" s="6">
        <f>(-0.00586-0.0135-0.00927-0.0165-0.00918)/5</f>
        <v>-1.0862E-2</v>
      </c>
      <c r="G22" s="3"/>
      <c r="H22" s="6">
        <f>(-0.00494-0.00156+0.00294-0.00414+0.00171+0.00277-0.00332+0.00147+0.00373+0.00758)/10</f>
        <v>6.2399999999999999E-4</v>
      </c>
      <c r="I22" s="6">
        <f>(0.00729-0.000535-0.00294+0.00531+0.00945+0.0108+0.0081+0.00832+0.012+0.00808)/10</f>
        <v>6.5875000000000005E-3</v>
      </c>
      <c r="J22" s="3"/>
      <c r="K22" s="6">
        <f>(0.113+0.0481+0.0423-0.00846-0.0347)/5</f>
        <v>3.2048E-2</v>
      </c>
      <c r="L22" s="6">
        <f>(-0.0894-0.0522-0.0489-0.0374-0.0241)/5</f>
        <v>-5.04E-2</v>
      </c>
      <c r="M22" s="3"/>
      <c r="N22" s="6">
        <v>-2.0400000000000001E-3</v>
      </c>
      <c r="O22" s="6">
        <v>-1.2400000000000001E-4</v>
      </c>
      <c r="P22" s="3"/>
      <c r="Q22" s="6">
        <f>(-0.0153+0.00438)/2</f>
        <v>-5.4599999999999996E-3</v>
      </c>
      <c r="R22" s="6">
        <f>(-0.0504-0.0407)/2</f>
        <v>-4.555E-2</v>
      </c>
      <c r="S22" s="3"/>
      <c r="T22" s="6">
        <f>(-0.0792+0.00119+0.0607+0.0164+0.00336+0.0125+0.0596)/7</f>
        <v>1.0649999999999998E-2</v>
      </c>
      <c r="U22" s="6">
        <f>(0.0261+0.0102+0.0026+0.0347+0.0561+0.0628+0.0789)/7</f>
        <v>3.8771428571428568E-2</v>
      </c>
      <c r="V22" s="3"/>
      <c r="W22" s="6">
        <f>(0.018+0.0846)/2</f>
        <v>5.1299999999999998E-2</v>
      </c>
      <c r="X22" s="6">
        <f>(0.032+0.0254)/2</f>
        <v>2.87E-2</v>
      </c>
      <c r="Y22" s="3"/>
      <c r="Z22" s="6">
        <f>(0.0548-0.0625)/2</f>
        <v>-3.8499999999999993E-3</v>
      </c>
      <c r="AA22" s="6">
        <f>(-0.04-0.0303)/2</f>
        <v>-3.5150000000000001E-2</v>
      </c>
      <c r="AB22" s="3"/>
      <c r="AC22" s="6">
        <f>(-0.0124-0.0257+0.00313+0.00168-0.00589)/5</f>
        <v>-7.8359999999999992E-3</v>
      </c>
      <c r="AD22" s="6">
        <f>(-0.00122-0.0258-0.0619-0.0948-0.0504)/5</f>
        <v>-4.6823999999999998E-2</v>
      </c>
      <c r="AE22" s="3"/>
      <c r="AF22" s="6">
        <f>(0.00281-0.00301)/2</f>
        <v>-1.0000000000000005E-4</v>
      </c>
      <c r="AG22" s="6">
        <f>(0.103+0.0662)/2</f>
        <v>8.4599999999999995E-2</v>
      </c>
    </row>
    <row r="23" spans="1:33" ht="18.75" x14ac:dyDescent="0.25">
      <c r="A23" s="1" t="s">
        <v>7</v>
      </c>
      <c r="B23" s="5">
        <v>1E-3</v>
      </c>
      <c r="C23" s="5">
        <v>4.0000000000000001E-3</v>
      </c>
      <c r="D23" s="3"/>
      <c r="E23" s="5">
        <v>1E-3</v>
      </c>
      <c r="F23" s="5">
        <v>3.4000000000000002E-3</v>
      </c>
      <c r="G23" s="3"/>
      <c r="H23" s="5">
        <v>3.0000000000000003E-4</v>
      </c>
      <c r="I23" s="5">
        <v>2.4999999999999996E-3</v>
      </c>
      <c r="J23" s="3"/>
      <c r="K23" s="5">
        <v>6.000000000000001E-3</v>
      </c>
      <c r="L23" s="5">
        <v>4.6666666666666671E-3</v>
      </c>
      <c r="M23" s="3"/>
      <c r="N23" s="5">
        <v>0</v>
      </c>
      <c r="O23" s="5">
        <v>0</v>
      </c>
      <c r="P23" s="3"/>
      <c r="Q23" s="5">
        <v>0</v>
      </c>
      <c r="R23" s="5">
        <v>3.0000000000000001E-3</v>
      </c>
      <c r="S23" s="3"/>
      <c r="T23" s="5">
        <v>2.5714285714285717E-3</v>
      </c>
      <c r="U23" s="5">
        <v>7.7142857142857143E-3</v>
      </c>
      <c r="V23" s="3"/>
      <c r="W23" s="5">
        <v>6.5000000000000006E-3</v>
      </c>
      <c r="X23" s="5">
        <v>2E-3</v>
      </c>
      <c r="Y23" s="3"/>
      <c r="Z23" s="5">
        <v>4.0000000000000001E-3</v>
      </c>
      <c r="AA23" s="5">
        <v>3.0000000000000001E-3</v>
      </c>
      <c r="AB23" s="3"/>
      <c r="AC23" s="5">
        <v>2.0000000000000001E-4</v>
      </c>
      <c r="AD23" s="5">
        <v>8.0000000000000002E-3</v>
      </c>
      <c r="AE23" s="3"/>
      <c r="AF23" s="5">
        <v>0</v>
      </c>
      <c r="AG23" s="5">
        <v>0.01</v>
      </c>
    </row>
    <row r="24" spans="1:33" ht="15.75" x14ac:dyDescent="0.25">
      <c r="A24" s="1"/>
      <c r="B24" s="5"/>
      <c r="C24" s="5"/>
      <c r="D24" s="3"/>
      <c r="E24" s="5"/>
      <c r="F24" s="5"/>
      <c r="G24" s="3"/>
      <c r="H24" s="5"/>
      <c r="I24" s="5"/>
      <c r="J24" s="3"/>
      <c r="K24" s="5"/>
      <c r="L24" s="5"/>
      <c r="M24" s="3"/>
      <c r="N24" s="5"/>
      <c r="O24" s="5"/>
      <c r="P24" s="3"/>
      <c r="Q24" s="5"/>
      <c r="R24" s="5"/>
      <c r="S24" s="3"/>
      <c r="T24" s="5"/>
      <c r="U24" s="5"/>
      <c r="V24" s="3"/>
      <c r="W24" s="5"/>
      <c r="X24" s="5"/>
      <c r="Y24" s="3"/>
      <c r="Z24" s="5"/>
      <c r="AA24" s="5"/>
      <c r="AB24" s="3"/>
      <c r="AC24" s="5"/>
      <c r="AD24" s="5"/>
      <c r="AE24" s="3"/>
      <c r="AF24" s="5"/>
      <c r="AG24" s="5"/>
    </row>
    <row r="25" spans="1:33" ht="15.75" x14ac:dyDescent="0.25">
      <c r="A25" s="1" t="s">
        <v>57</v>
      </c>
      <c r="B25" s="5"/>
      <c r="C25" s="5"/>
      <c r="D25" s="3"/>
      <c r="E25" s="5"/>
      <c r="F25" s="5"/>
      <c r="G25" s="3"/>
      <c r="H25" s="5"/>
      <c r="I25" s="5"/>
      <c r="J25" s="3"/>
      <c r="K25" s="5"/>
      <c r="L25" s="5"/>
      <c r="M25" s="3"/>
      <c r="N25" s="5"/>
      <c r="O25" s="5"/>
      <c r="P25" s="3"/>
      <c r="Q25" s="5"/>
      <c r="R25" s="5"/>
      <c r="S25" s="3"/>
      <c r="T25" s="5"/>
      <c r="U25" s="5"/>
      <c r="V25" s="3"/>
      <c r="W25" s="5"/>
      <c r="X25" s="5"/>
      <c r="Y25" s="3"/>
      <c r="Z25" s="5"/>
      <c r="AA25" s="5"/>
      <c r="AB25" s="3"/>
      <c r="AC25" s="5"/>
      <c r="AD25" s="5"/>
      <c r="AE25" s="3"/>
      <c r="AF25" s="5"/>
      <c r="AG25" s="5"/>
    </row>
    <row r="26" spans="1:33" ht="15.75" x14ac:dyDescent="0.25">
      <c r="A26" s="1"/>
      <c r="B26" s="5" t="s">
        <v>19</v>
      </c>
      <c r="C26" s="5" t="s">
        <v>19</v>
      </c>
      <c r="D26" s="3"/>
      <c r="E26" s="5" t="s">
        <v>19</v>
      </c>
      <c r="F26" s="5" t="s">
        <v>22</v>
      </c>
      <c r="G26" s="3"/>
      <c r="H26" s="5" t="s">
        <v>34</v>
      </c>
      <c r="I26" s="5" t="s">
        <v>58</v>
      </c>
      <c r="J26" s="3"/>
      <c r="K26" s="5" t="s">
        <v>25</v>
      </c>
      <c r="L26" s="5" t="s">
        <v>24</v>
      </c>
      <c r="M26" s="3"/>
      <c r="N26" s="5" t="s">
        <v>40</v>
      </c>
      <c r="O26" s="5" t="s">
        <v>40</v>
      </c>
      <c r="P26" s="3"/>
      <c r="Q26" s="5" t="s">
        <v>43</v>
      </c>
      <c r="R26" s="5" t="s">
        <v>41</v>
      </c>
      <c r="S26" s="3"/>
      <c r="T26" s="5" t="s">
        <v>51</v>
      </c>
      <c r="U26" s="5" t="s">
        <v>51</v>
      </c>
      <c r="V26" s="3"/>
      <c r="W26" s="5" t="s">
        <v>42</v>
      </c>
      <c r="X26" s="5" t="s">
        <v>42</v>
      </c>
      <c r="Y26" s="3"/>
      <c r="Z26" s="5" t="s">
        <v>41</v>
      </c>
      <c r="AA26" s="5" t="s">
        <v>43</v>
      </c>
      <c r="AB26" s="3"/>
      <c r="AC26" s="5" t="s">
        <v>27</v>
      </c>
      <c r="AD26" s="5" t="s">
        <v>24</v>
      </c>
      <c r="AE26" s="3"/>
      <c r="AF26" s="5" t="s">
        <v>43</v>
      </c>
      <c r="AG26" s="5" t="s">
        <v>42</v>
      </c>
    </row>
    <row r="27" spans="1:33" ht="15.75" x14ac:dyDescent="0.25">
      <c r="A27" s="1"/>
      <c r="B27" s="5" t="s">
        <v>22</v>
      </c>
      <c r="C27" s="5" t="s">
        <v>22</v>
      </c>
      <c r="D27" s="3"/>
      <c r="E27" s="5" t="s">
        <v>22</v>
      </c>
      <c r="F27" s="5" t="s">
        <v>22</v>
      </c>
      <c r="G27" s="3"/>
      <c r="H27" s="5" t="s">
        <v>32</v>
      </c>
      <c r="I27" s="5" t="s">
        <v>35</v>
      </c>
      <c r="J27" s="3"/>
      <c r="K27" s="5" t="s">
        <v>27</v>
      </c>
      <c r="L27" s="5" t="s">
        <v>24</v>
      </c>
      <c r="M27" s="3"/>
      <c r="N27" s="5" t="s">
        <v>39</v>
      </c>
      <c r="O27" s="5" t="s">
        <v>39</v>
      </c>
      <c r="P27" s="3"/>
      <c r="Q27" s="5" t="s">
        <v>41</v>
      </c>
      <c r="R27" s="5" t="s">
        <v>41</v>
      </c>
      <c r="S27" s="3"/>
      <c r="T27" s="5" t="s">
        <v>50</v>
      </c>
      <c r="U27" s="5" t="s">
        <v>47</v>
      </c>
      <c r="V27" s="3"/>
      <c r="W27" s="5" t="s">
        <v>43</v>
      </c>
      <c r="X27" s="5" t="s">
        <v>41</v>
      </c>
      <c r="Y27" s="3"/>
      <c r="Z27" s="5" t="s">
        <v>41</v>
      </c>
      <c r="AA27" s="5" t="s">
        <v>41</v>
      </c>
      <c r="AB27" s="3"/>
      <c r="AC27" s="5" t="s">
        <v>24</v>
      </c>
      <c r="AD27" s="5" t="s">
        <v>24</v>
      </c>
      <c r="AE27" s="3"/>
      <c r="AF27" s="5" t="s">
        <v>43</v>
      </c>
      <c r="AG27" s="5" t="s">
        <v>42</v>
      </c>
    </row>
    <row r="28" spans="1:33" ht="15.75" x14ac:dyDescent="0.25">
      <c r="A28" s="1"/>
      <c r="B28" s="5" t="s">
        <v>22</v>
      </c>
      <c r="C28" s="5" t="s">
        <v>22</v>
      </c>
      <c r="D28" s="3"/>
      <c r="E28" s="5" t="s">
        <v>22</v>
      </c>
      <c r="F28" s="5" t="s">
        <v>22</v>
      </c>
      <c r="G28" s="3"/>
      <c r="H28" s="5" t="s">
        <v>28</v>
      </c>
      <c r="I28" s="5" t="s">
        <v>28</v>
      </c>
      <c r="J28" s="3"/>
      <c r="K28" s="5" t="s">
        <v>27</v>
      </c>
      <c r="L28" s="5" t="s">
        <v>25</v>
      </c>
      <c r="M28" s="3"/>
      <c r="N28" s="5" t="s">
        <v>39</v>
      </c>
      <c r="O28" s="5" t="s">
        <v>39</v>
      </c>
      <c r="P28" s="3"/>
      <c r="Q28" s="5" t="s">
        <v>41</v>
      </c>
      <c r="R28" s="5" t="s">
        <v>42</v>
      </c>
      <c r="S28" s="3"/>
      <c r="T28" s="5" t="s">
        <v>49</v>
      </c>
      <c r="U28" s="5" t="s">
        <v>49</v>
      </c>
      <c r="V28" s="3"/>
      <c r="W28" s="5" t="s">
        <v>41</v>
      </c>
      <c r="X28" s="5" t="s">
        <v>41</v>
      </c>
      <c r="Y28" s="3"/>
      <c r="Z28" s="5" t="s">
        <v>43</v>
      </c>
      <c r="AA28" s="5" t="s">
        <v>43</v>
      </c>
      <c r="AB28" s="3"/>
      <c r="AC28" s="5" t="s">
        <v>24</v>
      </c>
      <c r="AD28" s="5" t="s">
        <v>25</v>
      </c>
      <c r="AE28" s="3"/>
      <c r="AF28" s="5" t="s">
        <v>41</v>
      </c>
      <c r="AG28" s="5" t="s">
        <v>41</v>
      </c>
    </row>
    <row r="29" spans="1:33" ht="15.75" x14ac:dyDescent="0.25">
      <c r="A29" s="1"/>
      <c r="B29" s="6">
        <f>(0.0223+0.0388+0.0401+0.0398)/4</f>
        <v>3.5250000000000004E-2</v>
      </c>
      <c r="C29" s="6">
        <f>(0.0285+0.0201+0.0426+0.0238)/4</f>
        <v>2.8750000000000001E-2</v>
      </c>
      <c r="D29" s="3"/>
      <c r="E29" s="6">
        <f>(0.0125+0.0165+0.0203+0.00189)/4</f>
        <v>1.27975E-2</v>
      </c>
      <c r="F29" s="6">
        <f>(-0.00125-0.0139-0.00432-0.0185)/4</f>
        <v>-9.4924999999999992E-3</v>
      </c>
      <c r="G29" s="3"/>
      <c r="H29" s="6">
        <f>(0.0166-0.00106-0.000705-0.000369-0.00885-0.0118-0.00851-0.0163-0.00474+0.00278)/10</f>
        <v>-3.2954000000000004E-3</v>
      </c>
      <c r="I29" s="6">
        <f>(-0.0114-0.0105-0.0164-0.00577+0.0031+0.000111+0.00761+0.0136+0.00921+0.0102)/10</f>
        <v>-2.3899999999999964E-5</v>
      </c>
      <c r="J29" s="3"/>
      <c r="K29" s="6">
        <f>(0.102+0.0332+0.0187-0.0177-0.0389)/5</f>
        <v>1.9459999999999998E-2</v>
      </c>
      <c r="L29" s="6">
        <f>(-0.09-0.0414-0.0354-0.032-0.0122)/5</f>
        <v>-4.2200000000000001E-2</v>
      </c>
      <c r="M29" s="3"/>
      <c r="N29" s="6">
        <v>2.5100000000000001E-3</v>
      </c>
      <c r="O29" s="6">
        <v>1.0200000000000001E-2</v>
      </c>
      <c r="P29" s="3"/>
      <c r="Q29" s="6">
        <f>(-0.00345+0.0109)/2</f>
        <v>3.725E-3</v>
      </c>
      <c r="R29" s="6">
        <f>(-0.0478-0.0403)/2</f>
        <v>-4.4050000000000006E-2</v>
      </c>
      <c r="S29" s="3"/>
      <c r="T29" s="6">
        <f>(-0.0521+0.0026+0.0395+0.0177-0.0102+0.000197+0.0342)/7</f>
        <v>4.5567142857142863E-3</v>
      </c>
      <c r="U29" s="6">
        <f>(0.0155-0.00536-0.0347+0.0129+0.0479+0.0506+0.0581)/7</f>
        <v>2.0705714285714289E-2</v>
      </c>
      <c r="V29" s="3"/>
      <c r="W29" s="6">
        <f>(0.0135+0.0788)/2</f>
        <v>4.6149999999999997E-2</v>
      </c>
      <c r="X29" s="6">
        <f>(0.027+0.0101)/2</f>
        <v>1.8550000000000001E-2</v>
      </c>
      <c r="Y29" s="3"/>
      <c r="Z29" s="6">
        <f>(-0.00342-0.0677)/2</f>
        <v>-3.5560000000000001E-2</v>
      </c>
      <c r="AA29" s="6">
        <f>(-0.0861+0.0003)/2</f>
        <v>-4.2900000000000001E-2</v>
      </c>
      <c r="AB29" s="3"/>
      <c r="AC29" s="6">
        <f>(0.000132-0.0251-0.00307-0.00835-0.00985)/5</f>
        <v>-9.2475999999999999E-3</v>
      </c>
      <c r="AD29" s="6">
        <f>(-0.000712-0.0163-0.0401-0.0571-0.0493)/5</f>
        <v>-3.27024E-2</v>
      </c>
      <c r="AE29" s="3"/>
      <c r="AF29" s="6">
        <f>(-0.00446+0.00196)/2</f>
        <v>-1.2500000000000002E-3</v>
      </c>
      <c r="AG29" s="6">
        <f>(0.0717+0.0581)/2</f>
        <v>6.4899999999999999E-2</v>
      </c>
    </row>
    <row r="30" spans="1:33" ht="18.75" x14ac:dyDescent="0.25">
      <c r="A30" s="1" t="s">
        <v>7</v>
      </c>
      <c r="B30">
        <v>3.0000000000000001E-3</v>
      </c>
      <c r="C30">
        <v>2E-3</v>
      </c>
      <c r="E30">
        <v>6.0000000000000006E-4</v>
      </c>
      <c r="F30">
        <v>3.2000000000000002E-3</v>
      </c>
      <c r="H30">
        <v>1.3000000000000002E-3</v>
      </c>
      <c r="I30">
        <v>5.2000000000000006E-3</v>
      </c>
      <c r="K30">
        <v>8.2222222222222228E-3</v>
      </c>
      <c r="L30">
        <v>4.6666666666666671E-3</v>
      </c>
      <c r="N30">
        <v>0</v>
      </c>
      <c r="O30">
        <v>5.0000000000000001E-3</v>
      </c>
      <c r="Q30">
        <v>0</v>
      </c>
      <c r="R30">
        <v>5.0000000000000001E-3</v>
      </c>
      <c r="T30">
        <v>2.0000000000000005E-3</v>
      </c>
      <c r="U30">
        <v>8.4285714285714294E-3</v>
      </c>
      <c r="W30">
        <v>8.5000000000000006E-3</v>
      </c>
      <c r="X30">
        <v>2E-3</v>
      </c>
      <c r="Z30">
        <v>5.4999999999999997E-3</v>
      </c>
      <c r="AA30">
        <v>4.0000000000000001E-3</v>
      </c>
      <c r="AC30">
        <v>4.0000000000000002E-4</v>
      </c>
      <c r="AD30">
        <v>6.4000000000000003E-3</v>
      </c>
      <c r="AF30">
        <v>0</v>
      </c>
      <c r="AG30">
        <v>0.01</v>
      </c>
    </row>
  </sheetData>
  <mergeCells count="11">
    <mergeCell ref="Q2:R2"/>
    <mergeCell ref="B2:C2"/>
    <mergeCell ref="E2:F2"/>
    <mergeCell ref="H2:I2"/>
    <mergeCell ref="K2:L2"/>
    <mergeCell ref="N2:O2"/>
    <mergeCell ref="T2:U2"/>
    <mergeCell ref="W2:X2"/>
    <mergeCell ref="Z2:AA2"/>
    <mergeCell ref="AC2:AD2"/>
    <mergeCell ref="AF2:AG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>
      <selection activeCell="J21" sqref="J21"/>
    </sheetView>
  </sheetViews>
  <sheetFormatPr defaultRowHeight="15" x14ac:dyDescent="0.25"/>
  <cols>
    <col min="1" max="1" width="13.7109375" customWidth="1"/>
    <col min="2" max="2" width="17.28515625" bestFit="1" customWidth="1"/>
    <col min="3" max="3" width="3.140625" customWidth="1"/>
    <col min="4" max="4" width="12.5703125" bestFit="1" customWidth="1"/>
    <col min="5" max="5" width="3.140625" customWidth="1"/>
    <col min="6" max="6" width="10.7109375" bestFit="1" customWidth="1"/>
    <col min="7" max="7" width="3.140625" customWidth="1"/>
    <col min="8" max="8" width="18" bestFit="1" customWidth="1"/>
  </cols>
  <sheetData>
    <row r="1" spans="1:8" x14ac:dyDescent="0.25">
      <c r="B1" t="s">
        <v>4</v>
      </c>
      <c r="D1" t="s">
        <v>289</v>
      </c>
      <c r="F1" t="s">
        <v>6</v>
      </c>
      <c r="H1" t="s">
        <v>290</v>
      </c>
    </row>
    <row r="2" spans="1:8" x14ac:dyDescent="0.25">
      <c r="A2" t="s">
        <v>237</v>
      </c>
      <c r="B2" s="7">
        <v>-7.1300000000000001E-3</v>
      </c>
      <c r="C2" s="7"/>
      <c r="D2" s="7">
        <v>2.06E-2</v>
      </c>
      <c r="E2" s="7"/>
      <c r="F2" s="7">
        <v>-7.0200000000000002E-3</v>
      </c>
      <c r="G2" s="7"/>
      <c r="H2" s="7" t="s">
        <v>281</v>
      </c>
    </row>
    <row r="3" spans="1:8" x14ac:dyDescent="0.25">
      <c r="B3" s="7" t="s">
        <v>238</v>
      </c>
      <c r="C3" s="7"/>
      <c r="D3" s="7">
        <v>-1.38</v>
      </c>
      <c r="E3" s="7"/>
      <c r="F3" s="7" t="s">
        <v>273</v>
      </c>
      <c r="G3" s="7"/>
      <c r="H3" s="7">
        <v>-2.02</v>
      </c>
    </row>
    <row r="4" spans="1:8" x14ac:dyDescent="0.25">
      <c r="A4" t="s">
        <v>239</v>
      </c>
      <c r="B4" s="7">
        <v>1.03E-2</v>
      </c>
      <c r="C4" s="7"/>
      <c r="D4" s="7">
        <v>-1.04E-2</v>
      </c>
      <c r="E4" s="7"/>
      <c r="F4" s="7">
        <v>1.24E-3</v>
      </c>
      <c r="G4" s="7"/>
      <c r="H4" s="7">
        <v>-1.01E-2</v>
      </c>
    </row>
    <row r="5" spans="1:8" x14ac:dyDescent="0.25">
      <c r="B5" s="7" t="s">
        <v>240</v>
      </c>
      <c r="C5" s="7"/>
      <c r="D5" s="7">
        <v>-1.9</v>
      </c>
      <c r="E5" s="7"/>
      <c r="F5" s="7" t="s">
        <v>274</v>
      </c>
      <c r="G5" s="7"/>
      <c r="H5" s="7">
        <v>-1.91</v>
      </c>
    </row>
    <row r="6" spans="1:8" x14ac:dyDescent="0.25">
      <c r="A6" t="s">
        <v>241</v>
      </c>
      <c r="B6" s="7" t="s">
        <v>285</v>
      </c>
      <c r="C6" s="7"/>
      <c r="D6" s="7" t="s">
        <v>286</v>
      </c>
      <c r="E6" s="7"/>
      <c r="F6" s="7" t="s">
        <v>287</v>
      </c>
      <c r="G6" s="7"/>
      <c r="H6" s="7">
        <v>5.6800000000000002E-3</v>
      </c>
    </row>
    <row r="7" spans="1:8" x14ac:dyDescent="0.25">
      <c r="B7" s="7" t="s">
        <v>242</v>
      </c>
      <c r="C7" s="7"/>
      <c r="D7" s="7" t="s">
        <v>269</v>
      </c>
      <c r="E7" s="7"/>
      <c r="F7" s="7" t="s">
        <v>275</v>
      </c>
      <c r="G7" s="7"/>
      <c r="H7" s="7" t="s">
        <v>282</v>
      </c>
    </row>
    <row r="8" spans="1:8" x14ac:dyDescent="0.25">
      <c r="A8" t="s">
        <v>243</v>
      </c>
      <c r="B8" s="7" t="s">
        <v>244</v>
      </c>
      <c r="C8" s="7"/>
      <c r="D8" s="7">
        <v>2.1800000000000001E-3</v>
      </c>
      <c r="E8" s="7"/>
      <c r="F8" s="7">
        <v>-4.62E-3</v>
      </c>
      <c r="G8" s="7"/>
      <c r="H8" s="7">
        <v>4.6800000000000001E-2</v>
      </c>
    </row>
    <row r="9" spans="1:8" x14ac:dyDescent="0.25">
      <c r="B9" s="7">
        <v>-2.19</v>
      </c>
      <c r="C9" s="7"/>
      <c r="D9" s="7">
        <v>-7.0000000000000007E-2</v>
      </c>
      <c r="E9" s="7"/>
      <c r="F9" s="7" t="s">
        <v>276</v>
      </c>
      <c r="G9" s="7"/>
      <c r="H9" s="7">
        <v>-1.79</v>
      </c>
    </row>
    <row r="10" spans="1:8" x14ac:dyDescent="0.25">
      <c r="A10" t="s">
        <v>245</v>
      </c>
      <c r="B10" s="7">
        <v>-1.6299999999999999E-2</v>
      </c>
      <c r="C10" s="7"/>
      <c r="D10" s="7">
        <v>2.7799999999999998E-2</v>
      </c>
      <c r="E10" s="7"/>
      <c r="F10" s="7">
        <v>1.5200000000000001E-3</v>
      </c>
      <c r="G10" s="7"/>
      <c r="H10" s="7">
        <v>3.82E-3</v>
      </c>
    </row>
    <row r="11" spans="1:8" x14ac:dyDescent="0.25">
      <c r="B11" s="7" t="s">
        <v>246</v>
      </c>
      <c r="C11" s="7"/>
      <c r="D11" s="7">
        <v>-0.79</v>
      </c>
      <c r="E11" s="7"/>
      <c r="F11" s="7">
        <v>-0.1</v>
      </c>
      <c r="G11" s="7"/>
      <c r="H11" s="7">
        <v>-0.1</v>
      </c>
    </row>
    <row r="12" spans="1:8" x14ac:dyDescent="0.25">
      <c r="A12" t="s">
        <v>247</v>
      </c>
      <c r="B12" s="7">
        <v>3.85E-2</v>
      </c>
      <c r="C12" s="7"/>
      <c r="D12" s="7">
        <v>6.3600000000000004E-2</v>
      </c>
      <c r="E12" s="7"/>
      <c r="F12" s="7">
        <v>-3.8600000000000002E-2</v>
      </c>
      <c r="G12" s="7"/>
      <c r="H12" s="7" t="s">
        <v>283</v>
      </c>
    </row>
    <row r="13" spans="1:8" x14ac:dyDescent="0.25">
      <c r="B13" s="7">
        <v>-0.96</v>
      </c>
      <c r="C13" s="7"/>
      <c r="D13" s="7">
        <v>-1.57</v>
      </c>
      <c r="E13" s="7"/>
      <c r="F13" s="7" t="s">
        <v>277</v>
      </c>
      <c r="G13" s="7"/>
      <c r="H13" s="7">
        <v>-2.09</v>
      </c>
    </row>
    <row r="14" spans="1:8" x14ac:dyDescent="0.25">
      <c r="A14" t="s">
        <v>248</v>
      </c>
      <c r="B14" s="7">
        <v>-4.2999999999999997E-2</v>
      </c>
      <c r="C14" s="7"/>
      <c r="D14" s="7">
        <v>-1.43E-2</v>
      </c>
      <c r="E14" s="7"/>
      <c r="F14" s="7">
        <v>-2.0400000000000001E-2</v>
      </c>
      <c r="G14" s="7"/>
      <c r="H14" s="7">
        <v>-4.3099999999999999E-2</v>
      </c>
    </row>
    <row r="15" spans="1:8" x14ac:dyDescent="0.25">
      <c r="B15" s="7">
        <v>-1.26</v>
      </c>
      <c r="C15" s="7"/>
      <c r="D15" s="7">
        <v>-0.41</v>
      </c>
      <c r="E15" s="7"/>
      <c r="F15" s="7">
        <v>-1</v>
      </c>
      <c r="G15" s="7"/>
      <c r="H15" s="7">
        <v>-1.1399999999999999</v>
      </c>
    </row>
    <row r="16" spans="1:8" x14ac:dyDescent="0.25">
      <c r="A16" t="s">
        <v>249</v>
      </c>
      <c r="B16" s="7">
        <v>1.9100000000000001E-4</v>
      </c>
      <c r="C16" s="7"/>
      <c r="D16" s="7">
        <v>9.4000000000000004E-3</v>
      </c>
      <c r="E16" s="7"/>
      <c r="F16" s="7">
        <v>-9.2199999999999997E-4</v>
      </c>
      <c r="G16" s="7"/>
      <c r="H16" s="7">
        <v>-5.8199999999999997E-3</v>
      </c>
    </row>
    <row r="17" spans="1:8" x14ac:dyDescent="0.25">
      <c r="B17" s="7" t="s">
        <v>250</v>
      </c>
      <c r="C17" s="7"/>
      <c r="D17" s="7" t="s">
        <v>270</v>
      </c>
      <c r="E17" s="7"/>
      <c r="F17" s="7">
        <v>-0.36</v>
      </c>
      <c r="G17" s="7"/>
      <c r="H17" s="7">
        <v>-0.87</v>
      </c>
    </row>
    <row r="18" spans="1:8" x14ac:dyDescent="0.25">
      <c r="A18" t="s">
        <v>251</v>
      </c>
      <c r="B18" s="7">
        <v>-5.0000000000000001E-3</v>
      </c>
      <c r="C18" s="7"/>
      <c r="D18" s="7">
        <v>-1.1900000000000001E-2</v>
      </c>
      <c r="E18" s="7"/>
      <c r="F18" s="7">
        <v>-3.9899999999999996E-3</v>
      </c>
      <c r="G18" s="7"/>
      <c r="H18" s="7">
        <v>-1.17E-2</v>
      </c>
    </row>
    <row r="19" spans="1:8" x14ac:dyDescent="0.25">
      <c r="B19" s="7">
        <v>-0.73</v>
      </c>
      <c r="C19" s="7"/>
      <c r="D19" s="7">
        <v>-1.51</v>
      </c>
      <c r="E19" s="7"/>
      <c r="F19" s="7">
        <v>-1.0900000000000001</v>
      </c>
      <c r="G19" s="7"/>
      <c r="H19" s="7">
        <v>-1.77</v>
      </c>
    </row>
    <row r="20" spans="1:8" x14ac:dyDescent="0.25">
      <c r="A20" t="s">
        <v>252</v>
      </c>
      <c r="B20" s="7">
        <v>-1.1599999999999999E-2</v>
      </c>
      <c r="C20" s="7"/>
      <c r="D20" s="7">
        <v>-1.4200000000000001E-2</v>
      </c>
      <c r="E20" s="7"/>
      <c r="F20" s="7" t="s">
        <v>278</v>
      </c>
      <c r="G20" s="7"/>
      <c r="H20" s="7">
        <v>-6.2300000000000001E-2</v>
      </c>
    </row>
    <row r="21" spans="1:8" x14ac:dyDescent="0.25">
      <c r="B21" s="7" t="s">
        <v>253</v>
      </c>
      <c r="C21" s="7"/>
      <c r="D21" s="7" t="s">
        <v>271</v>
      </c>
      <c r="E21" s="7"/>
      <c r="F21" s="7">
        <v>-2.48</v>
      </c>
      <c r="G21" s="7"/>
      <c r="H21" s="7" t="s">
        <v>284</v>
      </c>
    </row>
    <row r="22" spans="1:8" x14ac:dyDescent="0.25">
      <c r="A22" t="s">
        <v>254</v>
      </c>
      <c r="B22" s="7" t="s">
        <v>255</v>
      </c>
      <c r="C22" s="7"/>
      <c r="D22" s="7">
        <v>-0.115</v>
      </c>
      <c r="E22" s="7"/>
      <c r="F22" s="7">
        <v>1.8100000000000002E-2</v>
      </c>
      <c r="G22" s="7"/>
      <c r="H22" s="7">
        <v>5.7799999999999997E-2</v>
      </c>
    </row>
    <row r="23" spans="1:8" x14ac:dyDescent="0.25">
      <c r="B23" s="7" t="s">
        <v>256</v>
      </c>
      <c r="C23" s="7"/>
      <c r="D23" s="7" t="s">
        <v>272</v>
      </c>
      <c r="E23" s="7"/>
      <c r="F23" s="7">
        <v>-0.67</v>
      </c>
      <c r="G23" s="7"/>
      <c r="H23" s="7">
        <v>-1.01</v>
      </c>
    </row>
    <row r="24" spans="1:8" x14ac:dyDescent="0.25">
      <c r="A24" t="s">
        <v>257</v>
      </c>
      <c r="B24" s="7">
        <v>-8.0300000000000007E-3</v>
      </c>
      <c r="C24" s="7"/>
      <c r="D24" s="7">
        <v>3.7000000000000002E-3</v>
      </c>
      <c r="E24" s="7"/>
      <c r="F24" s="7" t="s">
        <v>279</v>
      </c>
      <c r="G24" s="7"/>
      <c r="H24" s="7">
        <v>6.0600000000000003E-3</v>
      </c>
    </row>
    <row r="25" spans="1:8" x14ac:dyDescent="0.25">
      <c r="B25" s="7" t="s">
        <v>258</v>
      </c>
      <c r="C25" s="7"/>
      <c r="D25" s="7">
        <v>-0.67</v>
      </c>
      <c r="E25" s="7"/>
      <c r="F25" s="7" t="s">
        <v>280</v>
      </c>
      <c r="G25" s="7"/>
      <c r="H25" s="7">
        <v>-0.96</v>
      </c>
    </row>
    <row r="26" spans="1:8" x14ac:dyDescent="0.25">
      <c r="A26" t="s">
        <v>259</v>
      </c>
      <c r="B26" s="7">
        <v>1222</v>
      </c>
      <c r="C26" s="7"/>
      <c r="D26" s="7">
        <v>1222</v>
      </c>
      <c r="E26" s="7"/>
      <c r="F26" s="7">
        <v>1222</v>
      </c>
      <c r="G26" s="7"/>
      <c r="H26" s="7">
        <v>1222</v>
      </c>
    </row>
    <row r="27" spans="1:8" x14ac:dyDescent="0.25">
      <c r="A27" t="s">
        <v>60</v>
      </c>
      <c r="B27" s="7">
        <v>7.2999999999999995E-2</v>
      </c>
      <c r="C27" s="7"/>
      <c r="D27" s="7">
        <v>0.06</v>
      </c>
      <c r="E27" s="7"/>
      <c r="F27" s="7">
        <v>4.4999999999999998E-2</v>
      </c>
      <c r="G27" s="7"/>
      <c r="H27" s="7">
        <v>3.6999999999999998E-2</v>
      </c>
    </row>
    <row r="28" spans="1:8" x14ac:dyDescent="0.25">
      <c r="A28" t="s">
        <v>288</v>
      </c>
    </row>
    <row r="29" spans="1:8" x14ac:dyDescent="0.25">
      <c r="A29" t="s">
        <v>263</v>
      </c>
      <c r="B29" t="s">
        <v>264</v>
      </c>
      <c r="C29" t="s">
        <v>265</v>
      </c>
      <c r="D29" t="s">
        <v>266</v>
      </c>
      <c r="E29" t="s">
        <v>267</v>
      </c>
      <c r="F29" t="s">
        <v>268</v>
      </c>
    </row>
    <row r="31" spans="1:8" x14ac:dyDescent="0.25">
      <c r="A31" t="s">
        <v>292</v>
      </c>
    </row>
    <row r="45" spans="6:12" x14ac:dyDescent="0.25">
      <c r="F45" t="s">
        <v>260</v>
      </c>
      <c r="H45" t="s">
        <v>260</v>
      </c>
      <c r="I45" t="s">
        <v>261</v>
      </c>
      <c r="J45" t="s">
        <v>262</v>
      </c>
    </row>
    <row r="46" spans="6:12" x14ac:dyDescent="0.25">
      <c r="F46" t="s">
        <v>264</v>
      </c>
      <c r="H46" t="s">
        <v>264</v>
      </c>
      <c r="I46" t="s">
        <v>265</v>
      </c>
      <c r="J46" t="s">
        <v>266</v>
      </c>
      <c r="K46" t="s">
        <v>267</v>
      </c>
      <c r="L46" t="s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0"/>
  <sheetViews>
    <sheetView tabSelected="1" workbookViewId="0">
      <selection activeCell="O14" sqref="O14"/>
    </sheetView>
  </sheetViews>
  <sheetFormatPr defaultRowHeight="15" x14ac:dyDescent="0.25"/>
  <cols>
    <col min="1" max="1" width="10.140625" bestFit="1" customWidth="1"/>
    <col min="8" max="8" width="10.140625" bestFit="1" customWidth="1"/>
    <col min="9" max="9" width="8.5703125" bestFit="1" customWidth="1"/>
  </cols>
  <sheetData>
    <row r="1" spans="1:50" s="45" customFormat="1" x14ac:dyDescent="0.25">
      <c r="A1" s="40" t="s">
        <v>491</v>
      </c>
      <c r="B1" s="41" t="s">
        <v>486</v>
      </c>
      <c r="C1" s="42"/>
      <c r="D1" s="42"/>
      <c r="E1" s="42"/>
      <c r="F1" s="42"/>
      <c r="G1" s="42"/>
      <c r="H1" s="43"/>
      <c r="I1" s="44" t="s">
        <v>12</v>
      </c>
      <c r="J1" s="41" t="s">
        <v>16</v>
      </c>
      <c r="K1" s="42"/>
      <c r="L1" s="42"/>
      <c r="M1" s="42"/>
      <c r="N1" s="43"/>
      <c r="O1" s="41" t="s">
        <v>14</v>
      </c>
      <c r="P1" s="43"/>
      <c r="Q1" s="41" t="s">
        <v>8</v>
      </c>
      <c r="R1" s="42"/>
      <c r="S1" s="42"/>
      <c r="T1" s="43"/>
      <c r="U1" s="41" t="s">
        <v>15</v>
      </c>
      <c r="V1" s="43"/>
      <c r="W1" s="41" t="s">
        <v>487</v>
      </c>
      <c r="X1" s="43"/>
      <c r="Y1" s="41" t="s">
        <v>488</v>
      </c>
      <c r="Z1" s="42"/>
      <c r="AA1" s="42"/>
      <c r="AB1" s="42"/>
      <c r="AC1" s="43"/>
      <c r="AD1" s="41" t="s">
        <v>489</v>
      </c>
      <c r="AE1" s="42"/>
      <c r="AF1" s="42"/>
      <c r="AG1" s="42"/>
      <c r="AH1" s="42"/>
      <c r="AI1" s="42"/>
      <c r="AJ1" s="42"/>
      <c r="AK1" s="42"/>
      <c r="AL1" s="42"/>
      <c r="AM1" s="43"/>
      <c r="AN1" s="41" t="s">
        <v>490</v>
      </c>
      <c r="AO1" s="42"/>
      <c r="AP1" s="42"/>
      <c r="AQ1" s="42"/>
      <c r="AR1" s="42"/>
      <c r="AS1" s="42"/>
      <c r="AT1" s="42"/>
      <c r="AU1" s="42"/>
      <c r="AV1" s="43"/>
      <c r="AW1" s="41" t="s">
        <v>18</v>
      </c>
      <c r="AX1" s="43"/>
    </row>
    <row r="2" spans="1:50" s="15" customFormat="1" x14ac:dyDescent="0.25">
      <c r="A2" s="46" t="s">
        <v>492</v>
      </c>
      <c r="B2" s="28">
        <v>1980</v>
      </c>
      <c r="C2" s="25">
        <v>1981</v>
      </c>
      <c r="D2" s="25">
        <v>1982</v>
      </c>
      <c r="E2" s="25">
        <v>1983</v>
      </c>
      <c r="F2" s="25">
        <v>1984</v>
      </c>
      <c r="G2" s="25">
        <v>1985</v>
      </c>
      <c r="H2" s="29">
        <v>1986</v>
      </c>
      <c r="I2" s="35">
        <v>1975</v>
      </c>
      <c r="J2" s="38">
        <v>2000</v>
      </c>
      <c r="K2" s="27">
        <v>2001</v>
      </c>
      <c r="L2" s="27">
        <v>2002</v>
      </c>
      <c r="M2" s="27">
        <v>2003</v>
      </c>
      <c r="N2" s="39">
        <v>2004</v>
      </c>
      <c r="O2" s="38">
        <v>1999</v>
      </c>
      <c r="P2" s="39">
        <v>2002</v>
      </c>
      <c r="Q2" s="38">
        <v>2001</v>
      </c>
      <c r="R2" s="27">
        <v>2002</v>
      </c>
      <c r="S2" s="27">
        <v>2003</v>
      </c>
      <c r="T2" s="39">
        <v>2004</v>
      </c>
      <c r="U2" s="38">
        <v>2004</v>
      </c>
      <c r="V2" s="39">
        <v>2004</v>
      </c>
      <c r="W2" s="38">
        <v>1999</v>
      </c>
      <c r="X2" s="39">
        <v>2004</v>
      </c>
      <c r="Y2" s="38">
        <v>1987</v>
      </c>
      <c r="Z2" s="27">
        <v>1988</v>
      </c>
      <c r="AA2" s="27">
        <v>1989</v>
      </c>
      <c r="AB2" s="27">
        <v>1990</v>
      </c>
      <c r="AC2" s="39">
        <v>1991</v>
      </c>
      <c r="AD2" s="38">
        <v>1987</v>
      </c>
      <c r="AE2" s="27">
        <v>1988</v>
      </c>
      <c r="AF2" s="27">
        <v>1989</v>
      </c>
      <c r="AG2" s="27">
        <v>1990</v>
      </c>
      <c r="AH2" s="27">
        <v>1991</v>
      </c>
      <c r="AI2" s="27">
        <v>1992</v>
      </c>
      <c r="AJ2" s="27">
        <v>1993</v>
      </c>
      <c r="AK2" s="27">
        <v>1994</v>
      </c>
      <c r="AL2" s="27">
        <v>1995</v>
      </c>
      <c r="AM2" s="39">
        <v>1996</v>
      </c>
      <c r="AN2" s="38">
        <v>1988</v>
      </c>
      <c r="AO2" s="27">
        <v>1089</v>
      </c>
      <c r="AP2" s="27">
        <v>1990</v>
      </c>
      <c r="AQ2" s="27">
        <v>1991</v>
      </c>
      <c r="AR2" s="27">
        <v>1992</v>
      </c>
      <c r="AS2" s="27">
        <v>1993</v>
      </c>
      <c r="AT2" s="27">
        <v>1994</v>
      </c>
      <c r="AU2" s="27">
        <v>1995</v>
      </c>
      <c r="AV2" s="39">
        <v>1996</v>
      </c>
      <c r="AW2" s="38">
        <v>2003</v>
      </c>
      <c r="AX2" s="39">
        <v>2004</v>
      </c>
    </row>
    <row r="3" spans="1:50" x14ac:dyDescent="0.25">
      <c r="A3" s="30" t="s">
        <v>67</v>
      </c>
      <c r="B3" s="30" t="s">
        <v>44</v>
      </c>
      <c r="C3" s="13" t="s">
        <v>44</v>
      </c>
      <c r="D3" s="13" t="s">
        <v>44</v>
      </c>
      <c r="E3" s="13" t="s">
        <v>45</v>
      </c>
      <c r="F3" s="13" t="s">
        <v>45</v>
      </c>
      <c r="G3" s="13" t="s">
        <v>45</v>
      </c>
      <c r="H3" s="31" t="s">
        <v>44</v>
      </c>
      <c r="I3" s="36" t="s">
        <v>51</v>
      </c>
      <c r="J3" s="30" t="s">
        <v>44</v>
      </c>
      <c r="K3" s="13" t="s">
        <v>45</v>
      </c>
      <c r="L3" s="13" t="s">
        <v>44</v>
      </c>
      <c r="M3" s="13" t="s">
        <v>45</v>
      </c>
      <c r="N3" s="31" t="s">
        <v>51</v>
      </c>
      <c r="O3" s="30" t="s">
        <v>48</v>
      </c>
      <c r="P3" s="31" t="s">
        <v>48</v>
      </c>
      <c r="Q3" s="30" t="s">
        <v>48</v>
      </c>
      <c r="R3" s="13" t="s">
        <v>48</v>
      </c>
      <c r="S3" s="13" t="s">
        <v>48</v>
      </c>
      <c r="T3" s="31" t="s">
        <v>48</v>
      </c>
      <c r="U3" s="30" t="s">
        <v>50</v>
      </c>
      <c r="V3" s="31" t="s">
        <v>50</v>
      </c>
      <c r="W3" s="30" t="s">
        <v>51</v>
      </c>
      <c r="X3" s="31" t="s">
        <v>51</v>
      </c>
      <c r="Y3" s="30" t="s">
        <v>50</v>
      </c>
      <c r="Z3" s="13" t="s">
        <v>49</v>
      </c>
      <c r="AA3" s="13" t="s">
        <v>50</v>
      </c>
      <c r="AB3" s="13" t="s">
        <v>50</v>
      </c>
      <c r="AC3" s="31" t="s">
        <v>49</v>
      </c>
      <c r="AD3" s="30" t="s">
        <v>46</v>
      </c>
      <c r="AE3" s="13" t="s">
        <v>51</v>
      </c>
      <c r="AF3" s="13" t="s">
        <v>51</v>
      </c>
      <c r="AG3" s="13" t="s">
        <v>48</v>
      </c>
      <c r="AH3" s="13" t="s">
        <v>51</v>
      </c>
      <c r="AI3" s="13" t="s">
        <v>48</v>
      </c>
      <c r="AJ3" s="13" t="s">
        <v>48</v>
      </c>
      <c r="AK3" s="13" t="s">
        <v>48</v>
      </c>
      <c r="AL3" s="13" t="s">
        <v>48</v>
      </c>
      <c r="AM3" s="31" t="s">
        <v>48</v>
      </c>
      <c r="AN3" s="30" t="s">
        <v>46</v>
      </c>
      <c r="AO3" s="13" t="s">
        <v>46</v>
      </c>
      <c r="AP3" s="13" t="s">
        <v>50</v>
      </c>
      <c r="AQ3" s="13" t="s">
        <v>50</v>
      </c>
      <c r="AR3" s="13" t="s">
        <v>46</v>
      </c>
      <c r="AS3" s="13" t="s">
        <v>46</v>
      </c>
      <c r="AT3" s="13" t="s">
        <v>50</v>
      </c>
      <c r="AU3" s="13" t="s">
        <v>46</v>
      </c>
      <c r="AV3" s="31" t="s">
        <v>46</v>
      </c>
      <c r="AW3" s="30" t="s">
        <v>44</v>
      </c>
      <c r="AX3" s="31" t="s">
        <v>44</v>
      </c>
    </row>
    <row r="4" spans="1:50" x14ac:dyDescent="0.25">
      <c r="A4" s="30" t="s">
        <v>311</v>
      </c>
      <c r="B4" s="30" t="s">
        <v>48</v>
      </c>
      <c r="C4" s="13" t="s">
        <v>44</v>
      </c>
      <c r="D4" s="13" t="s">
        <v>44</v>
      </c>
      <c r="E4" s="13" t="s">
        <v>51</v>
      </c>
      <c r="F4" s="13" t="s">
        <v>47</v>
      </c>
      <c r="G4" s="13" t="s">
        <v>48</v>
      </c>
      <c r="H4" s="31" t="s">
        <v>47</v>
      </c>
      <c r="I4" s="36" t="s">
        <v>49</v>
      </c>
      <c r="J4" s="30" t="s">
        <v>46</v>
      </c>
      <c r="K4" s="13" t="s">
        <v>46</v>
      </c>
      <c r="L4" s="13" t="s">
        <v>47</v>
      </c>
      <c r="M4" s="13" t="s">
        <v>47</v>
      </c>
      <c r="N4" s="31" t="s">
        <v>47</v>
      </c>
      <c r="O4" s="30" t="s">
        <v>49</v>
      </c>
      <c r="P4" s="31" t="s">
        <v>49</v>
      </c>
      <c r="Q4" s="30" t="s">
        <v>50</v>
      </c>
      <c r="R4" s="13" t="s">
        <v>50</v>
      </c>
      <c r="S4" s="13" t="s">
        <v>49</v>
      </c>
      <c r="T4" s="31" t="s">
        <v>50</v>
      </c>
      <c r="U4" s="30" t="s">
        <v>49</v>
      </c>
      <c r="V4" s="31" t="s">
        <v>49</v>
      </c>
      <c r="W4" s="30" t="s">
        <v>47</v>
      </c>
      <c r="X4" s="31" t="s">
        <v>48</v>
      </c>
      <c r="Y4" s="30" t="s">
        <v>49</v>
      </c>
      <c r="Z4" s="13" t="s">
        <v>49</v>
      </c>
      <c r="AA4" s="13" t="s">
        <v>49</v>
      </c>
      <c r="AB4" s="13" t="s">
        <v>49</v>
      </c>
      <c r="AC4" s="31" t="s">
        <v>49</v>
      </c>
      <c r="AD4" s="30" t="s">
        <v>49</v>
      </c>
      <c r="AE4" s="13" t="s">
        <v>49</v>
      </c>
      <c r="AF4" s="13" t="s">
        <v>49</v>
      </c>
      <c r="AG4" s="13" t="s">
        <v>49</v>
      </c>
      <c r="AH4" s="13" t="s">
        <v>46</v>
      </c>
      <c r="AI4" s="13" t="s">
        <v>46</v>
      </c>
      <c r="AJ4" s="13" t="s">
        <v>46</v>
      </c>
      <c r="AK4" s="13" t="s">
        <v>49</v>
      </c>
      <c r="AL4" s="13" t="s">
        <v>49</v>
      </c>
      <c r="AM4" s="31" t="s">
        <v>50</v>
      </c>
      <c r="AN4" s="30" t="s">
        <v>49</v>
      </c>
      <c r="AO4" s="13" t="s">
        <v>49</v>
      </c>
      <c r="AP4" s="13" t="s">
        <v>49</v>
      </c>
      <c r="AQ4" s="13" t="s">
        <v>49</v>
      </c>
      <c r="AR4" s="13" t="s">
        <v>49</v>
      </c>
      <c r="AS4" s="13" t="s">
        <v>49</v>
      </c>
      <c r="AT4" s="13" t="s">
        <v>49</v>
      </c>
      <c r="AU4" s="13" t="s">
        <v>49</v>
      </c>
      <c r="AV4" s="31" t="s">
        <v>49</v>
      </c>
      <c r="AW4" s="30" t="s">
        <v>46</v>
      </c>
      <c r="AX4" s="31" t="s">
        <v>47</v>
      </c>
    </row>
    <row r="5" spans="1:50" x14ac:dyDescent="0.25">
      <c r="A5" s="47" t="s">
        <v>69</v>
      </c>
      <c r="B5" s="47" t="s">
        <v>133</v>
      </c>
      <c r="C5" s="48" t="s">
        <v>104</v>
      </c>
      <c r="D5" s="48" t="s">
        <v>105</v>
      </c>
      <c r="E5" s="48" t="s">
        <v>106</v>
      </c>
      <c r="F5" s="48" t="s">
        <v>107</v>
      </c>
      <c r="G5" s="48" t="s">
        <v>107</v>
      </c>
      <c r="H5" s="49" t="s">
        <v>108</v>
      </c>
      <c r="I5" s="50" t="s">
        <v>109</v>
      </c>
      <c r="J5" s="47" t="s">
        <v>110</v>
      </c>
      <c r="K5" s="48" t="s">
        <v>111</v>
      </c>
      <c r="L5" s="48" t="s">
        <v>112</v>
      </c>
      <c r="M5" s="48" t="s">
        <v>113</v>
      </c>
      <c r="N5" s="49" t="s">
        <v>112</v>
      </c>
      <c r="O5" s="47" t="s">
        <v>114</v>
      </c>
      <c r="P5" s="49" t="s">
        <v>109</v>
      </c>
      <c r="Q5" s="47" t="s">
        <v>115</v>
      </c>
      <c r="R5" s="48" t="s">
        <v>116</v>
      </c>
      <c r="S5" s="48" t="s">
        <v>117</v>
      </c>
      <c r="T5" s="49" t="s">
        <v>118</v>
      </c>
      <c r="U5" s="47" t="s">
        <v>119</v>
      </c>
      <c r="V5" s="49" t="s">
        <v>120</v>
      </c>
      <c r="W5" s="47" t="s">
        <v>121</v>
      </c>
      <c r="X5" s="49" t="s">
        <v>122</v>
      </c>
      <c r="Y5" s="47" t="s">
        <v>123</v>
      </c>
      <c r="Z5" s="48" t="s">
        <v>124</v>
      </c>
      <c r="AA5" s="48" t="s">
        <v>107</v>
      </c>
      <c r="AB5" s="48" t="s">
        <v>125</v>
      </c>
      <c r="AC5" s="49" t="s">
        <v>126</v>
      </c>
      <c r="AD5" s="47" t="s">
        <v>104</v>
      </c>
      <c r="AE5" s="48" t="s">
        <v>127</v>
      </c>
      <c r="AF5" s="48" t="s">
        <v>128</v>
      </c>
      <c r="AG5" s="48" t="s">
        <v>109</v>
      </c>
      <c r="AH5" s="48" t="s">
        <v>129</v>
      </c>
      <c r="AI5" s="48" t="s">
        <v>131</v>
      </c>
      <c r="AJ5" s="48" t="s">
        <v>127</v>
      </c>
      <c r="AK5" s="48" t="s">
        <v>116</v>
      </c>
      <c r="AL5" s="48" t="s">
        <v>129</v>
      </c>
      <c r="AM5" s="49" t="s">
        <v>131</v>
      </c>
      <c r="AN5" s="47" t="s">
        <v>124</v>
      </c>
      <c r="AO5" s="48" t="s">
        <v>132</v>
      </c>
      <c r="AP5" s="48" t="s">
        <v>133</v>
      </c>
      <c r="AQ5" s="48" t="s">
        <v>133</v>
      </c>
      <c r="AR5" s="48" t="s">
        <v>126</v>
      </c>
      <c r="AS5" s="48" t="s">
        <v>133</v>
      </c>
      <c r="AT5" s="48" t="s">
        <v>134</v>
      </c>
      <c r="AU5" s="48" t="s">
        <v>135</v>
      </c>
      <c r="AV5" s="49" t="s">
        <v>136</v>
      </c>
      <c r="AW5" s="47" t="s">
        <v>184</v>
      </c>
      <c r="AX5" s="49" t="s">
        <v>235</v>
      </c>
    </row>
    <row r="6" spans="1:50" x14ac:dyDescent="0.25">
      <c r="A6" s="30" t="s">
        <v>312</v>
      </c>
      <c r="B6" s="30" t="s">
        <v>71</v>
      </c>
      <c r="C6" s="13" t="s">
        <v>71</v>
      </c>
      <c r="D6" s="13" t="s">
        <v>71</v>
      </c>
      <c r="E6" s="13" t="s">
        <v>75</v>
      </c>
      <c r="F6" s="13" t="s">
        <v>75</v>
      </c>
      <c r="G6" s="13" t="s">
        <v>75</v>
      </c>
      <c r="H6" s="31" t="s">
        <v>79</v>
      </c>
      <c r="I6" s="36" t="s">
        <v>71</v>
      </c>
      <c r="J6" s="30" t="s">
        <v>79</v>
      </c>
      <c r="K6" s="13" t="s">
        <v>79</v>
      </c>
      <c r="L6" s="13" t="s">
        <v>79</v>
      </c>
      <c r="M6" s="13" t="s">
        <v>79</v>
      </c>
      <c r="N6" s="31" t="s">
        <v>79</v>
      </c>
      <c r="O6" s="30" t="s">
        <v>71</v>
      </c>
      <c r="P6" s="31" t="s">
        <v>81</v>
      </c>
      <c r="Q6" s="30" t="s">
        <v>71</v>
      </c>
      <c r="R6" s="13" t="s">
        <v>71</v>
      </c>
      <c r="S6" s="13" t="s">
        <v>79</v>
      </c>
      <c r="T6" s="31" t="s">
        <v>71</v>
      </c>
      <c r="U6" s="30" t="s">
        <v>75</v>
      </c>
      <c r="V6" s="31" t="s">
        <v>79</v>
      </c>
      <c r="W6" s="30" t="s">
        <v>75</v>
      </c>
      <c r="X6" s="31" t="s">
        <v>75</v>
      </c>
      <c r="Y6" s="30" t="s">
        <v>88</v>
      </c>
      <c r="Z6" s="13" t="s">
        <v>81</v>
      </c>
      <c r="AA6" s="13" t="s">
        <v>75</v>
      </c>
      <c r="AB6" s="13" t="s">
        <v>75</v>
      </c>
      <c r="AC6" s="31" t="s">
        <v>75</v>
      </c>
      <c r="AD6" s="30" t="s">
        <v>81</v>
      </c>
      <c r="AE6" s="13" t="s">
        <v>71</v>
      </c>
      <c r="AF6" s="13" t="s">
        <v>88</v>
      </c>
      <c r="AG6" s="13" t="s">
        <v>88</v>
      </c>
      <c r="AH6" s="13" t="s">
        <v>130</v>
      </c>
      <c r="AI6" s="13" t="s">
        <v>130</v>
      </c>
      <c r="AJ6" s="13" t="s">
        <v>130</v>
      </c>
      <c r="AK6" s="13" t="s">
        <v>88</v>
      </c>
      <c r="AL6" s="13" t="s">
        <v>88</v>
      </c>
      <c r="AM6" s="31" t="s">
        <v>71</v>
      </c>
      <c r="AN6" s="30" t="s">
        <v>75</v>
      </c>
      <c r="AO6" s="13" t="s">
        <v>79</v>
      </c>
      <c r="AP6" s="13" t="s">
        <v>79</v>
      </c>
      <c r="AQ6" s="13" t="s">
        <v>79</v>
      </c>
      <c r="AR6" s="13" t="s">
        <v>79</v>
      </c>
      <c r="AS6" s="13" t="s">
        <v>79</v>
      </c>
      <c r="AT6" s="13" t="s">
        <v>79</v>
      </c>
      <c r="AU6" s="13" t="s">
        <v>79</v>
      </c>
      <c r="AV6" s="31" t="s">
        <v>79</v>
      </c>
      <c r="AW6" s="30" t="s">
        <v>79</v>
      </c>
      <c r="AX6" s="31" t="s">
        <v>79</v>
      </c>
    </row>
    <row r="7" spans="1:50" x14ac:dyDescent="0.25">
      <c r="A7" s="51" t="s">
        <v>313</v>
      </c>
      <c r="B7" s="51" t="s">
        <v>72</v>
      </c>
      <c r="C7" s="52" t="s">
        <v>73</v>
      </c>
      <c r="D7" s="52" t="s">
        <v>74</v>
      </c>
      <c r="E7" s="52" t="s">
        <v>76</v>
      </c>
      <c r="F7" s="52" t="s">
        <v>77</v>
      </c>
      <c r="G7" s="52" t="s">
        <v>78</v>
      </c>
      <c r="H7" s="53" t="s">
        <v>80</v>
      </c>
      <c r="I7" s="54" t="s">
        <v>293</v>
      </c>
      <c r="J7" s="51" t="s">
        <v>294</v>
      </c>
      <c r="K7" s="52" t="s">
        <v>295</v>
      </c>
      <c r="L7" s="52" t="s">
        <v>296</v>
      </c>
      <c r="M7" s="52" t="s">
        <v>297</v>
      </c>
      <c r="N7" s="53" t="s">
        <v>298</v>
      </c>
      <c r="O7" s="51" t="s">
        <v>299</v>
      </c>
      <c r="P7" s="53" t="s">
        <v>300</v>
      </c>
      <c r="Q7" s="51" t="s">
        <v>82</v>
      </c>
      <c r="R7" s="52" t="s">
        <v>83</v>
      </c>
      <c r="S7" s="52" t="s">
        <v>301</v>
      </c>
      <c r="T7" s="53" t="s">
        <v>84</v>
      </c>
      <c r="U7" s="51" t="s">
        <v>85</v>
      </c>
      <c r="V7" s="53" t="s">
        <v>86</v>
      </c>
      <c r="W7" s="51" t="s">
        <v>297</v>
      </c>
      <c r="X7" s="53" t="s">
        <v>302</v>
      </c>
      <c r="Y7" s="51" t="s">
        <v>89</v>
      </c>
      <c r="Z7" s="52" t="s">
        <v>90</v>
      </c>
      <c r="AA7" s="52" t="s">
        <v>91</v>
      </c>
      <c r="AB7" s="52" t="s">
        <v>92</v>
      </c>
      <c r="AC7" s="53" t="s">
        <v>93</v>
      </c>
      <c r="AD7" s="51" t="s">
        <v>94</v>
      </c>
      <c r="AE7" s="52" t="s">
        <v>303</v>
      </c>
      <c r="AF7" s="52" t="s">
        <v>304</v>
      </c>
      <c r="AG7" s="52" t="s">
        <v>305</v>
      </c>
      <c r="AH7" s="52" t="s">
        <v>306</v>
      </c>
      <c r="AI7" s="52" t="s">
        <v>307</v>
      </c>
      <c r="AJ7" s="52" t="s">
        <v>308</v>
      </c>
      <c r="AK7" s="52" t="s">
        <v>95</v>
      </c>
      <c r="AL7" s="52" t="s">
        <v>309</v>
      </c>
      <c r="AM7" s="53" t="s">
        <v>310</v>
      </c>
      <c r="AN7" s="51" t="s">
        <v>96</v>
      </c>
      <c r="AO7" s="52" t="s">
        <v>97</v>
      </c>
      <c r="AP7" s="52" t="s">
        <v>63</v>
      </c>
      <c r="AQ7" s="52" t="s">
        <v>98</v>
      </c>
      <c r="AR7" s="52" t="s">
        <v>99</v>
      </c>
      <c r="AS7" s="52" t="s">
        <v>100</v>
      </c>
      <c r="AT7" s="52" t="s">
        <v>101</v>
      </c>
      <c r="AU7" s="52" t="s">
        <v>102</v>
      </c>
      <c r="AV7" s="53" t="s">
        <v>103</v>
      </c>
      <c r="AW7" s="51" t="s">
        <v>234</v>
      </c>
      <c r="AX7" s="53" t="s">
        <v>236</v>
      </c>
    </row>
    <row r="8" spans="1:50" x14ac:dyDescent="0.25">
      <c r="A8" s="32" t="s">
        <v>70</v>
      </c>
      <c r="B8" s="32">
        <v>-1.6899999999999998E-2</v>
      </c>
      <c r="C8" s="33">
        <v>-1.26E-2</v>
      </c>
      <c r="D8" s="33">
        <v>-1.14E-2</v>
      </c>
      <c r="E8" s="33">
        <v>5.5999999999999995E-4</v>
      </c>
      <c r="F8" s="33">
        <v>2.9099999999999998E-3</v>
      </c>
      <c r="G8" s="33">
        <v>4.9899999999999996E-3</v>
      </c>
      <c r="H8" s="34">
        <v>-7.1900000000000002E-3</v>
      </c>
      <c r="I8" s="37">
        <v>5.4999999999999997E-3</v>
      </c>
      <c r="J8" s="32">
        <v>1.06E-2</v>
      </c>
      <c r="K8" s="33">
        <v>4.3299999999999996E-3</v>
      </c>
      <c r="L8" s="33">
        <v>2.8800000000000002E-3</v>
      </c>
      <c r="M8" s="33">
        <v>4.15E-3</v>
      </c>
      <c r="N8" s="34">
        <v>-1.1100000000000001E-3</v>
      </c>
      <c r="O8" s="32">
        <v>1.8599999999999998E-2</v>
      </c>
      <c r="P8" s="34">
        <v>1.52E-2</v>
      </c>
      <c r="Q8" s="32">
        <v>9.8499999999999994E-3</v>
      </c>
      <c r="R8" s="33">
        <v>1.1900000000000001E-2</v>
      </c>
      <c r="S8" s="33">
        <v>2.0899999999999998E-2</v>
      </c>
      <c r="T8" s="34">
        <v>1.5100000000000001E-2</v>
      </c>
      <c r="U8" s="32">
        <v>3.0499999999999999E-2</v>
      </c>
      <c r="V8" s="34">
        <v>3.04E-2</v>
      </c>
      <c r="W8" s="32">
        <v>-3.9899999999999998E-2</v>
      </c>
      <c r="X8" s="34" t="s">
        <v>87</v>
      </c>
      <c r="Y8" s="32">
        <v>2.2200000000000002E-3</v>
      </c>
      <c r="Z8" s="33">
        <v>-1.2700000000000001E-3</v>
      </c>
      <c r="AA8" s="33">
        <v>6.0699999999999999E-3</v>
      </c>
      <c r="AB8" s="33">
        <v>1.65E-3</v>
      </c>
      <c r="AC8" s="34">
        <v>-3.2599999999999999E-3</v>
      </c>
      <c r="AD8" s="32">
        <v>9.2099999999999994E-3</v>
      </c>
      <c r="AE8" s="33">
        <v>2.48E-3</v>
      </c>
      <c r="AF8" s="33">
        <v>4.2500000000000003E-3</v>
      </c>
      <c r="AG8" s="33">
        <v>6.0499999999999998E-3</v>
      </c>
      <c r="AH8" s="33" t="s">
        <v>306</v>
      </c>
      <c r="AI8" s="33" t="s">
        <v>307</v>
      </c>
      <c r="AJ8" s="33" t="s">
        <v>308</v>
      </c>
      <c r="AK8" s="33">
        <v>3.7299999999999998E-3</v>
      </c>
      <c r="AL8" s="33">
        <v>2.8600000000000001E-3</v>
      </c>
      <c r="AM8" s="34">
        <v>2.9199999999999999E-3</v>
      </c>
      <c r="AN8" s="32">
        <v>1.6899999999999998E-2</v>
      </c>
      <c r="AO8" s="33">
        <v>4.4400000000000004E-3</v>
      </c>
      <c r="AP8" s="33">
        <v>-1.3200000000000001E-4</v>
      </c>
      <c r="AQ8" s="33">
        <v>-3.6499999999999998E-4</v>
      </c>
      <c r="AR8" s="33">
        <v>-2.96E-3</v>
      </c>
      <c r="AS8" s="33">
        <v>6.1999999999999998E-3</v>
      </c>
      <c r="AT8" s="33">
        <v>3.0699999999999998E-3</v>
      </c>
      <c r="AU8" s="33">
        <v>6.43E-3</v>
      </c>
      <c r="AV8" s="34">
        <v>4.6999999999999999E-4</v>
      </c>
      <c r="AW8" s="32">
        <v>-3.61E-2</v>
      </c>
      <c r="AX8" s="34">
        <v>-3.44E-2</v>
      </c>
    </row>
    <row r="9" spans="1:50" s="18" customFormat="1" x14ac:dyDescent="0.25">
      <c r="B9" s="13"/>
      <c r="C9" s="13"/>
      <c r="D9" s="13"/>
      <c r="E9" s="13"/>
      <c r="F9" s="13"/>
      <c r="G9" s="13"/>
      <c r="H9" s="13"/>
      <c r="I9" s="14"/>
      <c r="J9" s="14"/>
      <c r="K9" s="14"/>
      <c r="L9" s="14"/>
      <c r="M9" s="14"/>
      <c r="N9" s="14"/>
      <c r="O9" s="14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50" s="18" customFormat="1" x14ac:dyDescent="0.25">
      <c r="B10" s="13"/>
      <c r="C10" s="13"/>
      <c r="D10" s="13"/>
      <c r="E10" s="13"/>
      <c r="F10" s="13"/>
      <c r="G10" s="13"/>
      <c r="H10" s="13"/>
      <c r="I10" s="14"/>
      <c r="J10" s="14"/>
      <c r="K10" s="14"/>
      <c r="L10" s="14"/>
      <c r="M10" s="14"/>
      <c r="N10" s="14"/>
      <c r="O10" s="14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50" s="15" customFormat="1" ht="15.75" x14ac:dyDescent="0.25">
      <c r="B11" s="21"/>
      <c r="C11" s="21"/>
      <c r="D11" s="16"/>
      <c r="J11" s="21"/>
      <c r="K11" s="21"/>
      <c r="L11" s="17"/>
      <c r="S11" s="21"/>
      <c r="T11" s="21"/>
      <c r="Y11" s="13"/>
      <c r="Z11" s="13"/>
    </row>
    <row r="12" spans="1:50" s="15" customFormat="1" x14ac:dyDescent="0.25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50" s="18" customFormat="1" x14ac:dyDescent="0.25"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spans="1:50" s="15" customFormat="1" x14ac:dyDescent="0.25">
      <c r="A14" s="18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spans="1:50" s="15" customFormat="1" x14ac:dyDescent="0.25">
      <c r="A15" s="18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spans="1:50" s="15" customFormat="1" x14ac:dyDescent="0.25">
      <c r="A16" s="18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spans="1:50" s="15" customFormat="1" x14ac:dyDescent="0.25">
      <c r="A17" s="18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spans="1:50" s="15" customFormat="1" x14ac:dyDescent="0.25">
      <c r="A18" s="18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spans="1:50" x14ac:dyDescent="0.25">
      <c r="B19" s="3"/>
    </row>
    <row r="20" spans="1:50" x14ac:dyDescent="0.25">
      <c r="C20" s="3"/>
      <c r="D20" s="3"/>
      <c r="E20" s="3"/>
      <c r="F20" s="3"/>
      <c r="G20" s="3"/>
    </row>
    <row r="21" spans="1:50" x14ac:dyDescent="0.25">
      <c r="A21" t="s">
        <v>291</v>
      </c>
      <c r="C21" s="3"/>
      <c r="D21" s="3"/>
      <c r="E21" s="3"/>
      <c r="F21" s="3"/>
      <c r="G21" s="3"/>
    </row>
    <row r="23" spans="1:50" x14ac:dyDescent="0.25">
      <c r="A23" s="15"/>
      <c r="B23" s="15"/>
      <c r="C23" s="15"/>
      <c r="D23" s="15"/>
      <c r="E23" s="15"/>
      <c r="F23" s="15"/>
      <c r="G23" s="15"/>
      <c r="H23" s="15"/>
    </row>
    <row r="24" spans="1:50" x14ac:dyDescent="0.25">
      <c r="A24" s="15"/>
      <c r="B24" s="15"/>
      <c r="C24" s="15"/>
      <c r="D24" s="15"/>
      <c r="E24" s="15"/>
      <c r="F24" s="15"/>
      <c r="G24" s="15"/>
      <c r="H24" s="15"/>
    </row>
    <row r="25" spans="1:50" x14ac:dyDescent="0.25">
      <c r="A25" s="15"/>
      <c r="B25" s="14"/>
      <c r="C25" s="14"/>
      <c r="D25" s="14"/>
      <c r="E25" s="14"/>
      <c r="F25" s="14"/>
      <c r="G25" s="14"/>
      <c r="H25" s="14"/>
    </row>
    <row r="26" spans="1:50" x14ac:dyDescent="0.25">
      <c r="A26" s="15"/>
      <c r="B26" s="14"/>
      <c r="C26" s="14"/>
      <c r="D26" s="14"/>
      <c r="E26" s="14"/>
      <c r="F26" s="14"/>
      <c r="G26" s="14"/>
      <c r="H26" s="14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</row>
    <row r="27" spans="1:50" x14ac:dyDescent="0.25">
      <c r="A27" s="15"/>
      <c r="B27" s="14"/>
      <c r="C27" s="14"/>
      <c r="D27" s="14"/>
      <c r="E27" s="14"/>
      <c r="F27" s="14"/>
      <c r="G27" s="14"/>
      <c r="H27" s="14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</row>
    <row r="28" spans="1:50" x14ac:dyDescent="0.25">
      <c r="A28" s="15"/>
      <c r="B28" s="14"/>
      <c r="C28" s="14"/>
      <c r="D28" s="14"/>
      <c r="E28" s="14"/>
      <c r="F28" s="14"/>
      <c r="G28" s="14"/>
      <c r="H28" s="14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</row>
    <row r="29" spans="1:50" x14ac:dyDescent="0.25">
      <c r="A29" s="15"/>
      <c r="B29" s="14"/>
      <c r="C29" s="14"/>
      <c r="D29" s="14"/>
      <c r="E29" s="14"/>
      <c r="F29" s="14"/>
      <c r="G29" s="14"/>
      <c r="H29" s="14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</row>
    <row r="30" spans="1:50" x14ac:dyDescent="0.25">
      <c r="A30" s="15"/>
      <c r="B30" s="14"/>
      <c r="C30" s="14"/>
      <c r="D30" s="14"/>
      <c r="E30" s="14"/>
      <c r="F30" s="14"/>
      <c r="G30" s="14"/>
      <c r="H30" s="14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</row>
  </sheetData>
  <mergeCells count="13">
    <mergeCell ref="AW1:AX1"/>
    <mergeCell ref="U1:V1"/>
    <mergeCell ref="W1:X1"/>
    <mergeCell ref="Y1:AC1"/>
    <mergeCell ref="AD1:AM1"/>
    <mergeCell ref="AN1:AV1"/>
    <mergeCell ref="B11:C11"/>
    <mergeCell ref="J11:K11"/>
    <mergeCell ref="S11:T11"/>
    <mergeCell ref="B1:H1"/>
    <mergeCell ref="J1:N1"/>
    <mergeCell ref="O1:P1"/>
    <mergeCell ref="Q1:T1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8"/>
  <sheetViews>
    <sheetView workbookViewId="0">
      <selection activeCell="A10" sqref="A10"/>
    </sheetView>
  </sheetViews>
  <sheetFormatPr defaultRowHeight="15" x14ac:dyDescent="0.25"/>
  <cols>
    <col min="1" max="16384" width="9.140625" style="15"/>
  </cols>
  <sheetData>
    <row r="1" spans="1:50" x14ac:dyDescent="0.25">
      <c r="A1" s="15" t="s">
        <v>491</v>
      </c>
      <c r="B1" s="23" t="s">
        <v>486</v>
      </c>
      <c r="C1" s="24"/>
      <c r="D1" s="24"/>
      <c r="E1" s="24"/>
      <c r="F1" s="24"/>
      <c r="G1" s="24"/>
      <c r="H1" s="24"/>
      <c r="I1" s="15" t="s">
        <v>12</v>
      </c>
      <c r="J1" s="23" t="s">
        <v>16</v>
      </c>
      <c r="K1" s="24"/>
      <c r="L1" s="24"/>
      <c r="M1" s="24"/>
      <c r="N1" s="24"/>
      <c r="O1" s="23" t="s">
        <v>14</v>
      </c>
      <c r="P1" s="24"/>
      <c r="Q1" s="23" t="s">
        <v>8</v>
      </c>
      <c r="R1" s="24"/>
      <c r="S1" s="24"/>
      <c r="T1" s="24"/>
      <c r="U1" s="23" t="s">
        <v>15</v>
      </c>
      <c r="V1" s="24"/>
      <c r="W1" s="23" t="s">
        <v>487</v>
      </c>
      <c r="X1" s="24"/>
      <c r="Y1" s="23" t="s">
        <v>488</v>
      </c>
      <c r="Z1" s="24"/>
      <c r="AA1" s="24"/>
      <c r="AB1" s="24"/>
      <c r="AC1" s="24"/>
      <c r="AD1" s="23" t="s">
        <v>489</v>
      </c>
      <c r="AE1" s="24"/>
      <c r="AF1" s="24"/>
      <c r="AG1" s="24"/>
      <c r="AH1" s="24"/>
      <c r="AI1" s="24"/>
      <c r="AJ1" s="24"/>
      <c r="AK1" s="24"/>
      <c r="AL1" s="24"/>
      <c r="AM1" s="24"/>
      <c r="AN1" s="23" t="s">
        <v>490</v>
      </c>
      <c r="AO1" s="24"/>
      <c r="AP1" s="24"/>
      <c r="AQ1" s="24"/>
      <c r="AR1" s="24"/>
      <c r="AS1" s="24"/>
      <c r="AT1" s="24"/>
      <c r="AU1" s="24"/>
      <c r="AV1" s="24"/>
      <c r="AW1" s="23" t="s">
        <v>18</v>
      </c>
      <c r="AX1" s="24"/>
    </row>
    <row r="2" spans="1:50" x14ac:dyDescent="0.25">
      <c r="A2" s="15" t="s">
        <v>492</v>
      </c>
      <c r="B2" s="25">
        <v>1980</v>
      </c>
      <c r="C2" s="26">
        <v>1981</v>
      </c>
      <c r="D2" s="26">
        <v>1982</v>
      </c>
      <c r="E2" s="26">
        <v>1983</v>
      </c>
      <c r="F2" s="26">
        <v>1984</v>
      </c>
      <c r="G2" s="26">
        <v>1985</v>
      </c>
      <c r="H2" s="26">
        <v>1986</v>
      </c>
      <c r="I2" s="25">
        <v>1975</v>
      </c>
      <c r="J2" s="27">
        <v>2000</v>
      </c>
      <c r="K2" s="27">
        <v>2001</v>
      </c>
      <c r="L2" s="27">
        <v>2002</v>
      </c>
      <c r="M2" s="27">
        <v>2003</v>
      </c>
      <c r="N2" s="27">
        <v>2004</v>
      </c>
      <c r="O2" s="27">
        <v>1999</v>
      </c>
      <c r="P2" s="27">
        <v>2002</v>
      </c>
      <c r="Q2" s="27">
        <v>2001</v>
      </c>
      <c r="R2" s="27">
        <v>2002</v>
      </c>
      <c r="S2" s="27">
        <v>2003</v>
      </c>
      <c r="T2" s="27">
        <v>2004</v>
      </c>
      <c r="U2" s="27">
        <v>2004</v>
      </c>
      <c r="V2" s="27">
        <v>2004</v>
      </c>
      <c r="W2" s="27">
        <v>1999</v>
      </c>
      <c r="X2" s="27">
        <v>2004</v>
      </c>
      <c r="Y2" s="27">
        <v>1987</v>
      </c>
      <c r="Z2" s="27">
        <v>1988</v>
      </c>
      <c r="AA2" s="27">
        <v>1989</v>
      </c>
      <c r="AB2" s="27">
        <v>1990</v>
      </c>
      <c r="AC2" s="27">
        <v>1991</v>
      </c>
      <c r="AD2" s="27">
        <v>1987</v>
      </c>
      <c r="AE2" s="27">
        <v>1988</v>
      </c>
      <c r="AF2" s="27">
        <v>1989</v>
      </c>
      <c r="AG2" s="27">
        <v>1990</v>
      </c>
      <c r="AH2" s="27">
        <v>1991</v>
      </c>
      <c r="AI2" s="27">
        <v>1992</v>
      </c>
      <c r="AJ2" s="27">
        <v>1993</v>
      </c>
      <c r="AK2" s="27">
        <v>1994</v>
      </c>
      <c r="AL2" s="27">
        <v>1995</v>
      </c>
      <c r="AM2" s="27">
        <v>1996</v>
      </c>
      <c r="AN2" s="27">
        <v>1988</v>
      </c>
      <c r="AO2" s="27">
        <v>1089</v>
      </c>
      <c r="AP2" s="27">
        <v>1990</v>
      </c>
      <c r="AQ2" s="27">
        <v>1991</v>
      </c>
      <c r="AR2" s="27">
        <v>1992</v>
      </c>
      <c r="AS2" s="27">
        <v>1993</v>
      </c>
      <c r="AT2" s="27">
        <v>1994</v>
      </c>
      <c r="AU2" s="27">
        <v>1995</v>
      </c>
      <c r="AV2" s="27">
        <v>1996</v>
      </c>
      <c r="AW2" s="27">
        <v>2003</v>
      </c>
      <c r="AX2" s="27">
        <v>2004</v>
      </c>
    </row>
    <row r="3" spans="1:50" x14ac:dyDescent="0.25">
      <c r="A3" s="3" t="s">
        <v>67</v>
      </c>
      <c r="B3" s="3" t="s">
        <v>51</v>
      </c>
      <c r="C3" s="3" t="s">
        <v>47</v>
      </c>
      <c r="D3" s="3" t="s">
        <v>47</v>
      </c>
      <c r="E3" s="3" t="s">
        <v>51</v>
      </c>
      <c r="F3" s="3" t="s">
        <v>51</v>
      </c>
      <c r="G3" s="3" t="s">
        <v>48</v>
      </c>
      <c r="H3" s="3" t="s">
        <v>48</v>
      </c>
      <c r="I3" s="3" t="s">
        <v>47</v>
      </c>
      <c r="J3" s="3" t="s">
        <v>51</v>
      </c>
      <c r="K3" s="3" t="s">
        <v>48</v>
      </c>
      <c r="L3" s="3" t="s">
        <v>48</v>
      </c>
      <c r="M3" s="3" t="s">
        <v>48</v>
      </c>
      <c r="N3" s="3" t="s">
        <v>51</v>
      </c>
      <c r="O3" s="3" t="s">
        <v>47</v>
      </c>
      <c r="P3" s="3" t="s">
        <v>48</v>
      </c>
      <c r="Q3" s="3" t="s">
        <v>47</v>
      </c>
      <c r="R3" s="3" t="s">
        <v>47</v>
      </c>
      <c r="S3" s="3" t="s">
        <v>47</v>
      </c>
      <c r="T3" s="3" t="s">
        <v>46</v>
      </c>
      <c r="U3" s="3" t="s">
        <v>46</v>
      </c>
      <c r="V3" s="3" t="s">
        <v>47</v>
      </c>
      <c r="W3" s="3" t="s">
        <v>47</v>
      </c>
      <c r="X3" s="3" t="s">
        <v>47</v>
      </c>
      <c r="Y3" s="3" t="s">
        <v>50</v>
      </c>
      <c r="Z3" s="3" t="s">
        <v>47</v>
      </c>
      <c r="AA3" s="3" t="s">
        <v>47</v>
      </c>
      <c r="AB3" s="3" t="s">
        <v>48</v>
      </c>
      <c r="AC3" s="3" t="s">
        <v>47</v>
      </c>
      <c r="AD3" s="3" t="s">
        <v>48</v>
      </c>
      <c r="AE3" s="3" t="s">
        <v>51</v>
      </c>
      <c r="AF3" s="3" t="s">
        <v>48</v>
      </c>
      <c r="AG3" s="3" t="s">
        <v>46</v>
      </c>
      <c r="AH3" s="3" t="s">
        <v>47</v>
      </c>
      <c r="AI3" s="3" t="s">
        <v>48</v>
      </c>
      <c r="AJ3" s="3" t="s">
        <v>46</v>
      </c>
      <c r="AK3" s="3" t="s">
        <v>46</v>
      </c>
      <c r="AL3" s="3" t="s">
        <v>47</v>
      </c>
      <c r="AM3" s="3" t="s">
        <v>47</v>
      </c>
      <c r="AN3" s="3" t="s">
        <v>48</v>
      </c>
      <c r="AO3" s="3" t="s">
        <v>47</v>
      </c>
      <c r="AP3" s="3" t="s">
        <v>46</v>
      </c>
      <c r="AQ3" s="3" t="s">
        <v>46</v>
      </c>
      <c r="AR3" s="3" t="s">
        <v>47</v>
      </c>
      <c r="AS3" s="3" t="s">
        <v>47</v>
      </c>
      <c r="AT3" s="3" t="s">
        <v>47</v>
      </c>
      <c r="AU3" s="3" t="s">
        <v>47</v>
      </c>
      <c r="AV3" s="3" t="s">
        <v>47</v>
      </c>
      <c r="AW3" s="3" t="s">
        <v>48</v>
      </c>
      <c r="AX3" s="3" t="s">
        <v>48</v>
      </c>
    </row>
    <row r="4" spans="1:50" x14ac:dyDescent="0.25">
      <c r="A4" s="3" t="s">
        <v>359</v>
      </c>
      <c r="B4" s="3" t="s">
        <v>50</v>
      </c>
      <c r="C4" s="3" t="s">
        <v>49</v>
      </c>
      <c r="D4" s="3" t="s">
        <v>46</v>
      </c>
      <c r="E4" s="3" t="s">
        <v>50</v>
      </c>
      <c r="F4" s="3" t="s">
        <v>50</v>
      </c>
      <c r="G4" s="3" t="s">
        <v>50</v>
      </c>
      <c r="H4" s="3" t="s">
        <v>50</v>
      </c>
      <c r="I4" s="3" t="s">
        <v>50</v>
      </c>
      <c r="J4" s="3" t="s">
        <v>49</v>
      </c>
      <c r="K4" s="3" t="s">
        <v>49</v>
      </c>
      <c r="L4" s="3" t="s">
        <v>49</v>
      </c>
      <c r="M4" s="3" t="s">
        <v>49</v>
      </c>
      <c r="N4" s="3" t="s">
        <v>46</v>
      </c>
      <c r="O4" s="3" t="s">
        <v>50</v>
      </c>
      <c r="P4" s="3" t="s">
        <v>50</v>
      </c>
      <c r="Q4" s="3" t="s">
        <v>50</v>
      </c>
      <c r="R4" s="3" t="s">
        <v>50</v>
      </c>
      <c r="S4" s="3" t="s">
        <v>50</v>
      </c>
      <c r="T4" s="3" t="s">
        <v>50</v>
      </c>
      <c r="U4" s="3" t="s">
        <v>49</v>
      </c>
      <c r="V4" s="3" t="s">
        <v>46</v>
      </c>
      <c r="W4" s="3" t="s">
        <v>50</v>
      </c>
      <c r="X4" s="3" t="s">
        <v>50</v>
      </c>
      <c r="Y4" s="3" t="s">
        <v>49</v>
      </c>
      <c r="Z4" s="3" t="s">
        <v>49</v>
      </c>
      <c r="AA4" s="3" t="s">
        <v>49</v>
      </c>
      <c r="AB4" s="3" t="s">
        <v>49</v>
      </c>
      <c r="AC4" s="3" t="s">
        <v>49</v>
      </c>
      <c r="AD4" s="3" t="s">
        <v>50</v>
      </c>
      <c r="AE4" s="3" t="s">
        <v>50</v>
      </c>
      <c r="AF4" s="3" t="s">
        <v>50</v>
      </c>
      <c r="AG4" s="3" t="s">
        <v>50</v>
      </c>
      <c r="AH4" s="3" t="s">
        <v>50</v>
      </c>
      <c r="AI4" s="3" t="s">
        <v>50</v>
      </c>
      <c r="AJ4" s="3" t="s">
        <v>50</v>
      </c>
      <c r="AK4" s="3" t="s">
        <v>50</v>
      </c>
      <c r="AL4" s="3" t="s">
        <v>50</v>
      </c>
      <c r="AM4" s="3" t="s">
        <v>50</v>
      </c>
      <c r="AN4" s="3" t="s">
        <v>49</v>
      </c>
      <c r="AO4" s="3" t="s">
        <v>49</v>
      </c>
      <c r="AP4" s="3" t="s">
        <v>49</v>
      </c>
      <c r="AQ4" s="3" t="s">
        <v>49</v>
      </c>
      <c r="AR4" s="3" t="s">
        <v>46</v>
      </c>
      <c r="AS4" s="3" t="s">
        <v>49</v>
      </c>
      <c r="AT4" s="3" t="s">
        <v>49</v>
      </c>
      <c r="AU4" s="3" t="s">
        <v>49</v>
      </c>
      <c r="AV4" s="3" t="s">
        <v>49</v>
      </c>
      <c r="AW4" s="3" t="s">
        <v>50</v>
      </c>
      <c r="AX4" s="3" t="s">
        <v>50</v>
      </c>
    </row>
    <row r="5" spans="1:50" x14ac:dyDescent="0.25">
      <c r="A5" s="3" t="s">
        <v>69</v>
      </c>
      <c r="B5" s="3" t="s">
        <v>137</v>
      </c>
      <c r="C5" s="3" t="s">
        <v>109</v>
      </c>
      <c r="D5" s="3" t="s">
        <v>116</v>
      </c>
      <c r="E5" s="3" t="s">
        <v>117</v>
      </c>
      <c r="F5" s="3" t="s">
        <v>117</v>
      </c>
      <c r="G5" s="3" t="s">
        <v>142</v>
      </c>
      <c r="H5" s="3" t="s">
        <v>144</v>
      </c>
      <c r="I5" s="3" t="s">
        <v>146</v>
      </c>
      <c r="J5" s="3" t="s">
        <v>114</v>
      </c>
      <c r="K5" s="3" t="s">
        <v>114</v>
      </c>
      <c r="L5" s="3" t="s">
        <v>128</v>
      </c>
      <c r="M5" s="3" t="s">
        <v>128</v>
      </c>
      <c r="N5" s="3" t="s">
        <v>116</v>
      </c>
      <c r="O5" s="3" t="s">
        <v>127</v>
      </c>
      <c r="P5" s="3" t="s">
        <v>144</v>
      </c>
      <c r="Q5" s="3" t="s">
        <v>142</v>
      </c>
      <c r="R5" s="3" t="s">
        <v>131</v>
      </c>
      <c r="S5" s="3" t="s">
        <v>129</v>
      </c>
      <c r="T5" s="3" t="s">
        <v>129</v>
      </c>
      <c r="U5" s="3" t="s">
        <v>153</v>
      </c>
      <c r="V5" s="3" t="s">
        <v>118</v>
      </c>
      <c r="W5" s="3" t="s">
        <v>127</v>
      </c>
      <c r="X5" s="3" t="s">
        <v>157</v>
      </c>
      <c r="Y5" s="3" t="s">
        <v>109</v>
      </c>
      <c r="Z5" s="3" t="s">
        <v>128</v>
      </c>
      <c r="AA5" s="3" t="s">
        <v>159</v>
      </c>
      <c r="AB5" s="3" t="s">
        <v>161</v>
      </c>
      <c r="AC5" s="3" t="s">
        <v>124</v>
      </c>
      <c r="AD5" s="3" t="s">
        <v>137</v>
      </c>
      <c r="AE5" s="3" t="s">
        <v>146</v>
      </c>
      <c r="AF5" s="3" t="s">
        <v>153</v>
      </c>
      <c r="AG5" s="3" t="s">
        <v>144</v>
      </c>
      <c r="AH5" s="3" t="s">
        <v>109</v>
      </c>
      <c r="AI5" s="3" t="s">
        <v>131</v>
      </c>
      <c r="AJ5" s="3" t="s">
        <v>109</v>
      </c>
      <c r="AK5" s="3" t="s">
        <v>157</v>
      </c>
      <c r="AL5" s="3" t="s">
        <v>115</v>
      </c>
      <c r="AM5" s="3" t="s">
        <v>146</v>
      </c>
      <c r="AN5" s="3" t="s">
        <v>173</v>
      </c>
      <c r="AO5" s="3" t="s">
        <v>131</v>
      </c>
      <c r="AP5" s="3" t="s">
        <v>129</v>
      </c>
      <c r="AQ5" s="3" t="s">
        <v>109</v>
      </c>
      <c r="AR5" s="3" t="s">
        <v>146</v>
      </c>
      <c r="AS5" s="3" t="s">
        <v>175</v>
      </c>
      <c r="AT5" s="3" t="s">
        <v>114</v>
      </c>
      <c r="AU5" s="3" t="s">
        <v>173</v>
      </c>
      <c r="AV5" s="3" t="s">
        <v>114</v>
      </c>
      <c r="AW5" s="3" t="s">
        <v>146</v>
      </c>
      <c r="AX5" s="3" t="s">
        <v>116</v>
      </c>
    </row>
    <row r="6" spans="1:50" x14ac:dyDescent="0.25">
      <c r="A6" s="3" t="s">
        <v>312</v>
      </c>
      <c r="B6" s="3" t="s">
        <v>75</v>
      </c>
      <c r="C6" s="3" t="s">
        <v>75</v>
      </c>
      <c r="D6" s="3" t="s">
        <v>75</v>
      </c>
      <c r="E6" s="3" t="s">
        <v>75</v>
      </c>
      <c r="F6" s="3" t="s">
        <v>75</v>
      </c>
      <c r="G6" s="3" t="s">
        <v>75</v>
      </c>
      <c r="H6" s="3" t="s">
        <v>75</v>
      </c>
      <c r="I6" s="3" t="s">
        <v>71</v>
      </c>
      <c r="J6" s="3" t="s">
        <v>147</v>
      </c>
      <c r="K6" s="3" t="s">
        <v>75</v>
      </c>
      <c r="L6" s="3" t="s">
        <v>75</v>
      </c>
      <c r="M6" s="3" t="s">
        <v>75</v>
      </c>
      <c r="N6" s="3" t="s">
        <v>75</v>
      </c>
      <c r="O6" s="3" t="s">
        <v>130</v>
      </c>
      <c r="P6" s="3" t="s">
        <v>130</v>
      </c>
      <c r="Q6" s="3" t="s">
        <v>71</v>
      </c>
      <c r="R6" s="3" t="s">
        <v>71</v>
      </c>
      <c r="S6" s="3" t="s">
        <v>79</v>
      </c>
      <c r="T6" s="3" t="s">
        <v>71</v>
      </c>
      <c r="U6" s="3" t="s">
        <v>75</v>
      </c>
      <c r="V6" s="3" t="s">
        <v>75</v>
      </c>
      <c r="W6" s="3" t="s">
        <v>75</v>
      </c>
      <c r="X6" s="3" t="s">
        <v>75</v>
      </c>
      <c r="Y6" s="3" t="s">
        <v>75</v>
      </c>
      <c r="Z6" s="3" t="s">
        <v>79</v>
      </c>
      <c r="AA6" s="3" t="s">
        <v>75</v>
      </c>
      <c r="AB6" s="3" t="s">
        <v>75</v>
      </c>
      <c r="AC6" s="3" t="s">
        <v>75</v>
      </c>
      <c r="AD6" s="3" t="s">
        <v>130</v>
      </c>
      <c r="AE6" s="3" t="s">
        <v>130</v>
      </c>
      <c r="AF6" s="3" t="s">
        <v>130</v>
      </c>
      <c r="AG6" s="3" t="s">
        <v>130</v>
      </c>
      <c r="AH6" s="3" t="s">
        <v>130</v>
      </c>
      <c r="AI6" s="3" t="s">
        <v>130</v>
      </c>
      <c r="AJ6" s="3" t="s">
        <v>130</v>
      </c>
      <c r="AK6" s="3" t="s">
        <v>130</v>
      </c>
      <c r="AL6" s="3" t="s">
        <v>130</v>
      </c>
      <c r="AM6" s="3" t="s">
        <v>130</v>
      </c>
      <c r="AN6" s="3" t="s">
        <v>75</v>
      </c>
      <c r="AO6" s="3" t="s">
        <v>130</v>
      </c>
      <c r="AP6" s="3" t="s">
        <v>130</v>
      </c>
      <c r="AQ6" s="3" t="s">
        <v>130</v>
      </c>
      <c r="AR6" s="3" t="s">
        <v>130</v>
      </c>
      <c r="AS6" s="3" t="s">
        <v>71</v>
      </c>
      <c r="AT6" s="3" t="s">
        <v>71</v>
      </c>
      <c r="AU6" s="3" t="s">
        <v>71</v>
      </c>
      <c r="AV6" s="3" t="s">
        <v>130</v>
      </c>
      <c r="AW6" s="3" t="s">
        <v>130</v>
      </c>
      <c r="AX6" s="3" t="s">
        <v>130</v>
      </c>
    </row>
    <row r="7" spans="1:50" x14ac:dyDescent="0.25">
      <c r="A7" s="3" t="s">
        <v>313</v>
      </c>
      <c r="B7" s="3" t="s">
        <v>138</v>
      </c>
      <c r="C7" s="3" t="s">
        <v>314</v>
      </c>
      <c r="D7" s="3" t="s">
        <v>139</v>
      </c>
      <c r="E7" s="3" t="s">
        <v>140</v>
      </c>
      <c r="F7" s="3" t="s">
        <v>141</v>
      </c>
      <c r="G7" s="3" t="s">
        <v>143</v>
      </c>
      <c r="H7" s="3" t="s">
        <v>145</v>
      </c>
      <c r="I7" s="3" t="s">
        <v>315</v>
      </c>
      <c r="J7" s="3" t="s">
        <v>316</v>
      </c>
      <c r="K7" s="3" t="s">
        <v>317</v>
      </c>
      <c r="L7" s="3" t="s">
        <v>318</v>
      </c>
      <c r="M7" s="3" t="s">
        <v>319</v>
      </c>
      <c r="N7" s="3" t="s">
        <v>320</v>
      </c>
      <c r="O7" s="3" t="s">
        <v>148</v>
      </c>
      <c r="P7" s="3" t="s">
        <v>149</v>
      </c>
      <c r="Q7" s="3" t="s">
        <v>150</v>
      </c>
      <c r="R7" s="3" t="s">
        <v>151</v>
      </c>
      <c r="S7" s="3" t="s">
        <v>321</v>
      </c>
      <c r="T7" s="3" t="s">
        <v>152</v>
      </c>
      <c r="U7" s="3" t="s">
        <v>154</v>
      </c>
      <c r="V7" s="3" t="s">
        <v>155</v>
      </c>
      <c r="W7" s="3" t="s">
        <v>322</v>
      </c>
      <c r="X7" s="3" t="s">
        <v>323</v>
      </c>
      <c r="Y7" s="3" t="s">
        <v>158</v>
      </c>
      <c r="Z7" s="3" t="s">
        <v>324</v>
      </c>
      <c r="AA7" s="3" t="s">
        <v>160</v>
      </c>
      <c r="AB7" s="3" t="s">
        <v>162</v>
      </c>
      <c r="AC7" s="3" t="s">
        <v>163</v>
      </c>
      <c r="AD7" s="3" t="s">
        <v>164</v>
      </c>
      <c r="AE7" s="3" t="s">
        <v>165</v>
      </c>
      <c r="AF7" s="3" t="s">
        <v>166</v>
      </c>
      <c r="AG7" s="3" t="s">
        <v>167</v>
      </c>
      <c r="AH7" s="3" t="s">
        <v>168</v>
      </c>
      <c r="AI7" s="3" t="s">
        <v>169</v>
      </c>
      <c r="AJ7" s="3" t="s">
        <v>95</v>
      </c>
      <c r="AK7" s="3" t="s">
        <v>170</v>
      </c>
      <c r="AL7" s="3" t="s">
        <v>171</v>
      </c>
      <c r="AM7" s="3" t="s">
        <v>172</v>
      </c>
      <c r="AN7" s="3" t="s">
        <v>325</v>
      </c>
      <c r="AO7" s="3" t="s">
        <v>326</v>
      </c>
      <c r="AP7" s="3" t="s">
        <v>327</v>
      </c>
      <c r="AQ7" s="3" t="s">
        <v>328</v>
      </c>
      <c r="AR7" s="3" t="s">
        <v>174</v>
      </c>
      <c r="AS7" s="3" t="s">
        <v>329</v>
      </c>
      <c r="AT7" s="3" t="s">
        <v>330</v>
      </c>
      <c r="AU7" s="3" t="s">
        <v>329</v>
      </c>
      <c r="AV7" s="3" t="s">
        <v>331</v>
      </c>
      <c r="AW7" s="3" t="s">
        <v>332</v>
      </c>
      <c r="AX7" s="3" t="s">
        <v>333</v>
      </c>
    </row>
    <row r="8" spans="1:50" x14ac:dyDescent="0.25">
      <c r="A8" s="3" t="s">
        <v>70</v>
      </c>
      <c r="B8" s="3" t="s">
        <v>334</v>
      </c>
      <c r="C8" s="3" t="s">
        <v>335</v>
      </c>
      <c r="D8" s="3" t="s">
        <v>329</v>
      </c>
      <c r="E8" s="3" t="s">
        <v>336</v>
      </c>
      <c r="F8" s="3" t="s">
        <v>337</v>
      </c>
      <c r="G8" s="3" t="s">
        <v>338</v>
      </c>
      <c r="H8" s="3" t="s">
        <v>339</v>
      </c>
      <c r="I8" s="3" t="s">
        <v>340</v>
      </c>
      <c r="J8" s="3" t="s">
        <v>341</v>
      </c>
      <c r="K8" s="3" t="s">
        <v>342</v>
      </c>
      <c r="L8" s="3" t="s">
        <v>343</v>
      </c>
      <c r="M8" s="3" t="s">
        <v>344</v>
      </c>
      <c r="N8" s="3" t="s">
        <v>345</v>
      </c>
      <c r="O8" s="3" t="s">
        <v>148</v>
      </c>
      <c r="P8" s="3" t="s">
        <v>149</v>
      </c>
      <c r="Q8" s="3" t="s">
        <v>346</v>
      </c>
      <c r="R8" s="3" t="s">
        <v>347</v>
      </c>
      <c r="S8" s="3" t="s">
        <v>348</v>
      </c>
      <c r="T8" s="3" t="s">
        <v>349</v>
      </c>
      <c r="U8" s="3" t="s">
        <v>350</v>
      </c>
      <c r="V8" s="3" t="s">
        <v>156</v>
      </c>
      <c r="W8" s="3" t="s">
        <v>351</v>
      </c>
      <c r="X8" s="3" t="s">
        <v>352</v>
      </c>
      <c r="Y8" s="3" t="s">
        <v>353</v>
      </c>
      <c r="Z8" s="3" t="s">
        <v>354</v>
      </c>
      <c r="AA8" s="3" t="s">
        <v>355</v>
      </c>
      <c r="AB8" s="3" t="s">
        <v>356</v>
      </c>
      <c r="AC8" s="3" t="s">
        <v>357</v>
      </c>
      <c r="AD8" s="3" t="s">
        <v>164</v>
      </c>
      <c r="AE8" s="3" t="s">
        <v>165</v>
      </c>
      <c r="AF8" s="3" t="s">
        <v>166</v>
      </c>
      <c r="AG8" s="3" t="s">
        <v>167</v>
      </c>
      <c r="AH8" s="3" t="s">
        <v>168</v>
      </c>
      <c r="AI8" s="3" t="s">
        <v>169</v>
      </c>
      <c r="AJ8" s="3" t="s">
        <v>95</v>
      </c>
      <c r="AK8" s="3" t="s">
        <v>170</v>
      </c>
      <c r="AL8" s="3" t="s">
        <v>171</v>
      </c>
      <c r="AM8" s="3" t="s">
        <v>172</v>
      </c>
      <c r="AN8" s="3" t="s">
        <v>326</v>
      </c>
      <c r="AO8" s="3" t="s">
        <v>326</v>
      </c>
      <c r="AP8" s="3" t="s">
        <v>327</v>
      </c>
      <c r="AQ8" s="3" t="s">
        <v>328</v>
      </c>
      <c r="AR8" s="3" t="s">
        <v>174</v>
      </c>
      <c r="AS8" s="3" t="s">
        <v>314</v>
      </c>
      <c r="AT8" s="3" t="s">
        <v>314</v>
      </c>
      <c r="AU8" s="3" t="s">
        <v>358</v>
      </c>
      <c r="AV8" s="3" t="s">
        <v>331</v>
      </c>
      <c r="AW8" s="3" t="s">
        <v>332</v>
      </c>
      <c r="AX8" s="3" t="s">
        <v>333</v>
      </c>
    </row>
    <row r="9" spans="1:50" x14ac:dyDescent="0.25">
      <c r="A9" s="18"/>
      <c r="B9" s="13"/>
      <c r="C9" s="13"/>
      <c r="D9" s="13"/>
      <c r="E9" s="13"/>
      <c r="F9" s="13"/>
      <c r="G9" s="13"/>
      <c r="H9" s="13"/>
      <c r="I9" s="14"/>
      <c r="J9" s="14"/>
      <c r="K9" s="14"/>
      <c r="L9" s="14"/>
      <c r="M9" s="14"/>
      <c r="N9" s="14"/>
      <c r="O9" s="14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50" x14ac:dyDescent="0.25">
      <c r="A10" s="18"/>
      <c r="B10" s="13"/>
      <c r="C10" s="13"/>
      <c r="D10" s="13"/>
      <c r="E10" s="13"/>
      <c r="F10" s="13"/>
      <c r="G10" s="13"/>
      <c r="H10" s="13"/>
      <c r="I10" s="14"/>
      <c r="J10" s="14"/>
      <c r="K10" s="14"/>
      <c r="L10" s="14"/>
      <c r="M10" s="14"/>
      <c r="N10" s="14"/>
      <c r="O10" s="14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50" x14ac:dyDescent="0.25">
      <c r="Z11" s="13"/>
    </row>
    <row r="12" spans="1:50" ht="15.75" x14ac:dyDescent="0.25">
      <c r="B12" s="16"/>
      <c r="C12" s="16"/>
      <c r="D12" s="16"/>
      <c r="J12" s="16"/>
      <c r="K12" s="16"/>
      <c r="L12" s="17"/>
      <c r="S12" s="16"/>
      <c r="T12" s="16"/>
      <c r="Y12" s="13"/>
      <c r="Z12" s="13"/>
    </row>
    <row r="13" spans="1:50" x14ac:dyDescent="0.25"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50" x14ac:dyDescent="0.25">
      <c r="A14" s="18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50" x14ac:dyDescent="0.25">
      <c r="A15" s="18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50" x14ac:dyDescent="0.25">
      <c r="A16" s="18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50" x14ac:dyDescent="0.25">
      <c r="A17" s="18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50" x14ac:dyDescent="0.25">
      <c r="A18" s="18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50" x14ac:dyDescent="0.25">
      <c r="A19" s="18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6" spans="1:50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</row>
    <row r="27" spans="1:50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</row>
    <row r="28" spans="1:50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</row>
    <row r="29" spans="1:50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</row>
    <row r="30" spans="1:50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</row>
    <row r="33" spans="1:5" x14ac:dyDescent="0.25">
      <c r="A33" s="13"/>
      <c r="B33" s="13"/>
      <c r="C33" s="13"/>
      <c r="D33" s="13"/>
      <c r="E33" s="13"/>
    </row>
    <row r="34" spans="1:5" x14ac:dyDescent="0.25">
      <c r="A34" s="13"/>
      <c r="B34" s="13"/>
      <c r="C34" s="13"/>
      <c r="D34" s="13"/>
      <c r="E34" s="13"/>
    </row>
    <row r="35" spans="1:5" x14ac:dyDescent="0.25">
      <c r="A35" s="13"/>
      <c r="B35" s="13"/>
      <c r="C35" s="13"/>
      <c r="D35" s="13"/>
      <c r="E35" s="13"/>
    </row>
    <row r="36" spans="1:5" x14ac:dyDescent="0.25">
      <c r="A36" s="13"/>
      <c r="B36" s="13"/>
      <c r="C36" s="13"/>
      <c r="D36" s="13"/>
      <c r="E36" s="13"/>
    </row>
    <row r="37" spans="1:5" x14ac:dyDescent="0.25">
      <c r="A37" s="13"/>
      <c r="B37" s="13"/>
      <c r="C37" s="13"/>
      <c r="D37" s="13"/>
      <c r="E37" s="13"/>
    </row>
    <row r="38" spans="1:5" x14ac:dyDescent="0.25">
      <c r="A38" s="13"/>
      <c r="B38" s="13"/>
      <c r="C38" s="13"/>
      <c r="D38" s="13"/>
      <c r="E38" s="13"/>
    </row>
    <row r="39" spans="1:5" x14ac:dyDescent="0.25">
      <c r="A39" s="13"/>
      <c r="B39" s="13"/>
      <c r="C39" s="13"/>
      <c r="D39" s="13"/>
      <c r="E39" s="13"/>
    </row>
    <row r="40" spans="1:5" x14ac:dyDescent="0.25">
      <c r="A40" s="13"/>
      <c r="B40" s="13"/>
      <c r="C40" s="13"/>
      <c r="D40" s="13"/>
      <c r="E40" s="13"/>
    </row>
    <row r="41" spans="1:5" x14ac:dyDescent="0.25">
      <c r="A41" s="13"/>
      <c r="B41" s="13"/>
      <c r="C41" s="13"/>
      <c r="D41" s="13"/>
      <c r="E41" s="13"/>
    </row>
    <row r="42" spans="1:5" x14ac:dyDescent="0.25">
      <c r="A42" s="13"/>
      <c r="B42" s="13"/>
      <c r="C42" s="13"/>
      <c r="D42" s="13"/>
      <c r="E42" s="13"/>
    </row>
    <row r="43" spans="1:5" x14ac:dyDescent="0.25">
      <c r="A43" s="13"/>
      <c r="B43" s="13"/>
      <c r="C43" s="13"/>
      <c r="D43" s="13"/>
      <c r="E43" s="13"/>
    </row>
    <row r="44" spans="1:5" x14ac:dyDescent="0.25">
      <c r="A44" s="13"/>
      <c r="B44" s="13"/>
      <c r="C44" s="13"/>
      <c r="D44" s="13"/>
      <c r="E44" s="13"/>
    </row>
    <row r="45" spans="1:5" x14ac:dyDescent="0.25">
      <c r="A45" s="13"/>
      <c r="B45" s="13"/>
      <c r="C45" s="13"/>
      <c r="D45" s="13"/>
      <c r="E45" s="13"/>
    </row>
    <row r="46" spans="1:5" x14ac:dyDescent="0.25">
      <c r="A46" s="13"/>
      <c r="B46" s="13"/>
      <c r="C46" s="13"/>
      <c r="D46" s="13"/>
      <c r="E46" s="13"/>
    </row>
    <row r="47" spans="1:5" x14ac:dyDescent="0.25">
      <c r="A47" s="13"/>
      <c r="B47" s="13"/>
      <c r="C47" s="13"/>
      <c r="D47" s="13"/>
      <c r="E47" s="13"/>
    </row>
    <row r="48" spans="1:5" x14ac:dyDescent="0.25">
      <c r="A48" s="13"/>
      <c r="B48" s="13"/>
      <c r="C48" s="13"/>
      <c r="D48" s="13"/>
      <c r="E48" s="13"/>
    </row>
    <row r="49" spans="1:50" x14ac:dyDescent="0.25">
      <c r="A49" s="13"/>
      <c r="B49" s="13"/>
      <c r="C49" s="13"/>
      <c r="D49" s="13"/>
      <c r="E49" s="13"/>
    </row>
    <row r="50" spans="1:50" x14ac:dyDescent="0.25">
      <c r="A50" s="13"/>
      <c r="B50" s="13"/>
      <c r="C50" s="13"/>
      <c r="D50" s="13"/>
      <c r="E50" s="13"/>
    </row>
    <row r="51" spans="1:50" x14ac:dyDescent="0.25">
      <c r="A51" s="13"/>
      <c r="B51" s="13"/>
      <c r="C51" s="13"/>
      <c r="D51" s="13"/>
      <c r="E51" s="13"/>
    </row>
    <row r="54" spans="1:50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</row>
    <row r="55" spans="1:50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</row>
    <row r="56" spans="1:50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</row>
    <row r="57" spans="1:50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</row>
    <row r="58" spans="1:50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</row>
  </sheetData>
  <mergeCells count="10">
    <mergeCell ref="B1:H1"/>
    <mergeCell ref="J1:N1"/>
    <mergeCell ref="O1:P1"/>
    <mergeCell ref="Q1:T1"/>
    <mergeCell ref="U1:V1"/>
    <mergeCell ref="W1:X1"/>
    <mergeCell ref="Y1:AC1"/>
    <mergeCell ref="AD1:AM1"/>
    <mergeCell ref="AN1:AV1"/>
    <mergeCell ref="AW1:A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1"/>
  <sheetViews>
    <sheetView workbookViewId="0">
      <selection activeCell="A3" sqref="A3:XFD3"/>
    </sheetView>
  </sheetViews>
  <sheetFormatPr defaultRowHeight="15" x14ac:dyDescent="0.25"/>
  <cols>
    <col min="1" max="22" width="9.140625" style="15"/>
    <col min="23" max="23" width="23.5703125" style="15" bestFit="1" customWidth="1"/>
    <col min="24" max="16384" width="9.140625" style="15"/>
  </cols>
  <sheetData>
    <row r="1" spans="1:50" x14ac:dyDescent="0.25">
      <c r="B1" s="23" t="s">
        <v>486</v>
      </c>
      <c r="C1" s="24"/>
      <c r="D1" s="24"/>
      <c r="E1" s="24"/>
      <c r="F1" s="24"/>
      <c r="G1" s="24"/>
      <c r="H1" s="24"/>
      <c r="I1" s="15" t="s">
        <v>12</v>
      </c>
      <c r="J1" s="23" t="s">
        <v>16</v>
      </c>
      <c r="K1" s="24"/>
      <c r="L1" s="24"/>
      <c r="M1" s="24"/>
      <c r="N1" s="24"/>
      <c r="O1" s="23" t="s">
        <v>14</v>
      </c>
      <c r="P1" s="24"/>
      <c r="Q1" s="23" t="s">
        <v>8</v>
      </c>
      <c r="R1" s="24"/>
      <c r="S1" s="24"/>
      <c r="T1" s="24"/>
      <c r="U1" s="23" t="s">
        <v>15</v>
      </c>
      <c r="V1" s="24"/>
      <c r="W1" s="23" t="s">
        <v>487</v>
      </c>
      <c r="X1" s="24"/>
      <c r="Y1" s="23" t="s">
        <v>488</v>
      </c>
      <c r="Z1" s="24"/>
      <c r="AA1" s="24"/>
      <c r="AB1" s="24"/>
      <c r="AC1" s="24"/>
      <c r="AD1" s="23" t="s">
        <v>489</v>
      </c>
      <c r="AE1" s="24"/>
      <c r="AF1" s="24"/>
      <c r="AG1" s="24"/>
      <c r="AH1" s="24"/>
      <c r="AI1" s="24"/>
      <c r="AJ1" s="24"/>
      <c r="AK1" s="24"/>
      <c r="AL1" s="24"/>
      <c r="AM1" s="24"/>
      <c r="AN1" s="23" t="s">
        <v>490</v>
      </c>
      <c r="AO1" s="24"/>
      <c r="AP1" s="24"/>
      <c r="AQ1" s="24"/>
      <c r="AR1" s="24"/>
      <c r="AS1" s="24"/>
      <c r="AT1" s="24"/>
      <c r="AU1" s="24"/>
      <c r="AV1" s="24"/>
      <c r="AW1" s="23" t="s">
        <v>18</v>
      </c>
      <c r="AX1" s="24"/>
    </row>
    <row r="2" spans="1:50" x14ac:dyDescent="0.25">
      <c r="A2" s="15" t="s">
        <v>492</v>
      </c>
      <c r="B2" s="25">
        <v>1980</v>
      </c>
      <c r="C2" s="26">
        <v>1981</v>
      </c>
      <c r="D2" s="26">
        <v>1982</v>
      </c>
      <c r="E2" s="26">
        <v>1983</v>
      </c>
      <c r="F2" s="26">
        <v>1984</v>
      </c>
      <c r="G2" s="26">
        <v>1985</v>
      </c>
      <c r="H2" s="26">
        <v>1986</v>
      </c>
      <c r="I2" s="25">
        <v>1975</v>
      </c>
      <c r="J2" s="27">
        <v>2000</v>
      </c>
      <c r="K2" s="27">
        <v>2001</v>
      </c>
      <c r="L2" s="27">
        <v>2002</v>
      </c>
      <c r="M2" s="27">
        <v>2003</v>
      </c>
      <c r="N2" s="27">
        <v>2004</v>
      </c>
      <c r="O2" s="27">
        <v>1999</v>
      </c>
      <c r="P2" s="27">
        <v>2002</v>
      </c>
      <c r="Q2" s="27">
        <v>2001</v>
      </c>
      <c r="R2" s="27">
        <v>2002</v>
      </c>
      <c r="S2" s="27">
        <v>2003</v>
      </c>
      <c r="T2" s="27">
        <v>2004</v>
      </c>
      <c r="U2" s="27">
        <v>2004</v>
      </c>
      <c r="V2" s="27">
        <v>2004</v>
      </c>
      <c r="W2" s="27">
        <v>1999</v>
      </c>
      <c r="X2" s="27">
        <v>2004</v>
      </c>
      <c r="Y2" s="27">
        <v>1987</v>
      </c>
      <c r="Z2" s="27">
        <v>1988</v>
      </c>
      <c r="AA2" s="27">
        <v>1989</v>
      </c>
      <c r="AB2" s="27">
        <v>1990</v>
      </c>
      <c r="AC2" s="27">
        <v>1991</v>
      </c>
      <c r="AD2" s="27">
        <v>1987</v>
      </c>
      <c r="AE2" s="27">
        <v>1988</v>
      </c>
      <c r="AF2" s="27">
        <v>1989</v>
      </c>
      <c r="AG2" s="27">
        <v>1990</v>
      </c>
      <c r="AH2" s="27">
        <v>1991</v>
      </c>
      <c r="AI2" s="27">
        <v>1992</v>
      </c>
      <c r="AJ2" s="27">
        <v>1993</v>
      </c>
      <c r="AK2" s="27">
        <v>1994</v>
      </c>
      <c r="AL2" s="27">
        <v>1995</v>
      </c>
      <c r="AM2" s="27">
        <v>1996</v>
      </c>
      <c r="AN2" s="27">
        <v>1988</v>
      </c>
      <c r="AO2" s="27">
        <v>1089</v>
      </c>
      <c r="AP2" s="27">
        <v>1990</v>
      </c>
      <c r="AQ2" s="27">
        <v>1991</v>
      </c>
      <c r="AR2" s="27">
        <v>1992</v>
      </c>
      <c r="AS2" s="27">
        <v>1993</v>
      </c>
      <c r="AT2" s="27">
        <v>1994</v>
      </c>
      <c r="AU2" s="27">
        <v>1995</v>
      </c>
      <c r="AV2" s="27">
        <v>1996</v>
      </c>
      <c r="AW2" s="27">
        <v>2003</v>
      </c>
      <c r="AX2" s="27">
        <v>2004</v>
      </c>
    </row>
    <row r="3" spans="1:50" x14ac:dyDescent="0.25">
      <c r="A3" s="3" t="s">
        <v>67</v>
      </c>
      <c r="B3" s="3" t="s">
        <v>45</v>
      </c>
      <c r="C3" s="3" t="s">
        <v>45</v>
      </c>
      <c r="D3" s="3" t="s">
        <v>45</v>
      </c>
      <c r="E3" s="3" t="s">
        <v>45</v>
      </c>
      <c r="F3" s="3" t="s">
        <v>45</v>
      </c>
      <c r="G3" s="3" t="s">
        <v>45</v>
      </c>
      <c r="H3" s="3" t="s">
        <v>45</v>
      </c>
      <c r="I3" s="3" t="s">
        <v>44</v>
      </c>
      <c r="J3" s="3" t="s">
        <v>45</v>
      </c>
      <c r="K3" s="3" t="s">
        <v>45</v>
      </c>
      <c r="L3" s="3" t="s">
        <v>45</v>
      </c>
      <c r="M3" s="3" t="s">
        <v>45</v>
      </c>
      <c r="N3" s="3" t="s">
        <v>45</v>
      </c>
      <c r="O3" s="3" t="s">
        <v>48</v>
      </c>
      <c r="P3" s="3" t="s">
        <v>48</v>
      </c>
      <c r="Q3" s="3" t="s">
        <v>48</v>
      </c>
      <c r="R3" s="3" t="s">
        <v>46</v>
      </c>
      <c r="S3" s="3" t="s">
        <v>47</v>
      </c>
      <c r="T3" s="3" t="s">
        <v>46</v>
      </c>
      <c r="U3" s="3" t="s">
        <v>49</v>
      </c>
      <c r="V3" s="3" t="s">
        <v>49</v>
      </c>
      <c r="W3" s="3" t="s">
        <v>45</v>
      </c>
      <c r="X3" s="3" t="s">
        <v>45</v>
      </c>
      <c r="Y3" s="3" t="s">
        <v>49</v>
      </c>
      <c r="Z3" s="3" t="s">
        <v>49</v>
      </c>
      <c r="AA3" s="3" t="s">
        <v>49</v>
      </c>
      <c r="AB3" s="3" t="s">
        <v>49</v>
      </c>
      <c r="AC3" s="3" t="s">
        <v>49</v>
      </c>
      <c r="AD3" s="3" t="s">
        <v>49</v>
      </c>
      <c r="AE3" s="3" t="s">
        <v>47</v>
      </c>
      <c r="AF3" s="3" t="s">
        <v>47</v>
      </c>
      <c r="AG3" s="3" t="s">
        <v>47</v>
      </c>
      <c r="AH3" s="3" t="s">
        <v>48</v>
      </c>
      <c r="AI3" s="3" t="s">
        <v>46</v>
      </c>
      <c r="AJ3" s="3" t="s">
        <v>46</v>
      </c>
      <c r="AK3" s="3" t="s">
        <v>46</v>
      </c>
      <c r="AL3" s="3" t="s">
        <v>46</v>
      </c>
      <c r="AM3" s="3" t="s">
        <v>47</v>
      </c>
      <c r="AN3" s="3" t="s">
        <v>49</v>
      </c>
      <c r="AO3" s="3" t="s">
        <v>49</v>
      </c>
      <c r="AP3" s="3" t="s">
        <v>49</v>
      </c>
      <c r="AQ3" s="3" t="s">
        <v>49</v>
      </c>
      <c r="AR3" s="3" t="s">
        <v>49</v>
      </c>
      <c r="AS3" s="3" t="s">
        <v>49</v>
      </c>
      <c r="AT3" s="3" t="s">
        <v>49</v>
      </c>
      <c r="AU3" s="3" t="s">
        <v>49</v>
      </c>
      <c r="AV3" s="3" t="s">
        <v>49</v>
      </c>
      <c r="AW3" s="3" t="s">
        <v>45</v>
      </c>
      <c r="AX3" s="3" t="s">
        <v>45</v>
      </c>
    </row>
    <row r="4" spans="1:50" x14ac:dyDescent="0.25">
      <c r="A4" s="3" t="s">
        <v>68</v>
      </c>
      <c r="B4" s="3" t="s">
        <v>48</v>
      </c>
      <c r="C4" s="3" t="s">
        <v>44</v>
      </c>
      <c r="D4" s="3" t="s">
        <v>51</v>
      </c>
      <c r="E4" s="3" t="s">
        <v>51</v>
      </c>
      <c r="F4" s="3" t="s">
        <v>48</v>
      </c>
      <c r="G4" s="3" t="s">
        <v>51</v>
      </c>
      <c r="H4" s="3" t="s">
        <v>48</v>
      </c>
      <c r="I4" s="3" t="s">
        <v>49</v>
      </c>
      <c r="J4" s="3" t="s">
        <v>44</v>
      </c>
      <c r="K4" s="3" t="s">
        <v>44</v>
      </c>
      <c r="L4" s="3" t="s">
        <v>44</v>
      </c>
      <c r="M4" s="3" t="s">
        <v>44</v>
      </c>
      <c r="N4" s="3" t="s">
        <v>45</v>
      </c>
      <c r="O4" s="3" t="s">
        <v>49</v>
      </c>
      <c r="P4" s="3" t="s">
        <v>49</v>
      </c>
      <c r="Q4" s="3" t="s">
        <v>49</v>
      </c>
      <c r="R4" s="3" t="s">
        <v>49</v>
      </c>
      <c r="S4" s="3" t="s">
        <v>49</v>
      </c>
      <c r="T4" s="3" t="s">
        <v>49</v>
      </c>
      <c r="U4" s="3" t="s">
        <v>50</v>
      </c>
      <c r="V4" s="3" t="s">
        <v>50</v>
      </c>
      <c r="W4" s="3" t="s">
        <v>48</v>
      </c>
      <c r="X4" s="3" t="s">
        <v>46</v>
      </c>
      <c r="Y4" s="3" t="s">
        <v>50</v>
      </c>
      <c r="Z4" s="3" t="s">
        <v>49</v>
      </c>
      <c r="AA4" s="3" t="s">
        <v>50</v>
      </c>
      <c r="AB4" s="3" t="s">
        <v>49</v>
      </c>
      <c r="AC4" s="3" t="s">
        <v>49</v>
      </c>
      <c r="AD4" s="3" t="s">
        <v>49</v>
      </c>
      <c r="AE4" s="3" t="s">
        <v>49</v>
      </c>
      <c r="AF4" s="3" t="s">
        <v>49</v>
      </c>
      <c r="AG4" s="3" t="s">
        <v>49</v>
      </c>
      <c r="AH4" s="3" t="s">
        <v>49</v>
      </c>
      <c r="AI4" s="3" t="s">
        <v>49</v>
      </c>
      <c r="AJ4" s="3" t="s">
        <v>49</v>
      </c>
      <c r="AK4" s="3" t="s">
        <v>49</v>
      </c>
      <c r="AL4" s="3" t="s">
        <v>49</v>
      </c>
      <c r="AM4" s="3" t="s">
        <v>49</v>
      </c>
      <c r="AN4" s="3" t="s">
        <v>49</v>
      </c>
      <c r="AO4" s="3" t="s">
        <v>49</v>
      </c>
      <c r="AP4" s="3" t="s">
        <v>50</v>
      </c>
      <c r="AQ4" s="3" t="s">
        <v>49</v>
      </c>
      <c r="AR4" s="3" t="s">
        <v>49</v>
      </c>
      <c r="AS4" s="3" t="s">
        <v>49</v>
      </c>
      <c r="AT4" s="3" t="s">
        <v>50</v>
      </c>
      <c r="AU4" s="3" t="s">
        <v>50</v>
      </c>
      <c r="AV4" s="3" t="s">
        <v>49</v>
      </c>
      <c r="AW4" s="3" t="s">
        <v>44</v>
      </c>
      <c r="AX4" s="3" t="s">
        <v>45</v>
      </c>
    </row>
    <row r="5" spans="1:50" x14ac:dyDescent="0.25">
      <c r="A5" s="3" t="s">
        <v>69</v>
      </c>
      <c r="B5" s="3" t="s">
        <v>176</v>
      </c>
      <c r="C5" s="3" t="s">
        <v>159</v>
      </c>
      <c r="D5" s="3" t="s">
        <v>106</v>
      </c>
      <c r="E5" s="3" t="s">
        <v>179</v>
      </c>
      <c r="F5" s="3" t="s">
        <v>176</v>
      </c>
      <c r="G5" s="3" t="s">
        <v>106</v>
      </c>
      <c r="H5" s="3" t="s">
        <v>105</v>
      </c>
      <c r="I5" s="3" t="s">
        <v>129</v>
      </c>
      <c r="J5" s="3" t="s">
        <v>183</v>
      </c>
      <c r="K5" s="3" t="s">
        <v>183</v>
      </c>
      <c r="L5" s="3" t="s">
        <v>184</v>
      </c>
      <c r="M5" s="3" t="s">
        <v>185</v>
      </c>
      <c r="N5" s="3" t="s">
        <v>186</v>
      </c>
      <c r="O5" s="3" t="s">
        <v>187</v>
      </c>
      <c r="P5" s="3" t="s">
        <v>129</v>
      </c>
      <c r="Q5" s="3" t="s">
        <v>187</v>
      </c>
      <c r="R5" s="3" t="s">
        <v>175</v>
      </c>
      <c r="S5" s="3" t="s">
        <v>128</v>
      </c>
      <c r="T5" s="3" t="s">
        <v>128</v>
      </c>
      <c r="U5" s="3" t="s">
        <v>136</v>
      </c>
      <c r="V5" s="3" t="s">
        <v>190</v>
      </c>
      <c r="W5" s="3" t="s">
        <v>115</v>
      </c>
      <c r="X5" s="3" t="s">
        <v>124</v>
      </c>
      <c r="Y5" s="3" t="s">
        <v>121</v>
      </c>
      <c r="Z5" s="3" t="s">
        <v>144</v>
      </c>
      <c r="AA5" s="3" t="s">
        <v>107</v>
      </c>
      <c r="AB5" s="3" t="s">
        <v>104</v>
      </c>
      <c r="AC5" s="3" t="s">
        <v>115</v>
      </c>
      <c r="AD5" s="3" t="s">
        <v>116</v>
      </c>
      <c r="AE5" s="3" t="s">
        <v>199</v>
      </c>
      <c r="AF5" s="3" t="s">
        <v>187</v>
      </c>
      <c r="AG5" s="3" t="s">
        <v>187</v>
      </c>
      <c r="AH5" s="3" t="s">
        <v>187</v>
      </c>
      <c r="AI5" s="3" t="s">
        <v>128</v>
      </c>
      <c r="AJ5" s="3" t="s">
        <v>175</v>
      </c>
      <c r="AK5" s="3" t="s">
        <v>128</v>
      </c>
      <c r="AL5" s="3" t="s">
        <v>173</v>
      </c>
      <c r="AM5" s="3" t="s">
        <v>175</v>
      </c>
      <c r="AN5" s="3" t="s">
        <v>116</v>
      </c>
      <c r="AO5" s="3" t="s">
        <v>115</v>
      </c>
      <c r="AP5" s="3" t="s">
        <v>115</v>
      </c>
      <c r="AQ5" s="3" t="s">
        <v>203</v>
      </c>
      <c r="AR5" s="3" t="s">
        <v>115</v>
      </c>
      <c r="AS5" s="3" t="s">
        <v>108</v>
      </c>
      <c r="AT5" s="3" t="s">
        <v>136</v>
      </c>
      <c r="AU5" s="3" t="s">
        <v>209</v>
      </c>
      <c r="AV5" s="3" t="s">
        <v>123</v>
      </c>
      <c r="AW5" s="3" t="s">
        <v>213</v>
      </c>
      <c r="AX5" s="3" t="s">
        <v>125</v>
      </c>
    </row>
    <row r="6" spans="1:50" x14ac:dyDescent="0.25">
      <c r="A6" s="3" t="s">
        <v>312</v>
      </c>
      <c r="B6" s="3" t="s">
        <v>71</v>
      </c>
      <c r="C6" s="3" t="s">
        <v>79</v>
      </c>
      <c r="D6" s="3" t="s">
        <v>79</v>
      </c>
      <c r="E6" s="3" t="s">
        <v>75</v>
      </c>
      <c r="F6" s="3" t="s">
        <v>79</v>
      </c>
      <c r="G6" s="3" t="s">
        <v>79</v>
      </c>
      <c r="H6" s="3" t="s">
        <v>79</v>
      </c>
      <c r="I6" s="3" t="s">
        <v>79</v>
      </c>
      <c r="J6" s="3" t="s">
        <v>79</v>
      </c>
      <c r="K6" s="3" t="s">
        <v>79</v>
      </c>
      <c r="L6" s="3" t="s">
        <v>79</v>
      </c>
      <c r="M6" s="3" t="s">
        <v>79</v>
      </c>
      <c r="N6" s="3" t="s">
        <v>79</v>
      </c>
      <c r="O6" s="3" t="s">
        <v>81</v>
      </c>
      <c r="P6" s="3" t="s">
        <v>81</v>
      </c>
      <c r="Q6" s="3" t="s">
        <v>81</v>
      </c>
      <c r="R6" s="3" t="s">
        <v>81</v>
      </c>
      <c r="S6" s="3" t="s">
        <v>81</v>
      </c>
      <c r="T6" s="3" t="s">
        <v>81</v>
      </c>
      <c r="U6" s="3" t="s">
        <v>71</v>
      </c>
      <c r="V6" s="3" t="s">
        <v>75</v>
      </c>
      <c r="W6" s="3" t="s">
        <v>71</v>
      </c>
      <c r="X6" s="3" t="s">
        <v>71</v>
      </c>
      <c r="Y6" s="3" t="s">
        <v>75</v>
      </c>
      <c r="Z6" s="3" t="s">
        <v>81</v>
      </c>
      <c r="AA6" s="3" t="s">
        <v>75</v>
      </c>
      <c r="AB6" s="3" t="s">
        <v>75</v>
      </c>
      <c r="AC6" s="3" t="s">
        <v>75</v>
      </c>
      <c r="AD6" s="3" t="s">
        <v>81</v>
      </c>
      <c r="AE6" s="3" t="s">
        <v>81</v>
      </c>
      <c r="AF6" s="3" t="s">
        <v>147</v>
      </c>
      <c r="AG6" s="3" t="s">
        <v>81</v>
      </c>
      <c r="AH6" s="3" t="s">
        <v>81</v>
      </c>
      <c r="AI6" s="3" t="s">
        <v>147</v>
      </c>
      <c r="AJ6" s="3" t="s">
        <v>81</v>
      </c>
      <c r="AK6" s="3" t="s">
        <v>130</v>
      </c>
      <c r="AL6" s="3" t="s">
        <v>71</v>
      </c>
      <c r="AM6" s="3" t="s">
        <v>75</v>
      </c>
      <c r="AN6" s="3" t="s">
        <v>79</v>
      </c>
      <c r="AO6" s="3" t="s">
        <v>75</v>
      </c>
      <c r="AP6" s="3" t="s">
        <v>75</v>
      </c>
      <c r="AQ6" s="3" t="s">
        <v>75</v>
      </c>
      <c r="AR6" s="3" t="s">
        <v>79</v>
      </c>
      <c r="AS6" s="3" t="s">
        <v>79</v>
      </c>
      <c r="AT6" s="3" t="s">
        <v>79</v>
      </c>
      <c r="AU6" s="3" t="s">
        <v>79</v>
      </c>
      <c r="AV6" s="3" t="s">
        <v>79</v>
      </c>
      <c r="AW6" s="3" t="s">
        <v>79</v>
      </c>
      <c r="AX6" s="3" t="s">
        <v>79</v>
      </c>
    </row>
    <row r="7" spans="1:50" x14ac:dyDescent="0.25">
      <c r="A7" s="3" t="s">
        <v>313</v>
      </c>
      <c r="B7" s="3" t="s">
        <v>360</v>
      </c>
      <c r="C7" s="3" t="s">
        <v>177</v>
      </c>
      <c r="D7" s="3" t="s">
        <v>178</v>
      </c>
      <c r="E7" s="3" t="s">
        <v>180</v>
      </c>
      <c r="F7" s="3" t="s">
        <v>181</v>
      </c>
      <c r="G7" s="3" t="s">
        <v>61</v>
      </c>
      <c r="H7" s="3" t="s">
        <v>182</v>
      </c>
      <c r="I7" s="3" t="s">
        <v>361</v>
      </c>
      <c r="J7" s="3" t="s">
        <v>362</v>
      </c>
      <c r="K7" s="3" t="s">
        <v>363</v>
      </c>
      <c r="L7" s="3" t="s">
        <v>364</v>
      </c>
      <c r="M7" s="3" t="s">
        <v>365</v>
      </c>
      <c r="N7" s="3" t="s">
        <v>366</v>
      </c>
      <c r="O7" s="3" t="s">
        <v>367</v>
      </c>
      <c r="P7" s="3" t="s">
        <v>368</v>
      </c>
      <c r="Q7" s="3" t="s">
        <v>369</v>
      </c>
      <c r="R7" s="3" t="s">
        <v>370</v>
      </c>
      <c r="S7" s="3" t="s">
        <v>371</v>
      </c>
      <c r="T7" s="3" t="s">
        <v>372</v>
      </c>
      <c r="U7" s="3" t="s">
        <v>188</v>
      </c>
      <c r="V7" s="3" t="s">
        <v>191</v>
      </c>
      <c r="W7" s="3" t="s">
        <v>373</v>
      </c>
      <c r="X7" s="3" t="s">
        <v>374</v>
      </c>
      <c r="Y7" s="3" t="s">
        <v>193</v>
      </c>
      <c r="Z7" s="3" t="s">
        <v>195</v>
      </c>
      <c r="AA7" s="3" t="s">
        <v>167</v>
      </c>
      <c r="AB7" s="3" t="s">
        <v>162</v>
      </c>
      <c r="AC7" s="3" t="s">
        <v>197</v>
      </c>
      <c r="AD7" s="3" t="s">
        <v>198</v>
      </c>
      <c r="AE7" s="3" t="s">
        <v>353</v>
      </c>
      <c r="AF7" s="3" t="s">
        <v>375</v>
      </c>
      <c r="AG7" s="3" t="s">
        <v>376</v>
      </c>
      <c r="AH7" s="3" t="s">
        <v>377</v>
      </c>
      <c r="AI7" s="3" t="s">
        <v>378</v>
      </c>
      <c r="AJ7" s="3" t="s">
        <v>379</v>
      </c>
      <c r="AK7" s="3" t="s">
        <v>380</v>
      </c>
      <c r="AL7" s="3" t="s">
        <v>381</v>
      </c>
      <c r="AM7" s="3" t="s">
        <v>382</v>
      </c>
      <c r="AN7" s="3" t="s">
        <v>200</v>
      </c>
      <c r="AO7" s="3" t="s">
        <v>201</v>
      </c>
      <c r="AP7" s="3" t="s">
        <v>64</v>
      </c>
      <c r="AQ7" s="3" t="s">
        <v>204</v>
      </c>
      <c r="AR7" s="3" t="s">
        <v>205</v>
      </c>
      <c r="AS7" s="3" t="s">
        <v>206</v>
      </c>
      <c r="AT7" s="3" t="s">
        <v>207</v>
      </c>
      <c r="AU7" s="3" t="s">
        <v>210</v>
      </c>
      <c r="AV7" s="3" t="s">
        <v>212</v>
      </c>
      <c r="AW7" s="3" t="s">
        <v>214</v>
      </c>
      <c r="AX7" s="3" t="s">
        <v>216</v>
      </c>
    </row>
    <row r="8" spans="1:50" x14ac:dyDescent="0.25">
      <c r="A8" s="3" t="s">
        <v>70</v>
      </c>
      <c r="B8" s="3" t="s">
        <v>383</v>
      </c>
      <c r="C8" s="3" t="s">
        <v>384</v>
      </c>
      <c r="D8" s="3" t="s">
        <v>385</v>
      </c>
      <c r="E8" s="3" t="s">
        <v>386</v>
      </c>
      <c r="F8" s="3" t="s">
        <v>387</v>
      </c>
      <c r="G8" s="3" t="s">
        <v>388</v>
      </c>
      <c r="H8" s="3" t="s">
        <v>389</v>
      </c>
      <c r="I8" s="3" t="s">
        <v>390</v>
      </c>
      <c r="J8" s="3" t="s">
        <v>391</v>
      </c>
      <c r="K8" s="3" t="s">
        <v>392</v>
      </c>
      <c r="L8" s="3" t="s">
        <v>177</v>
      </c>
      <c r="M8" s="3" t="s">
        <v>393</v>
      </c>
      <c r="N8" s="3" t="s">
        <v>394</v>
      </c>
      <c r="O8" s="3" t="s">
        <v>305</v>
      </c>
      <c r="P8" s="3" t="s">
        <v>395</v>
      </c>
      <c r="Q8" s="3" t="s">
        <v>396</v>
      </c>
      <c r="R8" s="3" t="s">
        <v>397</v>
      </c>
      <c r="S8" s="3" t="s">
        <v>398</v>
      </c>
      <c r="T8" s="3" t="s">
        <v>399</v>
      </c>
      <c r="U8" s="3" t="s">
        <v>189</v>
      </c>
      <c r="V8" s="3" t="s">
        <v>192</v>
      </c>
      <c r="W8" s="3" t="s">
        <v>400</v>
      </c>
      <c r="X8" s="3" t="s">
        <v>401</v>
      </c>
      <c r="Y8" s="3" t="s">
        <v>194</v>
      </c>
      <c r="Z8" s="3" t="s">
        <v>402</v>
      </c>
      <c r="AA8" s="3" t="s">
        <v>196</v>
      </c>
      <c r="AB8" s="3" t="s">
        <v>403</v>
      </c>
      <c r="AC8" s="3" t="s">
        <v>404</v>
      </c>
      <c r="AD8" s="3" t="s">
        <v>405</v>
      </c>
      <c r="AE8" s="3" t="s">
        <v>406</v>
      </c>
      <c r="AF8" s="3" t="s">
        <v>407</v>
      </c>
      <c r="AG8" s="3" t="s">
        <v>408</v>
      </c>
      <c r="AH8" s="3" t="s">
        <v>409</v>
      </c>
      <c r="AI8" s="3" t="s">
        <v>410</v>
      </c>
      <c r="AJ8" s="3" t="s">
        <v>411</v>
      </c>
      <c r="AK8" s="3" t="s">
        <v>380</v>
      </c>
      <c r="AL8" s="3" t="s">
        <v>412</v>
      </c>
      <c r="AM8" s="3" t="s">
        <v>413</v>
      </c>
      <c r="AN8" s="3" t="s">
        <v>414</v>
      </c>
      <c r="AO8" s="3" t="s">
        <v>415</v>
      </c>
      <c r="AP8" s="3" t="s">
        <v>202</v>
      </c>
      <c r="AQ8" s="3" t="s">
        <v>416</v>
      </c>
      <c r="AR8" s="3" t="s">
        <v>417</v>
      </c>
      <c r="AS8" s="3" t="s">
        <v>418</v>
      </c>
      <c r="AT8" s="3" t="s">
        <v>208</v>
      </c>
      <c r="AU8" s="3" t="s">
        <v>211</v>
      </c>
      <c r="AV8" s="3" t="s">
        <v>418</v>
      </c>
      <c r="AW8" s="3" t="s">
        <v>215</v>
      </c>
      <c r="AX8" s="3" t="s">
        <v>217</v>
      </c>
    </row>
    <row r="9" spans="1:50" x14ac:dyDescent="0.25">
      <c r="A9" s="18"/>
      <c r="B9" s="13"/>
      <c r="C9" s="13"/>
      <c r="D9" s="13"/>
      <c r="E9" s="13"/>
      <c r="F9" s="14"/>
      <c r="G9" s="14"/>
      <c r="H9" s="14"/>
      <c r="I9" s="14"/>
      <c r="J9" s="14"/>
      <c r="K9" s="14"/>
    </row>
    <row r="10" spans="1:50" x14ac:dyDescent="0.25">
      <c r="A10" s="18"/>
      <c r="B10" s="13"/>
      <c r="C10" s="13"/>
      <c r="D10" s="13"/>
      <c r="E10" s="13"/>
      <c r="F10" s="14"/>
      <c r="G10" s="14"/>
      <c r="H10" s="14"/>
      <c r="I10" s="14"/>
      <c r="J10" s="14"/>
      <c r="K10" s="14"/>
    </row>
    <row r="11" spans="1:50" x14ac:dyDescent="0.25">
      <c r="B11" s="13"/>
      <c r="C11" s="13"/>
      <c r="D11" s="13"/>
      <c r="E11" s="13"/>
      <c r="F11" s="14"/>
      <c r="G11" s="14"/>
      <c r="H11" s="14"/>
      <c r="I11" s="14"/>
      <c r="J11" s="14"/>
      <c r="K11" s="14"/>
      <c r="Z11" s="13"/>
    </row>
    <row r="12" spans="1:50" ht="15.75" x14ac:dyDescent="0.25">
      <c r="B12" s="16"/>
      <c r="C12" s="16"/>
      <c r="D12" s="16"/>
      <c r="H12" s="21"/>
      <c r="I12" s="21"/>
      <c r="J12" s="16"/>
      <c r="K12" s="16"/>
      <c r="Z12" s="13"/>
    </row>
    <row r="13" spans="1:50" x14ac:dyDescent="0.25">
      <c r="B13" s="13"/>
      <c r="C13" s="13"/>
      <c r="D13" s="13"/>
      <c r="E13" s="13"/>
      <c r="F13" s="13"/>
      <c r="Z13" s="13"/>
    </row>
    <row r="14" spans="1:50" x14ac:dyDescent="0.25">
      <c r="A14" s="18"/>
      <c r="B14" s="13"/>
      <c r="C14" s="13"/>
      <c r="D14" s="13"/>
      <c r="E14" s="13"/>
      <c r="F14" s="13"/>
      <c r="G14" s="13"/>
      <c r="H14" s="13"/>
      <c r="I14" s="13"/>
      <c r="J14" s="13"/>
      <c r="K14" s="13"/>
      <c r="Z14" s="13"/>
    </row>
    <row r="15" spans="1:50" x14ac:dyDescent="0.25">
      <c r="A15" s="18"/>
      <c r="B15" s="13"/>
      <c r="C15" s="13"/>
      <c r="D15" s="13"/>
      <c r="E15" s="13"/>
      <c r="F15" s="13"/>
      <c r="G15" s="13"/>
      <c r="H15" s="13"/>
      <c r="I15" s="13"/>
      <c r="J15" s="13"/>
      <c r="K15" s="13"/>
      <c r="Z15" s="13"/>
    </row>
    <row r="16" spans="1:50" x14ac:dyDescent="0.25">
      <c r="A16" s="18"/>
      <c r="B16" s="13"/>
      <c r="C16" s="13"/>
      <c r="D16" s="13"/>
      <c r="E16" s="13"/>
      <c r="F16" s="13"/>
      <c r="G16" s="13"/>
      <c r="H16" s="13"/>
      <c r="I16" s="13"/>
      <c r="J16" s="13"/>
      <c r="K16" s="13"/>
      <c r="Z16" s="13"/>
    </row>
    <row r="17" spans="1:50" x14ac:dyDescent="0.25">
      <c r="A17" s="18"/>
      <c r="B17" s="13"/>
      <c r="C17" s="13"/>
      <c r="D17" s="13"/>
      <c r="E17" s="13"/>
      <c r="F17" s="13"/>
      <c r="G17" s="13"/>
      <c r="H17" s="13"/>
      <c r="I17" s="13"/>
      <c r="J17" s="13"/>
      <c r="K17" s="13"/>
      <c r="Z17" s="13"/>
    </row>
    <row r="18" spans="1:50" x14ac:dyDescent="0.25">
      <c r="A18" s="18"/>
      <c r="B18" s="13"/>
      <c r="C18" s="13"/>
      <c r="D18" s="13"/>
      <c r="E18" s="13"/>
      <c r="F18" s="13"/>
      <c r="G18" s="13"/>
      <c r="H18" s="13"/>
      <c r="I18" s="13"/>
      <c r="J18" s="13"/>
      <c r="K18" s="13"/>
      <c r="Z18" s="13"/>
    </row>
    <row r="19" spans="1:50" x14ac:dyDescent="0.25">
      <c r="A19" s="18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50" ht="15.75" x14ac:dyDescent="0.25">
      <c r="A20" s="13"/>
      <c r="E20" s="16"/>
      <c r="F20" s="16"/>
      <c r="G20" s="17"/>
    </row>
    <row r="21" spans="1:50" x14ac:dyDescent="0.25">
      <c r="A21" s="18"/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1:50" x14ac:dyDescent="0.25">
      <c r="A22" s="18"/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 spans="1:50" x14ac:dyDescent="0.25">
      <c r="A23" s="18"/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50" x14ac:dyDescent="0.25">
      <c r="A24" s="18"/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50" x14ac:dyDescent="0.25">
      <c r="A25" s="18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</row>
    <row r="26" spans="1:50" x14ac:dyDescent="0.25">
      <c r="A26" s="18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</row>
    <row r="27" spans="1:50" x14ac:dyDescent="0.25">
      <c r="A27" s="18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</row>
    <row r="28" spans="1:50" x14ac:dyDescent="0.25">
      <c r="L28" s="13"/>
      <c r="M28" s="13"/>
      <c r="N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</row>
    <row r="29" spans="1:50" ht="15.75" x14ac:dyDescent="0.25">
      <c r="A29" s="13"/>
      <c r="D29" s="16"/>
      <c r="E29" s="16"/>
      <c r="J29" s="13"/>
      <c r="L29" s="13"/>
      <c r="M29" s="13"/>
      <c r="N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</row>
    <row r="30" spans="1:50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</row>
    <row r="31" spans="1:50" x14ac:dyDescent="0.25">
      <c r="A31" s="18"/>
      <c r="B31" s="13"/>
      <c r="C31" s="13"/>
      <c r="D31" s="13"/>
      <c r="E31" s="13"/>
      <c r="F31" s="13"/>
      <c r="G31" s="13"/>
      <c r="H31" s="13"/>
      <c r="I31" s="13"/>
      <c r="J31" s="13"/>
    </row>
    <row r="32" spans="1:50" x14ac:dyDescent="0.25">
      <c r="A32" s="18"/>
      <c r="B32" s="13"/>
      <c r="C32" s="13"/>
      <c r="D32" s="13"/>
      <c r="E32" s="13"/>
      <c r="F32" s="13"/>
      <c r="G32" s="13"/>
      <c r="H32" s="13"/>
      <c r="I32" s="13"/>
      <c r="J32" s="13"/>
    </row>
    <row r="33" spans="1:10" x14ac:dyDescent="0.25">
      <c r="A33" s="18"/>
      <c r="B33" s="13"/>
      <c r="C33" s="13"/>
      <c r="D33" s="13"/>
      <c r="E33" s="13"/>
      <c r="F33" s="13"/>
      <c r="G33" s="13"/>
      <c r="H33" s="13"/>
      <c r="I33" s="13"/>
      <c r="J33" s="13"/>
    </row>
    <row r="34" spans="1:10" x14ac:dyDescent="0.25">
      <c r="A34" s="18"/>
      <c r="B34" s="13"/>
      <c r="C34" s="13"/>
      <c r="D34" s="13"/>
      <c r="E34" s="13"/>
      <c r="F34" s="13"/>
      <c r="G34" s="13"/>
      <c r="H34" s="13"/>
      <c r="I34" s="13"/>
      <c r="J34" s="13"/>
    </row>
    <row r="35" spans="1:10" x14ac:dyDescent="0.25">
      <c r="A35" s="18"/>
      <c r="B35" s="13"/>
      <c r="C35" s="13"/>
      <c r="D35" s="13"/>
      <c r="E35" s="13"/>
      <c r="F35" s="13"/>
      <c r="G35" s="13"/>
      <c r="H35" s="13"/>
      <c r="I35" s="13"/>
      <c r="J35" s="13"/>
    </row>
    <row r="36" spans="1:10" x14ac:dyDescent="0.25">
      <c r="A36" s="18"/>
      <c r="B36" s="13"/>
      <c r="C36" s="13"/>
      <c r="D36" s="13"/>
      <c r="E36" s="13"/>
      <c r="F36" s="13"/>
      <c r="G36" s="13"/>
      <c r="H36" s="13"/>
      <c r="I36" s="13"/>
      <c r="J36" s="13"/>
    </row>
    <row r="37" spans="1:10" x14ac:dyDescent="0.25">
      <c r="A37" s="13"/>
    </row>
    <row r="38" spans="1:10" ht="15.75" x14ac:dyDescent="0.25">
      <c r="A38" s="13"/>
      <c r="B38" s="22"/>
      <c r="C38" s="22"/>
      <c r="D38" s="22"/>
      <c r="E38" s="22"/>
      <c r="F38" s="17"/>
      <c r="I38" s="21"/>
      <c r="J38" s="21"/>
    </row>
    <row r="39" spans="1:10" x14ac:dyDescent="0.25">
      <c r="A39" s="13"/>
    </row>
    <row r="40" spans="1:10" x14ac:dyDescent="0.25">
      <c r="A40" s="18"/>
      <c r="B40" s="13"/>
      <c r="C40" s="13"/>
      <c r="D40" s="13"/>
      <c r="E40" s="13"/>
      <c r="F40" s="13"/>
      <c r="G40" s="13"/>
      <c r="H40" s="13"/>
      <c r="I40" s="13"/>
      <c r="J40" s="13"/>
    </row>
    <row r="41" spans="1:10" x14ac:dyDescent="0.25">
      <c r="A41" s="18"/>
      <c r="B41" s="13"/>
      <c r="C41" s="13"/>
      <c r="D41" s="13"/>
      <c r="E41" s="13"/>
      <c r="F41" s="13"/>
      <c r="G41" s="13"/>
      <c r="H41" s="13"/>
      <c r="I41" s="13"/>
      <c r="J41" s="13"/>
    </row>
    <row r="42" spans="1:10" x14ac:dyDescent="0.25">
      <c r="A42" s="18"/>
      <c r="B42" s="13"/>
      <c r="C42" s="13"/>
      <c r="D42" s="13"/>
      <c r="E42" s="13"/>
      <c r="F42" s="13"/>
      <c r="G42" s="13"/>
      <c r="H42" s="13"/>
      <c r="I42" s="13"/>
      <c r="J42" s="13"/>
    </row>
    <row r="43" spans="1:10" x14ac:dyDescent="0.25">
      <c r="A43" s="18"/>
      <c r="B43" s="13"/>
      <c r="C43" s="13"/>
      <c r="D43" s="13"/>
      <c r="E43" s="13"/>
      <c r="F43" s="13"/>
      <c r="G43" s="13"/>
      <c r="H43" s="13"/>
      <c r="I43" s="13"/>
      <c r="J43" s="13"/>
    </row>
    <row r="44" spans="1:10" x14ac:dyDescent="0.25">
      <c r="A44" s="18"/>
      <c r="B44" s="13"/>
      <c r="C44" s="13"/>
      <c r="D44" s="13"/>
      <c r="E44" s="13"/>
      <c r="F44" s="13"/>
      <c r="G44" s="13"/>
      <c r="H44" s="13"/>
      <c r="I44" s="13"/>
      <c r="J44" s="13"/>
    </row>
    <row r="45" spans="1:10" x14ac:dyDescent="0.25">
      <c r="A45" s="18"/>
      <c r="B45" s="13"/>
      <c r="C45" s="13"/>
      <c r="D45" s="13"/>
      <c r="E45" s="13"/>
      <c r="F45" s="13"/>
      <c r="G45" s="13"/>
      <c r="H45" s="13"/>
      <c r="I45" s="13"/>
      <c r="J45" s="13"/>
    </row>
    <row r="49" spans="1:5" x14ac:dyDescent="0.25">
      <c r="A49" s="13"/>
      <c r="B49" s="13"/>
      <c r="C49" s="13"/>
      <c r="D49" s="13"/>
      <c r="E49" s="13"/>
    </row>
    <row r="50" spans="1:5" x14ac:dyDescent="0.25">
      <c r="A50" s="13"/>
      <c r="B50" s="13"/>
      <c r="C50" s="13"/>
      <c r="D50" s="13"/>
      <c r="E50" s="13"/>
    </row>
    <row r="51" spans="1:5" x14ac:dyDescent="0.25">
      <c r="A51" s="13"/>
      <c r="B51" s="13"/>
      <c r="C51" s="13"/>
      <c r="D51" s="13"/>
      <c r="E51" s="13"/>
    </row>
  </sheetData>
  <mergeCells count="14">
    <mergeCell ref="I38:J38"/>
    <mergeCell ref="H12:I12"/>
    <mergeCell ref="B38:C38"/>
    <mergeCell ref="D38:E38"/>
    <mergeCell ref="AW1:AX1"/>
    <mergeCell ref="AN1:AV1"/>
    <mergeCell ref="AD1:AM1"/>
    <mergeCell ref="Y1:AC1"/>
    <mergeCell ref="W1:X1"/>
    <mergeCell ref="U1:V1"/>
    <mergeCell ref="Q1:T1"/>
    <mergeCell ref="O1:P1"/>
    <mergeCell ref="J1:N1"/>
    <mergeCell ref="B1:H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1"/>
  <sheetViews>
    <sheetView workbookViewId="0">
      <selection activeCell="A3" sqref="A3:XFD3"/>
    </sheetView>
  </sheetViews>
  <sheetFormatPr defaultRowHeight="15" x14ac:dyDescent="0.25"/>
  <cols>
    <col min="1" max="1" width="14.140625" bestFit="1" customWidth="1"/>
  </cols>
  <sheetData>
    <row r="1" spans="1:50" s="15" customFormat="1" x14ac:dyDescent="0.25">
      <c r="A1" s="15" t="s">
        <v>491</v>
      </c>
      <c r="B1" s="23" t="s">
        <v>486</v>
      </c>
      <c r="C1" s="24"/>
      <c r="D1" s="24"/>
      <c r="E1" s="24"/>
      <c r="F1" s="24"/>
      <c r="G1" s="24"/>
      <c r="H1" s="24"/>
      <c r="I1" s="15" t="s">
        <v>12</v>
      </c>
      <c r="J1" s="23" t="s">
        <v>16</v>
      </c>
      <c r="K1" s="24"/>
      <c r="L1" s="24"/>
      <c r="M1" s="24"/>
      <c r="N1" s="24"/>
      <c r="O1" s="23" t="s">
        <v>14</v>
      </c>
      <c r="P1" s="24"/>
      <c r="Q1" s="23" t="s">
        <v>8</v>
      </c>
      <c r="R1" s="24"/>
      <c r="S1" s="24"/>
      <c r="T1" s="24"/>
      <c r="U1" s="23" t="s">
        <v>15</v>
      </c>
      <c r="V1" s="24"/>
      <c r="W1" s="23" t="s">
        <v>487</v>
      </c>
      <c r="X1" s="24"/>
      <c r="Y1" s="23" t="s">
        <v>488</v>
      </c>
      <c r="Z1" s="24"/>
      <c r="AA1" s="24"/>
      <c r="AB1" s="24"/>
      <c r="AC1" s="24"/>
      <c r="AD1" s="23" t="s">
        <v>489</v>
      </c>
      <c r="AE1" s="24"/>
      <c r="AF1" s="24"/>
      <c r="AG1" s="24"/>
      <c r="AH1" s="24"/>
      <c r="AI1" s="24"/>
      <c r="AJ1" s="24"/>
      <c r="AK1" s="24"/>
      <c r="AL1" s="24"/>
      <c r="AM1" s="24"/>
      <c r="AN1" s="23" t="s">
        <v>490</v>
      </c>
      <c r="AO1" s="24"/>
      <c r="AP1" s="24"/>
      <c r="AQ1" s="24"/>
      <c r="AR1" s="24"/>
      <c r="AS1" s="24"/>
      <c r="AT1" s="24"/>
      <c r="AU1" s="24"/>
      <c r="AV1" s="24"/>
      <c r="AW1" s="23" t="s">
        <v>18</v>
      </c>
      <c r="AX1" s="24"/>
    </row>
    <row r="2" spans="1:50" s="15" customFormat="1" x14ac:dyDescent="0.25">
      <c r="A2" s="15" t="s">
        <v>492</v>
      </c>
      <c r="B2" s="25">
        <v>1980</v>
      </c>
      <c r="C2" s="26">
        <v>1981</v>
      </c>
      <c r="D2" s="26">
        <v>1982</v>
      </c>
      <c r="E2" s="26">
        <v>1983</v>
      </c>
      <c r="F2" s="26">
        <v>1984</v>
      </c>
      <c r="G2" s="26">
        <v>1985</v>
      </c>
      <c r="H2" s="26">
        <v>1986</v>
      </c>
      <c r="I2" s="25">
        <v>1975</v>
      </c>
      <c r="J2" s="27">
        <v>2000</v>
      </c>
      <c r="K2" s="27">
        <v>2001</v>
      </c>
      <c r="L2" s="27">
        <v>2002</v>
      </c>
      <c r="M2" s="27">
        <v>2003</v>
      </c>
      <c r="N2" s="27">
        <v>2004</v>
      </c>
      <c r="O2" s="27">
        <v>1999</v>
      </c>
      <c r="P2" s="27">
        <v>2002</v>
      </c>
      <c r="Q2" s="27">
        <v>2001</v>
      </c>
      <c r="R2" s="27">
        <v>2002</v>
      </c>
      <c r="S2" s="27">
        <v>2003</v>
      </c>
      <c r="T2" s="27">
        <v>2004</v>
      </c>
      <c r="U2" s="27">
        <v>2004</v>
      </c>
      <c r="V2" s="27">
        <v>2004</v>
      </c>
      <c r="W2" s="27">
        <v>1999</v>
      </c>
      <c r="X2" s="27">
        <v>2004</v>
      </c>
      <c r="Y2" s="27">
        <v>1987</v>
      </c>
      <c r="Z2" s="27">
        <v>1988</v>
      </c>
      <c r="AA2" s="27">
        <v>1989</v>
      </c>
      <c r="AB2" s="27">
        <v>1990</v>
      </c>
      <c r="AC2" s="27">
        <v>1991</v>
      </c>
      <c r="AD2" s="27">
        <v>1987</v>
      </c>
      <c r="AE2" s="27">
        <v>1988</v>
      </c>
      <c r="AF2" s="27">
        <v>1989</v>
      </c>
      <c r="AG2" s="27">
        <v>1990</v>
      </c>
      <c r="AH2" s="27">
        <v>1991</v>
      </c>
      <c r="AI2" s="27">
        <v>1992</v>
      </c>
      <c r="AJ2" s="27">
        <v>1993</v>
      </c>
      <c r="AK2" s="27">
        <v>1994</v>
      </c>
      <c r="AL2" s="27">
        <v>1995</v>
      </c>
      <c r="AM2" s="27">
        <v>1996</v>
      </c>
      <c r="AN2" s="27">
        <v>1988</v>
      </c>
      <c r="AO2" s="27">
        <v>1089</v>
      </c>
      <c r="AP2" s="27">
        <v>1990</v>
      </c>
      <c r="AQ2" s="27">
        <v>1991</v>
      </c>
      <c r="AR2" s="27">
        <v>1992</v>
      </c>
      <c r="AS2" s="27">
        <v>1993</v>
      </c>
      <c r="AT2" s="27">
        <v>1994</v>
      </c>
      <c r="AU2" s="27">
        <v>1995</v>
      </c>
      <c r="AV2" s="27">
        <v>1996</v>
      </c>
      <c r="AW2" s="27">
        <v>2003</v>
      </c>
      <c r="AX2" s="27">
        <v>2004</v>
      </c>
    </row>
    <row r="3" spans="1:50" x14ac:dyDescent="0.25">
      <c r="A3" s="3" t="s">
        <v>67</v>
      </c>
      <c r="B3" s="3" t="s">
        <v>51</v>
      </c>
      <c r="C3" s="3" t="s">
        <v>47</v>
      </c>
      <c r="D3" s="3" t="s">
        <v>48</v>
      </c>
      <c r="E3" s="3" t="s">
        <v>44</v>
      </c>
      <c r="F3" s="3" t="s">
        <v>51</v>
      </c>
      <c r="G3" s="3" t="s">
        <v>44</v>
      </c>
      <c r="H3" s="3" t="s">
        <v>44</v>
      </c>
      <c r="I3" s="3" t="s">
        <v>47</v>
      </c>
      <c r="J3" s="3" t="s">
        <v>48</v>
      </c>
      <c r="K3" s="3" t="s">
        <v>51</v>
      </c>
      <c r="L3" s="3" t="s">
        <v>48</v>
      </c>
      <c r="M3" s="3" t="s">
        <v>51</v>
      </c>
      <c r="N3" s="3" t="s">
        <v>51</v>
      </c>
      <c r="O3" s="3" t="s">
        <v>51</v>
      </c>
      <c r="P3" s="3" t="s">
        <v>44</v>
      </c>
      <c r="Q3" s="3" t="s">
        <v>44</v>
      </c>
      <c r="R3" s="3" t="s">
        <v>47</v>
      </c>
      <c r="S3" s="3" t="s">
        <v>44</v>
      </c>
      <c r="T3" s="3" t="s">
        <v>44</v>
      </c>
      <c r="U3" s="3" t="s">
        <v>46</v>
      </c>
      <c r="V3" s="3" t="s">
        <v>48</v>
      </c>
      <c r="W3" s="3" t="s">
        <v>47</v>
      </c>
      <c r="X3" s="3" t="s">
        <v>47</v>
      </c>
      <c r="Y3" s="3" t="s">
        <v>47</v>
      </c>
      <c r="Z3" s="3" t="s">
        <v>50</v>
      </c>
      <c r="AA3" s="3" t="s">
        <v>47</v>
      </c>
      <c r="AB3" s="3" t="s">
        <v>50</v>
      </c>
      <c r="AC3" s="3" t="s">
        <v>46</v>
      </c>
      <c r="AD3" s="3" t="s">
        <v>51</v>
      </c>
      <c r="AE3" s="3" t="s">
        <v>51</v>
      </c>
      <c r="AF3" s="3" t="s">
        <v>51</v>
      </c>
      <c r="AG3" s="3" t="s">
        <v>44</v>
      </c>
      <c r="AH3" s="3" t="s">
        <v>44</v>
      </c>
      <c r="AI3" s="3" t="s">
        <v>51</v>
      </c>
      <c r="AJ3" s="3" t="s">
        <v>51</v>
      </c>
      <c r="AK3" s="3" t="s">
        <v>51</v>
      </c>
      <c r="AL3" s="3" t="s">
        <v>51</v>
      </c>
      <c r="AM3" s="3" t="s">
        <v>51</v>
      </c>
      <c r="AN3" s="3" t="s">
        <v>47</v>
      </c>
      <c r="AO3" s="3" t="s">
        <v>48</v>
      </c>
      <c r="AP3" s="3" t="s">
        <v>48</v>
      </c>
      <c r="AQ3" s="3" t="s">
        <v>48</v>
      </c>
      <c r="AR3" s="3" t="s">
        <v>47</v>
      </c>
      <c r="AS3" s="3" t="s">
        <v>48</v>
      </c>
      <c r="AT3" s="3" t="s">
        <v>48</v>
      </c>
      <c r="AU3" s="3" t="s">
        <v>48</v>
      </c>
      <c r="AV3" s="3" t="s">
        <v>48</v>
      </c>
      <c r="AW3" s="3" t="s">
        <v>48</v>
      </c>
      <c r="AX3" s="3" t="s">
        <v>48</v>
      </c>
    </row>
    <row r="4" spans="1:50" x14ac:dyDescent="0.25">
      <c r="A4" s="3" t="s">
        <v>68</v>
      </c>
      <c r="B4" s="3" t="s">
        <v>49</v>
      </c>
      <c r="C4" s="3" t="s">
        <v>49</v>
      </c>
      <c r="D4" s="3" t="s">
        <v>49</v>
      </c>
      <c r="E4" s="3" t="s">
        <v>49</v>
      </c>
      <c r="F4" s="3" t="s">
        <v>50</v>
      </c>
      <c r="G4" s="3" t="s">
        <v>47</v>
      </c>
      <c r="H4" s="3" t="s">
        <v>50</v>
      </c>
      <c r="I4" s="3" t="s">
        <v>49</v>
      </c>
      <c r="J4" s="3" t="s">
        <v>50</v>
      </c>
      <c r="K4" s="3" t="s">
        <v>47</v>
      </c>
      <c r="L4" s="3" t="s">
        <v>46</v>
      </c>
      <c r="M4" s="3" t="s">
        <v>46</v>
      </c>
      <c r="N4" s="3" t="s">
        <v>46</v>
      </c>
      <c r="O4" s="3" t="s">
        <v>49</v>
      </c>
      <c r="P4" s="3" t="s">
        <v>50</v>
      </c>
      <c r="Q4" s="3" t="s">
        <v>49</v>
      </c>
      <c r="R4" s="3" t="s">
        <v>49</v>
      </c>
      <c r="S4" s="3" t="s">
        <v>49</v>
      </c>
      <c r="T4" s="3" t="s">
        <v>50</v>
      </c>
      <c r="U4" s="3" t="s">
        <v>49</v>
      </c>
      <c r="V4" s="3" t="s">
        <v>49</v>
      </c>
      <c r="W4" s="3" t="s">
        <v>49</v>
      </c>
      <c r="X4" s="3" t="s">
        <v>49</v>
      </c>
      <c r="Y4" s="3" t="s">
        <v>49</v>
      </c>
      <c r="Z4" s="3" t="s">
        <v>49</v>
      </c>
      <c r="AA4" s="3" t="s">
        <v>49</v>
      </c>
      <c r="AB4" s="3" t="s">
        <v>49</v>
      </c>
      <c r="AC4" s="3" t="s">
        <v>50</v>
      </c>
      <c r="AD4" s="3" t="s">
        <v>50</v>
      </c>
      <c r="AE4" s="3" t="s">
        <v>50</v>
      </c>
      <c r="AF4" s="3" t="s">
        <v>49</v>
      </c>
      <c r="AG4" s="3" t="s">
        <v>49</v>
      </c>
      <c r="AH4" s="3" t="s">
        <v>49</v>
      </c>
      <c r="AI4" s="3" t="s">
        <v>50</v>
      </c>
      <c r="AJ4" s="3" t="s">
        <v>49</v>
      </c>
      <c r="AK4" s="3" t="s">
        <v>46</v>
      </c>
      <c r="AL4" s="3" t="s">
        <v>50</v>
      </c>
      <c r="AM4" s="3" t="s">
        <v>50</v>
      </c>
      <c r="AN4" s="3" t="s">
        <v>50</v>
      </c>
      <c r="AO4" s="3" t="s">
        <v>49</v>
      </c>
      <c r="AP4" s="3" t="s">
        <v>50</v>
      </c>
      <c r="AQ4" s="3" t="s">
        <v>49</v>
      </c>
      <c r="AR4" s="3" t="s">
        <v>49</v>
      </c>
      <c r="AS4" s="3" t="s">
        <v>50</v>
      </c>
      <c r="AT4" s="3" t="s">
        <v>50</v>
      </c>
      <c r="AU4" s="3" t="s">
        <v>50</v>
      </c>
      <c r="AV4" s="3" t="s">
        <v>50</v>
      </c>
      <c r="AW4" s="3" t="s">
        <v>49</v>
      </c>
      <c r="AX4" s="3" t="s">
        <v>49</v>
      </c>
    </row>
    <row r="5" spans="1:50" x14ac:dyDescent="0.25">
      <c r="A5" s="3" t="s">
        <v>69</v>
      </c>
      <c r="B5" s="3" t="s">
        <v>153</v>
      </c>
      <c r="C5" s="3" t="s">
        <v>109</v>
      </c>
      <c r="D5" s="3" t="s">
        <v>114</v>
      </c>
      <c r="E5" s="3" t="s">
        <v>153</v>
      </c>
      <c r="F5" s="3" t="s">
        <v>117</v>
      </c>
      <c r="G5" s="3" t="s">
        <v>157</v>
      </c>
      <c r="H5" s="3" t="s">
        <v>209</v>
      </c>
      <c r="I5" s="3" t="s">
        <v>114</v>
      </c>
      <c r="J5" s="3" t="s">
        <v>116</v>
      </c>
      <c r="K5" s="3" t="s">
        <v>131</v>
      </c>
      <c r="L5" s="3" t="s">
        <v>131</v>
      </c>
      <c r="M5" s="3" t="s">
        <v>146</v>
      </c>
      <c r="N5" s="3" t="s">
        <v>116</v>
      </c>
      <c r="O5" s="3" t="s">
        <v>175</v>
      </c>
      <c r="P5" s="3" t="s">
        <v>116</v>
      </c>
      <c r="Q5" s="3" t="s">
        <v>129</v>
      </c>
      <c r="R5" s="3" t="s">
        <v>173</v>
      </c>
      <c r="S5" s="3" t="s">
        <v>129</v>
      </c>
      <c r="T5" s="3" t="s">
        <v>222</v>
      </c>
      <c r="U5" s="3" t="s">
        <v>127</v>
      </c>
      <c r="V5" s="3" t="s">
        <v>129</v>
      </c>
      <c r="W5" s="3" t="s">
        <v>109</v>
      </c>
      <c r="X5" s="3" t="s">
        <v>137</v>
      </c>
      <c r="Y5" s="3" t="s">
        <v>153</v>
      </c>
      <c r="Z5" s="3" t="s">
        <v>153</v>
      </c>
      <c r="AA5" s="3" t="s">
        <v>128</v>
      </c>
      <c r="AB5" s="3" t="s">
        <v>173</v>
      </c>
      <c r="AC5" s="3" t="s">
        <v>127</v>
      </c>
      <c r="AD5" s="3" t="s">
        <v>144</v>
      </c>
      <c r="AE5" s="3" t="s">
        <v>131</v>
      </c>
      <c r="AF5" s="3" t="s">
        <v>153</v>
      </c>
      <c r="AG5" s="3" t="s">
        <v>129</v>
      </c>
      <c r="AH5" s="3" t="s">
        <v>109</v>
      </c>
      <c r="AI5" s="3" t="s">
        <v>127</v>
      </c>
      <c r="AJ5" s="3" t="s">
        <v>128</v>
      </c>
      <c r="AK5" s="3" t="s">
        <v>153</v>
      </c>
      <c r="AL5" s="3" t="s">
        <v>153</v>
      </c>
      <c r="AM5" s="3" t="s">
        <v>127</v>
      </c>
      <c r="AN5" s="3" t="s">
        <v>157</v>
      </c>
      <c r="AO5" s="3" t="s">
        <v>109</v>
      </c>
      <c r="AP5" s="3" t="s">
        <v>127</v>
      </c>
      <c r="AQ5" s="3" t="s">
        <v>116</v>
      </c>
      <c r="AR5" s="3" t="s">
        <v>127</v>
      </c>
      <c r="AS5" s="3" t="s">
        <v>144</v>
      </c>
      <c r="AT5" s="3" t="s">
        <v>146</v>
      </c>
      <c r="AU5" s="3" t="s">
        <v>116</v>
      </c>
      <c r="AV5" s="3" t="s">
        <v>131</v>
      </c>
      <c r="AW5" s="3" t="s">
        <v>109</v>
      </c>
      <c r="AX5" s="3" t="s">
        <v>109</v>
      </c>
    </row>
    <row r="6" spans="1:50" x14ac:dyDescent="0.25">
      <c r="A6" s="3" t="s">
        <v>312</v>
      </c>
      <c r="B6" s="3" t="s">
        <v>79</v>
      </c>
      <c r="C6" s="3" t="s">
        <v>130</v>
      </c>
      <c r="D6" s="3" t="s">
        <v>130</v>
      </c>
      <c r="E6" s="3" t="s">
        <v>130</v>
      </c>
      <c r="F6" s="3" t="s">
        <v>79</v>
      </c>
      <c r="G6" s="3" t="s">
        <v>79</v>
      </c>
      <c r="H6" s="3" t="s">
        <v>79</v>
      </c>
      <c r="I6" s="3" t="s">
        <v>81</v>
      </c>
      <c r="J6" s="3" t="s">
        <v>75</v>
      </c>
      <c r="K6" s="3" t="s">
        <v>75</v>
      </c>
      <c r="L6" s="3" t="s">
        <v>75</v>
      </c>
      <c r="M6" s="3" t="s">
        <v>130</v>
      </c>
      <c r="N6" s="3" t="s">
        <v>130</v>
      </c>
      <c r="O6" s="3" t="s">
        <v>88</v>
      </c>
      <c r="P6" s="3" t="s">
        <v>71</v>
      </c>
      <c r="Q6" s="3" t="s">
        <v>147</v>
      </c>
      <c r="R6" s="3" t="s">
        <v>147</v>
      </c>
      <c r="S6" s="3" t="s">
        <v>147</v>
      </c>
      <c r="T6" s="3" t="s">
        <v>147</v>
      </c>
      <c r="U6" s="3" t="s">
        <v>75</v>
      </c>
      <c r="V6" s="3" t="s">
        <v>75</v>
      </c>
      <c r="W6" s="3" t="s">
        <v>81</v>
      </c>
      <c r="X6" s="3" t="s">
        <v>81</v>
      </c>
      <c r="Y6" s="3" t="s">
        <v>130</v>
      </c>
      <c r="Z6" s="3" t="s">
        <v>75</v>
      </c>
      <c r="AA6" s="3" t="s">
        <v>71</v>
      </c>
      <c r="AB6" s="3" t="s">
        <v>75</v>
      </c>
      <c r="AC6" s="3" t="s">
        <v>130</v>
      </c>
      <c r="AD6" s="3" t="s">
        <v>71</v>
      </c>
      <c r="AE6" s="3" t="s">
        <v>71</v>
      </c>
      <c r="AF6" s="3" t="s">
        <v>71</v>
      </c>
      <c r="AG6" s="3" t="s">
        <v>71</v>
      </c>
      <c r="AH6" s="3" t="s">
        <v>71</v>
      </c>
      <c r="AI6" s="3" t="s">
        <v>88</v>
      </c>
      <c r="AJ6" s="3" t="s">
        <v>88</v>
      </c>
      <c r="AK6" s="3" t="s">
        <v>71</v>
      </c>
      <c r="AL6" s="3" t="s">
        <v>71</v>
      </c>
      <c r="AM6" s="3" t="s">
        <v>88</v>
      </c>
      <c r="AN6" s="3" t="s">
        <v>130</v>
      </c>
      <c r="AO6" s="3" t="s">
        <v>75</v>
      </c>
      <c r="AP6" s="3" t="s">
        <v>130</v>
      </c>
      <c r="AQ6" s="3" t="s">
        <v>75</v>
      </c>
      <c r="AR6" s="3" t="s">
        <v>75</v>
      </c>
      <c r="AS6" s="3" t="s">
        <v>130</v>
      </c>
      <c r="AT6" s="3" t="s">
        <v>75</v>
      </c>
      <c r="AU6" s="3" t="s">
        <v>75</v>
      </c>
      <c r="AV6" s="3" t="s">
        <v>75</v>
      </c>
      <c r="AW6" s="3" t="s">
        <v>130</v>
      </c>
      <c r="AX6" s="3" t="s">
        <v>75</v>
      </c>
    </row>
    <row r="7" spans="1:50" x14ac:dyDescent="0.25">
      <c r="A7" s="3" t="s">
        <v>313</v>
      </c>
      <c r="B7" s="3" t="s">
        <v>419</v>
      </c>
      <c r="C7" s="3" t="s">
        <v>420</v>
      </c>
      <c r="D7" s="3" t="s">
        <v>421</v>
      </c>
      <c r="E7" s="3" t="s">
        <v>422</v>
      </c>
      <c r="F7" s="3" t="s">
        <v>218</v>
      </c>
      <c r="G7" s="3" t="s">
        <v>423</v>
      </c>
      <c r="H7" s="3" t="s">
        <v>220</v>
      </c>
      <c r="I7" s="3" t="s">
        <v>424</v>
      </c>
      <c r="J7" s="3" t="s">
        <v>425</v>
      </c>
      <c r="K7" s="3" t="s">
        <v>426</v>
      </c>
      <c r="L7" s="3" t="s">
        <v>427</v>
      </c>
      <c r="M7" s="3" t="s">
        <v>428</v>
      </c>
      <c r="N7" s="3" t="s">
        <v>429</v>
      </c>
      <c r="O7" s="3" t="s">
        <v>430</v>
      </c>
      <c r="P7" s="3" t="s">
        <v>221</v>
      </c>
      <c r="Q7" s="3" t="s">
        <v>431</v>
      </c>
      <c r="R7" s="3" t="s">
        <v>432</v>
      </c>
      <c r="S7" s="3" t="s">
        <v>433</v>
      </c>
      <c r="T7" s="3" t="s">
        <v>223</v>
      </c>
      <c r="U7" s="3" t="s">
        <v>434</v>
      </c>
      <c r="V7" s="3" t="s">
        <v>435</v>
      </c>
      <c r="W7" s="3" t="s">
        <v>436</v>
      </c>
      <c r="X7" s="3" t="s">
        <v>224</v>
      </c>
      <c r="Y7" s="3" t="s">
        <v>437</v>
      </c>
      <c r="Z7" s="3" t="s">
        <v>225</v>
      </c>
      <c r="AA7" s="3" t="s">
        <v>438</v>
      </c>
      <c r="AB7" s="3" t="s">
        <v>439</v>
      </c>
      <c r="AC7" s="3" t="s">
        <v>226</v>
      </c>
      <c r="AD7" s="3" t="s">
        <v>440</v>
      </c>
      <c r="AE7" s="3" t="s">
        <v>441</v>
      </c>
      <c r="AF7" s="3" t="s">
        <v>442</v>
      </c>
      <c r="AG7" s="3" t="s">
        <v>443</v>
      </c>
      <c r="AH7" s="3" t="s">
        <v>444</v>
      </c>
      <c r="AI7" s="3" t="s">
        <v>445</v>
      </c>
      <c r="AJ7" s="3" t="s">
        <v>446</v>
      </c>
      <c r="AK7" s="3" t="s">
        <v>447</v>
      </c>
      <c r="AL7" s="3" t="s">
        <v>448</v>
      </c>
      <c r="AM7" s="3" t="s">
        <v>449</v>
      </c>
      <c r="AN7" s="3" t="s">
        <v>227</v>
      </c>
      <c r="AO7" s="3" t="s">
        <v>450</v>
      </c>
      <c r="AP7" s="3" t="s">
        <v>62</v>
      </c>
      <c r="AQ7" s="3" t="s">
        <v>451</v>
      </c>
      <c r="AR7" s="3" t="s">
        <v>452</v>
      </c>
      <c r="AS7" s="3" t="s">
        <v>228</v>
      </c>
      <c r="AT7" s="3" t="s">
        <v>229</v>
      </c>
      <c r="AU7" s="3" t="s">
        <v>65</v>
      </c>
      <c r="AV7" s="3" t="s">
        <v>232</v>
      </c>
      <c r="AW7" s="3" t="s">
        <v>453</v>
      </c>
      <c r="AX7" s="3" t="s">
        <v>454</v>
      </c>
    </row>
    <row r="8" spans="1:50" x14ac:dyDescent="0.25">
      <c r="A8" s="3" t="s">
        <v>70</v>
      </c>
      <c r="B8" s="3" t="s">
        <v>455</v>
      </c>
      <c r="C8" s="3" t="s">
        <v>420</v>
      </c>
      <c r="D8" s="3" t="s">
        <v>421</v>
      </c>
      <c r="E8" s="3" t="s">
        <v>422</v>
      </c>
      <c r="F8" s="3" t="s">
        <v>456</v>
      </c>
      <c r="G8" s="3" t="s">
        <v>219</v>
      </c>
      <c r="H8" s="3" t="s">
        <v>457</v>
      </c>
      <c r="I8" s="3" t="s">
        <v>458</v>
      </c>
      <c r="J8" s="3" t="s">
        <v>422</v>
      </c>
      <c r="K8" s="3" t="s">
        <v>459</v>
      </c>
      <c r="L8" s="3" t="s">
        <v>460</v>
      </c>
      <c r="M8" s="3" t="s">
        <v>428</v>
      </c>
      <c r="N8" s="3" t="s">
        <v>429</v>
      </c>
      <c r="O8" s="3" t="s">
        <v>461</v>
      </c>
      <c r="P8" s="3" t="s">
        <v>462</v>
      </c>
      <c r="Q8" s="3" t="s">
        <v>463</v>
      </c>
      <c r="R8" s="3" t="s">
        <v>464</v>
      </c>
      <c r="S8" s="3" t="s">
        <v>465</v>
      </c>
      <c r="T8" s="3" t="s">
        <v>466</v>
      </c>
      <c r="U8" s="3" t="s">
        <v>467</v>
      </c>
      <c r="V8" s="3" t="s">
        <v>468</v>
      </c>
      <c r="W8" s="3" t="s">
        <v>469</v>
      </c>
      <c r="X8" s="3" t="s">
        <v>470</v>
      </c>
      <c r="Y8" s="3" t="s">
        <v>437</v>
      </c>
      <c r="Z8" s="3" t="s">
        <v>424</v>
      </c>
      <c r="AA8" s="3" t="s">
        <v>471</v>
      </c>
      <c r="AB8" s="3" t="s">
        <v>340</v>
      </c>
      <c r="AC8" s="3" t="s">
        <v>226</v>
      </c>
      <c r="AD8" s="3" t="s">
        <v>472</v>
      </c>
      <c r="AE8" s="3" t="s">
        <v>473</v>
      </c>
      <c r="AF8" s="3" t="s">
        <v>474</v>
      </c>
      <c r="AG8" s="3" t="s">
        <v>475</v>
      </c>
      <c r="AH8" s="3" t="s">
        <v>476</v>
      </c>
      <c r="AI8" s="3" t="s">
        <v>477</v>
      </c>
      <c r="AJ8" s="3" t="s">
        <v>478</v>
      </c>
      <c r="AK8" s="3" t="s">
        <v>479</v>
      </c>
      <c r="AL8" s="3" t="s">
        <v>480</v>
      </c>
      <c r="AM8" s="3" t="s">
        <v>481</v>
      </c>
      <c r="AN8" s="3" t="s">
        <v>227</v>
      </c>
      <c r="AO8" s="3" t="s">
        <v>482</v>
      </c>
      <c r="AP8" s="3" t="s">
        <v>62</v>
      </c>
      <c r="AQ8" s="3" t="s">
        <v>483</v>
      </c>
      <c r="AR8" s="3" t="s">
        <v>484</v>
      </c>
      <c r="AS8" s="3" t="s">
        <v>228</v>
      </c>
      <c r="AT8" s="3" t="s">
        <v>230</v>
      </c>
      <c r="AU8" s="3" t="s">
        <v>231</v>
      </c>
      <c r="AV8" s="3" t="s">
        <v>233</v>
      </c>
      <c r="AW8" s="3" t="s">
        <v>453</v>
      </c>
      <c r="AX8" s="3" t="s">
        <v>485</v>
      </c>
    </row>
    <row r="9" spans="1:50" x14ac:dyDescent="0.25">
      <c r="A9" s="11"/>
      <c r="B9" s="3"/>
      <c r="C9" s="3"/>
      <c r="D9" s="3"/>
      <c r="E9" s="3"/>
      <c r="F9" s="3"/>
      <c r="G9" s="3"/>
      <c r="H9" s="3"/>
      <c r="I9" s="12"/>
      <c r="J9" s="12"/>
      <c r="K9" s="12"/>
      <c r="L9" s="12"/>
      <c r="M9" s="12"/>
      <c r="N9" s="12"/>
      <c r="O9" s="12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50" x14ac:dyDescent="0.25">
      <c r="A10" s="11"/>
      <c r="B10" s="3"/>
      <c r="C10" s="3"/>
      <c r="D10" s="3"/>
      <c r="E10" s="3"/>
      <c r="F10" s="3"/>
      <c r="G10" s="3"/>
      <c r="H10" s="3"/>
      <c r="I10" s="12"/>
      <c r="J10" s="12"/>
      <c r="K10" s="12"/>
      <c r="L10" s="12"/>
      <c r="M10" s="12"/>
      <c r="N10" s="12"/>
      <c r="O10" s="12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50" x14ac:dyDescent="0.25">
      <c r="Z11" s="3"/>
    </row>
    <row r="12" spans="1:50" ht="15.75" x14ac:dyDescent="0.25">
      <c r="B12" s="10"/>
      <c r="C12" s="10"/>
      <c r="D12" s="10"/>
      <c r="J12" s="10"/>
      <c r="K12" s="10"/>
      <c r="L12" s="7"/>
      <c r="S12" s="10"/>
      <c r="T12" s="10"/>
      <c r="Y12" s="3"/>
      <c r="Z12" s="3"/>
    </row>
    <row r="13" spans="1:50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50" x14ac:dyDescent="0.25">
      <c r="A14" s="1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50" x14ac:dyDescent="0.25">
      <c r="A15" s="1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50" x14ac:dyDescent="0.25">
      <c r="A16" s="1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50" x14ac:dyDescent="0.25">
      <c r="A17" s="1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50" x14ac:dyDescent="0.25">
      <c r="A18" s="1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50" x14ac:dyDescent="0.25">
      <c r="A19" s="1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50" x14ac:dyDescent="0.25">
      <c r="B20" s="3"/>
      <c r="C20" s="3"/>
      <c r="D20" s="3"/>
      <c r="E20" s="3"/>
      <c r="F20" s="3"/>
    </row>
    <row r="21" spans="1:50" x14ac:dyDescent="0.25">
      <c r="B21" s="3"/>
      <c r="C21" s="3"/>
      <c r="D21" s="3"/>
      <c r="E21" s="3"/>
      <c r="F21" s="3"/>
    </row>
    <row r="22" spans="1:50" x14ac:dyDescent="0.25">
      <c r="B22" s="3"/>
      <c r="C22" s="3"/>
      <c r="D22" s="3"/>
      <c r="E22" s="3"/>
      <c r="F22" s="3"/>
    </row>
    <row r="23" spans="1:50" x14ac:dyDescent="0.25">
      <c r="B23" s="3"/>
      <c r="C23" s="3"/>
      <c r="D23" s="3"/>
      <c r="E23" s="3"/>
      <c r="F23" s="3"/>
    </row>
    <row r="24" spans="1:50" x14ac:dyDescent="0.25">
      <c r="B24" s="3"/>
      <c r="C24" s="3"/>
      <c r="D24" s="3"/>
      <c r="E24" s="3"/>
      <c r="F24" s="3"/>
    </row>
    <row r="25" spans="1:5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</row>
    <row r="26" spans="1:5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</row>
    <row r="27" spans="1:5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</row>
    <row r="28" spans="1:5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</row>
    <row r="29" spans="1:5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</row>
    <row r="32" spans="1:50" x14ac:dyDescent="0.25">
      <c r="B32" s="3"/>
      <c r="C32" s="3"/>
      <c r="D32" s="3"/>
      <c r="E32" s="3"/>
      <c r="F32" s="3"/>
    </row>
    <row r="33" spans="2:6" x14ac:dyDescent="0.25">
      <c r="B33" s="3"/>
      <c r="C33" s="3"/>
      <c r="D33" s="3"/>
      <c r="E33" s="3"/>
      <c r="F33" s="3"/>
    </row>
    <row r="34" spans="2:6" x14ac:dyDescent="0.25">
      <c r="B34" s="3"/>
      <c r="C34" s="3"/>
      <c r="D34" s="3"/>
      <c r="E34" s="3"/>
      <c r="F34" s="3"/>
    </row>
    <row r="35" spans="2:6" x14ac:dyDescent="0.25">
      <c r="B35" s="3"/>
      <c r="C35" s="3"/>
      <c r="D35" s="3"/>
      <c r="E35" s="3"/>
      <c r="F35" s="3"/>
    </row>
    <row r="36" spans="2:6" x14ac:dyDescent="0.25">
      <c r="B36" s="3"/>
      <c r="C36" s="3"/>
      <c r="D36" s="3"/>
      <c r="E36" s="3"/>
      <c r="F36" s="3"/>
    </row>
    <row r="37" spans="2:6" x14ac:dyDescent="0.25">
      <c r="B37" s="3"/>
      <c r="C37" s="3"/>
      <c r="D37" s="3"/>
      <c r="E37" s="3"/>
      <c r="F37" s="3"/>
    </row>
    <row r="38" spans="2:6" x14ac:dyDescent="0.25">
      <c r="B38" s="3"/>
      <c r="C38" s="3"/>
      <c r="D38" s="3"/>
      <c r="E38" s="3"/>
      <c r="F38" s="3"/>
    </row>
    <row r="39" spans="2:6" x14ac:dyDescent="0.25">
      <c r="B39" s="3"/>
      <c r="C39" s="3"/>
      <c r="D39" s="3"/>
      <c r="E39" s="3"/>
      <c r="F39" s="3"/>
    </row>
    <row r="40" spans="2:6" x14ac:dyDescent="0.25">
      <c r="B40" s="3"/>
      <c r="C40" s="3"/>
      <c r="D40" s="3"/>
      <c r="E40" s="3"/>
      <c r="F40" s="3"/>
    </row>
    <row r="41" spans="2:6" x14ac:dyDescent="0.25">
      <c r="B41" s="3"/>
      <c r="C41" s="3"/>
      <c r="D41" s="3"/>
      <c r="E41" s="3"/>
      <c r="F41" s="3"/>
    </row>
    <row r="42" spans="2:6" x14ac:dyDescent="0.25">
      <c r="B42" s="3"/>
      <c r="C42" s="3"/>
      <c r="D42" s="3"/>
      <c r="E42" s="3"/>
      <c r="F42" s="3"/>
    </row>
    <row r="43" spans="2:6" x14ac:dyDescent="0.25">
      <c r="B43" s="3"/>
      <c r="C43" s="3"/>
      <c r="D43" s="3"/>
      <c r="E43" s="3"/>
      <c r="F43" s="3"/>
    </row>
    <row r="44" spans="2:6" x14ac:dyDescent="0.25">
      <c r="B44" s="3"/>
      <c r="C44" s="3"/>
      <c r="D44" s="3"/>
      <c r="E44" s="3"/>
      <c r="F44" s="3"/>
    </row>
    <row r="45" spans="2:6" x14ac:dyDescent="0.25">
      <c r="B45" s="3"/>
      <c r="C45" s="3"/>
      <c r="D45" s="3"/>
      <c r="E45" s="3"/>
      <c r="F45" s="3"/>
    </row>
    <row r="46" spans="2:6" x14ac:dyDescent="0.25">
      <c r="B46" s="3"/>
      <c r="C46" s="3"/>
      <c r="D46" s="3"/>
      <c r="E46" s="3"/>
      <c r="F46" s="3"/>
    </row>
    <row r="47" spans="2:6" x14ac:dyDescent="0.25">
      <c r="B47" s="3"/>
      <c r="C47" s="3"/>
      <c r="D47" s="3"/>
      <c r="E47" s="3"/>
      <c r="F47" s="3"/>
    </row>
    <row r="48" spans="2:6" x14ac:dyDescent="0.25">
      <c r="B48" s="3"/>
      <c r="C48" s="3"/>
      <c r="D48" s="3"/>
      <c r="E48" s="3"/>
      <c r="F48" s="3"/>
    </row>
    <row r="49" spans="2:6" x14ac:dyDescent="0.25">
      <c r="B49" s="3"/>
      <c r="C49" s="3"/>
      <c r="D49" s="3"/>
      <c r="E49" s="3"/>
      <c r="F49" s="3"/>
    </row>
    <row r="50" spans="2:6" x14ac:dyDescent="0.25">
      <c r="B50" s="3"/>
      <c r="C50" s="3"/>
      <c r="D50" s="3"/>
      <c r="E50" s="3"/>
      <c r="F50" s="3"/>
    </row>
    <row r="51" spans="2:6" x14ac:dyDescent="0.25">
      <c r="B51" s="3"/>
      <c r="C51" s="3"/>
      <c r="D51" s="3"/>
      <c r="E51" s="3"/>
      <c r="F51" s="3"/>
    </row>
  </sheetData>
  <mergeCells count="10">
    <mergeCell ref="Y1:AC1"/>
    <mergeCell ref="AD1:AM1"/>
    <mergeCell ref="AN1:AV1"/>
    <mergeCell ref="AW1:AX1"/>
    <mergeCell ref="B1:H1"/>
    <mergeCell ref="J1:N1"/>
    <mergeCell ref="O1:P1"/>
    <mergeCell ref="Q1:T1"/>
    <mergeCell ref="U1:V1"/>
    <mergeCell ref="W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Income and Pop</vt:lpstr>
      <vt:lpstr>Employment and Productivity</vt:lpstr>
      <vt:lpstr>Out of Sample</vt:lpstr>
      <vt:lpstr>Non-Farm_Time</vt:lpstr>
      <vt:lpstr>Output_per_Worker_Time</vt:lpstr>
      <vt:lpstr>Population_Time</vt:lpstr>
      <vt:lpstr>Wage_Employment_Time</vt:lpstr>
    </vt:vector>
  </TitlesOfParts>
  <Company>Iowa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Economics Department</dc:creator>
  <cp:lastModifiedBy>Duncan, Kevin D</cp:lastModifiedBy>
  <cp:lastPrinted>2013-11-22T18:10:41Z</cp:lastPrinted>
  <dcterms:created xsi:type="dcterms:W3CDTF">2013-08-01T10:22:38Z</dcterms:created>
  <dcterms:modified xsi:type="dcterms:W3CDTF">2014-02-10T22:20:31Z</dcterms:modified>
</cp:coreProperties>
</file>