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orders_project\New_stata_files\"/>
    </mc:Choice>
  </mc:AlternateContent>
  <bookViews>
    <workbookView xWindow="120" yWindow="75" windowWidth="11280" windowHeight="5955" firstSheet="2" activeTab="3"/>
  </bookViews>
  <sheets>
    <sheet name="Income and Pop" sheetId="2" r:id="rId1"/>
    <sheet name="Employment and Productivity" sheetId="3" r:id="rId2"/>
    <sheet name="Best Performance Prediction" sheetId="10" r:id="rId3"/>
    <sheet name="Out of Sample" sheetId="15" r:id="rId4"/>
    <sheet name="Non-Farm_Time" sheetId="11" r:id="rId5"/>
    <sheet name="Output_per_Worker_Time" sheetId="12" r:id="rId6"/>
    <sheet name="Population_Time" sheetId="13" r:id="rId7"/>
    <sheet name="Wage_Employment_Time" sheetId="14" r:id="rId8"/>
    <sheet name="Result_1" sheetId="8" r:id="rId9"/>
    <sheet name="Result_2" sheetId="9" r:id="rId10"/>
  </sheets>
  <definedNames>
    <definedName name="_xlnm._FilterDatabase" localSheetId="8" hidden="1">Result_1!$A$1:$I$99</definedName>
    <definedName name="_xlnm._FilterDatabase" localSheetId="9" hidden="1">Result_2!$A$1:$I$99</definedName>
  </definedNames>
  <calcPr calcId="152511"/>
</workbook>
</file>

<file path=xl/calcChain.xml><?xml version="1.0" encoding="utf-8"?>
<calcChain xmlns="http://schemas.openxmlformats.org/spreadsheetml/2006/main">
  <c r="J20" i="10" l="1"/>
  <c r="I20" i="10"/>
  <c r="H20" i="10"/>
  <c r="G20" i="10"/>
  <c r="F20" i="10"/>
  <c r="E20" i="10"/>
  <c r="D20" i="10"/>
  <c r="C20" i="10"/>
  <c r="J9" i="10"/>
  <c r="I9" i="10"/>
  <c r="H9" i="10"/>
  <c r="G8" i="10"/>
  <c r="F8" i="10"/>
  <c r="E8" i="10"/>
  <c r="D8" i="10"/>
  <c r="C8" i="10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Y11" i="11" l="1"/>
  <c r="Y12" i="11"/>
  <c r="Y13" i="11"/>
  <c r="Y14" i="11"/>
  <c r="Y15" i="11"/>
  <c r="Y16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C11" i="11"/>
  <c r="C12" i="11"/>
  <c r="C13" i="11"/>
  <c r="C14" i="11"/>
  <c r="C15" i="11"/>
  <c r="C16" i="11"/>
  <c r="B11" i="11"/>
  <c r="B12" i="11"/>
  <c r="B13" i="11"/>
  <c r="B14" i="11"/>
  <c r="B15" i="11"/>
  <c r="B16" i="11"/>
  <c r="Y4" i="11"/>
  <c r="Z4" i="11"/>
  <c r="Y5" i="11"/>
  <c r="Z5" i="11"/>
  <c r="Y6" i="11"/>
  <c r="Z6" i="11"/>
  <c r="Y7" i="11"/>
  <c r="Z7" i="11"/>
  <c r="Y8" i="11"/>
  <c r="Z8" i="11"/>
  <c r="Z3" i="11"/>
  <c r="Y3" i="11"/>
  <c r="T4" i="11"/>
  <c r="U4" i="11"/>
  <c r="V4" i="11"/>
  <c r="W4" i="11"/>
  <c r="X4" i="11"/>
  <c r="T5" i="11"/>
  <c r="U5" i="11"/>
  <c r="V5" i="11"/>
  <c r="W5" i="11"/>
  <c r="X5" i="11"/>
  <c r="T6" i="11"/>
  <c r="U6" i="11"/>
  <c r="V6" i="11"/>
  <c r="W6" i="11"/>
  <c r="X6" i="11"/>
  <c r="T7" i="11"/>
  <c r="U7" i="11"/>
  <c r="V7" i="11"/>
  <c r="W7" i="11"/>
  <c r="X7" i="11"/>
  <c r="T8" i="11"/>
  <c r="U8" i="11"/>
  <c r="V8" i="11"/>
  <c r="W8" i="11"/>
  <c r="X8" i="11"/>
  <c r="U3" i="11"/>
  <c r="V3" i="11"/>
  <c r="W3" i="11"/>
  <c r="X3" i="11"/>
  <c r="T3" i="11"/>
  <c r="R4" i="11"/>
  <c r="S4" i="11"/>
  <c r="R5" i="11"/>
  <c r="S5" i="11"/>
  <c r="R6" i="11"/>
  <c r="S6" i="11"/>
  <c r="R7" i="11"/>
  <c r="S7" i="11"/>
  <c r="R8" i="11"/>
  <c r="S8" i="11"/>
  <c r="S3" i="11"/>
  <c r="R3" i="11"/>
  <c r="P4" i="11"/>
  <c r="Q4" i="11"/>
  <c r="P5" i="11"/>
  <c r="Q5" i="11"/>
  <c r="P6" i="11"/>
  <c r="Q6" i="11"/>
  <c r="P7" i="11"/>
  <c r="Q7" i="11"/>
  <c r="P8" i="11"/>
  <c r="Q8" i="11"/>
  <c r="Q3" i="11"/>
  <c r="P3" i="11"/>
  <c r="J3" i="11"/>
  <c r="K3" i="11"/>
  <c r="L3" i="11"/>
  <c r="M3" i="11"/>
  <c r="N3" i="11"/>
  <c r="O3" i="11"/>
  <c r="J4" i="11"/>
  <c r="K4" i="11"/>
  <c r="L4" i="11"/>
  <c r="M4" i="11"/>
  <c r="N4" i="11"/>
  <c r="O4" i="11"/>
  <c r="J5" i="11"/>
  <c r="K5" i="11"/>
  <c r="L5" i="11"/>
  <c r="M5" i="11"/>
  <c r="N5" i="11"/>
  <c r="O5" i="11"/>
  <c r="J6" i="11"/>
  <c r="K6" i="11"/>
  <c r="L6" i="11"/>
  <c r="M6" i="11"/>
  <c r="N6" i="11"/>
  <c r="O6" i="11"/>
  <c r="J7" i="11"/>
  <c r="K7" i="11"/>
  <c r="L7" i="11"/>
  <c r="M7" i="11"/>
  <c r="N7" i="11"/>
  <c r="O7" i="11"/>
  <c r="J8" i="11"/>
  <c r="K8" i="11"/>
  <c r="L8" i="11"/>
  <c r="M8" i="11"/>
  <c r="N8" i="11"/>
  <c r="O8" i="11"/>
  <c r="I4" i="11"/>
  <c r="I5" i="11"/>
  <c r="I6" i="11"/>
  <c r="I7" i="11"/>
  <c r="I8" i="11"/>
  <c r="I3" i="11"/>
  <c r="G4" i="11"/>
  <c r="H4" i="11"/>
  <c r="G5" i="11"/>
  <c r="H5" i="11"/>
  <c r="G6" i="11"/>
  <c r="H6" i="11"/>
  <c r="G7" i="11"/>
  <c r="H7" i="11"/>
  <c r="G8" i="11"/>
  <c r="H8" i="11"/>
  <c r="H3" i="11"/>
  <c r="G3" i="11"/>
  <c r="F4" i="11"/>
  <c r="F5" i="11"/>
  <c r="F6" i="11"/>
  <c r="F7" i="11"/>
  <c r="F8" i="11"/>
  <c r="F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C3" i="11"/>
  <c r="D3" i="11"/>
  <c r="E3" i="11"/>
  <c r="B3" i="11"/>
  <c r="J16" i="10"/>
  <c r="I16" i="10"/>
  <c r="H16" i="10"/>
  <c r="G16" i="10"/>
  <c r="F16" i="10"/>
  <c r="E16" i="10"/>
  <c r="D16" i="10"/>
  <c r="C16" i="10"/>
  <c r="J3" i="9" l="1"/>
  <c r="Q97" i="9"/>
  <c r="P97" i="9"/>
  <c r="O97" i="9"/>
  <c r="N97" i="9"/>
  <c r="M97" i="9"/>
  <c r="L97" i="9"/>
  <c r="K97" i="9"/>
  <c r="J97" i="9"/>
  <c r="Q79" i="9"/>
  <c r="P79" i="9"/>
  <c r="O79" i="9"/>
  <c r="N79" i="9"/>
  <c r="M79" i="9"/>
  <c r="L79" i="9"/>
  <c r="K79" i="9"/>
  <c r="J79" i="9"/>
  <c r="Q59" i="9"/>
  <c r="P59" i="9"/>
  <c r="O59" i="9"/>
  <c r="N59" i="9"/>
  <c r="M59" i="9"/>
  <c r="L59" i="9"/>
  <c r="K59" i="9"/>
  <c r="J59" i="9"/>
  <c r="Q49" i="9"/>
  <c r="P49" i="9"/>
  <c r="O49" i="9"/>
  <c r="N49" i="9"/>
  <c r="M49" i="9"/>
  <c r="L49" i="9"/>
  <c r="K49" i="9"/>
  <c r="J49" i="9"/>
  <c r="Q45" i="9"/>
  <c r="P45" i="9"/>
  <c r="O45" i="9"/>
  <c r="N45" i="9"/>
  <c r="M45" i="9"/>
  <c r="L45" i="9"/>
  <c r="K45" i="9"/>
  <c r="J45" i="9"/>
  <c r="Q41" i="9"/>
  <c r="P41" i="9"/>
  <c r="O41" i="9"/>
  <c r="N41" i="9"/>
  <c r="M41" i="9"/>
  <c r="L41" i="9"/>
  <c r="K41" i="9"/>
  <c r="J41" i="9"/>
  <c r="Q33" i="9"/>
  <c r="P33" i="9"/>
  <c r="O33" i="9"/>
  <c r="N33" i="9"/>
  <c r="M33" i="9"/>
  <c r="L33" i="9"/>
  <c r="K33" i="9"/>
  <c r="J33" i="9"/>
  <c r="Q29" i="9"/>
  <c r="P29" i="9"/>
  <c r="O29" i="9"/>
  <c r="N29" i="9"/>
  <c r="M29" i="9"/>
  <c r="L29" i="9"/>
  <c r="K29" i="9"/>
  <c r="J29" i="9"/>
  <c r="Q19" i="9"/>
  <c r="P19" i="9"/>
  <c r="O19" i="9"/>
  <c r="N19" i="9"/>
  <c r="M19" i="9"/>
  <c r="L19" i="9"/>
  <c r="K19" i="9"/>
  <c r="J19" i="9"/>
  <c r="Q17" i="9"/>
  <c r="P17" i="9"/>
  <c r="O17" i="9"/>
  <c r="N17" i="9"/>
  <c r="M17" i="9"/>
  <c r="L17" i="9"/>
  <c r="K17" i="9"/>
  <c r="J17" i="9"/>
  <c r="Q3" i="9"/>
  <c r="P3" i="9"/>
  <c r="O3" i="9"/>
  <c r="N3" i="9"/>
  <c r="M3" i="9"/>
  <c r="L3" i="9"/>
  <c r="K3" i="9"/>
  <c r="Q45" i="8"/>
  <c r="K45" i="8"/>
  <c r="L45" i="8"/>
  <c r="M45" i="8"/>
  <c r="N45" i="8"/>
  <c r="O45" i="8"/>
  <c r="P45" i="8"/>
  <c r="J45" i="8"/>
  <c r="J49" i="8"/>
  <c r="AD30" i="2"/>
  <c r="AC30" i="2"/>
  <c r="Q19" i="8"/>
  <c r="P19" i="8"/>
  <c r="K19" i="8"/>
  <c r="L19" i="8"/>
  <c r="M19" i="8"/>
  <c r="N19" i="8"/>
  <c r="O19" i="8"/>
  <c r="J19" i="8"/>
  <c r="K41" i="8"/>
  <c r="L41" i="8"/>
  <c r="M41" i="8"/>
  <c r="N41" i="8"/>
  <c r="O41" i="8"/>
  <c r="P41" i="8"/>
  <c r="Q41" i="8"/>
  <c r="J41" i="8"/>
  <c r="P33" i="8"/>
  <c r="J33" i="8"/>
  <c r="K33" i="8"/>
  <c r="L33" i="8"/>
  <c r="M33" i="8"/>
  <c r="N33" i="8"/>
  <c r="O33" i="8"/>
  <c r="Q33" i="8"/>
  <c r="K29" i="8"/>
  <c r="L29" i="8"/>
  <c r="M29" i="8"/>
  <c r="N29" i="8"/>
  <c r="O29" i="8"/>
  <c r="P29" i="8"/>
  <c r="Q29" i="8"/>
  <c r="J29" i="8"/>
  <c r="K17" i="8"/>
  <c r="L17" i="8"/>
  <c r="M17" i="8"/>
  <c r="N17" i="8"/>
  <c r="O17" i="8"/>
  <c r="P17" i="8"/>
  <c r="Q17" i="8"/>
  <c r="J17" i="8"/>
  <c r="K3" i="8"/>
  <c r="L3" i="8"/>
  <c r="M3" i="8"/>
  <c r="N3" i="8"/>
  <c r="O3" i="8"/>
  <c r="P3" i="8"/>
  <c r="Q3" i="8"/>
  <c r="J3" i="8"/>
  <c r="K97" i="8"/>
  <c r="L97" i="8"/>
  <c r="M97" i="8"/>
  <c r="N97" i="8"/>
  <c r="O97" i="8"/>
  <c r="P97" i="8"/>
  <c r="Q97" i="8"/>
  <c r="J97" i="8"/>
  <c r="K79" i="8"/>
  <c r="L79" i="8"/>
  <c r="M79" i="8"/>
  <c r="N79" i="8"/>
  <c r="O79" i="8"/>
  <c r="P79" i="8"/>
  <c r="Q79" i="8"/>
  <c r="J79" i="8"/>
  <c r="N59" i="8"/>
  <c r="K59" i="8"/>
  <c r="L59" i="8"/>
  <c r="M59" i="8"/>
  <c r="O59" i="8"/>
  <c r="P59" i="8"/>
  <c r="Q59" i="8"/>
  <c r="J59" i="8"/>
  <c r="Q49" i="8"/>
  <c r="P49" i="8"/>
  <c r="O49" i="8"/>
  <c r="N49" i="8"/>
  <c r="M49" i="8"/>
  <c r="L49" i="8"/>
  <c r="K49" i="8"/>
  <c r="AG29" i="3"/>
  <c r="AF29" i="3"/>
  <c r="AG22" i="3"/>
  <c r="AF22" i="3"/>
  <c r="AG15" i="3"/>
  <c r="AF15" i="3"/>
  <c r="AG8" i="3"/>
  <c r="AF8" i="3"/>
  <c r="AD29" i="3"/>
  <c r="AC29" i="3"/>
  <c r="AD22" i="3"/>
  <c r="AC22" i="3"/>
  <c r="AD15" i="3"/>
  <c r="AC15" i="3"/>
  <c r="AD8" i="3"/>
  <c r="AC8" i="3"/>
  <c r="AA29" i="3"/>
  <c r="Z29" i="3"/>
  <c r="AA22" i="3"/>
  <c r="Z22" i="3"/>
  <c r="AA15" i="3"/>
  <c r="Z15" i="3"/>
  <c r="AA8" i="3"/>
  <c r="Z8" i="3"/>
  <c r="X29" i="3"/>
  <c r="W29" i="3"/>
  <c r="X22" i="3"/>
  <c r="W22" i="3"/>
  <c r="X15" i="3"/>
  <c r="W15" i="3"/>
  <c r="X8" i="3"/>
  <c r="W8" i="3"/>
  <c r="U29" i="3"/>
  <c r="T29" i="3"/>
  <c r="U22" i="3"/>
  <c r="T22" i="3"/>
  <c r="U15" i="3"/>
  <c r="T15" i="3"/>
  <c r="U8" i="3"/>
  <c r="T8" i="3"/>
  <c r="R29" i="3"/>
  <c r="Q29" i="3"/>
  <c r="Q22" i="3"/>
  <c r="R22" i="3"/>
  <c r="R15" i="3"/>
  <c r="Q15" i="3"/>
  <c r="R8" i="3"/>
  <c r="Q8" i="3"/>
  <c r="L29" i="3"/>
  <c r="K29" i="3"/>
  <c r="L22" i="3"/>
  <c r="K22" i="3"/>
  <c r="L15" i="3"/>
  <c r="K15" i="3"/>
  <c r="L8" i="3"/>
  <c r="K8" i="3"/>
  <c r="I15" i="3"/>
  <c r="H15" i="3"/>
  <c r="I22" i="3"/>
  <c r="H22" i="3"/>
  <c r="I29" i="3"/>
  <c r="H29" i="3"/>
  <c r="I8" i="3"/>
  <c r="H8" i="3"/>
  <c r="F22" i="3"/>
  <c r="E22" i="3"/>
  <c r="F15" i="3"/>
  <c r="E15" i="3"/>
  <c r="F8" i="3"/>
  <c r="E8" i="3"/>
  <c r="C29" i="3"/>
  <c r="B29" i="3"/>
  <c r="C22" i="3"/>
  <c r="B22" i="3"/>
  <c r="C15" i="3"/>
  <c r="B15" i="3"/>
  <c r="C8" i="3"/>
  <c r="B8" i="3"/>
  <c r="F29" i="3"/>
  <c r="E29" i="3"/>
  <c r="AG29" i="2"/>
  <c r="AF29" i="2"/>
  <c r="AG22" i="2"/>
  <c r="AF22" i="2"/>
  <c r="AG15" i="2"/>
  <c r="AF15" i="2"/>
  <c r="AG8" i="2"/>
  <c r="AF8" i="2"/>
  <c r="AD29" i="2"/>
  <c r="AC29" i="2"/>
  <c r="AD22" i="2"/>
  <c r="AC22" i="2"/>
  <c r="AD15" i="2"/>
  <c r="AC15" i="2"/>
  <c r="AD8" i="2"/>
  <c r="AC8" i="2"/>
  <c r="AA29" i="2"/>
  <c r="Z29" i="2"/>
  <c r="AA22" i="2"/>
  <c r="Z22" i="2"/>
  <c r="AA15" i="2"/>
  <c r="Z15" i="2"/>
  <c r="AA8" i="2"/>
  <c r="Z8" i="2"/>
  <c r="X29" i="2"/>
  <c r="W29" i="2"/>
  <c r="X22" i="2"/>
  <c r="W22" i="2"/>
  <c r="X15" i="2"/>
  <c r="W15" i="2"/>
  <c r="X8" i="2"/>
  <c r="W8" i="2"/>
  <c r="U29" i="2"/>
  <c r="T29" i="2"/>
  <c r="U22" i="2"/>
  <c r="T22" i="2"/>
  <c r="U15" i="2"/>
  <c r="T15" i="2"/>
  <c r="U8" i="2"/>
  <c r="T8" i="2"/>
  <c r="R29" i="2"/>
  <c r="Q29" i="2"/>
  <c r="R22" i="2"/>
  <c r="Q22" i="2"/>
  <c r="R15" i="2"/>
  <c r="Q15" i="2"/>
  <c r="R8" i="2"/>
  <c r="Q8" i="2"/>
  <c r="L29" i="2"/>
  <c r="K29" i="2"/>
  <c r="L22" i="2"/>
  <c r="K22" i="2"/>
  <c r="L15" i="2"/>
  <c r="K15" i="2"/>
  <c r="L8" i="2"/>
  <c r="K8" i="2"/>
  <c r="I29" i="2"/>
  <c r="H29" i="2"/>
  <c r="I22" i="2"/>
  <c r="H22" i="2"/>
  <c r="I15" i="2"/>
  <c r="H15" i="2"/>
  <c r="I8" i="2"/>
  <c r="H8" i="2"/>
  <c r="F22" i="2"/>
  <c r="E22" i="2"/>
  <c r="F15" i="2"/>
  <c r="E15" i="2"/>
  <c r="F8" i="2"/>
  <c r="E8" i="2"/>
  <c r="F29" i="2"/>
  <c r="E29" i="2"/>
  <c r="B29" i="2"/>
  <c r="C29" i="2"/>
  <c r="C22" i="2"/>
  <c r="B22" i="2"/>
  <c r="C15" i="2"/>
  <c r="B15" i="2"/>
  <c r="C8" i="2"/>
  <c r="B8" i="2"/>
</calcChain>
</file>

<file path=xl/sharedStrings.xml><?xml version="1.0" encoding="utf-8"?>
<sst xmlns="http://schemas.openxmlformats.org/spreadsheetml/2006/main" count="2828" uniqueCount="636">
  <si>
    <t>Metrics</t>
  </si>
  <si>
    <t>Backcast</t>
  </si>
  <si>
    <t>Forecast</t>
  </si>
  <si>
    <t>Aggregate Income</t>
  </si>
  <si>
    <t>Nonfarm Income</t>
  </si>
  <si>
    <t>Per capita Income</t>
  </si>
  <si>
    <t>Population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</si>
  <si>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</si>
  <si>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Beacon Hill</t>
  </si>
  <si>
    <t>CED Policy</t>
  </si>
  <si>
    <t>CED Capacity</t>
  </si>
  <si>
    <t>CED Fiscal Policy</t>
  </si>
  <si>
    <t>Fantus</t>
  </si>
  <si>
    <t>Grant Thornton</t>
  </si>
  <si>
    <t>New Economy</t>
  </si>
  <si>
    <t>Fraser</t>
  </si>
  <si>
    <t>Small Business</t>
  </si>
  <si>
    <t>Pacific Institute</t>
  </si>
  <si>
    <t>Tax Foundation</t>
  </si>
  <si>
    <t>4/4</t>
  </si>
  <si>
    <t>2/4</t>
  </si>
  <si>
    <t>1/4</t>
  </si>
  <si>
    <t>0/4</t>
  </si>
  <si>
    <t>3/4</t>
  </si>
  <si>
    <t>0/5</t>
  </si>
  <si>
    <t>3/5</t>
  </si>
  <si>
    <t>4/5</t>
  </si>
  <si>
    <t>1/5</t>
  </si>
  <si>
    <t>2/10</t>
  </si>
  <si>
    <t>5/10</t>
  </si>
  <si>
    <t>0/10</t>
  </si>
  <si>
    <t>4/10</t>
  </si>
  <si>
    <t>1/10</t>
  </si>
  <si>
    <t>8/10</t>
  </si>
  <si>
    <t>6/10</t>
  </si>
  <si>
    <t>3/10</t>
  </si>
  <si>
    <t>9/10</t>
  </si>
  <si>
    <t>5/5</t>
  </si>
  <si>
    <t>2/5</t>
  </si>
  <si>
    <t>0/1</t>
  </si>
  <si>
    <t>1/1</t>
  </si>
  <si>
    <t>0/2</t>
  </si>
  <si>
    <t>2/2</t>
  </si>
  <si>
    <t>1/2</t>
  </si>
  <si>
    <t>6/7</t>
  </si>
  <si>
    <t>7/7</t>
  </si>
  <si>
    <t>2/7</t>
  </si>
  <si>
    <t>3/7</t>
  </si>
  <si>
    <t>4/7</t>
  </si>
  <si>
    <t>0/7</t>
  </si>
  <si>
    <t>1/7</t>
  </si>
  <si>
    <t>5/7</t>
  </si>
  <si>
    <t>Table x:  Performance of Business Climate Indexes in Predicting Relative Income or Population Growth at State Borders Over the Next 5 Years</t>
  </si>
  <si>
    <t>Table y:  Performance of Business Climate Indexes in Predicting Relative Employment, Wage or Productivity Growth at State Borders Over the Next 5 Years</t>
  </si>
  <si>
    <t>Average Wage</t>
  </si>
  <si>
    <t>Productivity</t>
  </si>
  <si>
    <t>Wage Bill</t>
  </si>
  <si>
    <t>Employment</t>
  </si>
  <si>
    <t>10/10</t>
  </si>
  <si>
    <t>7/10</t>
  </si>
  <si>
    <t>lngt80diff~e</t>
  </si>
  <si>
    <t>0.224*</t>
  </si>
  <si>
    <t>0.119**</t>
  </si>
  <si>
    <t>0.0662**</t>
  </si>
  <si>
    <t>R-sq</t>
  </si>
  <si>
    <t>lngt81diff~e</t>
  </si>
  <si>
    <t>0.0584**</t>
  </si>
  <si>
    <t>0.0437***</t>
  </si>
  <si>
    <t>0.0229**</t>
  </si>
  <si>
    <t>0.0242***</t>
  </si>
  <si>
    <t>lngt82diff~e</t>
  </si>
  <si>
    <t>0.118***</t>
  </si>
  <si>
    <t>0.0349*</t>
  </si>
  <si>
    <t>0.0735***</t>
  </si>
  <si>
    <t>0.0675**</t>
  </si>
  <si>
    <t>0.0316*</t>
  </si>
  <si>
    <t>0.0232*</t>
  </si>
  <si>
    <t>lngt83diff~e</t>
  </si>
  <si>
    <t>0.0542*</t>
  </si>
  <si>
    <t>0.0650***</t>
  </si>
  <si>
    <t>0.0335***</t>
  </si>
  <si>
    <t>lngt84diff~e</t>
  </si>
  <si>
    <t>0.0484***</t>
  </si>
  <si>
    <t>lngt85diff~e</t>
  </si>
  <si>
    <t>0.0658*</t>
  </si>
  <si>
    <t>0.0375**</t>
  </si>
  <si>
    <t>0.0325***</t>
  </si>
  <si>
    <t>lngt86diff~e</t>
  </si>
  <si>
    <t>0.0608*</t>
  </si>
  <si>
    <t>0.0654***</t>
  </si>
  <si>
    <t>0.0415***</t>
  </si>
  <si>
    <t>lnft75diff~e</t>
  </si>
  <si>
    <t>-0.0207*</t>
  </si>
  <si>
    <t>lnsb00diff~e</t>
  </si>
  <si>
    <t>0.0780**</t>
  </si>
  <si>
    <t>-0.0523*</t>
  </si>
  <si>
    <t>0.0358*</t>
  </si>
  <si>
    <t>-0.0345**</t>
  </si>
  <si>
    <t>lnsb01diff~e</t>
  </si>
  <si>
    <t>-0.0687**</t>
  </si>
  <si>
    <t>-0.0484***</t>
  </si>
  <si>
    <t>lnsb02diff~e</t>
  </si>
  <si>
    <t>-0.0715***</t>
  </si>
  <si>
    <t>-0.0440***</t>
  </si>
  <si>
    <t>lnsb03diff~e</t>
  </si>
  <si>
    <t>-0.0551**</t>
  </si>
  <si>
    <t>-0.0460***</t>
  </si>
  <si>
    <t>lnsb04diff~e</t>
  </si>
  <si>
    <t>-0.0418*</t>
  </si>
  <si>
    <t>0.0513*</t>
  </si>
  <si>
    <t>-0.0287*</t>
  </si>
  <si>
    <t>-0.0506***</t>
  </si>
  <si>
    <t>lnne99diff~e</t>
  </si>
  <si>
    <t>0.0719**</t>
  </si>
  <si>
    <t>0.0395**</t>
  </si>
  <si>
    <t>lnne02diff~e</t>
  </si>
  <si>
    <t>0.0712*</t>
  </si>
  <si>
    <t>lnbh01diff~e</t>
  </si>
  <si>
    <t>0.0720**</t>
  </si>
  <si>
    <t>0.0450*</t>
  </si>
  <si>
    <t>lnbh02diff~e</t>
  </si>
  <si>
    <t>0.0826*</t>
  </si>
  <si>
    <t>lnbh03diff~e</t>
  </si>
  <si>
    <t>lnbh04diff~e</t>
  </si>
  <si>
    <t>0.0460*</t>
  </si>
  <si>
    <t>lnfrng04di~e</t>
  </si>
  <si>
    <t>-0.0416**</t>
  </si>
  <si>
    <t>-0.0403**</t>
  </si>
  <si>
    <t>lnfrsg04di~e</t>
  </si>
  <si>
    <t>0.0848**</t>
  </si>
  <si>
    <t>-0.0521***</t>
  </si>
  <si>
    <t>-0.0488***</t>
  </si>
  <si>
    <t>lnpri99dif~e</t>
  </si>
  <si>
    <t>-0.0914**</t>
  </si>
  <si>
    <t>-0.0898***</t>
  </si>
  <si>
    <t>lnpri04dif~e</t>
  </si>
  <si>
    <t>lncedp87di~e</t>
  </si>
  <si>
    <t>0.0243*</t>
  </si>
  <si>
    <t>0.0135**</t>
  </si>
  <si>
    <t>0.0171**</t>
  </si>
  <si>
    <t>lncedp88di~e</t>
  </si>
  <si>
    <t>lncedp89di~e</t>
  </si>
  <si>
    <t>0.0206*</t>
  </si>
  <si>
    <t>0.0360**</t>
  </si>
  <si>
    <t>0.0192***</t>
  </si>
  <si>
    <t>0.0168**</t>
  </si>
  <si>
    <t>0.0150*</t>
  </si>
  <si>
    <t>0.0175*</t>
  </si>
  <si>
    <t>0.0115***</t>
  </si>
  <si>
    <t>lncedp90di~e</t>
  </si>
  <si>
    <t>0.0182*</t>
  </si>
  <si>
    <t>0.0411***</t>
  </si>
  <si>
    <t>0.0213***</t>
  </si>
  <si>
    <t>0.0211***</t>
  </si>
  <si>
    <t>0.0120*</t>
  </si>
  <si>
    <t>0.0153**</t>
  </si>
  <si>
    <t>0.00992*</t>
  </si>
  <si>
    <t>0.0143***</t>
  </si>
  <si>
    <t>lncedp91di~e</t>
  </si>
  <si>
    <t>0.0272**</t>
  </si>
  <si>
    <t>0.00965*</t>
  </si>
  <si>
    <t>0.0149**</t>
  </si>
  <si>
    <t>0.0186***</t>
  </si>
  <si>
    <t>0.0109***</t>
  </si>
  <si>
    <t>lncedc87di~e</t>
  </si>
  <si>
    <t>-0.0166*</t>
  </si>
  <si>
    <t>lncedc88di~e</t>
  </si>
  <si>
    <t>0.0105*</t>
  </si>
  <si>
    <t>lncedc89di~e</t>
  </si>
  <si>
    <t>0.0257*</t>
  </si>
  <si>
    <t>0.0164**</t>
  </si>
  <si>
    <t>lncedc90di~e</t>
  </si>
  <si>
    <t>lncedc91di~e</t>
  </si>
  <si>
    <t>lncedc92di~e</t>
  </si>
  <si>
    <t>0.0118*</t>
  </si>
  <si>
    <t>lncedc93di~e</t>
  </si>
  <si>
    <t>-0.0174*</t>
  </si>
  <si>
    <t>lncedc94di~e</t>
  </si>
  <si>
    <t>-0.0248**</t>
  </si>
  <si>
    <t>0.0163*</t>
  </si>
  <si>
    <t>-0.0136**</t>
  </si>
  <si>
    <t>lncedc95di~e</t>
  </si>
  <si>
    <t>-0.0249**</t>
  </si>
  <si>
    <t>-0.00921*</t>
  </si>
  <si>
    <t>lncedc96di~e</t>
  </si>
  <si>
    <t>-0.0181*</t>
  </si>
  <si>
    <t>-0.0113*</t>
  </si>
  <si>
    <t>-0.0102**</t>
  </si>
  <si>
    <t>lncedpi88d~e</t>
  </si>
  <si>
    <t>-0.108*</t>
  </si>
  <si>
    <t>-0.0713**</t>
  </si>
  <si>
    <t>-0.0512**</t>
  </si>
  <si>
    <t>lncedpi89d~e</t>
  </si>
  <si>
    <t>-0.0635***</t>
  </si>
  <si>
    <t>-0.0302*</t>
  </si>
  <si>
    <t>-0.0272**</t>
  </si>
  <si>
    <t>-0.0231**</t>
  </si>
  <si>
    <t>lncedpi90d~e</t>
  </si>
  <si>
    <t>-0.0904**</t>
  </si>
  <si>
    <t>-0.0616***</t>
  </si>
  <si>
    <t>-0.0387*</t>
  </si>
  <si>
    <t>-0.0391*</t>
  </si>
  <si>
    <t>-0.0301**</t>
  </si>
  <si>
    <t>-0.0288***</t>
  </si>
  <si>
    <t>lncedpi91d~e</t>
  </si>
  <si>
    <t>-0.0663*</t>
  </si>
  <si>
    <t>-0.0554***</t>
  </si>
  <si>
    <t>-0.0347*</t>
  </si>
  <si>
    <t>-0.0342**</t>
  </si>
  <si>
    <t>-0.0294***</t>
  </si>
  <si>
    <t>lncedpi92d~e</t>
  </si>
  <si>
    <t>-0.0800**</t>
  </si>
  <si>
    <t>-0.0493**</t>
  </si>
  <si>
    <t>-0.0345*</t>
  </si>
  <si>
    <t>-0.0335***</t>
  </si>
  <si>
    <t>-0.0232*</t>
  </si>
  <si>
    <t>lncedpi93d~e</t>
  </si>
  <si>
    <t>-0.0343*</t>
  </si>
  <si>
    <t>lncedpi94d~e</t>
  </si>
  <si>
    <t>-0.0288*</t>
  </si>
  <si>
    <t>lncedpi95d~e</t>
  </si>
  <si>
    <t>-0.113*</t>
  </si>
  <si>
    <t>0.0522*</t>
  </si>
  <si>
    <t>-0.0541*</t>
  </si>
  <si>
    <t>0.0333*</t>
  </si>
  <si>
    <t>lncedpi96d~e</t>
  </si>
  <si>
    <t>-0.0349**</t>
  </si>
  <si>
    <t>lntf03diff~e</t>
  </si>
  <si>
    <t>-0.0453**</t>
  </si>
  <si>
    <t>0.0431*</t>
  </si>
  <si>
    <t>lntf04diff~e</t>
  </si>
  <si>
    <t>-0.109***</t>
  </si>
  <si>
    <t>0.0491***</t>
  </si>
  <si>
    <t>aginc_back~d</t>
  </si>
  <si>
    <t>pop_backward</t>
  </si>
  <si>
    <t>pop_predict</t>
  </si>
  <si>
    <t>avwage_bac~d</t>
  </si>
  <si>
    <t>avwage_pre~t</t>
  </si>
  <si>
    <t>output_bac~d</t>
  </si>
  <si>
    <t>output_pre~t</t>
  </si>
  <si>
    <t>wagebill_b~d</t>
  </si>
  <si>
    <t>wagebill_p~t</t>
  </si>
  <si>
    <t>wageemp_ba~d</t>
  </si>
  <si>
    <t>wageemp_pr~t</t>
  </si>
  <si>
    <t>0.0270*</t>
  </si>
  <si>
    <t>0.0607*</t>
  </si>
  <si>
    <t>0.0395*</t>
  </si>
  <si>
    <t>0.0207*</t>
  </si>
  <si>
    <t>0.0263**</t>
  </si>
  <si>
    <t>0.0419***</t>
  </si>
  <si>
    <t>0.0789**</t>
  </si>
  <si>
    <t>0.0581*</t>
  </si>
  <si>
    <t>-0.0619*</t>
  </si>
  <si>
    <t>-0.0948***</t>
  </si>
  <si>
    <t>-0.0571**</t>
  </si>
  <si>
    <t>-0.0493*</t>
  </si>
  <si>
    <t>0.0846*</t>
  </si>
  <si>
    <t>0.0788**</t>
  </si>
  <si>
    <t>0.0478**</t>
  </si>
  <si>
    <t>0.0506*</t>
  </si>
  <si>
    <t>0.0990**</t>
  </si>
  <si>
    <t>-0.0478*</t>
  </si>
  <si>
    <t>0.0515*</t>
  </si>
  <si>
    <t>-0.0762**</t>
  </si>
  <si>
    <t>0.0434*</t>
  </si>
  <si>
    <t>-0.00821*</t>
  </si>
  <si>
    <t>-0.00885*</t>
  </si>
  <si>
    <t>0.0146*</t>
  </si>
  <si>
    <t>0.00952**</t>
  </si>
  <si>
    <t>0.0101**</t>
  </si>
  <si>
    <t>0.0110*</t>
  </si>
  <si>
    <t>0.00729*</t>
  </si>
  <si>
    <t>0.00909**</t>
  </si>
  <si>
    <t>-0.0134*</t>
  </si>
  <si>
    <t>-0.0114*</t>
  </si>
  <si>
    <t>-0.0120*</t>
  </si>
  <si>
    <t>-0.0116*</t>
  </si>
  <si>
    <t>-0.0124*</t>
  </si>
  <si>
    <t>-0.0900*</t>
  </si>
  <si>
    <t>-0.0522*</t>
  </si>
  <si>
    <t>-0.0414*</t>
  </si>
  <si>
    <t>-0.0258*</t>
  </si>
  <si>
    <t>-0.0299*</t>
  </si>
  <si>
    <t>-0.0416*</t>
  </si>
  <si>
    <t>-0.0544**</t>
  </si>
  <si>
    <t>-0.0650**</t>
  </si>
  <si>
    <t>-0.0729**</t>
  </si>
  <si>
    <t>-0.0589*</t>
  </si>
  <si>
    <t>-0.0407*</t>
  </si>
  <si>
    <t>0.103*</t>
  </si>
  <si>
    <t>0.0717*</t>
  </si>
  <si>
    <t>-0.0608*</t>
  </si>
  <si>
    <t>-0.0689*</t>
  </si>
  <si>
    <t>aginc_pred~t    n</t>
  </si>
  <si>
    <t xml:space="preserve">             </t>
  </si>
  <si>
    <t>nfincome_b~d    n</t>
  </si>
  <si>
    <t>nfincome_p~t    p</t>
  </si>
  <si>
    <t>percapinc_~d    p</t>
  </si>
  <si>
    <t>percapinc_~t    p</t>
  </si>
  <si>
    <t>//see results_1, there are 9 years here</t>
  </si>
  <si>
    <t>Table XX: Best Performing Year for Each Index</t>
  </si>
  <si>
    <t>Index</t>
  </si>
  <si>
    <t>Non-Farm Income</t>
  </si>
  <si>
    <t>Per Capita Income</t>
  </si>
  <si>
    <t>Output per Worker</t>
  </si>
  <si>
    <t>gt86</t>
  </si>
  <si>
    <t>ft75</t>
  </si>
  <si>
    <t>sb00</t>
  </si>
  <si>
    <t>ne99</t>
  </si>
  <si>
    <t>bh04</t>
  </si>
  <si>
    <t>frsg04</t>
  </si>
  <si>
    <t>pri04</t>
  </si>
  <si>
    <t>cedp90</t>
  </si>
  <si>
    <t>cedc89</t>
  </si>
  <si>
    <t>cedpi95</t>
  </si>
  <si>
    <t>tf03</t>
  </si>
  <si>
    <t>The criteria for picking indexes was the most amount of positive significant coefficients for foreward prediction, followed bymost positive coefficients in general</t>
  </si>
  <si>
    <t>Interestingly, gt86 has both the overall most foreward predictions, and the most positive predictors</t>
  </si>
  <si>
    <t>Neither ne index has significant positive predictors, and both share one backwards looking significant predictor.</t>
  </si>
  <si>
    <t>bh03 also has one significant correlation, most positive correlations, but many others are negatively correlated</t>
  </si>
  <si>
    <t>Most positive significant correlations</t>
  </si>
  <si>
    <t>index</t>
  </si>
  <si>
    <t>positive</t>
  </si>
  <si>
    <t>significant</t>
  </si>
  <si>
    <t>best R2</t>
  </si>
  <si>
    <t>best year</t>
  </si>
  <si>
    <t>best coeff</t>
  </si>
  <si>
    <t>After 2005</t>
  </si>
  <si>
    <t>gt80</t>
  </si>
  <si>
    <t>95-00</t>
  </si>
  <si>
    <t>0.128***</t>
  </si>
  <si>
    <t>gt81</t>
  </si>
  <si>
    <t>0.0420***</t>
  </si>
  <si>
    <t>gt82</t>
  </si>
  <si>
    <t>0.0552***</t>
  </si>
  <si>
    <t>gt83</t>
  </si>
  <si>
    <t>90-95</t>
  </si>
  <si>
    <t>0.0486***</t>
  </si>
  <si>
    <t>gt84</t>
  </si>
  <si>
    <t>0.0423**</t>
  </si>
  <si>
    <t>gt85</t>
  </si>
  <si>
    <t>0.0413**</t>
  </si>
  <si>
    <t>85-90</t>
  </si>
  <si>
    <t>0.0510**</t>
  </si>
  <si>
    <t>-0.120***</t>
  </si>
  <si>
    <t>sb01</t>
  </si>
  <si>
    <t>-0.126***</t>
  </si>
  <si>
    <t>sb02</t>
  </si>
  <si>
    <t>-0.107***</t>
  </si>
  <si>
    <t>sb03</t>
  </si>
  <si>
    <t>sb04</t>
  </si>
  <si>
    <t>-0.124***</t>
  </si>
  <si>
    <t>ne02</t>
  </si>
  <si>
    <t>75-80</t>
  </si>
  <si>
    <t>bh01</t>
  </si>
  <si>
    <t>0.0678**</t>
  </si>
  <si>
    <t>bh02</t>
  </si>
  <si>
    <t>0.0493*</t>
  </si>
  <si>
    <t>bh03</t>
  </si>
  <si>
    <t>0.0643**</t>
  </si>
  <si>
    <t>frng04</t>
  </si>
  <si>
    <t>-0.103***</t>
  </si>
  <si>
    <t>-0.158***</t>
  </si>
  <si>
    <t>pri99</t>
  </si>
  <si>
    <t>-0.0703**</t>
  </si>
  <si>
    <t>-0.0553**</t>
  </si>
  <si>
    <t>cedp87</t>
  </si>
  <si>
    <t>00-05</t>
  </si>
  <si>
    <t>-0.0137**</t>
  </si>
  <si>
    <t>cedp88</t>
  </si>
  <si>
    <t>-0.0160**</t>
  </si>
  <si>
    <t>cedp89</t>
  </si>
  <si>
    <t>-0.0203***</t>
  </si>
  <si>
    <t>-0.0211***</t>
  </si>
  <si>
    <t>cedp91</t>
  </si>
  <si>
    <t>-0.0175***</t>
  </si>
  <si>
    <t>cedc87</t>
  </si>
  <si>
    <t>-0.0252***</t>
  </si>
  <si>
    <t>cedc88</t>
  </si>
  <si>
    <t>cedc90</t>
  </si>
  <si>
    <t>cedc91</t>
  </si>
  <si>
    <t>-0.00714*</t>
  </si>
  <si>
    <t>cedc92</t>
  </si>
  <si>
    <t>-0.00806*</t>
  </si>
  <si>
    <t>cedc93</t>
  </si>
  <si>
    <t>-0.00741*</t>
  </si>
  <si>
    <t>cedc94</t>
  </si>
  <si>
    <t>-0.00867*</t>
  </si>
  <si>
    <t>cedc95</t>
  </si>
  <si>
    <t>cedc96</t>
  </si>
  <si>
    <t>-0.00882*</t>
  </si>
  <si>
    <t>cedpi88</t>
  </si>
  <si>
    <t>-0.0638*</t>
  </si>
  <si>
    <t>cedpi89</t>
  </si>
  <si>
    <t>-0.0571***</t>
  </si>
  <si>
    <t>cedpi90</t>
  </si>
  <si>
    <t>cedpi91</t>
  </si>
  <si>
    <t>-0.0622***</t>
  </si>
  <si>
    <t>cedpi92</t>
  </si>
  <si>
    <t>-0.0610***</t>
  </si>
  <si>
    <t>cedpi93</t>
  </si>
  <si>
    <t>-0.0900**</t>
  </si>
  <si>
    <t>cedpi94</t>
  </si>
  <si>
    <t>-0.0964**</t>
  </si>
  <si>
    <t>-0.0909**</t>
  </si>
  <si>
    <t>cedpi96</t>
  </si>
  <si>
    <t>-0.0799**</t>
  </si>
  <si>
    <t>0.036</t>
  </si>
  <si>
    <t>0.033</t>
  </si>
  <si>
    <t>0.032</t>
  </si>
  <si>
    <t>0.035</t>
  </si>
  <si>
    <t>0.03</t>
  </si>
  <si>
    <t>0.007</t>
  </si>
  <si>
    <t>0.066</t>
  </si>
  <si>
    <t>0.067</t>
  </si>
  <si>
    <t>0.072</t>
  </si>
  <si>
    <t>0.07</t>
  </si>
  <si>
    <t>0.005</t>
  </si>
  <si>
    <t>0.023</t>
  </si>
  <si>
    <t>0.012</t>
  </si>
  <si>
    <t>0.02</t>
  </si>
  <si>
    <t>0.019</t>
  </si>
  <si>
    <t>0.05</t>
  </si>
  <si>
    <t>0.075</t>
  </si>
  <si>
    <t>0.024</t>
  </si>
  <si>
    <t>0.021</t>
  </si>
  <si>
    <t>0.022</t>
  </si>
  <si>
    <t>0.016</t>
  </si>
  <si>
    <t>0.04</t>
  </si>
  <si>
    <t>0.037</t>
  </si>
  <si>
    <t>0.009</t>
  </si>
  <si>
    <t>0.006</t>
  </si>
  <si>
    <t>0.008</t>
  </si>
  <si>
    <t>05-10</t>
  </si>
  <si>
    <t>0.011</t>
  </si>
  <si>
    <t>0.038</t>
  </si>
  <si>
    <t>0.039</t>
  </si>
  <si>
    <t>0.047</t>
  </si>
  <si>
    <t>0.044</t>
  </si>
  <si>
    <t>0.034</t>
  </si>
  <si>
    <t>0.014</t>
  </si>
  <si>
    <t>0.0670**</t>
  </si>
  <si>
    <t>0.0278*</t>
  </si>
  <si>
    <t>0.0306**</t>
  </si>
  <si>
    <t>0.0259**</t>
  </si>
  <si>
    <t>0.015</t>
  </si>
  <si>
    <t>0.0213*</t>
  </si>
  <si>
    <t>0.017</t>
  </si>
  <si>
    <t>0.0263*</t>
  </si>
  <si>
    <t>0.013</t>
  </si>
  <si>
    <t>-0.00987*</t>
  </si>
  <si>
    <t>80-85</t>
  </si>
  <si>
    <t>-0.0360*</t>
  </si>
  <si>
    <t>-0.0674**</t>
  </si>
  <si>
    <t>0.0567**</t>
  </si>
  <si>
    <t>0.0485*</t>
  </si>
  <si>
    <t>0.0437*</t>
  </si>
  <si>
    <t>0.01</t>
  </si>
  <si>
    <t>-0.0366*</t>
  </si>
  <si>
    <t>-0.0538**</t>
  </si>
  <si>
    <t>0.0667*</t>
  </si>
  <si>
    <t>-0.0525*</t>
  </si>
  <si>
    <t>0.018</t>
  </si>
  <si>
    <t>-0.0523***</t>
  </si>
  <si>
    <t>-0.00708*</t>
  </si>
  <si>
    <t>0.027</t>
  </si>
  <si>
    <t>-0.0141***</t>
  </si>
  <si>
    <t>0.029</t>
  </si>
  <si>
    <t>-0.0143***</t>
  </si>
  <si>
    <t>-0.00915**</t>
  </si>
  <si>
    <t>-0.0157*</t>
  </si>
  <si>
    <t>-0.0119**</t>
  </si>
  <si>
    <t>-0.0106*</t>
  </si>
  <si>
    <t>-0.0144***</t>
  </si>
  <si>
    <t>-0.00880*</t>
  </si>
  <si>
    <t>-0.0104*</t>
  </si>
  <si>
    <t>-0.0141**</t>
  </si>
  <si>
    <t>-0.0152***</t>
  </si>
  <si>
    <t>-0.0118*</t>
  </si>
  <si>
    <t>0.004</t>
  </si>
  <si>
    <t>0.0347*</t>
  </si>
  <si>
    <t>0.003</t>
  </si>
  <si>
    <t>tf04</t>
  </si>
  <si>
    <t>0.045</t>
  </si>
  <si>
    <t>0.108***</t>
  </si>
  <si>
    <t>0.0320***</t>
  </si>
  <si>
    <t>0.0477***</t>
  </si>
  <si>
    <t>0.031</t>
  </si>
  <si>
    <t>0.0341***</t>
  </si>
  <si>
    <t>0.0396***</t>
  </si>
  <si>
    <t>0.0378***</t>
  </si>
  <si>
    <t>0.051</t>
  </si>
  <si>
    <t>-0.0741***</t>
  </si>
  <si>
    <t>-0.0392***</t>
  </si>
  <si>
    <t>-0.0774***</t>
  </si>
  <si>
    <t>-0.0376**</t>
  </si>
  <si>
    <t>0.057</t>
  </si>
  <si>
    <t>-0.0673***</t>
  </si>
  <si>
    <t>-0.0320***</t>
  </si>
  <si>
    <t>0.058</t>
  </si>
  <si>
    <t>-0.0699***</t>
  </si>
  <si>
    <t>-0.0332***</t>
  </si>
  <si>
    <t>0.061</t>
  </si>
  <si>
    <t>-0.0808***</t>
  </si>
  <si>
    <t>-0.0386***</t>
  </si>
  <si>
    <t>0.002</t>
  </si>
  <si>
    <t>-0.0625***</t>
  </si>
  <si>
    <t>-0.0277*</t>
  </si>
  <si>
    <t>0.048</t>
  </si>
  <si>
    <t>-0.0771***</t>
  </si>
  <si>
    <t>-0.0337*</t>
  </si>
  <si>
    <t>-0.0766***</t>
  </si>
  <si>
    <t>-0.0442**</t>
  </si>
  <si>
    <t>-0.0118***</t>
  </si>
  <si>
    <t>-0.00553*</t>
  </si>
  <si>
    <t>-0.0124***</t>
  </si>
  <si>
    <t>-0.00509*</t>
  </si>
  <si>
    <t>-0.00996***</t>
  </si>
  <si>
    <t>-0.0108*</t>
  </si>
  <si>
    <t>0.001</t>
  </si>
  <si>
    <t>-0.0462*</t>
  </si>
  <si>
    <t>-0.0273***</t>
  </si>
  <si>
    <t>-0.0149*</t>
  </si>
  <si>
    <t>0.025</t>
  </si>
  <si>
    <t>-0.0302***</t>
  </si>
  <si>
    <t>-0.0338**</t>
  </si>
  <si>
    <t>-0.0554*</t>
  </si>
  <si>
    <t>-0.0581**</t>
  </si>
  <si>
    <t>-0.0205*</t>
  </si>
  <si>
    <t>0.028</t>
  </si>
  <si>
    <t>-0.0515**</t>
  </si>
  <si>
    <t>-0.0198*</t>
  </si>
  <si>
    <t>-0.0457*</t>
  </si>
  <si>
    <t>0.043</t>
  </si>
  <si>
    <t>0.0826***</t>
  </si>
  <si>
    <t>0.0310*</t>
  </si>
  <si>
    <t>0.0818***</t>
  </si>
  <si>
    <t>0.0325*</t>
  </si>
  <si>
    <t>0.0553*</t>
  </si>
  <si>
    <t>0.0280*</t>
  </si>
  <si>
    <t>0.0729*</t>
  </si>
  <si>
    <t>-0.0629*</t>
  </si>
  <si>
    <t>-0.0466*</t>
  </si>
  <si>
    <t>-0.0415*</t>
  </si>
  <si>
    <t>-0.0465*</t>
  </si>
  <si>
    <t>-0.0497*</t>
  </si>
  <si>
    <t>0.0691**</t>
  </si>
  <si>
    <t>0.026</t>
  </si>
  <si>
    <t>0.139**</t>
  </si>
  <si>
    <t>-0.0950*</t>
  </si>
  <si>
    <t>-0.0162*</t>
  </si>
  <si>
    <t>-0.00991*</t>
  </si>
  <si>
    <t>-0.0208***</t>
  </si>
  <si>
    <t>-0.0128*</t>
  </si>
  <si>
    <t>-0.0117*</t>
  </si>
  <si>
    <t>-0.0122*</t>
  </si>
  <si>
    <t>-0.0121*</t>
  </si>
  <si>
    <t>-0.0785**</t>
  </si>
  <si>
    <t>-0.0590***</t>
  </si>
  <si>
    <t>-0.0625*</t>
  </si>
  <si>
    <t>-0.0472*</t>
  </si>
  <si>
    <t>-0.0417*</t>
  </si>
  <si>
    <t>-0.0573*</t>
  </si>
  <si>
    <t>-0.0453*</t>
  </si>
  <si>
    <t>frsg</t>
  </si>
  <si>
    <t>frng</t>
  </si>
  <si>
    <t>0.135***</t>
  </si>
  <si>
    <t>0.049</t>
  </si>
  <si>
    <t>0.129***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</si>
  <si>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</si>
  <si>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</si>
  <si>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</si>
  <si>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</si>
  <si>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</si>
  <si>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</si>
  <si>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</si>
  <si>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</si>
  <si>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</si>
  <si>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</si>
  <si>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----------------------------</t>
  </si>
  <si>
    <t>gt86differ~e</t>
  </si>
  <si>
    <t>(-0.45)</t>
  </si>
  <si>
    <t>ft75differ~e</t>
  </si>
  <si>
    <t>(-1.91)</t>
  </si>
  <si>
    <t>sb00differ~e</t>
  </si>
  <si>
    <t>-0.0840**</t>
  </si>
  <si>
    <t>(-2.95)</t>
  </si>
  <si>
    <t>ne99differ~e</t>
  </si>
  <si>
    <t>0.0620*</t>
  </si>
  <si>
    <t>bh04differ~e</t>
  </si>
  <si>
    <t>(-0.51)</t>
  </si>
  <si>
    <t>frsg04diff~e</t>
  </si>
  <si>
    <t>pri04diffe~e</t>
  </si>
  <si>
    <t>cedp90diff~e</t>
  </si>
  <si>
    <t>(-0.04)</t>
  </si>
  <si>
    <t>cedc89diff~e</t>
  </si>
  <si>
    <t>cedpi95dif~e</t>
  </si>
  <si>
    <t>(-0.34)</t>
  </si>
  <si>
    <t>tf03differ~e</t>
  </si>
  <si>
    <t>-0.119*</t>
  </si>
  <si>
    <t>(-2.12)</t>
  </si>
  <si>
    <t>_cons</t>
  </si>
  <si>
    <t>(-1.72)</t>
  </si>
  <si>
    <t>N</t>
  </si>
  <si>
    <t>t</t>
  </si>
  <si>
    <t>statistics</t>
  </si>
  <si>
    <t>in</t>
  </si>
  <si>
    <t>parentheses</t>
  </si>
  <si>
    <t>*</t>
  </si>
  <si>
    <t>p&lt;0.05,</t>
  </si>
  <si>
    <t>**</t>
  </si>
  <si>
    <t>p&lt;0.01,</t>
  </si>
  <si>
    <t>***</t>
  </si>
  <si>
    <t>p&lt;0.001</t>
  </si>
  <si>
    <t>-0.130***</t>
  </si>
  <si>
    <t>(-3.63)</t>
  </si>
  <si>
    <t>(-1.86)</t>
  </si>
  <si>
    <t>(-0.36)</t>
  </si>
  <si>
    <t>(-1.80)</t>
  </si>
  <si>
    <t>(-0.81)</t>
  </si>
  <si>
    <t>(-0.40)</t>
  </si>
  <si>
    <t>-0.0508**</t>
  </si>
  <si>
    <t>(-3.06)</t>
  </si>
  <si>
    <t>(-0.33)</t>
  </si>
  <si>
    <t>(-1.69)</t>
  </si>
  <si>
    <t>0.0488*</t>
  </si>
  <si>
    <t>-0.00608*</t>
  </si>
  <si>
    <t>(-2.47)</t>
  </si>
  <si>
    <t>0.0369*</t>
  </si>
  <si>
    <t>(-0.15)</t>
  </si>
  <si>
    <t>0.0933*</t>
  </si>
  <si>
    <t>(-1.65)</t>
  </si>
  <si>
    <t>NFINCOME</t>
  </si>
  <si>
    <t>OUTPUT</t>
  </si>
  <si>
    <t>POPULATION</t>
  </si>
  <si>
    <t>WAGE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</si>
</sst>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7" xfId="0" applyBorder="1" applyAlignment="1">
      <alignment horizontal="right"/>
    </xf>
    <xf numFmtId="0" fontId="0" fillId="0" borderId="8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0" fillId="0" borderId="8" xfId="0" applyBorder="1"/>
    <xf numFmtId="0" fontId="3" fillId="0" borderId="1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12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100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62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3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3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3336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5241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714625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52425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7147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9052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95750"/>
          <a:ext cx="114300" cy="209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A23" sqref="A23"/>
    </sheetView>
  </sheetViews>
  <sheetFormatPr defaultRowHeight="15" x14ac:dyDescent="0.25"/>
  <cols>
    <col min="1" max="1" width="20" customWidth="1"/>
    <col min="4" max="4" width="3" customWidth="1"/>
    <col min="7" max="7" width="3" customWidth="1"/>
    <col min="10" max="10" width="3.7109375" customWidth="1"/>
    <col min="13" max="13" width="2.85546875" customWidth="1"/>
    <col min="16" max="16" width="2.42578125" customWidth="1"/>
    <col min="18" max="18" width="9.7109375" customWidth="1"/>
    <col min="19" max="19" width="2.140625" customWidth="1"/>
    <col min="22" max="22" width="2.5703125" customWidth="1"/>
    <col min="25" max="25" width="2.85546875" customWidth="1"/>
    <col min="28" max="28" width="3.85546875" customWidth="1"/>
    <col min="31" max="31" width="3" customWidth="1"/>
  </cols>
  <sheetData>
    <row r="1" spans="1:33" ht="15.75" x14ac:dyDescent="0.25">
      <c r="A1" s="1" t="s">
        <v>52</v>
      </c>
    </row>
    <row r="2" spans="1:33" s="7" customFormat="1" ht="15.75" x14ac:dyDescent="0.25">
      <c r="B2" s="42" t="s">
        <v>8</v>
      </c>
      <c r="C2" s="42"/>
      <c r="D2" s="4"/>
      <c r="E2" s="42" t="s">
        <v>9</v>
      </c>
      <c r="F2" s="42"/>
      <c r="G2" s="4"/>
      <c r="H2" s="42" t="s">
        <v>10</v>
      </c>
      <c r="I2" s="42"/>
      <c r="K2" s="42" t="s">
        <v>11</v>
      </c>
      <c r="L2" s="42"/>
      <c r="M2" s="4"/>
      <c r="N2" s="42" t="s">
        <v>12</v>
      </c>
      <c r="O2" s="42"/>
      <c r="P2" s="4"/>
      <c r="Q2" s="42" t="s">
        <v>15</v>
      </c>
      <c r="R2" s="42"/>
      <c r="T2" s="42" t="s">
        <v>13</v>
      </c>
      <c r="U2" s="42"/>
      <c r="W2" s="42" t="s">
        <v>14</v>
      </c>
      <c r="X2" s="42"/>
      <c r="Z2" s="41" t="s">
        <v>17</v>
      </c>
      <c r="AA2" s="41"/>
      <c r="AC2" s="41" t="s">
        <v>16</v>
      </c>
      <c r="AD2" s="41"/>
      <c r="AF2" s="42" t="s">
        <v>18</v>
      </c>
      <c r="AG2" s="42"/>
    </row>
    <row r="3" spans="1:33" ht="15.75" x14ac:dyDescent="0.25">
      <c r="A3" s="1" t="s">
        <v>0</v>
      </c>
      <c r="B3" s="4" t="s">
        <v>1</v>
      </c>
      <c r="C3" s="4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3</v>
      </c>
      <c r="B4" s="4"/>
      <c r="C4" s="4"/>
      <c r="D4" s="1"/>
      <c r="E4" s="1"/>
      <c r="F4" s="1"/>
      <c r="G4" s="1"/>
      <c r="H4" s="1"/>
      <c r="I4" s="1"/>
      <c r="K4" t="s">
        <v>299</v>
      </c>
    </row>
    <row r="5" spans="1:33" ht="15.75" x14ac:dyDescent="0.25">
      <c r="A5" s="1"/>
      <c r="B5" s="5" t="s">
        <v>19</v>
      </c>
      <c r="C5" s="5" t="s">
        <v>20</v>
      </c>
      <c r="D5" s="3"/>
      <c r="E5" s="5" t="s">
        <v>24</v>
      </c>
      <c r="F5" s="5" t="s">
        <v>24</v>
      </c>
      <c r="G5" s="3"/>
      <c r="H5" s="5" t="s">
        <v>28</v>
      </c>
      <c r="I5" s="5" t="s">
        <v>29</v>
      </c>
      <c r="J5" s="3"/>
      <c r="K5" s="5" t="s">
        <v>24</v>
      </c>
      <c r="L5" s="5" t="s">
        <v>24</v>
      </c>
      <c r="M5" s="3"/>
      <c r="N5" s="5" t="s">
        <v>39</v>
      </c>
      <c r="O5" s="5" t="s">
        <v>40</v>
      </c>
      <c r="P5" s="3"/>
      <c r="Q5" s="5" t="s">
        <v>41</v>
      </c>
      <c r="R5" s="5" t="s">
        <v>42</v>
      </c>
      <c r="S5" s="3"/>
      <c r="T5" s="5" t="s">
        <v>44</v>
      </c>
      <c r="U5" s="5" t="s">
        <v>45</v>
      </c>
      <c r="V5" s="3"/>
      <c r="W5" s="5" t="s">
        <v>42</v>
      </c>
      <c r="X5" s="5" t="s">
        <v>43</v>
      </c>
      <c r="Y5" s="3"/>
      <c r="Z5" s="5" t="s">
        <v>43</v>
      </c>
      <c r="AA5" s="5" t="s">
        <v>41</v>
      </c>
      <c r="AB5" s="3"/>
      <c r="AC5" s="5" t="s">
        <v>26</v>
      </c>
      <c r="AD5" s="5" t="s">
        <v>38</v>
      </c>
      <c r="AE5" s="3"/>
      <c r="AF5" s="5" t="s">
        <v>41</v>
      </c>
      <c r="AG5" s="5" t="s">
        <v>41</v>
      </c>
    </row>
    <row r="6" spans="1:33" ht="15.75" x14ac:dyDescent="0.25">
      <c r="A6" s="1"/>
      <c r="B6" s="5" t="s">
        <v>21</v>
      </c>
      <c r="C6" s="5" t="s">
        <v>22</v>
      </c>
      <c r="D6" s="3"/>
      <c r="E6" s="5" t="s">
        <v>24</v>
      </c>
      <c r="F6" s="5" t="s">
        <v>24</v>
      </c>
      <c r="G6" s="3"/>
      <c r="H6" s="5" t="s">
        <v>30</v>
      </c>
      <c r="I6" s="5" t="s">
        <v>31</v>
      </c>
      <c r="J6" s="3"/>
      <c r="K6" s="5" t="s">
        <v>24</v>
      </c>
      <c r="L6" s="5" t="s">
        <v>24</v>
      </c>
      <c r="M6" s="3"/>
      <c r="N6" s="5" t="s">
        <v>39</v>
      </c>
      <c r="O6" s="5" t="s">
        <v>39</v>
      </c>
      <c r="P6" s="3"/>
      <c r="Q6" s="5" t="s">
        <v>41</v>
      </c>
      <c r="R6" s="5" t="s">
        <v>41</v>
      </c>
      <c r="S6" s="3"/>
      <c r="T6" s="5" t="s">
        <v>47</v>
      </c>
      <c r="U6" s="5" t="s">
        <v>48</v>
      </c>
      <c r="V6" s="3"/>
      <c r="W6" s="5" t="s">
        <v>42</v>
      </c>
      <c r="X6" s="5" t="s">
        <v>41</v>
      </c>
      <c r="Y6" s="3"/>
      <c r="Z6" s="5" t="s">
        <v>41</v>
      </c>
      <c r="AA6" s="5" t="s">
        <v>41</v>
      </c>
      <c r="AB6" s="3"/>
      <c r="AC6" s="5" t="s">
        <v>24</v>
      </c>
      <c r="AD6" s="5" t="s">
        <v>27</v>
      </c>
      <c r="AE6" s="3"/>
      <c r="AF6" s="5" t="s">
        <v>41</v>
      </c>
      <c r="AG6" s="5" t="s">
        <v>41</v>
      </c>
    </row>
    <row r="7" spans="1:33" ht="15.75" x14ac:dyDescent="0.25">
      <c r="A7" s="1"/>
      <c r="B7" s="5" t="s">
        <v>22</v>
      </c>
      <c r="C7" s="5" t="s">
        <v>22</v>
      </c>
      <c r="D7" s="3"/>
      <c r="E7" s="5" t="s">
        <v>25</v>
      </c>
      <c r="F7" s="5" t="s">
        <v>25</v>
      </c>
      <c r="G7" s="3"/>
      <c r="H7" s="5" t="s">
        <v>30</v>
      </c>
      <c r="I7" s="5" t="s">
        <v>32</v>
      </c>
      <c r="J7" s="3"/>
      <c r="K7" s="5" t="s">
        <v>26</v>
      </c>
      <c r="L7" s="5" t="s">
        <v>38</v>
      </c>
      <c r="M7" s="3"/>
      <c r="N7" s="5" t="s">
        <v>40</v>
      </c>
      <c r="O7" s="5" t="s">
        <v>39</v>
      </c>
      <c r="P7" s="3"/>
      <c r="Q7" s="5" t="s">
        <v>41</v>
      </c>
      <c r="R7" s="5" t="s">
        <v>41</v>
      </c>
      <c r="S7" s="3"/>
      <c r="T7" s="5" t="s">
        <v>49</v>
      </c>
      <c r="U7" s="5" t="s">
        <v>49</v>
      </c>
      <c r="V7" s="3"/>
      <c r="W7" s="5" t="s">
        <v>41</v>
      </c>
      <c r="X7" s="5" t="s">
        <v>43</v>
      </c>
      <c r="Y7" s="3"/>
      <c r="Z7" s="5" t="s">
        <v>41</v>
      </c>
      <c r="AA7" s="5" t="s">
        <v>41</v>
      </c>
      <c r="AB7" s="3"/>
      <c r="AC7" s="5" t="s">
        <v>24</v>
      </c>
      <c r="AD7" s="5" t="s">
        <v>24</v>
      </c>
      <c r="AE7" s="3"/>
      <c r="AF7" s="5" t="s">
        <v>41</v>
      </c>
      <c r="AG7" s="5" t="s">
        <v>41</v>
      </c>
    </row>
    <row r="8" spans="1:33" ht="15.75" x14ac:dyDescent="0.25">
      <c r="A8" s="1"/>
      <c r="B8" s="6">
        <f>(0.0504+0.0826+0.0478+0.0134)/4</f>
        <v>4.8550000000000003E-2</v>
      </c>
      <c r="C8" s="6">
        <f>(0.0175-0.0166-0.01243+0.0288)/4</f>
        <v>4.3175000000000002E-3</v>
      </c>
      <c r="D8" s="3"/>
      <c r="E8" s="6">
        <f>(-0.00732-0.00591-0.0206-0.0182-0.0272)/5</f>
        <v>-1.5845999999999999E-2</v>
      </c>
      <c r="F8" s="6">
        <f>(-0.0243-0.0145-0.036-0.0411-0.00794)/5</f>
        <v>-2.4768000000000002E-2</v>
      </c>
      <c r="G8" s="3"/>
      <c r="H8" s="6">
        <f>(0.00972-0.00205-0.000905-0.00067-0.00975-0.0135-0.018-0.0242-0.00982+0.00831)/10</f>
        <v>-6.0864999999999999E-3</v>
      </c>
      <c r="I8" s="6">
        <f>(-0.0149-0.0193-0.0257-0.0145+0.00757-0.00139+0.0174+0.0248+0.0249+0.0181)/10</f>
        <v>1.6979999999999994E-3</v>
      </c>
      <c r="J8" s="3"/>
      <c r="K8" s="6">
        <f>(-0.108-0.0193-0.048-0.0663-0.08)/5</f>
        <v>-6.4320000000000002E-2</v>
      </c>
      <c r="L8" s="6">
        <f>(-0.108-0.0523-0.0904-0.00603-0.0313)/5</f>
        <v>-5.7605999999999991E-2</v>
      </c>
      <c r="M8" s="3"/>
      <c r="N8" s="6">
        <v>-2.5100000000000001E-2</v>
      </c>
      <c r="O8" s="6">
        <v>1.4999999999999999E-2</v>
      </c>
      <c r="P8" s="3"/>
      <c r="Q8" s="6">
        <f>(-0.00232-0.0133)/2</f>
        <v>-7.8099999999999992E-3</v>
      </c>
      <c r="R8" s="6">
        <f>(0.00735+0.0362)/2</f>
        <v>2.1775000000000003E-2</v>
      </c>
      <c r="S8" s="3"/>
      <c r="T8" s="6">
        <f>(0.00935+0.0584+0.0227+0.0479+0.0311+0.0658-0.0101)/7</f>
        <v>3.2164285714285715E-2</v>
      </c>
      <c r="U8" s="6">
        <f>(0.224+0.0196+0.118+0.0542+0.0285+0.0164+0.0608)/7</f>
        <v>7.4500000000000011E-2</v>
      </c>
      <c r="V8" s="3"/>
      <c r="W8" s="6">
        <f>(0.0719+0.0712)/2</f>
        <v>7.1550000000000002E-2</v>
      </c>
      <c r="X8" s="6">
        <f>(0.0162-0.0487)/2</f>
        <v>-1.6250000000000001E-2</v>
      </c>
      <c r="Y8" s="3"/>
      <c r="Z8" s="6">
        <f>(0.0826-0.0495)/2</f>
        <v>1.6550000000000002E-2</v>
      </c>
      <c r="AA8" s="6">
        <f>(-0.077-0.011)/2</f>
        <v>-4.3999999999999997E-2</v>
      </c>
      <c r="AB8" s="3"/>
      <c r="AC8" s="6">
        <f>(0.0276-0.00682+0.0428+0.0525+0.0496)/5</f>
        <v>3.3135999999999999E-2</v>
      </c>
      <c r="AD8" s="6">
        <f>(0.078+0.0315-0.0132-0.00965-0.00368)/5</f>
        <v>1.6593999999999998E-2</v>
      </c>
      <c r="AE8" s="3"/>
      <c r="AF8" s="6">
        <f>(-0.0325-0.0457)/2</f>
        <v>-3.9099999999999996E-2</v>
      </c>
      <c r="AG8" s="6">
        <f>(-0.0293-0.0765)/2</f>
        <v>-5.2900000000000003E-2</v>
      </c>
    </row>
    <row r="9" spans="1:33" ht="18.75" x14ac:dyDescent="0.25">
      <c r="A9" s="1" t="s">
        <v>7</v>
      </c>
      <c r="B9" s="10">
        <v>4.7499999999999999E-3</v>
      </c>
      <c r="C9" s="5">
        <v>1.25E-3</v>
      </c>
      <c r="D9" s="3"/>
      <c r="E9" s="5">
        <v>1.0600000000000002E-2</v>
      </c>
      <c r="F9">
        <v>2.6200000000000001E-2</v>
      </c>
      <c r="G9" s="3"/>
      <c r="H9" s="5">
        <v>6.7000000000000002E-3</v>
      </c>
      <c r="I9" s="5">
        <v>1.67E-2</v>
      </c>
      <c r="J9" s="3"/>
      <c r="K9" s="5">
        <v>1.7666666666666667E-2</v>
      </c>
      <c r="L9" s="5">
        <v>1.0333333333333337E-2</v>
      </c>
      <c r="M9" s="3"/>
      <c r="N9" s="5">
        <v>1.9E-2</v>
      </c>
      <c r="O9" s="5">
        <v>5.0000000000000001E-3</v>
      </c>
      <c r="P9" s="3"/>
      <c r="Q9" s="5">
        <v>0</v>
      </c>
      <c r="R9" s="5">
        <v>1.5E-3</v>
      </c>
      <c r="S9" s="3"/>
      <c r="T9" s="5">
        <v>5.7142857142857134E-3</v>
      </c>
      <c r="U9" s="5">
        <v>1.3857142857142858E-2</v>
      </c>
      <c r="V9" s="3"/>
      <c r="W9" s="5">
        <v>1.6500000000000001E-2</v>
      </c>
      <c r="X9" s="5">
        <v>3.5000000000000001E-3</v>
      </c>
      <c r="Y9" s="3"/>
      <c r="Z9" s="5">
        <v>6.0000000000000001E-3</v>
      </c>
      <c r="AA9" s="5">
        <v>3.0000000000000001E-3</v>
      </c>
      <c r="AB9" s="3"/>
      <c r="AC9" s="5">
        <v>5.2000000000000006E-3</v>
      </c>
      <c r="AD9" s="5">
        <v>5.4000000000000003E-3</v>
      </c>
      <c r="AE9" s="3"/>
      <c r="AF9">
        <v>3.0000000000000001E-3</v>
      </c>
      <c r="AG9">
        <v>6.4999999999999997E-3</v>
      </c>
    </row>
    <row r="10" spans="1:33" ht="15.75" x14ac:dyDescent="0.25">
      <c r="A10" s="1"/>
      <c r="B10" s="5"/>
      <c r="C10" s="5"/>
      <c r="D10" s="3"/>
      <c r="E10" s="5"/>
      <c r="F10" s="5"/>
      <c r="G10" s="3"/>
      <c r="H10" s="5"/>
      <c r="I10" s="5"/>
      <c r="J10" s="3"/>
      <c r="K10" s="5"/>
      <c r="L10" s="5"/>
      <c r="M10" s="3"/>
      <c r="N10" s="5"/>
      <c r="O10" s="5"/>
      <c r="P10" s="3"/>
      <c r="Q10" s="5"/>
      <c r="R10" s="5"/>
      <c r="S10" s="3"/>
      <c r="T10" s="5"/>
      <c r="U10" s="5"/>
      <c r="V10" s="3"/>
      <c r="W10" s="5"/>
      <c r="X10" s="5"/>
      <c r="Y10" s="3"/>
      <c r="Z10" s="5"/>
      <c r="AA10" s="5"/>
      <c r="AB10" s="3"/>
      <c r="AC10" s="5"/>
      <c r="AD10" s="5"/>
      <c r="AE10" s="3"/>
      <c r="AF10" s="5"/>
      <c r="AG10" s="5"/>
    </row>
    <row r="11" spans="1:33" ht="15.75" x14ac:dyDescent="0.25">
      <c r="A11" s="1" t="s">
        <v>4</v>
      </c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  <c r="N11" s="5"/>
      <c r="O11" s="5"/>
      <c r="P11" s="3"/>
      <c r="Q11" s="5"/>
      <c r="R11" s="5"/>
      <c r="S11" s="3"/>
      <c r="T11" s="5"/>
      <c r="U11" s="5"/>
      <c r="V11" s="3"/>
      <c r="W11" s="5"/>
      <c r="X11" s="5"/>
      <c r="Y11" s="3"/>
      <c r="Z11" s="5"/>
      <c r="AA11" s="5"/>
      <c r="AB11" s="3"/>
      <c r="AC11" s="5"/>
      <c r="AD11" s="5"/>
      <c r="AE11" s="3"/>
      <c r="AF11" s="5"/>
      <c r="AG11" s="5"/>
    </row>
    <row r="12" spans="1:33" ht="15.75" x14ac:dyDescent="0.25">
      <c r="A12" s="1"/>
      <c r="B12" s="5" t="s">
        <v>23</v>
      </c>
      <c r="C12" s="5" t="s">
        <v>21</v>
      </c>
      <c r="D12" s="3"/>
      <c r="E12" s="5" t="s">
        <v>24</v>
      </c>
      <c r="F12" s="5" t="s">
        <v>24</v>
      </c>
      <c r="G12" s="3"/>
      <c r="H12" s="5" t="s">
        <v>29</v>
      </c>
      <c r="I12" s="5" t="s">
        <v>33</v>
      </c>
      <c r="J12" s="3"/>
      <c r="K12" s="5" t="s">
        <v>24</v>
      </c>
      <c r="L12" s="5" t="s">
        <v>24</v>
      </c>
      <c r="M12" s="3"/>
      <c r="N12" s="5" t="s">
        <v>39</v>
      </c>
      <c r="O12" s="5" t="s">
        <v>39</v>
      </c>
      <c r="P12" s="3"/>
      <c r="Q12" s="5" t="s">
        <v>41</v>
      </c>
      <c r="R12" s="5" t="s">
        <v>42</v>
      </c>
      <c r="S12" s="3"/>
      <c r="T12" s="5" t="s">
        <v>48</v>
      </c>
      <c r="U12" s="5" t="s">
        <v>45</v>
      </c>
      <c r="V12" s="3"/>
      <c r="W12" s="5" t="s">
        <v>42</v>
      </c>
      <c r="X12" s="5" t="s">
        <v>41</v>
      </c>
      <c r="Y12" s="3"/>
      <c r="Z12" s="5" t="s">
        <v>42</v>
      </c>
      <c r="AA12" s="5" t="s">
        <v>43</v>
      </c>
      <c r="AB12" s="3"/>
      <c r="AC12" s="5" t="s">
        <v>24</v>
      </c>
      <c r="AD12" s="5" t="s">
        <v>24</v>
      </c>
      <c r="AE12" s="3"/>
      <c r="AF12" s="5" t="s">
        <v>42</v>
      </c>
      <c r="AG12" s="5" t="s">
        <v>43</v>
      </c>
    </row>
    <row r="13" spans="1:33" ht="15.75" x14ac:dyDescent="0.25">
      <c r="A13" s="1"/>
      <c r="B13" s="5" t="s">
        <v>21</v>
      </c>
      <c r="C13" s="5" t="s">
        <v>22</v>
      </c>
      <c r="D13" s="3"/>
      <c r="E13" s="5" t="s">
        <v>24</v>
      </c>
      <c r="F13" s="5" t="s">
        <v>24</v>
      </c>
      <c r="G13" s="3"/>
      <c r="H13" s="5" t="s">
        <v>32</v>
      </c>
      <c r="I13" s="5" t="s">
        <v>32</v>
      </c>
      <c r="J13" s="3"/>
      <c r="K13" s="5" t="s">
        <v>24</v>
      </c>
      <c r="L13" s="5" t="s">
        <v>24</v>
      </c>
      <c r="M13" s="3"/>
      <c r="N13" s="5" t="s">
        <v>39</v>
      </c>
      <c r="O13" s="5" t="s">
        <v>39</v>
      </c>
      <c r="P13" s="3"/>
      <c r="Q13" s="5" t="s">
        <v>41</v>
      </c>
      <c r="R13" s="5" t="s">
        <v>41</v>
      </c>
      <c r="S13" s="3"/>
      <c r="T13" s="5" t="s">
        <v>47</v>
      </c>
      <c r="U13" s="5" t="s">
        <v>44</v>
      </c>
      <c r="V13" s="3"/>
      <c r="W13" s="5" t="s">
        <v>43</v>
      </c>
      <c r="X13" s="5" t="s">
        <v>41</v>
      </c>
      <c r="Y13" s="3"/>
      <c r="Z13" s="5" t="s">
        <v>43</v>
      </c>
      <c r="AA13" s="5" t="s">
        <v>41</v>
      </c>
      <c r="AB13" s="3"/>
      <c r="AC13" s="5" t="s">
        <v>24</v>
      </c>
      <c r="AD13" s="5" t="s">
        <v>24</v>
      </c>
      <c r="AE13" s="3"/>
      <c r="AF13" s="5" t="s">
        <v>41</v>
      </c>
      <c r="AG13" s="5" t="s">
        <v>41</v>
      </c>
    </row>
    <row r="14" spans="1:33" ht="15.75" x14ac:dyDescent="0.25">
      <c r="A14" s="1"/>
      <c r="B14" s="5" t="s">
        <v>22</v>
      </c>
      <c r="C14" s="5" t="s">
        <v>22</v>
      </c>
      <c r="D14" s="3"/>
      <c r="E14" s="5" t="s">
        <v>25</v>
      </c>
      <c r="F14" s="5" t="s">
        <v>26</v>
      </c>
      <c r="G14" s="3"/>
      <c r="H14" s="5" t="s">
        <v>30</v>
      </c>
      <c r="I14" s="5" t="s">
        <v>30</v>
      </c>
      <c r="J14" s="3"/>
      <c r="K14" s="5" t="s">
        <v>37</v>
      </c>
      <c r="L14" s="5" t="s">
        <v>26</v>
      </c>
      <c r="M14" s="3"/>
      <c r="N14" s="5" t="s">
        <v>40</v>
      </c>
      <c r="O14" s="5" t="s">
        <v>39</v>
      </c>
      <c r="P14" s="3"/>
      <c r="Q14" s="5" t="s">
        <v>43</v>
      </c>
      <c r="R14" s="5" t="s">
        <v>41</v>
      </c>
      <c r="S14" s="3"/>
      <c r="T14" s="5" t="s">
        <v>49</v>
      </c>
      <c r="U14" s="5" t="s">
        <v>49</v>
      </c>
      <c r="V14" s="3"/>
      <c r="W14" s="5" t="s">
        <v>41</v>
      </c>
      <c r="X14" s="5" t="s">
        <v>43</v>
      </c>
      <c r="Y14" s="3"/>
      <c r="Z14" s="5" t="s">
        <v>41</v>
      </c>
      <c r="AA14" s="5" t="s">
        <v>41</v>
      </c>
      <c r="AB14" s="3"/>
      <c r="AC14" s="5" t="s">
        <v>27</v>
      </c>
      <c r="AD14" s="5" t="s">
        <v>26</v>
      </c>
      <c r="AE14" s="3"/>
      <c r="AF14" s="5" t="s">
        <v>41</v>
      </c>
      <c r="AG14" s="5" t="s">
        <v>41</v>
      </c>
    </row>
    <row r="15" spans="1:33" ht="15.75" x14ac:dyDescent="0.25">
      <c r="A15" s="1"/>
      <c r="B15" s="6">
        <f>(0.072+0.0295+0.0455-0.0177)/4</f>
        <v>3.2325E-2</v>
      </c>
      <c r="C15" s="6">
        <f>(-0.0115-0.0132-0.00717+0.0227)/4</f>
        <v>-2.2925000000000003E-3</v>
      </c>
      <c r="D15" s="3"/>
      <c r="E15" s="6">
        <f>(-0.00609-0.009-0.0192-0.0213-0.00965)/5</f>
        <v>-1.3048000000000001E-2</v>
      </c>
      <c r="F15" s="6">
        <f>(-0.0135-0.00652-0.0168-0.0211-0.0149)/5</f>
        <v>-1.4563999999999999E-2</v>
      </c>
      <c r="G15" s="3"/>
      <c r="H15" s="6">
        <f>(0.00228-0.00141-0.0000979-0.00281-0.00394-0.00729+0.000527+0.00113+0.00605+0.0113)/10</f>
        <v>5.7390999999999985E-4</v>
      </c>
      <c r="I15" s="6">
        <f>(-0.00896+0.0000208-0.00176+0.00526+0.00721+0.00629+0.00538+0.00736+0.00592+0.00875)/10</f>
        <v>3.5470800000000002E-3</v>
      </c>
      <c r="J15" s="3"/>
      <c r="K15" s="6">
        <f>(-0.0713-0.0635-0.0616-0.0554-0.0493)/5</f>
        <v>-6.022000000000001E-2</v>
      </c>
      <c r="L15" s="6">
        <f>(-0.0488-0.0302-0.0387-0.0347-0.0142)/5</f>
        <v>-3.3320000000000002E-2</v>
      </c>
      <c r="M15" s="3"/>
      <c r="N15" s="6">
        <v>-1.0200000000000001E-2</v>
      </c>
      <c r="O15" s="6">
        <v>-3.81E-3</v>
      </c>
      <c r="P15" s="3"/>
      <c r="Q15" s="6">
        <f>(-0.0303-0.0483)/2</f>
        <v>-3.9300000000000002E-2</v>
      </c>
      <c r="R15" s="6">
        <f>(0.0103+0.0175)/2</f>
        <v>1.3900000000000001E-2</v>
      </c>
      <c r="S15" s="3"/>
      <c r="T15" s="6">
        <f>(0.119+0.0437+0.0349-0.000788-0.00532+0.011-0.00438)/7</f>
        <v>2.8301714285714288E-2</v>
      </c>
      <c r="U15" s="6">
        <f>(0.0353+0.0197+0.0735+0.065+0.0484+0.0375+0.0654)/7</f>
        <v>4.9257142857142854E-2</v>
      </c>
      <c r="V15" s="3"/>
      <c r="W15" s="6">
        <f>(0.0263+0.072)/2</f>
        <v>4.9149999999999999E-2</v>
      </c>
      <c r="X15" s="6">
        <f>(-0.00131-0.0394)/2</f>
        <v>-2.0354999999999998E-2</v>
      </c>
      <c r="Y15" s="3"/>
      <c r="Z15" s="6">
        <f>(0.0914+0.0216)/2</f>
        <v>5.6499999999999995E-2</v>
      </c>
      <c r="AA15" s="6">
        <f>(0.0237-0.0158)/2</f>
        <v>3.9499999999999987E-3</v>
      </c>
      <c r="AB15" s="3"/>
      <c r="AC15" s="6">
        <f>(-0.0236-0.0112-0.00258-0.0218-0.0418)/5</f>
        <v>-2.0195999999999999E-2</v>
      </c>
      <c r="AD15" s="6">
        <f>(-0.0523-0.0687-0.0715-0.0551-0.00269)/5</f>
        <v>-5.0058000000000005E-2</v>
      </c>
      <c r="AE15" s="3"/>
      <c r="AF15" s="6">
        <f>(0.0404+0.0438)/2</f>
        <v>4.2099999999999999E-2</v>
      </c>
      <c r="AG15" s="6">
        <f>(0.0233-0.0261)/2</f>
        <v>-1.4000000000000002E-3</v>
      </c>
    </row>
    <row r="16" spans="1:33" ht="18.75" x14ac:dyDescent="0.25">
      <c r="A16" s="1" t="s">
        <v>7</v>
      </c>
      <c r="B16" s="5">
        <v>1.15E-2</v>
      </c>
      <c r="C16" s="5">
        <v>1.25E-3</v>
      </c>
      <c r="D16" s="3"/>
      <c r="E16" s="5">
        <v>1.44E-2</v>
      </c>
      <c r="F16" s="5">
        <v>2.1999999999999999E-2</v>
      </c>
      <c r="G16" s="3"/>
      <c r="H16" s="5">
        <v>3.0000000000000001E-3</v>
      </c>
      <c r="I16" s="5">
        <v>4.7000000000000002E-3</v>
      </c>
      <c r="J16" s="3"/>
      <c r="K16" s="5">
        <v>2.3555555555555562E-2</v>
      </c>
      <c r="L16" s="5">
        <v>8.1111111111111123E-3</v>
      </c>
      <c r="M16" s="3"/>
      <c r="N16" s="5">
        <v>0.01</v>
      </c>
      <c r="O16" s="5">
        <v>1E-3</v>
      </c>
      <c r="P16" s="3"/>
      <c r="Q16" s="5">
        <v>0.01</v>
      </c>
      <c r="R16" s="5">
        <v>1.5E-3</v>
      </c>
      <c r="S16" s="3"/>
      <c r="T16" s="5">
        <v>8.9999999999999993E-3</v>
      </c>
      <c r="U16" s="5">
        <v>2.9857142857142856E-2</v>
      </c>
      <c r="V16" s="3"/>
      <c r="W16" s="5">
        <v>3.5000000000000001E-3</v>
      </c>
      <c r="X16" s="5">
        <v>4.4999999999999997E-3</v>
      </c>
      <c r="Y16" s="3"/>
      <c r="Z16" s="5">
        <v>1.15E-2</v>
      </c>
      <c r="AA16" s="5">
        <v>3.0000000000000001E-3</v>
      </c>
      <c r="AB16" s="3"/>
      <c r="AC16" s="5">
        <v>5.4000000000000003E-3</v>
      </c>
      <c r="AD16" s="5">
        <v>2.7400000000000001E-2</v>
      </c>
      <c r="AE16" s="3"/>
      <c r="AF16" s="5">
        <v>1.0999999999999999E-2</v>
      </c>
      <c r="AG16" s="5">
        <v>3.5000000000000001E-3</v>
      </c>
    </row>
    <row r="17" spans="1:33" ht="15.75" x14ac:dyDescent="0.25">
      <c r="A17" s="1"/>
      <c r="B17" s="5"/>
      <c r="C17" s="5"/>
      <c r="D17" s="3"/>
      <c r="E17" s="5"/>
      <c r="F17" s="5"/>
      <c r="G17" s="3"/>
      <c r="H17" s="5"/>
      <c r="I17" s="5"/>
      <c r="J17" s="3"/>
      <c r="K17" s="5"/>
      <c r="L17" s="5"/>
      <c r="M17" s="3"/>
      <c r="N17" s="5"/>
      <c r="O17" s="5"/>
      <c r="P17" s="3"/>
      <c r="Q17" s="5"/>
      <c r="R17" s="5"/>
      <c r="S17" s="3"/>
      <c r="T17" s="5"/>
      <c r="U17" s="5"/>
      <c r="V17" s="3"/>
      <c r="W17" s="5"/>
      <c r="X17" s="5"/>
      <c r="Y17" s="3"/>
      <c r="Z17" s="5"/>
      <c r="AA17" s="5"/>
      <c r="AB17" s="3"/>
      <c r="AC17" s="5"/>
      <c r="AD17" s="5"/>
      <c r="AE17" s="3"/>
      <c r="AF17" s="5"/>
      <c r="AG17" s="5"/>
    </row>
    <row r="18" spans="1:33" ht="15.75" x14ac:dyDescent="0.25">
      <c r="A18" s="1" t="s">
        <v>5</v>
      </c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  <c r="N18" s="5"/>
      <c r="O18" s="5"/>
      <c r="P18" s="3"/>
      <c r="Q18" s="5"/>
      <c r="R18" s="5"/>
      <c r="S18" s="3"/>
      <c r="T18" s="5"/>
      <c r="U18" s="5"/>
      <c r="V18" s="3"/>
      <c r="W18" s="5"/>
      <c r="X18" s="5"/>
      <c r="Y18" s="3"/>
      <c r="Z18" s="5"/>
      <c r="AA18" s="5"/>
      <c r="AB18" s="3"/>
      <c r="AC18" s="5"/>
      <c r="AD18" s="5"/>
      <c r="AE18" s="3"/>
      <c r="AF18" s="5"/>
      <c r="AG18" s="5"/>
    </row>
    <row r="19" spans="1:33" ht="15.75" x14ac:dyDescent="0.25">
      <c r="A19" s="1"/>
      <c r="B19" s="5" t="s">
        <v>23</v>
      </c>
      <c r="C19" s="5" t="s">
        <v>20</v>
      </c>
      <c r="D19" s="3"/>
      <c r="E19" s="5" t="s">
        <v>27</v>
      </c>
      <c r="F19" s="5" t="s">
        <v>24</v>
      </c>
      <c r="G19" s="3"/>
      <c r="H19" s="5" t="s">
        <v>28</v>
      </c>
      <c r="I19" s="5" t="s">
        <v>34</v>
      </c>
      <c r="J19" s="3"/>
      <c r="K19" s="5" t="s">
        <v>24</v>
      </c>
      <c r="L19" s="5" t="s">
        <v>38</v>
      </c>
      <c r="M19" s="3"/>
      <c r="N19" s="5" t="s">
        <v>39</v>
      </c>
      <c r="O19" s="5" t="s">
        <v>40</v>
      </c>
      <c r="P19" s="3"/>
      <c r="Q19" s="5" t="s">
        <v>42</v>
      </c>
      <c r="R19" s="5" t="s">
        <v>42</v>
      </c>
      <c r="S19" s="3"/>
      <c r="T19" s="5" t="s">
        <v>46</v>
      </c>
      <c r="U19" s="5" t="s">
        <v>51</v>
      </c>
      <c r="V19" s="3"/>
      <c r="W19" s="5" t="s">
        <v>42</v>
      </c>
      <c r="X19" s="5" t="s">
        <v>43</v>
      </c>
      <c r="Y19" s="3"/>
      <c r="Z19" s="5" t="s">
        <v>41</v>
      </c>
      <c r="AA19" s="5" t="s">
        <v>41</v>
      </c>
      <c r="AB19" s="3"/>
      <c r="AC19" s="5" t="s">
        <v>37</v>
      </c>
      <c r="AD19" s="5" t="s">
        <v>26</v>
      </c>
      <c r="AE19" s="3"/>
      <c r="AF19" s="5" t="s">
        <v>41</v>
      </c>
      <c r="AG19" s="5" t="s">
        <v>41</v>
      </c>
    </row>
    <row r="20" spans="1:33" ht="15.75" x14ac:dyDescent="0.25">
      <c r="A20" s="1"/>
      <c r="B20" s="5" t="s">
        <v>21</v>
      </c>
      <c r="C20" s="5" t="s">
        <v>21</v>
      </c>
      <c r="D20" s="3"/>
      <c r="E20" s="5" t="s">
        <v>24</v>
      </c>
      <c r="F20" s="5" t="s">
        <v>24</v>
      </c>
      <c r="G20" s="3"/>
      <c r="H20" s="5" t="s">
        <v>32</v>
      </c>
      <c r="I20" s="5" t="s">
        <v>35</v>
      </c>
      <c r="J20" s="3"/>
      <c r="K20" s="5" t="s">
        <v>24</v>
      </c>
      <c r="L20" s="5" t="s">
        <v>24</v>
      </c>
      <c r="M20" s="3"/>
      <c r="N20" s="5" t="s">
        <v>39</v>
      </c>
      <c r="O20" s="5" t="s">
        <v>40</v>
      </c>
      <c r="P20" s="3"/>
      <c r="Q20" s="5" t="s">
        <v>41</v>
      </c>
      <c r="R20" s="5" t="s">
        <v>42</v>
      </c>
      <c r="S20" s="3"/>
      <c r="T20" s="5" t="s">
        <v>50</v>
      </c>
      <c r="U20" s="5" t="s">
        <v>46</v>
      </c>
      <c r="V20" s="3"/>
      <c r="W20" s="5" t="s">
        <v>43</v>
      </c>
      <c r="X20" s="5" t="s">
        <v>41</v>
      </c>
      <c r="Y20" s="3"/>
      <c r="Z20" s="5" t="s">
        <v>41</v>
      </c>
      <c r="AA20" s="5" t="s">
        <v>41</v>
      </c>
      <c r="AB20" s="3"/>
      <c r="AC20" s="5" t="s">
        <v>27</v>
      </c>
      <c r="AD20" s="5" t="s">
        <v>38</v>
      </c>
      <c r="AE20" s="3"/>
      <c r="AF20" s="5" t="s">
        <v>41</v>
      </c>
      <c r="AG20" s="5" t="s">
        <v>41</v>
      </c>
    </row>
    <row r="21" spans="1:33" ht="15.75" x14ac:dyDescent="0.25">
      <c r="A21" s="1"/>
      <c r="B21" s="5" t="s">
        <v>22</v>
      </c>
      <c r="C21" s="5" t="s">
        <v>22</v>
      </c>
      <c r="D21" s="3"/>
      <c r="E21" s="5" t="s">
        <v>25</v>
      </c>
      <c r="F21" s="5" t="s">
        <v>25</v>
      </c>
      <c r="G21" s="3"/>
      <c r="H21" s="5" t="s">
        <v>28</v>
      </c>
      <c r="I21" s="5" t="s">
        <v>28</v>
      </c>
      <c r="J21" s="3"/>
      <c r="K21" s="5" t="s">
        <v>25</v>
      </c>
      <c r="L21" s="5" t="s">
        <v>38</v>
      </c>
      <c r="M21" s="3"/>
      <c r="N21" s="5" t="s">
        <v>40</v>
      </c>
      <c r="O21" s="5" t="s">
        <v>39</v>
      </c>
      <c r="P21" s="3"/>
      <c r="Q21" s="5" t="s">
        <v>41</v>
      </c>
      <c r="R21" s="5" t="s">
        <v>41</v>
      </c>
      <c r="S21" s="3"/>
      <c r="T21" s="5" t="s">
        <v>49</v>
      </c>
      <c r="U21" s="5" t="s">
        <v>49</v>
      </c>
      <c r="V21" s="3"/>
      <c r="W21" s="5" t="s">
        <v>41</v>
      </c>
      <c r="X21" s="5" t="s">
        <v>43</v>
      </c>
      <c r="Y21" s="3"/>
      <c r="Z21" s="5" t="s">
        <v>41</v>
      </c>
      <c r="AA21" s="5" t="s">
        <v>43</v>
      </c>
      <c r="AB21" s="3"/>
      <c r="AC21" s="5" t="s">
        <v>24</v>
      </c>
      <c r="AD21" s="5" t="s">
        <v>24</v>
      </c>
      <c r="AE21" s="3"/>
      <c r="AF21" s="5" t="s">
        <v>41</v>
      </c>
      <c r="AG21" s="5" t="s">
        <v>42</v>
      </c>
    </row>
    <row r="22" spans="1:33" ht="15.75" x14ac:dyDescent="0.25">
      <c r="A22" s="1"/>
      <c r="B22" s="6">
        <f>(0.045+0.0347+0.0273-0.00399)/4</f>
        <v>2.5752500000000001E-2</v>
      </c>
      <c r="C22" s="6">
        <f>(0.00509-0.00168-0.0106+0.046)/4</f>
        <v>9.7024999999999993E-3</v>
      </c>
      <c r="D22" s="3"/>
      <c r="E22" s="6">
        <f>(0.00296-0.00609-0.015-0.012-0.0186)/5</f>
        <v>-9.7459999999999995E-3</v>
      </c>
      <c r="F22" s="6">
        <f>(-0.0171-0.00565-0.0175-0.0153-0.000446)/5</f>
        <v>-1.1199200000000001E-2</v>
      </c>
      <c r="G22" s="3"/>
      <c r="H22" s="6">
        <f>(0.0166-0.00106-0.000705-0.000369-0.00885-0.0118-0.00851-0.0163-0.00474+0.00278)/10</f>
        <v>-3.2954000000000004E-3</v>
      </c>
      <c r="I22" s="6">
        <f>(-0.0114-0.0105-0.0164-0.00577+0.0031+0.000111+0.00761+0.0136+0.00921+0.0102)/10</f>
        <v>-2.3899999999999964E-5</v>
      </c>
      <c r="J22" s="3"/>
      <c r="K22" s="6">
        <f>(-0.0375-0.0124-0.026-0.0274-0.0345)/5</f>
        <v>-2.7560000000000001E-2</v>
      </c>
      <c r="L22" s="6">
        <f>(-0.0538-0.0225-0.0391+0.00188+0.000912)/5</f>
        <v>-2.2521599999999999E-2</v>
      </c>
      <c r="M22" s="3"/>
      <c r="N22" s="6">
        <v>-2.07E-2</v>
      </c>
      <c r="O22" s="6">
        <v>1.5900000000000001E-2</v>
      </c>
      <c r="P22" s="3"/>
      <c r="Q22" s="6">
        <f>(0.0249+0.015)/2</f>
        <v>1.9949999999999999E-2</v>
      </c>
      <c r="R22" s="6">
        <f>(0.0592+0.0848)/2</f>
        <v>7.2000000000000008E-2</v>
      </c>
      <c r="S22" s="3"/>
      <c r="T22" s="6">
        <f>(-0.0442+0.0255-0.012-0.00251-0.000926+0.028-0.0211)/7</f>
        <v>-3.8908571428571438E-3</v>
      </c>
      <c r="U22" s="6">
        <f>(0.0844-0.0111+0.0675+0.0243+0.00306-0.0037+0.0185)/7</f>
        <v>2.6137142857142855E-2</v>
      </c>
      <c r="V22" s="3"/>
      <c r="W22" s="6">
        <f>(0.0395+0.0218)/2</f>
        <v>3.065E-2</v>
      </c>
      <c r="X22" s="6">
        <f>(0.000497-0.0389)/2</f>
        <v>-1.92015E-2</v>
      </c>
      <c r="Y22" s="3"/>
      <c r="Z22" s="6">
        <f>(-0.0107-0.0158)/2</f>
        <v>-1.3250000000000001E-2</v>
      </c>
      <c r="AA22" s="6">
        <f>(-0.0498-0.034)/2</f>
        <v>-4.19E-2</v>
      </c>
      <c r="AB22" s="3"/>
      <c r="AC22" s="6">
        <f>(0.0108+0.0079+0.0275+0.0271+0.0192)/5</f>
        <v>1.8499999999999999E-2</v>
      </c>
      <c r="AD22" s="6">
        <f>(0.0358+0.0171-0.0077+0.00898+0.0513)/5</f>
        <v>2.1096E-2</v>
      </c>
      <c r="AE22" s="3"/>
      <c r="AF22" s="6">
        <f>(-0.0175-0.0228)/2</f>
        <v>-2.0150000000000001E-2</v>
      </c>
      <c r="AG22" s="6">
        <f>(-0.0453-0.109)/2</f>
        <v>-7.7149999999999996E-2</v>
      </c>
    </row>
    <row r="23" spans="1:33" ht="18.75" x14ac:dyDescent="0.25">
      <c r="A23" s="1" t="s">
        <v>7</v>
      </c>
      <c r="B23" s="5">
        <v>5.0000000000000001E-3</v>
      </c>
      <c r="C23" s="5">
        <v>2.4999999999999996E-3</v>
      </c>
      <c r="D23" s="3"/>
      <c r="E23" s="5">
        <v>1.5800000000000002E-2</v>
      </c>
      <c r="F23" s="5">
        <v>1.84E-2</v>
      </c>
      <c r="G23" s="3"/>
      <c r="H23" s="5">
        <v>1.0200000000000001E-2</v>
      </c>
      <c r="I23" s="5">
        <v>1.4100000000000001E-2</v>
      </c>
      <c r="J23" s="3"/>
      <c r="K23" s="5">
        <v>1.2666666666666666E-2</v>
      </c>
      <c r="L23" s="5">
        <v>7.6666666666666671E-3</v>
      </c>
      <c r="M23" s="3"/>
      <c r="N23" s="5">
        <v>2.9000000000000001E-2</v>
      </c>
      <c r="O23" s="5">
        <v>1.2999999999999999E-2</v>
      </c>
      <c r="P23" s="3"/>
      <c r="Q23" s="2">
        <v>2.5000000000000001E-3</v>
      </c>
      <c r="R23" s="2">
        <v>2.5000000000000001E-2</v>
      </c>
      <c r="S23" s="3"/>
      <c r="T23" s="5">
        <v>3.5714285714285713E-3</v>
      </c>
      <c r="U23" s="5">
        <v>8.2857142857142851E-3</v>
      </c>
      <c r="V23" s="3"/>
      <c r="W23" s="5">
        <v>1.2499999999999999E-2</v>
      </c>
      <c r="X23" s="5">
        <v>4.4999999999999997E-3</v>
      </c>
      <c r="Y23" s="3"/>
      <c r="Z23" s="5">
        <v>5.0000000000000001E-4</v>
      </c>
      <c r="AA23" s="5">
        <v>6.0000000000000001E-3</v>
      </c>
      <c r="AB23" s="3"/>
      <c r="AC23" s="5">
        <v>3.9999999999999992E-3</v>
      </c>
      <c r="AD23" s="5">
        <v>6.6E-3</v>
      </c>
      <c r="AE23" s="3"/>
      <c r="AF23" s="5">
        <v>2.5000000000000001E-3</v>
      </c>
      <c r="AG23" s="5">
        <v>3.2000000000000001E-2</v>
      </c>
    </row>
    <row r="24" spans="1:33" ht="15.75" x14ac:dyDescent="0.25">
      <c r="A24" s="1"/>
      <c r="B24" s="5"/>
      <c r="C24" s="5"/>
      <c r="D24" s="3"/>
      <c r="E24" s="5"/>
      <c r="F24" s="5"/>
      <c r="G24" s="3"/>
      <c r="H24" s="5"/>
      <c r="I24" s="5"/>
      <c r="J24" s="3"/>
      <c r="K24" s="5"/>
      <c r="L24" s="5"/>
      <c r="M24" s="3"/>
      <c r="N24" s="5"/>
      <c r="O24" s="5"/>
      <c r="P24" s="3"/>
      <c r="Q24" s="5"/>
      <c r="R24" s="5"/>
      <c r="S24" s="3"/>
      <c r="T24" s="5"/>
      <c r="U24" s="5"/>
      <c r="V24" s="3"/>
      <c r="W24" s="5"/>
      <c r="X24" s="5"/>
      <c r="Y24" s="3"/>
      <c r="Z24" s="5"/>
      <c r="AA24" s="5"/>
      <c r="AB24" s="3"/>
      <c r="AC24" s="5"/>
      <c r="AD24" s="5"/>
      <c r="AE24" s="3"/>
      <c r="AF24" s="5"/>
      <c r="AG24" s="5"/>
    </row>
    <row r="25" spans="1:33" ht="15.75" x14ac:dyDescent="0.25">
      <c r="A25" s="1" t="s">
        <v>6</v>
      </c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  <c r="N25" s="5"/>
      <c r="O25" s="5"/>
      <c r="P25" s="3"/>
      <c r="Q25" s="5"/>
      <c r="R25" s="5"/>
      <c r="S25" s="3"/>
      <c r="T25" s="5"/>
      <c r="U25" s="5"/>
      <c r="V25" s="3"/>
      <c r="W25" s="5"/>
      <c r="X25" s="5"/>
      <c r="Y25" s="3"/>
      <c r="Z25" s="5"/>
      <c r="AA25" s="5"/>
      <c r="AB25" s="3"/>
      <c r="AC25" s="5"/>
      <c r="AD25" s="5"/>
      <c r="AE25" s="3"/>
      <c r="AF25" s="5"/>
      <c r="AG25" s="5"/>
    </row>
    <row r="26" spans="1:33" ht="15.75" x14ac:dyDescent="0.25">
      <c r="A26" s="1"/>
      <c r="B26" s="5" t="s">
        <v>19</v>
      </c>
      <c r="C26" s="5" t="s">
        <v>22</v>
      </c>
      <c r="D26" s="3"/>
      <c r="E26" s="5" t="s">
        <v>19</v>
      </c>
      <c r="F26" s="5" t="s">
        <v>22</v>
      </c>
      <c r="G26" s="3"/>
      <c r="H26" s="5" t="s">
        <v>29</v>
      </c>
      <c r="I26" s="5" t="s">
        <v>36</v>
      </c>
      <c r="J26" s="3"/>
      <c r="K26" s="5" t="s">
        <v>24</v>
      </c>
      <c r="L26" s="5" t="s">
        <v>24</v>
      </c>
      <c r="M26" s="3"/>
      <c r="N26" s="5" t="s">
        <v>39</v>
      </c>
      <c r="O26" s="5" t="s">
        <v>39</v>
      </c>
      <c r="P26" s="3"/>
      <c r="Q26" s="5" t="s">
        <v>41</v>
      </c>
      <c r="R26" s="5" t="s">
        <v>41</v>
      </c>
      <c r="S26" s="3"/>
      <c r="T26" s="5" t="s">
        <v>45</v>
      </c>
      <c r="U26" s="5" t="s">
        <v>45</v>
      </c>
      <c r="V26" s="3"/>
      <c r="W26" s="5" t="s">
        <v>42</v>
      </c>
      <c r="X26" s="5" t="s">
        <v>43</v>
      </c>
      <c r="Y26" s="3"/>
      <c r="Z26" s="5" t="s">
        <v>42</v>
      </c>
      <c r="AA26" s="5" t="s">
        <v>42</v>
      </c>
      <c r="AB26" s="3"/>
      <c r="AC26" s="5" t="s">
        <v>24</v>
      </c>
      <c r="AD26" s="5" t="s">
        <v>24</v>
      </c>
      <c r="AE26" s="3"/>
      <c r="AF26" s="5" t="s">
        <v>42</v>
      </c>
      <c r="AG26" s="5" t="s">
        <v>42</v>
      </c>
    </row>
    <row r="27" spans="1:33" ht="15.75" x14ac:dyDescent="0.25">
      <c r="A27" s="1"/>
      <c r="B27" s="5" t="s">
        <v>22</v>
      </c>
      <c r="C27" s="5" t="s">
        <v>22</v>
      </c>
      <c r="D27" s="3"/>
      <c r="E27" s="5" t="s">
        <v>22</v>
      </c>
      <c r="F27" s="5" t="s">
        <v>22</v>
      </c>
      <c r="G27" s="3"/>
      <c r="H27" s="5" t="s">
        <v>30</v>
      </c>
      <c r="I27" s="5" t="s">
        <v>31</v>
      </c>
      <c r="J27" s="3"/>
      <c r="K27" s="5" t="s">
        <v>24</v>
      </c>
      <c r="L27" s="5" t="s">
        <v>24</v>
      </c>
      <c r="M27" s="3"/>
      <c r="N27" s="5" t="s">
        <v>39</v>
      </c>
      <c r="O27" s="5" t="s">
        <v>39</v>
      </c>
      <c r="P27" s="3"/>
      <c r="Q27" s="5" t="s">
        <v>41</v>
      </c>
      <c r="R27" s="5" t="s">
        <v>41</v>
      </c>
      <c r="S27" s="3"/>
      <c r="T27" s="5" t="s">
        <v>47</v>
      </c>
      <c r="U27" s="5" t="s">
        <v>45</v>
      </c>
      <c r="V27" s="3"/>
      <c r="W27" s="5" t="s">
        <v>41</v>
      </c>
      <c r="X27" s="5" t="s">
        <v>41</v>
      </c>
      <c r="Y27" s="3"/>
      <c r="Z27" s="5" t="s">
        <v>43</v>
      </c>
      <c r="AA27" s="5" t="s">
        <v>43</v>
      </c>
      <c r="AB27" s="3"/>
      <c r="AC27" s="5" t="s">
        <v>24</v>
      </c>
      <c r="AD27" s="5" t="s">
        <v>24</v>
      </c>
      <c r="AE27" s="3"/>
      <c r="AF27" s="5" t="s">
        <v>43</v>
      </c>
      <c r="AG27" s="5" t="s">
        <v>42</v>
      </c>
    </row>
    <row r="28" spans="1:33" ht="15.75" x14ac:dyDescent="0.25">
      <c r="A28" s="1"/>
      <c r="B28" s="5" t="s">
        <v>22</v>
      </c>
      <c r="C28" s="5" t="s">
        <v>22</v>
      </c>
      <c r="D28" s="3"/>
      <c r="E28" s="5" t="s">
        <v>22</v>
      </c>
      <c r="F28" s="5" t="s">
        <v>22</v>
      </c>
      <c r="G28" s="3"/>
      <c r="H28" s="5" t="s">
        <v>30</v>
      </c>
      <c r="I28" s="5" t="s">
        <v>30</v>
      </c>
      <c r="J28" s="3"/>
      <c r="K28" s="5" t="s">
        <v>37</v>
      </c>
      <c r="L28" s="5" t="s">
        <v>37</v>
      </c>
      <c r="M28" s="3"/>
      <c r="N28" s="5" t="s">
        <v>39</v>
      </c>
      <c r="O28" s="5" t="s">
        <v>39</v>
      </c>
      <c r="P28" s="3"/>
      <c r="Q28" s="5" t="s">
        <v>42</v>
      </c>
      <c r="R28" s="5" t="s">
        <v>42</v>
      </c>
      <c r="S28" s="3"/>
      <c r="T28" s="5" t="s">
        <v>49</v>
      </c>
      <c r="U28" s="5" t="s">
        <v>49</v>
      </c>
      <c r="V28" s="3"/>
      <c r="W28" s="5" t="s">
        <v>41</v>
      </c>
      <c r="X28" s="5" t="s">
        <v>41</v>
      </c>
      <c r="Y28" s="3"/>
      <c r="Z28" s="5" t="s">
        <v>41</v>
      </c>
      <c r="AA28" s="5" t="s">
        <v>41</v>
      </c>
      <c r="AB28" s="3"/>
      <c r="AC28" s="5" t="s">
        <v>27</v>
      </c>
      <c r="AD28" s="5" t="s">
        <v>37</v>
      </c>
      <c r="AE28" s="3"/>
      <c r="AF28" s="5" t="s">
        <v>41</v>
      </c>
      <c r="AG28" s="5" t="s">
        <v>41</v>
      </c>
    </row>
    <row r="29" spans="1:33" ht="15.75" x14ac:dyDescent="0.25">
      <c r="A29" s="1"/>
      <c r="B29" s="6">
        <f>(0.0125+0.0165+0.0203+0.00189)/4</f>
        <v>1.27975E-2</v>
      </c>
      <c r="C29" s="6">
        <f>(-0.00125-0.0139-0.00432-0.0185)/4</f>
        <v>-9.4924999999999992E-3</v>
      </c>
      <c r="D29" s="3"/>
      <c r="E29" s="6">
        <f>(0.0125+0.0165+0.0203+0.00189)/4</f>
        <v>1.27975E-2</v>
      </c>
      <c r="F29" s="6">
        <f>(-0.00125-0.0139-0.00432-0.0185)/4</f>
        <v>-9.4924999999999992E-3</v>
      </c>
      <c r="G29" s="3"/>
      <c r="H29" s="6">
        <f>(-0.00696-0.00166+0.000633-0.0013+0.00107-0.000454-0.000249+0.00104+0.00262+0.00522)/10</f>
        <v>-4.0000000000000108E-6</v>
      </c>
      <c r="I29" s="6">
        <f>(-0.00145+0.00142+0.000467+0.00188+0.00338+0.00102+0.00111+0.00213+0.00381+0.00373)/10</f>
        <v>1.7497000000000003E-3</v>
      </c>
      <c r="J29" s="3"/>
      <c r="K29" s="6">
        <f>(-0.0512-0.0272-0.0301-0.0342-0.0335)/5</f>
        <v>-3.524E-2</v>
      </c>
      <c r="L29" s="6">
        <f>(-0.0294-0.0231-0.0288-0.0294-0.0232)/5</f>
        <v>-2.6779999999999998E-2</v>
      </c>
      <c r="M29" s="3"/>
      <c r="N29" s="6">
        <v>-2.3700000000000001E-3</v>
      </c>
      <c r="O29" s="6">
        <v>-3.3700000000000002E-3</v>
      </c>
      <c r="P29" s="3"/>
      <c r="Q29" s="6">
        <f>(-0.0416-0.0521)/2</f>
        <v>-4.6850000000000003E-2</v>
      </c>
      <c r="R29" s="6">
        <f>(-0.0403-0.0488)/2</f>
        <v>-4.4550000000000006E-2</v>
      </c>
      <c r="S29" s="3"/>
      <c r="T29" s="6">
        <f>(0.0662+0.0229+0.0316+0.0156+0.00873+0.00906+0.0127)/7</f>
        <v>2.3827142857142856E-2</v>
      </c>
      <c r="U29" s="6">
        <f>(0.0457+0.0242+0.0232+0.0335+0.0335+0.0325+0.0415)/7</f>
        <v>3.3442857142857142E-2</v>
      </c>
      <c r="V29" s="3"/>
      <c r="W29" s="6">
        <f>(0.00745+0.0125)/2</f>
        <v>9.9750000000000012E-3</v>
      </c>
      <c r="X29" s="6">
        <f>(0.00612-0.0153)/2</f>
        <v>-4.5900000000000003E-3</v>
      </c>
      <c r="Y29" s="3"/>
      <c r="Z29" s="6">
        <f>(0.0898+0.0103)/2</f>
        <v>5.0050000000000004E-2</v>
      </c>
      <c r="AA29" s="6">
        <f>(0.0406+0.0164)/2</f>
        <v>2.8499999999999998E-2</v>
      </c>
      <c r="AB29" s="3"/>
      <c r="AC29" s="6">
        <f>(-0.0238-0.0226-0.0188-0.0194-0.0287)/5</f>
        <v>-2.266E-2</v>
      </c>
      <c r="AD29" s="6">
        <f>(-0.0345-0.0484-0.044-0.046-0.0506)/5</f>
        <v>-4.4700000000000004E-2</v>
      </c>
      <c r="AE29" s="3"/>
      <c r="AF29" s="6">
        <f>(0.0279+0.033)/2</f>
        <v>3.0450000000000001E-2</v>
      </c>
      <c r="AG29" s="6">
        <f>(0.0431+0.0491)/2</f>
        <v>4.6100000000000002E-2</v>
      </c>
    </row>
    <row r="30" spans="1:33" ht="18.75" x14ac:dyDescent="0.25">
      <c r="A30" s="1" t="s">
        <v>7</v>
      </c>
      <c r="B30" s="2">
        <v>1.75E-3</v>
      </c>
      <c r="C30">
        <v>1.5E-3</v>
      </c>
      <c r="D30" s="3"/>
      <c r="E30" s="2">
        <v>5.6000000000000008E-3</v>
      </c>
      <c r="F30" s="2">
        <v>1.9200000000000002E-2</v>
      </c>
      <c r="G30" s="3"/>
      <c r="H30" s="2">
        <v>1.7000000000000001E-3</v>
      </c>
      <c r="I30" s="2">
        <v>1.2000000000000001E-3</v>
      </c>
      <c r="J30" s="3"/>
      <c r="K30" s="2">
        <v>1.7333333333333329E-2</v>
      </c>
      <c r="L30" s="2">
        <v>1.2333333333333333E-2</v>
      </c>
      <c r="M30" s="3"/>
      <c r="N30" s="2">
        <v>1E-3</v>
      </c>
      <c r="O30" s="2">
        <v>2E-3</v>
      </c>
      <c r="P30" s="3"/>
      <c r="Q30">
        <v>2.0500000000000001E-2</v>
      </c>
      <c r="R30">
        <v>2.2499999999999999E-2</v>
      </c>
      <c r="S30" s="3"/>
      <c r="T30" s="2">
        <v>8.1428571428571427E-3</v>
      </c>
      <c r="U30" s="2">
        <v>2.4714285714285716E-2</v>
      </c>
      <c r="V30" s="3"/>
      <c r="W30" s="2">
        <v>2E-3</v>
      </c>
      <c r="X30" s="2">
        <v>1.5E-3</v>
      </c>
      <c r="Y30" s="3"/>
      <c r="Z30" s="2">
        <v>1.6500000000000001E-2</v>
      </c>
      <c r="AA30" s="2">
        <v>5.0000000000000001E-3</v>
      </c>
      <c r="AB30" s="3"/>
      <c r="AC30">
        <f>(U30+U32+U34+U36+U38)/5</f>
        <v>4.9428571428571429E-3</v>
      </c>
      <c r="AD30">
        <f>(V30+V32+V34+V36+V38)/5</f>
        <v>0</v>
      </c>
      <c r="AE30" s="3"/>
      <c r="AF30">
        <v>8.0000000000000002E-3</v>
      </c>
      <c r="AG30">
        <v>2.1499999999999998E-2</v>
      </c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</sheetData>
  <mergeCells count="11">
    <mergeCell ref="Q2:R2"/>
    <mergeCell ref="B2:C2"/>
    <mergeCell ref="E2:F2"/>
    <mergeCell ref="H2:I2"/>
    <mergeCell ref="K2:L2"/>
    <mergeCell ref="N2:O2"/>
    <mergeCell ref="Z2:AA2"/>
    <mergeCell ref="AC2:AD2"/>
    <mergeCell ref="AF2:AG2"/>
    <mergeCell ref="T2:U2"/>
    <mergeCell ref="W2:X2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70" workbookViewId="0">
      <selection activeCell="P97" sqref="P97:Q97"/>
    </sheetView>
  </sheetViews>
  <sheetFormatPr defaultRowHeight="15" x14ac:dyDescent="0.25"/>
  <sheetData>
    <row r="1" spans="1:17" x14ac:dyDescent="0.25">
      <c r="A1" t="s">
        <v>294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</row>
    <row r="2" spans="1:17" x14ac:dyDescent="0.25">
      <c r="A2" t="s">
        <v>60</v>
      </c>
      <c r="B2">
        <v>-2.47E-2</v>
      </c>
      <c r="C2">
        <v>1.6199999999999999E-2</v>
      </c>
      <c r="D2">
        <v>3.8600000000000001E-3</v>
      </c>
      <c r="E2">
        <v>-2.2100000000000002E-2</v>
      </c>
      <c r="F2">
        <v>-7.9200000000000007E-2</v>
      </c>
      <c r="G2">
        <v>2.6100000000000002E-2</v>
      </c>
      <c r="H2">
        <v>-5.21E-2</v>
      </c>
      <c r="I2">
        <v>1.55E-2</v>
      </c>
    </row>
    <row r="3" spans="1:17" x14ac:dyDescent="0.25">
      <c r="A3" t="s">
        <v>64</v>
      </c>
      <c r="B3">
        <v>1E-3</v>
      </c>
      <c r="C3">
        <v>1E-3</v>
      </c>
      <c r="D3">
        <v>0</v>
      </c>
      <c r="E3">
        <v>1E-3</v>
      </c>
      <c r="F3">
        <v>3.0000000000000001E-3</v>
      </c>
      <c r="G3">
        <v>0</v>
      </c>
      <c r="H3">
        <v>2E-3</v>
      </c>
      <c r="I3">
        <v>0</v>
      </c>
      <c r="J3">
        <f>(B3+B5+B7+B9+B11+B13+B15)/7</f>
        <v>2.4285714285714288E-3</v>
      </c>
      <c r="K3">
        <f t="shared" ref="K3:Q3" si="0">(C3+C5+C7+C9+C11+C13+C15)/7</f>
        <v>6.1428571428571435E-3</v>
      </c>
      <c r="L3">
        <f t="shared" si="0"/>
        <v>1.8571428571428573E-3</v>
      </c>
      <c r="M3">
        <f t="shared" si="0"/>
        <v>5.7142857142857143E-3</v>
      </c>
      <c r="N3">
        <f t="shared" si="0"/>
        <v>2.5714285714285717E-3</v>
      </c>
      <c r="O3">
        <f t="shared" si="0"/>
        <v>7.7142857142857143E-3</v>
      </c>
      <c r="P3">
        <f t="shared" si="0"/>
        <v>2.0000000000000005E-3</v>
      </c>
      <c r="Q3">
        <f t="shared" si="0"/>
        <v>8.4285714285714294E-3</v>
      </c>
    </row>
    <row r="4" spans="1:17" x14ac:dyDescent="0.25">
      <c r="A4" t="s">
        <v>65</v>
      </c>
      <c r="B4">
        <v>-5.5199999999999997E-3</v>
      </c>
      <c r="C4">
        <v>3.01E-4</v>
      </c>
      <c r="D4">
        <v>-1.16E-3</v>
      </c>
      <c r="E4">
        <v>-0.01</v>
      </c>
      <c r="F4">
        <v>1.1900000000000001E-3</v>
      </c>
      <c r="G4">
        <v>1.0200000000000001E-2</v>
      </c>
      <c r="H4">
        <v>2.5999999999999999E-3</v>
      </c>
      <c r="I4">
        <v>-5.3600000000000002E-3</v>
      </c>
    </row>
    <row r="5" spans="1:17" x14ac:dyDescent="0.25">
      <c r="A5" t="s">
        <v>64</v>
      </c>
      <c r="B5">
        <v>1E-3</v>
      </c>
      <c r="C5">
        <v>0</v>
      </c>
      <c r="D5">
        <v>0</v>
      </c>
      <c r="E5">
        <v>2E-3</v>
      </c>
      <c r="F5">
        <v>0</v>
      </c>
      <c r="G5">
        <v>0</v>
      </c>
      <c r="H5">
        <v>0</v>
      </c>
      <c r="I5">
        <v>0</v>
      </c>
    </row>
    <row r="6" spans="1:17" x14ac:dyDescent="0.25">
      <c r="A6" t="s">
        <v>70</v>
      </c>
      <c r="B6">
        <v>-1.7299999999999999E-2</v>
      </c>
      <c r="C6" t="s">
        <v>244</v>
      </c>
      <c r="D6">
        <v>-1.0200000000000001E-2</v>
      </c>
      <c r="E6">
        <v>-3.3899999999999998E-3</v>
      </c>
      <c r="F6" t="s">
        <v>245</v>
      </c>
      <c r="G6">
        <v>2.5999999999999999E-3</v>
      </c>
      <c r="H6" t="s">
        <v>246</v>
      </c>
      <c r="I6">
        <v>-3.4700000000000002E-2</v>
      </c>
    </row>
    <row r="7" spans="1:17" x14ac:dyDescent="0.25">
      <c r="A7" t="s">
        <v>64</v>
      </c>
      <c r="B7">
        <v>3.0000000000000001E-3</v>
      </c>
      <c r="C7">
        <v>8.0000000000000002E-3</v>
      </c>
      <c r="D7">
        <v>1E-3</v>
      </c>
      <c r="E7">
        <v>0</v>
      </c>
      <c r="F7">
        <v>6.0000000000000001E-3</v>
      </c>
      <c r="G7">
        <v>0</v>
      </c>
      <c r="H7">
        <v>5.0000000000000001E-3</v>
      </c>
      <c r="I7">
        <v>3.0000000000000001E-3</v>
      </c>
    </row>
    <row r="8" spans="1:17" x14ac:dyDescent="0.25">
      <c r="A8" t="s">
        <v>77</v>
      </c>
      <c r="B8">
        <v>-2.23E-2</v>
      </c>
      <c r="C8" t="s">
        <v>247</v>
      </c>
      <c r="D8">
        <v>-1.0999999999999999E-2</v>
      </c>
      <c r="E8">
        <v>1.5599999999999999E-2</v>
      </c>
      <c r="F8">
        <v>1.6400000000000001E-2</v>
      </c>
      <c r="G8">
        <v>3.4700000000000002E-2</v>
      </c>
      <c r="H8">
        <v>1.77E-2</v>
      </c>
      <c r="I8">
        <v>1.29E-2</v>
      </c>
    </row>
    <row r="9" spans="1:17" x14ac:dyDescent="0.25">
      <c r="A9" t="s">
        <v>64</v>
      </c>
      <c r="B9">
        <v>7.0000000000000001E-3</v>
      </c>
      <c r="C9">
        <v>7.0000000000000001E-3</v>
      </c>
      <c r="D9">
        <v>2E-3</v>
      </c>
      <c r="E9">
        <v>3.0000000000000001E-3</v>
      </c>
      <c r="F9">
        <v>1E-3</v>
      </c>
      <c r="G9">
        <v>3.0000000000000001E-3</v>
      </c>
      <c r="H9">
        <v>2E-3</v>
      </c>
      <c r="I9">
        <v>1E-3</v>
      </c>
    </row>
    <row r="10" spans="1:17" x14ac:dyDescent="0.25">
      <c r="A10" t="s">
        <v>81</v>
      </c>
      <c r="B10">
        <v>-1.38E-2</v>
      </c>
      <c r="C10">
        <v>1.37E-2</v>
      </c>
      <c r="D10">
        <v>-1.41E-2</v>
      </c>
      <c r="E10">
        <v>8.3400000000000002E-3</v>
      </c>
      <c r="F10">
        <v>3.3600000000000001E-3</v>
      </c>
      <c r="G10">
        <v>5.6099999999999997E-2</v>
      </c>
      <c r="H10">
        <v>-1.0200000000000001E-2</v>
      </c>
      <c r="I10">
        <v>4.7899999999999998E-2</v>
      </c>
    </row>
    <row r="11" spans="1:17" x14ac:dyDescent="0.25">
      <c r="A11" t="s">
        <v>64</v>
      </c>
      <c r="B11">
        <v>4.0000000000000001E-3</v>
      </c>
      <c r="C11">
        <v>5.0000000000000001E-3</v>
      </c>
      <c r="D11">
        <v>4.0000000000000001E-3</v>
      </c>
      <c r="E11">
        <v>1E-3</v>
      </c>
      <c r="F11">
        <v>0</v>
      </c>
      <c r="G11">
        <v>1.0999999999999999E-2</v>
      </c>
      <c r="H11">
        <v>1E-3</v>
      </c>
      <c r="I11">
        <v>1.4E-2</v>
      </c>
    </row>
    <row r="12" spans="1:17" x14ac:dyDescent="0.25">
      <c r="A12" t="s">
        <v>83</v>
      </c>
      <c r="B12">
        <v>5.79E-3</v>
      </c>
      <c r="C12">
        <v>1.5299999999999999E-2</v>
      </c>
      <c r="D12">
        <v>-7.79E-3</v>
      </c>
      <c r="E12">
        <v>1.43E-2</v>
      </c>
      <c r="F12">
        <v>1.2500000000000001E-2</v>
      </c>
      <c r="G12">
        <v>6.2799999999999995E-2</v>
      </c>
      <c r="H12">
        <v>1.9699999999999999E-4</v>
      </c>
      <c r="I12">
        <v>5.0599999999999999E-2</v>
      </c>
    </row>
    <row r="13" spans="1:17" x14ac:dyDescent="0.25">
      <c r="A13" t="s">
        <v>64</v>
      </c>
      <c r="B13">
        <v>1E-3</v>
      </c>
      <c r="C13">
        <v>6.0000000000000001E-3</v>
      </c>
      <c r="D13">
        <v>1E-3</v>
      </c>
      <c r="E13">
        <v>4.0000000000000001E-3</v>
      </c>
      <c r="F13">
        <v>1E-3</v>
      </c>
      <c r="G13">
        <v>1.4999999999999999E-2</v>
      </c>
      <c r="H13">
        <v>0</v>
      </c>
      <c r="I13">
        <v>1.7999999999999999E-2</v>
      </c>
    </row>
    <row r="14" spans="1:17" x14ac:dyDescent="0.25">
      <c r="A14" t="s">
        <v>87</v>
      </c>
      <c r="B14">
        <v>1.5399999999999999E-3</v>
      </c>
      <c r="C14" t="s">
        <v>248</v>
      </c>
      <c r="D14">
        <v>-0.02</v>
      </c>
      <c r="E14" t="s">
        <v>249</v>
      </c>
      <c r="F14">
        <v>5.96E-2</v>
      </c>
      <c r="G14" t="s">
        <v>250</v>
      </c>
      <c r="H14">
        <v>3.4200000000000001E-2</v>
      </c>
      <c r="I14" t="s">
        <v>251</v>
      </c>
    </row>
    <row r="15" spans="1:17" x14ac:dyDescent="0.25">
      <c r="A15" t="s">
        <v>64</v>
      </c>
      <c r="B15">
        <v>0</v>
      </c>
      <c r="C15">
        <v>1.6E-2</v>
      </c>
      <c r="D15">
        <v>5.0000000000000001E-3</v>
      </c>
      <c r="E15">
        <v>2.9000000000000001E-2</v>
      </c>
      <c r="F15">
        <v>7.0000000000000001E-3</v>
      </c>
      <c r="G15">
        <v>2.5000000000000001E-2</v>
      </c>
      <c r="H15">
        <v>4.0000000000000001E-3</v>
      </c>
      <c r="I15">
        <v>2.3E-2</v>
      </c>
    </row>
    <row r="16" spans="1:17" x14ac:dyDescent="0.25">
      <c r="A16" t="s">
        <v>91</v>
      </c>
      <c r="B16">
        <v>-6.3E-3</v>
      </c>
      <c r="C16">
        <v>-4.8399999999999997E-3</v>
      </c>
      <c r="D16">
        <v>-7.1900000000000002E-3</v>
      </c>
      <c r="E16">
        <v>-4.5500000000000002E-3</v>
      </c>
      <c r="F16">
        <v>-2.8400000000000001E-3</v>
      </c>
      <c r="G16">
        <v>-1.2400000000000001E-4</v>
      </c>
      <c r="H16">
        <v>2.5100000000000001E-3</v>
      </c>
      <c r="I16">
        <v>1.0200000000000001E-2</v>
      </c>
    </row>
    <row r="17" spans="1:17" x14ac:dyDescent="0.25">
      <c r="A17" t="s">
        <v>64</v>
      </c>
      <c r="B17">
        <v>5.0000000000000001E-3</v>
      </c>
      <c r="C17">
        <v>3.0000000000000001E-3</v>
      </c>
      <c r="D17">
        <v>6.0000000000000001E-3</v>
      </c>
      <c r="E17">
        <v>3.0000000000000001E-3</v>
      </c>
      <c r="F17">
        <v>0</v>
      </c>
      <c r="G17">
        <v>0</v>
      </c>
      <c r="H17">
        <v>0</v>
      </c>
      <c r="I17">
        <v>5.0000000000000001E-3</v>
      </c>
      <c r="J17">
        <f>B17</f>
        <v>5.0000000000000001E-3</v>
      </c>
      <c r="K17">
        <f t="shared" ref="K17:Q17" si="1">C17</f>
        <v>3.0000000000000001E-3</v>
      </c>
      <c r="L17">
        <f t="shared" si="1"/>
        <v>6.0000000000000001E-3</v>
      </c>
      <c r="M17">
        <f t="shared" si="1"/>
        <v>3.0000000000000001E-3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5.0000000000000001E-3</v>
      </c>
    </row>
    <row r="18" spans="1:17" x14ac:dyDescent="0.25">
      <c r="A18" t="s">
        <v>93</v>
      </c>
      <c r="B18">
        <v>-2.1700000000000001E-2</v>
      </c>
      <c r="C18">
        <v>1.8499999999999999E-2</v>
      </c>
      <c r="D18">
        <v>-2.7400000000000001E-2</v>
      </c>
      <c r="E18">
        <v>7.4200000000000004E-3</v>
      </c>
      <c r="F18">
        <v>-1.24E-2</v>
      </c>
      <c r="G18">
        <v>-1.2199999999999999E-3</v>
      </c>
      <c r="H18">
        <v>1.3200000000000001E-4</v>
      </c>
      <c r="I18">
        <v>-7.1199999999999996E-4</v>
      </c>
    </row>
    <row r="19" spans="1:17" x14ac:dyDescent="0.25">
      <c r="A19" t="s">
        <v>64</v>
      </c>
      <c r="B19">
        <v>5.0000000000000001E-3</v>
      </c>
      <c r="C19">
        <v>3.0000000000000001E-3</v>
      </c>
      <c r="D19">
        <v>5.0000000000000001E-3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f>(B19+B21+B23+B25+B27)/5</f>
        <v>8.2000000000000007E-3</v>
      </c>
      <c r="K19">
        <f t="shared" ref="K19:O19" si="2">(C19+C21+C23+C25+C27)/5</f>
        <v>3.0000000000000001E-3</v>
      </c>
      <c r="L19">
        <f t="shared" si="2"/>
        <v>4.6000000000000008E-3</v>
      </c>
      <c r="M19">
        <f t="shared" si="2"/>
        <v>1.2000000000000001E-3</v>
      </c>
      <c r="N19">
        <f t="shared" si="2"/>
        <v>2.0000000000000001E-4</v>
      </c>
      <c r="O19">
        <f t="shared" si="2"/>
        <v>8.0000000000000002E-3</v>
      </c>
      <c r="P19">
        <f>(H19+H21+H23+H25+H27)/5</f>
        <v>4.0000000000000002E-4</v>
      </c>
      <c r="Q19">
        <f>(I19+I21+I23+I25+I27)/5</f>
        <v>6.4000000000000003E-3</v>
      </c>
    </row>
    <row r="20" spans="1:17" x14ac:dyDescent="0.25">
      <c r="A20" t="s">
        <v>98</v>
      </c>
      <c r="B20">
        <v>2.29E-2</v>
      </c>
      <c r="C20">
        <v>-3.81E-3</v>
      </c>
      <c r="D20">
        <v>1.5900000000000001E-2</v>
      </c>
      <c r="E20">
        <v>-1.0500000000000001E-2</v>
      </c>
      <c r="F20">
        <v>-2.5700000000000001E-2</v>
      </c>
      <c r="G20">
        <v>-2.58E-2</v>
      </c>
      <c r="H20">
        <v>-2.5100000000000001E-2</v>
      </c>
      <c r="I20">
        <v>-1.6299999999999999E-2</v>
      </c>
    </row>
    <row r="21" spans="1:17" x14ac:dyDescent="0.25">
      <c r="A21" t="s">
        <v>64</v>
      </c>
      <c r="B21">
        <v>5.0000000000000001E-3</v>
      </c>
      <c r="C21">
        <v>0</v>
      </c>
      <c r="D21">
        <v>1E-3</v>
      </c>
      <c r="E21">
        <v>1E-3</v>
      </c>
      <c r="F21">
        <v>1E-3</v>
      </c>
      <c r="G21">
        <v>1E-3</v>
      </c>
      <c r="H21">
        <v>2E-3</v>
      </c>
      <c r="I21">
        <v>1E-3</v>
      </c>
    </row>
    <row r="22" spans="1:17" x14ac:dyDescent="0.25">
      <c r="A22" t="s">
        <v>101</v>
      </c>
      <c r="B22">
        <v>2.2499999999999999E-2</v>
      </c>
      <c r="C22">
        <v>1.7899999999999999E-3</v>
      </c>
      <c r="D22">
        <v>3.0700000000000002E-2</v>
      </c>
      <c r="E22">
        <v>-1.35E-2</v>
      </c>
      <c r="F22">
        <v>3.13E-3</v>
      </c>
      <c r="G22" t="s">
        <v>252</v>
      </c>
      <c r="H22">
        <v>-3.0699999999999998E-3</v>
      </c>
      <c r="I22">
        <v>-4.0099999999999997E-2</v>
      </c>
    </row>
    <row r="23" spans="1:17" x14ac:dyDescent="0.25">
      <c r="A23" t="s">
        <v>64</v>
      </c>
      <c r="B23">
        <v>6.0000000000000001E-3</v>
      </c>
      <c r="C23">
        <v>0</v>
      </c>
      <c r="D23">
        <v>8.0000000000000002E-3</v>
      </c>
      <c r="E23">
        <v>3.0000000000000001E-3</v>
      </c>
      <c r="F23">
        <v>0</v>
      </c>
      <c r="G23">
        <v>1.0999999999999999E-2</v>
      </c>
      <c r="H23">
        <v>0</v>
      </c>
      <c r="I23">
        <v>7.0000000000000001E-3</v>
      </c>
    </row>
    <row r="24" spans="1:17" x14ac:dyDescent="0.25">
      <c r="A24" t="s">
        <v>104</v>
      </c>
      <c r="B24">
        <v>2.7699999999999999E-2</v>
      </c>
      <c r="C24">
        <v>7.4599999999999996E-3</v>
      </c>
      <c r="D24">
        <v>2.1899999999999999E-2</v>
      </c>
      <c r="E24">
        <v>-4.0099999999999997E-3</v>
      </c>
      <c r="F24">
        <v>1.6800000000000001E-3</v>
      </c>
      <c r="G24" t="s">
        <v>253</v>
      </c>
      <c r="H24">
        <v>-8.3499999999999998E-3</v>
      </c>
      <c r="I24" t="s">
        <v>254</v>
      </c>
    </row>
    <row r="25" spans="1:17" x14ac:dyDescent="0.25">
      <c r="A25" t="s">
        <v>64</v>
      </c>
      <c r="B25">
        <v>1.2E-2</v>
      </c>
      <c r="C25">
        <v>1E-3</v>
      </c>
      <c r="D25">
        <v>4.0000000000000001E-3</v>
      </c>
      <c r="E25">
        <v>0</v>
      </c>
      <c r="F25">
        <v>0</v>
      </c>
      <c r="G25">
        <v>2.3E-2</v>
      </c>
      <c r="H25">
        <v>0</v>
      </c>
      <c r="I25">
        <v>1.4999999999999999E-2</v>
      </c>
    </row>
    <row r="26" spans="1:17" x14ac:dyDescent="0.25">
      <c r="A26" t="s">
        <v>107</v>
      </c>
      <c r="B26">
        <v>3.4099999999999998E-2</v>
      </c>
      <c r="C26">
        <v>3.1600000000000003E-2</v>
      </c>
      <c r="D26">
        <v>2.58E-2</v>
      </c>
      <c r="E26">
        <v>1.66E-2</v>
      </c>
      <c r="F26">
        <v>-5.8900000000000003E-3</v>
      </c>
      <c r="G26">
        <v>-5.04E-2</v>
      </c>
      <c r="H26">
        <v>-9.8499999999999994E-3</v>
      </c>
      <c r="I26" t="s">
        <v>255</v>
      </c>
    </row>
    <row r="27" spans="1:17" x14ac:dyDescent="0.25">
      <c r="A27" t="s">
        <v>64</v>
      </c>
      <c r="B27">
        <v>1.2999999999999999E-2</v>
      </c>
      <c r="C27">
        <v>1.0999999999999999E-2</v>
      </c>
      <c r="D27">
        <v>5.0000000000000001E-3</v>
      </c>
      <c r="E27">
        <v>2E-3</v>
      </c>
      <c r="F27">
        <v>0</v>
      </c>
      <c r="G27">
        <v>5.0000000000000001E-3</v>
      </c>
      <c r="H27">
        <v>0</v>
      </c>
      <c r="I27">
        <v>8.9999999999999993E-3</v>
      </c>
    </row>
    <row r="28" spans="1:17" x14ac:dyDescent="0.25">
      <c r="A28" t="s">
        <v>112</v>
      </c>
      <c r="B28">
        <v>3.9399999999999999E-3</v>
      </c>
      <c r="C28">
        <v>5.7600000000000004E-3</v>
      </c>
      <c r="D28">
        <v>1.3299999999999999E-2</v>
      </c>
      <c r="E28">
        <v>-8.4899999999999993E-3</v>
      </c>
      <c r="F28">
        <v>1.7999999999999999E-2</v>
      </c>
      <c r="G28">
        <v>3.2099999999999997E-2</v>
      </c>
      <c r="H28">
        <v>1.35E-2</v>
      </c>
      <c r="I28">
        <v>2.7E-2</v>
      </c>
    </row>
    <row r="29" spans="1:17" x14ac:dyDescent="0.25">
      <c r="A29" t="s">
        <v>64</v>
      </c>
      <c r="B29">
        <v>0</v>
      </c>
      <c r="C29">
        <v>1E-3</v>
      </c>
      <c r="D29">
        <v>2E-3</v>
      </c>
      <c r="E29">
        <v>1E-3</v>
      </c>
      <c r="F29">
        <v>1E-3</v>
      </c>
      <c r="G29">
        <v>3.0000000000000001E-3</v>
      </c>
      <c r="H29">
        <v>1E-3</v>
      </c>
      <c r="I29">
        <v>4.0000000000000001E-3</v>
      </c>
      <c r="J29">
        <f>(B29+B31)/2</f>
        <v>5.0000000000000001E-4</v>
      </c>
      <c r="K29">
        <f t="shared" ref="K29:Q29" si="3">(C29+C31)/2</f>
        <v>2E-3</v>
      </c>
      <c r="L29">
        <f t="shared" si="3"/>
        <v>1.5E-3</v>
      </c>
      <c r="M29">
        <f t="shared" si="3"/>
        <v>3.0000000000000001E-3</v>
      </c>
      <c r="N29">
        <f t="shared" si="3"/>
        <v>6.5000000000000006E-3</v>
      </c>
      <c r="O29">
        <f t="shared" si="3"/>
        <v>2E-3</v>
      </c>
      <c r="P29">
        <f t="shared" si="3"/>
        <v>8.5000000000000006E-3</v>
      </c>
      <c r="Q29">
        <f t="shared" si="3"/>
        <v>2E-3</v>
      </c>
    </row>
    <row r="30" spans="1:17" x14ac:dyDescent="0.25">
      <c r="A30" t="s">
        <v>115</v>
      </c>
      <c r="B30">
        <v>1.01E-2</v>
      </c>
      <c r="C30">
        <v>-1.8200000000000001E-2</v>
      </c>
      <c r="D30">
        <v>-1.0500000000000001E-2</v>
      </c>
      <c r="E30">
        <v>-2.4899999999999999E-2</v>
      </c>
      <c r="F30" t="s">
        <v>256</v>
      </c>
      <c r="G30">
        <v>2.5399999999999999E-2</v>
      </c>
      <c r="H30" t="s">
        <v>257</v>
      </c>
      <c r="I30">
        <v>1.01E-2</v>
      </c>
    </row>
    <row r="31" spans="1:17" x14ac:dyDescent="0.25">
      <c r="A31" t="s">
        <v>64</v>
      </c>
      <c r="B31">
        <v>1E-3</v>
      </c>
      <c r="C31">
        <v>3.0000000000000001E-3</v>
      </c>
      <c r="D31">
        <v>1E-3</v>
      </c>
      <c r="E31">
        <v>5.0000000000000001E-3</v>
      </c>
      <c r="F31">
        <v>1.2E-2</v>
      </c>
      <c r="G31">
        <v>1E-3</v>
      </c>
      <c r="H31">
        <v>1.6E-2</v>
      </c>
      <c r="I31">
        <v>0</v>
      </c>
    </row>
    <row r="32" spans="1:17" x14ac:dyDescent="0.25">
      <c r="A32" t="s">
        <v>117</v>
      </c>
      <c r="B32" t="s">
        <v>258</v>
      </c>
      <c r="C32">
        <v>-1.29E-2</v>
      </c>
      <c r="D32" t="s">
        <v>259</v>
      </c>
      <c r="E32">
        <v>-1.14E-2</v>
      </c>
      <c r="F32">
        <v>2.2800000000000001E-2</v>
      </c>
      <c r="G32">
        <v>3.8300000000000001E-2</v>
      </c>
      <c r="H32">
        <v>2.23E-2</v>
      </c>
      <c r="I32">
        <v>2.8500000000000001E-2</v>
      </c>
    </row>
    <row r="33" spans="1:17" x14ac:dyDescent="0.25">
      <c r="A33" t="s">
        <v>64</v>
      </c>
      <c r="B33">
        <v>1.6E-2</v>
      </c>
      <c r="C33">
        <v>2E-3</v>
      </c>
      <c r="D33">
        <v>1.0999999999999999E-2</v>
      </c>
      <c r="E33">
        <v>1E-3</v>
      </c>
      <c r="F33">
        <v>1E-3</v>
      </c>
      <c r="G33">
        <v>2E-3</v>
      </c>
      <c r="H33">
        <v>1E-3</v>
      </c>
      <c r="I33">
        <v>2E-3</v>
      </c>
      <c r="J33">
        <f t="shared" ref="J33:P33" si="4">(B33+B35+B37+B39)/4</f>
        <v>5.000000000000001E-3</v>
      </c>
      <c r="K33">
        <f t="shared" si="4"/>
        <v>5.0000000000000001E-4</v>
      </c>
      <c r="L33">
        <f t="shared" si="4"/>
        <v>3.7499999999999999E-3</v>
      </c>
      <c r="M33">
        <f t="shared" si="4"/>
        <v>5.0000000000000001E-4</v>
      </c>
      <c r="N33">
        <f t="shared" si="4"/>
        <v>1E-3</v>
      </c>
      <c r="O33">
        <f t="shared" si="4"/>
        <v>4.0000000000000001E-3</v>
      </c>
      <c r="P33">
        <f t="shared" si="4"/>
        <v>3.0000000000000001E-3</v>
      </c>
      <c r="Q33">
        <f>(I33+I35+I37+I39)/4</f>
        <v>2E-3</v>
      </c>
    </row>
    <row r="34" spans="1:17" x14ac:dyDescent="0.25">
      <c r="A34" t="s">
        <v>120</v>
      </c>
      <c r="B34">
        <v>1.35E-2</v>
      </c>
      <c r="C34">
        <v>-1.9599999999999999E-3</v>
      </c>
      <c r="D34">
        <v>2.29E-2</v>
      </c>
      <c r="E34">
        <v>-9.8799999999999999E-3</v>
      </c>
      <c r="F34">
        <v>3.3799999999999997E-2</v>
      </c>
      <c r="G34">
        <v>2.41E-2</v>
      </c>
      <c r="H34">
        <v>3.8800000000000001E-2</v>
      </c>
      <c r="I34">
        <v>2.01E-2</v>
      </c>
    </row>
    <row r="35" spans="1:17" x14ac:dyDescent="0.25">
      <c r="A35" t="s">
        <v>64</v>
      </c>
      <c r="B35">
        <v>1E-3</v>
      </c>
      <c r="C35">
        <v>0</v>
      </c>
      <c r="D35">
        <v>2E-3</v>
      </c>
      <c r="E35">
        <v>1E-3</v>
      </c>
      <c r="F35">
        <v>2E-3</v>
      </c>
      <c r="G35">
        <v>1E-3</v>
      </c>
      <c r="H35">
        <v>4.0000000000000001E-3</v>
      </c>
      <c r="I35">
        <v>1E-3</v>
      </c>
    </row>
    <row r="36" spans="1:17" x14ac:dyDescent="0.25">
      <c r="A36" t="s">
        <v>122</v>
      </c>
      <c r="B36">
        <v>0.01</v>
      </c>
      <c r="C36">
        <v>-6.3200000000000001E-3</v>
      </c>
      <c r="D36">
        <v>-1.9400000000000001E-3</v>
      </c>
      <c r="E36">
        <v>2.81E-3</v>
      </c>
      <c r="F36">
        <v>3.15E-2</v>
      </c>
      <c r="G36" t="s">
        <v>260</v>
      </c>
      <c r="H36">
        <v>4.0099999999999997E-2</v>
      </c>
      <c r="I36">
        <v>4.2599999999999999E-2</v>
      </c>
    </row>
    <row r="37" spans="1:17" x14ac:dyDescent="0.25">
      <c r="A37" t="s">
        <v>64</v>
      </c>
      <c r="B37">
        <v>1E-3</v>
      </c>
      <c r="C37">
        <v>0</v>
      </c>
      <c r="D37">
        <v>0</v>
      </c>
      <c r="E37">
        <v>0</v>
      </c>
      <c r="F37">
        <v>1E-3</v>
      </c>
      <c r="G37">
        <v>1.2E-2</v>
      </c>
      <c r="H37">
        <v>3.0000000000000001E-3</v>
      </c>
      <c r="I37">
        <v>4.0000000000000001E-3</v>
      </c>
    </row>
    <row r="38" spans="1:17" x14ac:dyDescent="0.25">
      <c r="A38" t="s">
        <v>123</v>
      </c>
      <c r="B38">
        <v>1.5599999999999999E-2</v>
      </c>
      <c r="C38">
        <v>-5.0000000000000001E-3</v>
      </c>
      <c r="D38">
        <v>-1.8200000000000001E-2</v>
      </c>
      <c r="E38">
        <v>7.43E-3</v>
      </c>
      <c r="F38">
        <v>1.49E-2</v>
      </c>
      <c r="G38">
        <v>2.8299999999999999E-2</v>
      </c>
      <c r="H38">
        <v>3.9800000000000002E-2</v>
      </c>
      <c r="I38">
        <v>2.3800000000000002E-2</v>
      </c>
    </row>
    <row r="39" spans="1:17" x14ac:dyDescent="0.25">
      <c r="A39" t="s">
        <v>64</v>
      </c>
      <c r="B39">
        <v>2E-3</v>
      </c>
      <c r="C39">
        <v>0</v>
      </c>
      <c r="D39">
        <v>2E-3</v>
      </c>
      <c r="E39">
        <v>0</v>
      </c>
      <c r="F39">
        <v>0</v>
      </c>
      <c r="G39">
        <v>1E-3</v>
      </c>
      <c r="H39">
        <v>4.0000000000000001E-3</v>
      </c>
      <c r="I39">
        <v>1E-3</v>
      </c>
    </row>
    <row r="40" spans="1:17" x14ac:dyDescent="0.25">
      <c r="A40" t="s">
        <v>125</v>
      </c>
      <c r="B40">
        <v>2.1899999999999999E-2</v>
      </c>
      <c r="C40">
        <v>2.8500000000000001E-2</v>
      </c>
      <c r="D40">
        <v>3.5099999999999999E-2</v>
      </c>
      <c r="E40">
        <v>3.6700000000000003E-2</v>
      </c>
      <c r="F40">
        <v>-1.5299999999999999E-2</v>
      </c>
      <c r="G40">
        <v>-5.04E-2</v>
      </c>
      <c r="H40">
        <v>-3.4499999999999999E-3</v>
      </c>
      <c r="I40" t="s">
        <v>261</v>
      </c>
    </row>
    <row r="41" spans="1:17" x14ac:dyDescent="0.25">
      <c r="A41" t="s">
        <v>64</v>
      </c>
      <c r="B41">
        <v>4.0000000000000001E-3</v>
      </c>
      <c r="C41">
        <v>6.0000000000000001E-3</v>
      </c>
      <c r="D41">
        <v>7.0000000000000001E-3</v>
      </c>
      <c r="E41">
        <v>6.0000000000000001E-3</v>
      </c>
      <c r="F41">
        <v>0</v>
      </c>
      <c r="G41">
        <v>4.0000000000000001E-3</v>
      </c>
      <c r="H41">
        <v>0</v>
      </c>
      <c r="I41">
        <v>6.0000000000000001E-3</v>
      </c>
      <c r="J41">
        <f>(B41+B43)/2</f>
        <v>4.0000000000000001E-3</v>
      </c>
      <c r="K41">
        <f t="shared" ref="K41:Q41" si="5">(C41+C43)/2</f>
        <v>8.5000000000000006E-3</v>
      </c>
      <c r="L41">
        <f t="shared" si="5"/>
        <v>5.4999999999999997E-3</v>
      </c>
      <c r="M41">
        <f t="shared" si="5"/>
        <v>8.0000000000000002E-3</v>
      </c>
      <c r="N41">
        <f t="shared" si="5"/>
        <v>0</v>
      </c>
      <c r="O41">
        <f t="shared" si="5"/>
        <v>3.0000000000000001E-3</v>
      </c>
      <c r="P41">
        <f t="shared" si="5"/>
        <v>0</v>
      </c>
      <c r="Q41">
        <f t="shared" si="5"/>
        <v>5.0000000000000001E-3</v>
      </c>
    </row>
    <row r="42" spans="1:17" x14ac:dyDescent="0.25">
      <c r="A42" t="s">
        <v>128</v>
      </c>
      <c r="B42">
        <v>2.3699999999999999E-2</v>
      </c>
      <c r="C42">
        <v>4.0399999999999998E-2</v>
      </c>
      <c r="D42">
        <v>3.0800000000000001E-2</v>
      </c>
      <c r="E42" t="s">
        <v>262</v>
      </c>
      <c r="F42">
        <v>4.3800000000000002E-3</v>
      </c>
      <c r="G42">
        <v>-4.07E-2</v>
      </c>
      <c r="H42">
        <v>1.09E-2</v>
      </c>
      <c r="I42">
        <v>-4.0300000000000002E-2</v>
      </c>
    </row>
    <row r="43" spans="1:17" x14ac:dyDescent="0.25">
      <c r="A43" t="s">
        <v>64</v>
      </c>
      <c r="B43">
        <v>4.0000000000000001E-3</v>
      </c>
      <c r="C43">
        <v>1.0999999999999999E-2</v>
      </c>
      <c r="D43">
        <v>4.0000000000000001E-3</v>
      </c>
      <c r="E43">
        <v>0.01</v>
      </c>
      <c r="F43">
        <v>0</v>
      </c>
      <c r="G43">
        <v>2E-3</v>
      </c>
      <c r="H43">
        <v>0</v>
      </c>
      <c r="I43">
        <v>4.0000000000000001E-3</v>
      </c>
    </row>
    <row r="44" spans="1:17" x14ac:dyDescent="0.25">
      <c r="A44" t="s">
        <v>132</v>
      </c>
      <c r="B44" t="s">
        <v>263</v>
      </c>
      <c r="C44">
        <v>3.8300000000000001E-2</v>
      </c>
      <c r="D44">
        <v>-2.6700000000000002E-2</v>
      </c>
      <c r="E44">
        <v>0.04</v>
      </c>
      <c r="F44">
        <v>-5.4800000000000001E-2</v>
      </c>
      <c r="G44">
        <v>9.0899999999999995E-2</v>
      </c>
      <c r="H44">
        <v>3.4199999999999999E-3</v>
      </c>
      <c r="I44">
        <v>8.6099999999999996E-2</v>
      </c>
    </row>
    <row r="45" spans="1:17" x14ac:dyDescent="0.25">
      <c r="A45" t="s">
        <v>64</v>
      </c>
      <c r="B45">
        <v>2.1000000000000001E-2</v>
      </c>
      <c r="C45">
        <v>5.0000000000000001E-3</v>
      </c>
      <c r="D45">
        <v>1E-3</v>
      </c>
      <c r="E45">
        <v>4.0000000000000001E-3</v>
      </c>
      <c r="F45">
        <v>2E-3</v>
      </c>
      <c r="G45">
        <v>6.0000000000000001E-3</v>
      </c>
      <c r="H45">
        <v>0</v>
      </c>
      <c r="I45">
        <v>8.0000000000000002E-3</v>
      </c>
      <c r="J45">
        <f>(B45+B47)/2</f>
        <v>1.15E-2</v>
      </c>
      <c r="K45">
        <f t="shared" ref="K45:P45" si="6">(C45+C47)/2</f>
        <v>8.9999999999999993E-3</v>
      </c>
      <c r="L45">
        <f t="shared" si="6"/>
        <v>1.5E-3</v>
      </c>
      <c r="M45">
        <f t="shared" si="6"/>
        <v>4.0000000000000001E-3</v>
      </c>
      <c r="N45">
        <f t="shared" si="6"/>
        <v>4.0000000000000001E-3</v>
      </c>
      <c r="O45">
        <f t="shared" si="6"/>
        <v>3.0000000000000001E-3</v>
      </c>
      <c r="P45">
        <f t="shared" si="6"/>
        <v>5.4999999999999997E-3</v>
      </c>
      <c r="Q45">
        <f>(I45+I47)/2</f>
        <v>4.0000000000000001E-3</v>
      </c>
    </row>
    <row r="46" spans="1:17" x14ac:dyDescent="0.25">
      <c r="A46" t="s">
        <v>135</v>
      </c>
      <c r="B46">
        <v>1.8499999999999999E-2</v>
      </c>
      <c r="C46" t="s">
        <v>264</v>
      </c>
      <c r="D46">
        <v>1.8599999999999998E-2</v>
      </c>
      <c r="E46">
        <v>3.0300000000000001E-2</v>
      </c>
      <c r="F46">
        <v>6.25E-2</v>
      </c>
      <c r="G46">
        <v>1.21E-2</v>
      </c>
      <c r="H46">
        <v>6.7699999999999996E-2</v>
      </c>
      <c r="I46">
        <v>-2.9999999999999997E-4</v>
      </c>
    </row>
    <row r="47" spans="1:17" x14ac:dyDescent="0.25">
      <c r="A47" t="s">
        <v>64</v>
      </c>
      <c r="B47">
        <v>2E-3</v>
      </c>
      <c r="C47">
        <v>1.2999999999999999E-2</v>
      </c>
      <c r="D47">
        <v>2E-3</v>
      </c>
      <c r="E47">
        <v>4.0000000000000001E-3</v>
      </c>
      <c r="F47">
        <v>6.0000000000000001E-3</v>
      </c>
      <c r="G47">
        <v>0</v>
      </c>
      <c r="H47">
        <v>1.0999999999999999E-2</v>
      </c>
      <c r="I47">
        <v>0</v>
      </c>
    </row>
    <row r="48" spans="1:17" x14ac:dyDescent="0.25">
      <c r="A48" t="s">
        <v>136</v>
      </c>
      <c r="B48">
        <v>3.8899999999999998E-3</v>
      </c>
      <c r="C48">
        <v>-6.1799999999999997E-3</v>
      </c>
      <c r="D48">
        <v>4.0999999999999999E-4</v>
      </c>
      <c r="E48">
        <v>-9.3700000000000001E-4</v>
      </c>
      <c r="F48">
        <v>-3.3400000000000001E-3</v>
      </c>
      <c r="G48">
        <v>5.8599999999999998E-3</v>
      </c>
      <c r="H48">
        <v>-0.01</v>
      </c>
      <c r="I48">
        <v>8.9499999999999996E-3</v>
      </c>
    </row>
    <row r="49" spans="1:17" x14ac:dyDescent="0.25">
      <c r="A49" t="s">
        <v>64</v>
      </c>
      <c r="B49">
        <v>1E-3</v>
      </c>
      <c r="C49">
        <v>5.0000000000000001E-3</v>
      </c>
      <c r="D49">
        <v>0</v>
      </c>
      <c r="E49">
        <v>0</v>
      </c>
      <c r="F49">
        <v>0</v>
      </c>
      <c r="G49">
        <v>1E-3</v>
      </c>
      <c r="H49">
        <v>2E-3</v>
      </c>
      <c r="I49">
        <v>3.0000000000000001E-3</v>
      </c>
      <c r="J49">
        <f t="shared" ref="J49:Q49" si="7">(B49+B51+B53+B55+B57)/5</f>
        <v>1.6000000000000001E-3</v>
      </c>
      <c r="K49">
        <f t="shared" si="7"/>
        <v>8.0000000000000002E-3</v>
      </c>
      <c r="L49">
        <f t="shared" si="7"/>
        <v>3.5999999999999999E-3</v>
      </c>
      <c r="M49">
        <f t="shared" si="7"/>
        <v>1.3000000000000001E-2</v>
      </c>
      <c r="N49">
        <f t="shared" si="7"/>
        <v>1E-3</v>
      </c>
      <c r="O49">
        <f t="shared" si="7"/>
        <v>3.4000000000000002E-3</v>
      </c>
      <c r="P49">
        <f t="shared" si="7"/>
        <v>6.0000000000000006E-4</v>
      </c>
      <c r="Q49">
        <f t="shared" si="7"/>
        <v>3.2000000000000002E-3</v>
      </c>
    </row>
    <row r="50" spans="1:17" x14ac:dyDescent="0.25">
      <c r="A50" t="s">
        <v>140</v>
      </c>
      <c r="B50">
        <v>2.7799999999999999E-3</v>
      </c>
      <c r="C50" t="s">
        <v>265</v>
      </c>
      <c r="D50">
        <v>-1.48E-3</v>
      </c>
      <c r="E50" t="s">
        <v>266</v>
      </c>
      <c r="F50">
        <v>9.6799999999999994E-3</v>
      </c>
      <c r="G50">
        <v>1.35E-2</v>
      </c>
      <c r="H50">
        <v>-2.8600000000000001E-3</v>
      </c>
      <c r="I50" t="s">
        <v>267</v>
      </c>
    </row>
    <row r="51" spans="1:17" x14ac:dyDescent="0.25">
      <c r="A51" t="s">
        <v>64</v>
      </c>
      <c r="B51">
        <v>1E-3</v>
      </c>
      <c r="C51">
        <v>8.0000000000000002E-3</v>
      </c>
      <c r="D51">
        <v>0</v>
      </c>
      <c r="E51">
        <v>8.9999999999999993E-3</v>
      </c>
      <c r="F51">
        <v>1E-3</v>
      </c>
      <c r="G51">
        <v>4.0000000000000001E-3</v>
      </c>
      <c r="H51">
        <v>0</v>
      </c>
      <c r="I51">
        <v>8.0000000000000002E-3</v>
      </c>
    </row>
    <row r="52" spans="1:17" x14ac:dyDescent="0.25">
      <c r="A52" t="s">
        <v>141</v>
      </c>
      <c r="B52">
        <v>-2.4599999999999999E-3</v>
      </c>
      <c r="C52">
        <v>5.3299999999999997E-3</v>
      </c>
      <c r="D52">
        <v>1.57E-3</v>
      </c>
      <c r="E52" t="s">
        <v>268</v>
      </c>
      <c r="F52">
        <v>4.2199999999999998E-3</v>
      </c>
      <c r="G52">
        <v>9.2700000000000005E-3</v>
      </c>
      <c r="H52">
        <v>1.4400000000000001E-3</v>
      </c>
      <c r="I52">
        <v>4.0699999999999998E-3</v>
      </c>
    </row>
    <row r="53" spans="1:17" x14ac:dyDescent="0.25">
      <c r="A53" t="s">
        <v>64</v>
      </c>
      <c r="B53">
        <v>1E-3</v>
      </c>
      <c r="C53">
        <v>4.0000000000000001E-3</v>
      </c>
      <c r="D53">
        <v>0</v>
      </c>
      <c r="E53">
        <v>1.2E-2</v>
      </c>
      <c r="F53">
        <v>0</v>
      </c>
      <c r="G53">
        <v>2E-3</v>
      </c>
      <c r="H53">
        <v>0</v>
      </c>
      <c r="I53">
        <v>1E-3</v>
      </c>
    </row>
    <row r="54" spans="1:17" x14ac:dyDescent="0.25">
      <c r="A54" t="s">
        <v>149</v>
      </c>
      <c r="B54">
        <v>5.7299999999999999E-3</v>
      </c>
      <c r="C54" t="s">
        <v>269</v>
      </c>
      <c r="D54" t="s">
        <v>270</v>
      </c>
      <c r="E54" t="s">
        <v>157</v>
      </c>
      <c r="F54">
        <v>1.35E-2</v>
      </c>
      <c r="G54">
        <v>1.6500000000000001E-2</v>
      </c>
      <c r="H54">
        <v>6.3099999999999996E-3</v>
      </c>
      <c r="I54">
        <v>9.1000000000000004E-3</v>
      </c>
    </row>
    <row r="55" spans="1:17" x14ac:dyDescent="0.25">
      <c r="A55" t="s">
        <v>64</v>
      </c>
      <c r="B55">
        <v>4.0000000000000001E-3</v>
      </c>
      <c r="C55">
        <v>1.4999999999999999E-2</v>
      </c>
      <c r="D55">
        <v>1.0999999999999999E-2</v>
      </c>
      <c r="E55">
        <v>2.9000000000000001E-2</v>
      </c>
      <c r="F55">
        <v>3.0000000000000001E-3</v>
      </c>
      <c r="G55">
        <v>7.0000000000000001E-3</v>
      </c>
      <c r="H55">
        <v>1E-3</v>
      </c>
      <c r="I55">
        <v>4.0000000000000001E-3</v>
      </c>
    </row>
    <row r="56" spans="1:17" x14ac:dyDescent="0.25">
      <c r="A56" t="s">
        <v>158</v>
      </c>
      <c r="B56">
        <v>2.5100000000000001E-3</v>
      </c>
      <c r="C56">
        <v>5.9500000000000004E-3</v>
      </c>
      <c r="D56" t="s">
        <v>271</v>
      </c>
      <c r="E56" t="s">
        <v>272</v>
      </c>
      <c r="F56">
        <v>4.9500000000000004E-3</v>
      </c>
      <c r="G56">
        <v>9.1800000000000007E-3</v>
      </c>
      <c r="H56">
        <v>1.2099999999999999E-3</v>
      </c>
      <c r="I56">
        <v>1.08E-3</v>
      </c>
    </row>
    <row r="57" spans="1:17" x14ac:dyDescent="0.25">
      <c r="A57" t="s">
        <v>64</v>
      </c>
      <c r="B57">
        <v>1E-3</v>
      </c>
      <c r="C57">
        <v>8.0000000000000002E-3</v>
      </c>
      <c r="D57">
        <v>7.0000000000000001E-3</v>
      </c>
      <c r="E57">
        <v>1.4999999999999999E-2</v>
      </c>
      <c r="F57">
        <v>1E-3</v>
      </c>
      <c r="G57">
        <v>3.0000000000000001E-3</v>
      </c>
      <c r="H57">
        <v>0</v>
      </c>
      <c r="I57">
        <v>0</v>
      </c>
    </row>
    <row r="58" spans="1:17" x14ac:dyDescent="0.25">
      <c r="A58" t="s">
        <v>164</v>
      </c>
      <c r="B58">
        <v>-3.0599999999999998E-3</v>
      </c>
      <c r="C58">
        <v>-4.6100000000000004E-3</v>
      </c>
      <c r="D58">
        <v>1.5900000000000001E-3</v>
      </c>
      <c r="E58">
        <v>-2.7299999999999998E-3</v>
      </c>
      <c r="F58">
        <v>4.9399999999999999E-3</v>
      </c>
      <c r="G58">
        <v>-7.2899999999999996E-3</v>
      </c>
      <c r="H58">
        <v>9.8099999999999993E-3</v>
      </c>
      <c r="I58">
        <v>-4.0099999999999997E-3</v>
      </c>
    </row>
    <row r="59" spans="1:17" x14ac:dyDescent="0.25">
      <c r="A59" t="s">
        <v>64</v>
      </c>
      <c r="B59">
        <v>1E-3</v>
      </c>
      <c r="C59">
        <v>2E-3</v>
      </c>
      <c r="D59">
        <v>0</v>
      </c>
      <c r="E59">
        <v>1E-3</v>
      </c>
      <c r="F59">
        <v>0</v>
      </c>
      <c r="G59">
        <v>1E-3</v>
      </c>
      <c r="H59">
        <v>2E-3</v>
      </c>
      <c r="I59">
        <v>1E-3</v>
      </c>
      <c r="J59">
        <f>(B59+B61+B63+B65+B67+B69+B71+B73+B75+B77)/10</f>
        <v>2.3999999999999998E-3</v>
      </c>
      <c r="K59">
        <f t="shared" ref="K59:Q59" si="8">(C59+C61+C63+C65+C67+C69+C71+C73+C75+C77)/10</f>
        <v>9.0000000000000008E-4</v>
      </c>
      <c r="L59">
        <f t="shared" si="8"/>
        <v>5.0000000000000001E-4</v>
      </c>
      <c r="M59">
        <f t="shared" si="8"/>
        <v>5.0000000000000001E-4</v>
      </c>
      <c r="N59">
        <f>(F59+F61+F63+F65+F67+F69+F71+F73+F75+F77)/10</f>
        <v>3.0000000000000003E-4</v>
      </c>
      <c r="O59">
        <f t="shared" si="8"/>
        <v>2.4999999999999996E-3</v>
      </c>
      <c r="P59">
        <f t="shared" si="8"/>
        <v>1.3000000000000002E-3</v>
      </c>
      <c r="Q59">
        <f t="shared" si="8"/>
        <v>5.2000000000000006E-3</v>
      </c>
    </row>
    <row r="60" spans="1:17" x14ac:dyDescent="0.25">
      <c r="A60" t="s">
        <v>166</v>
      </c>
      <c r="B60">
        <v>-1.4499999999999999E-3</v>
      </c>
      <c r="C60">
        <v>-3.0300000000000001E-3</v>
      </c>
      <c r="D60">
        <v>4.9299999999999995E-4</v>
      </c>
      <c r="E60">
        <v>-8.6499999999999999E-4</v>
      </c>
      <c r="F60">
        <v>1.56E-3</v>
      </c>
      <c r="G60">
        <v>5.3499999999999999E-4</v>
      </c>
      <c r="H60">
        <v>8.8999999999999995E-4</v>
      </c>
      <c r="I60">
        <v>-1.2600000000000001E-3</v>
      </c>
    </row>
    <row r="61" spans="1:17" x14ac:dyDescent="0.25">
      <c r="A61" t="s">
        <v>64</v>
      </c>
      <c r="B61">
        <v>0</v>
      </c>
      <c r="C61">
        <v>2E-3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7" x14ac:dyDescent="0.25">
      <c r="A62" t="s">
        <v>168</v>
      </c>
      <c r="B62">
        <v>-3.6600000000000001E-3</v>
      </c>
      <c r="C62">
        <v>5.4799999999999998E-4</v>
      </c>
      <c r="D62">
        <v>-8.6200000000000003E-4</v>
      </c>
      <c r="E62">
        <v>3.47E-3</v>
      </c>
      <c r="F62">
        <v>-2.9399999999999999E-3</v>
      </c>
      <c r="G62">
        <v>2.4399999999999999E-3</v>
      </c>
      <c r="H62">
        <v>-5.6599999999999999E-4</v>
      </c>
      <c r="I62">
        <v>-4.2900000000000004E-3</v>
      </c>
    </row>
    <row r="63" spans="1:17" x14ac:dyDescent="0.25">
      <c r="A63" t="s">
        <v>64</v>
      </c>
      <c r="B63">
        <v>2E-3</v>
      </c>
      <c r="C63">
        <v>0</v>
      </c>
      <c r="D63">
        <v>0</v>
      </c>
      <c r="E63">
        <v>2E-3</v>
      </c>
      <c r="F63">
        <v>0</v>
      </c>
      <c r="G63">
        <v>0</v>
      </c>
      <c r="H63">
        <v>0</v>
      </c>
      <c r="I63">
        <v>1E-3</v>
      </c>
    </row>
    <row r="64" spans="1:17" x14ac:dyDescent="0.25">
      <c r="A64" t="s">
        <v>171</v>
      </c>
      <c r="B64">
        <v>-5.2399999999999999E-3</v>
      </c>
      <c r="C64">
        <v>-2.0500000000000002E-3</v>
      </c>
      <c r="D64">
        <v>-2.7200000000000002E-3</v>
      </c>
      <c r="E64">
        <v>8.3199999999999995E-4</v>
      </c>
      <c r="F64">
        <v>4.1399999999999996E-3</v>
      </c>
      <c r="G64">
        <v>-5.3099999999999996E-3</v>
      </c>
      <c r="H64">
        <v>5.45E-3</v>
      </c>
      <c r="I64">
        <v>-8.6599999999999993E-3</v>
      </c>
    </row>
    <row r="65" spans="1:17" x14ac:dyDescent="0.25">
      <c r="A65" t="s">
        <v>64</v>
      </c>
      <c r="B65">
        <v>4.0000000000000001E-3</v>
      </c>
      <c r="C65">
        <v>1E-3</v>
      </c>
      <c r="D65">
        <v>1E-3</v>
      </c>
      <c r="E65">
        <v>0</v>
      </c>
      <c r="F65">
        <v>0</v>
      </c>
      <c r="G65">
        <v>1E-3</v>
      </c>
      <c r="H65">
        <v>1E-3</v>
      </c>
      <c r="I65">
        <v>4.0000000000000001E-3</v>
      </c>
    </row>
    <row r="66" spans="1:17" x14ac:dyDescent="0.25">
      <c r="A66" t="s">
        <v>172</v>
      </c>
      <c r="B66">
        <v>-6.8500000000000002E-3</v>
      </c>
      <c r="C66">
        <v>-3.3999999999999998E-3</v>
      </c>
      <c r="D66">
        <v>-2.9399999999999999E-3</v>
      </c>
      <c r="E66">
        <v>-1.75E-3</v>
      </c>
      <c r="F66">
        <v>-1.7099999999999999E-3</v>
      </c>
      <c r="G66">
        <v>-9.4500000000000001E-3</v>
      </c>
      <c r="H66">
        <v>5.7700000000000004E-4</v>
      </c>
      <c r="I66">
        <v>-1.06E-2</v>
      </c>
    </row>
    <row r="67" spans="1:17" x14ac:dyDescent="0.25">
      <c r="A67" t="s">
        <v>64</v>
      </c>
      <c r="B67">
        <v>8.0000000000000002E-3</v>
      </c>
      <c r="C67">
        <v>3.0000000000000001E-3</v>
      </c>
      <c r="D67">
        <v>1E-3</v>
      </c>
      <c r="E67">
        <v>1E-3</v>
      </c>
      <c r="F67">
        <v>0</v>
      </c>
      <c r="G67">
        <v>3.0000000000000001E-3</v>
      </c>
      <c r="H67">
        <v>0</v>
      </c>
      <c r="I67">
        <v>6.0000000000000001E-3</v>
      </c>
    </row>
    <row r="68" spans="1:17" x14ac:dyDescent="0.25">
      <c r="A68" t="s">
        <v>173</v>
      </c>
      <c r="B68">
        <v>-3.9899999999999996E-3</v>
      </c>
      <c r="C68">
        <v>1.07E-3</v>
      </c>
      <c r="D68">
        <v>-1.64E-3</v>
      </c>
      <c r="E68">
        <v>1.1800000000000001E-3</v>
      </c>
      <c r="F68">
        <v>-2.7699999999999999E-3</v>
      </c>
      <c r="G68">
        <v>-1.0800000000000001E-2</v>
      </c>
      <c r="H68">
        <v>-3.1800000000000001E-3</v>
      </c>
      <c r="I68" t="s">
        <v>273</v>
      </c>
    </row>
    <row r="69" spans="1:17" x14ac:dyDescent="0.25">
      <c r="A69" t="s">
        <v>64</v>
      </c>
      <c r="B69">
        <v>3.0000000000000001E-3</v>
      </c>
      <c r="C69">
        <v>0</v>
      </c>
      <c r="D69">
        <v>0</v>
      </c>
      <c r="E69">
        <v>0</v>
      </c>
      <c r="F69">
        <v>0</v>
      </c>
      <c r="G69">
        <v>5.0000000000000001E-3</v>
      </c>
      <c r="H69">
        <v>1E-3</v>
      </c>
      <c r="I69">
        <v>0.01</v>
      </c>
    </row>
    <row r="70" spans="1:17" x14ac:dyDescent="0.25">
      <c r="A70" t="s">
        <v>175</v>
      </c>
      <c r="B70">
        <v>-1.23E-3</v>
      </c>
      <c r="C70">
        <v>-1.4499999999999999E-3</v>
      </c>
      <c r="D70">
        <v>-9.859999999999999E-4</v>
      </c>
      <c r="E70">
        <v>4.4299999999999999E-5</v>
      </c>
      <c r="F70">
        <v>3.32E-3</v>
      </c>
      <c r="G70">
        <v>-8.0999999999999996E-3</v>
      </c>
      <c r="H70">
        <v>-2.4099999999999998E-3</v>
      </c>
      <c r="I70" t="s">
        <v>274</v>
      </c>
    </row>
    <row r="71" spans="1:17" x14ac:dyDescent="0.25">
      <c r="A71" t="s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2E-3</v>
      </c>
      <c r="H71">
        <v>0</v>
      </c>
      <c r="I71">
        <v>7.0000000000000001E-3</v>
      </c>
    </row>
    <row r="72" spans="1:17" x14ac:dyDescent="0.25">
      <c r="A72" t="s">
        <v>177</v>
      </c>
      <c r="B72">
        <v>-1.07E-3</v>
      </c>
      <c r="C72">
        <v>4.2499999999999998E-4</v>
      </c>
      <c r="D72">
        <v>1.9499999999999999E-3</v>
      </c>
      <c r="E72">
        <v>-2.1299999999999999E-3</v>
      </c>
      <c r="F72">
        <v>-1.47E-3</v>
      </c>
      <c r="G72">
        <v>-8.3199999999999993E-3</v>
      </c>
      <c r="H72">
        <v>-7.1799999999999998E-3</v>
      </c>
      <c r="I72">
        <v>-7.3000000000000001E-3</v>
      </c>
    </row>
    <row r="73" spans="1:17" x14ac:dyDescent="0.25">
      <c r="A73" t="s">
        <v>64</v>
      </c>
      <c r="B73">
        <v>0</v>
      </c>
      <c r="C73">
        <v>0</v>
      </c>
      <c r="D73">
        <v>1E-3</v>
      </c>
      <c r="E73">
        <v>1E-3</v>
      </c>
      <c r="F73">
        <v>0</v>
      </c>
      <c r="G73">
        <v>3.0000000000000001E-3</v>
      </c>
      <c r="H73">
        <v>3.0000000000000001E-3</v>
      </c>
      <c r="I73">
        <v>3.0000000000000001E-3</v>
      </c>
    </row>
    <row r="74" spans="1:17" x14ac:dyDescent="0.25">
      <c r="A74" t="s">
        <v>181</v>
      </c>
      <c r="B74">
        <v>-3.6800000000000001E-3</v>
      </c>
      <c r="C74">
        <v>-1.34E-3</v>
      </c>
      <c r="D74">
        <v>-6.1700000000000004E-4</v>
      </c>
      <c r="E74">
        <v>4.7599999999999998E-5</v>
      </c>
      <c r="F74">
        <v>-3.7299999999999998E-3</v>
      </c>
      <c r="G74" t="s">
        <v>275</v>
      </c>
      <c r="H74">
        <v>-6.3600000000000002E-3</v>
      </c>
      <c r="I74" t="s">
        <v>276</v>
      </c>
    </row>
    <row r="75" spans="1:17" x14ac:dyDescent="0.25">
      <c r="A75" t="s">
        <v>64</v>
      </c>
      <c r="B75">
        <v>3.0000000000000001E-3</v>
      </c>
      <c r="C75">
        <v>0</v>
      </c>
      <c r="D75">
        <v>0</v>
      </c>
      <c r="E75">
        <v>0</v>
      </c>
      <c r="F75">
        <v>1E-3</v>
      </c>
      <c r="G75">
        <v>7.0000000000000001E-3</v>
      </c>
      <c r="H75">
        <v>2E-3</v>
      </c>
      <c r="I75">
        <v>0.01</v>
      </c>
    </row>
    <row r="76" spans="1:17" x14ac:dyDescent="0.25">
      <c r="A76" t="s">
        <v>184</v>
      </c>
      <c r="B76">
        <v>-3.8500000000000001E-3</v>
      </c>
      <c r="C76">
        <v>1.91E-3</v>
      </c>
      <c r="D76">
        <v>-3.5100000000000001E-3</v>
      </c>
      <c r="E76">
        <v>1.8600000000000001E-3</v>
      </c>
      <c r="F76">
        <v>-7.5799999999999999E-3</v>
      </c>
      <c r="G76">
        <v>-8.0800000000000004E-3</v>
      </c>
      <c r="H76">
        <v>-8.7600000000000004E-3</v>
      </c>
      <c r="I76" t="s">
        <v>277</v>
      </c>
    </row>
    <row r="77" spans="1:17" x14ac:dyDescent="0.25">
      <c r="A77" t="s">
        <v>64</v>
      </c>
      <c r="B77">
        <v>3.0000000000000001E-3</v>
      </c>
      <c r="C77">
        <v>1E-3</v>
      </c>
      <c r="D77">
        <v>2E-3</v>
      </c>
      <c r="E77">
        <v>0</v>
      </c>
      <c r="F77">
        <v>2E-3</v>
      </c>
      <c r="G77">
        <v>3.0000000000000001E-3</v>
      </c>
      <c r="H77">
        <v>4.0000000000000001E-3</v>
      </c>
      <c r="I77">
        <v>0.01</v>
      </c>
    </row>
    <row r="78" spans="1:17" x14ac:dyDescent="0.25">
      <c r="A78" t="s">
        <v>188</v>
      </c>
      <c r="B78">
        <v>-1.4500000000000001E-2</v>
      </c>
      <c r="C78">
        <v>-1.55E-4</v>
      </c>
      <c r="D78">
        <v>-3.8700000000000002E-3</v>
      </c>
      <c r="E78">
        <v>-1.18E-2</v>
      </c>
      <c r="F78">
        <v>0.113</v>
      </c>
      <c r="G78">
        <v>-8.9399999999999993E-2</v>
      </c>
      <c r="H78">
        <v>0.10199999999999999</v>
      </c>
      <c r="I78" t="s">
        <v>278</v>
      </c>
    </row>
    <row r="79" spans="1:17" x14ac:dyDescent="0.25">
      <c r="A79" t="s">
        <v>64</v>
      </c>
      <c r="B79">
        <v>1E-3</v>
      </c>
      <c r="C79">
        <v>0</v>
      </c>
      <c r="D79">
        <v>0</v>
      </c>
      <c r="E79">
        <v>1E-3</v>
      </c>
      <c r="F79">
        <v>8.9999999999999993E-3</v>
      </c>
      <c r="G79">
        <v>0.01</v>
      </c>
      <c r="H79">
        <v>1.2999999999999999E-2</v>
      </c>
      <c r="I79">
        <v>1.4E-2</v>
      </c>
      <c r="J79">
        <f>(B79+B81+B83+B85+B87+B89+B91+B93+B95)/9</f>
        <v>8.8888888888888893E-4</v>
      </c>
      <c r="K79">
        <f t="shared" ref="K79:Q79" si="9">(C79+C81+C83+C85+C87+C89+C91+C93+C95)/9</f>
        <v>6.5555555555555558E-3</v>
      </c>
      <c r="L79">
        <f t="shared" si="9"/>
        <v>1.888888888888889E-3</v>
      </c>
      <c r="M79">
        <f t="shared" si="9"/>
        <v>6.5555555555555567E-3</v>
      </c>
      <c r="N79">
        <f t="shared" si="9"/>
        <v>6.000000000000001E-3</v>
      </c>
      <c r="O79">
        <f t="shared" si="9"/>
        <v>4.6666666666666671E-3</v>
      </c>
      <c r="P79">
        <f t="shared" si="9"/>
        <v>8.2222222222222228E-3</v>
      </c>
      <c r="Q79">
        <f t="shared" si="9"/>
        <v>4.6666666666666671E-3</v>
      </c>
    </row>
    <row r="80" spans="1:17" x14ac:dyDescent="0.25">
      <c r="A80" t="s">
        <v>192</v>
      </c>
      <c r="B80">
        <v>-8.2299999999999995E-3</v>
      </c>
      <c r="C80">
        <v>-1.08E-3</v>
      </c>
      <c r="D80">
        <v>-8.5599999999999999E-3</v>
      </c>
      <c r="E80">
        <v>1.72E-3</v>
      </c>
      <c r="F80">
        <v>4.8099999999999997E-2</v>
      </c>
      <c r="G80" t="s">
        <v>279</v>
      </c>
      <c r="H80">
        <v>3.32E-2</v>
      </c>
      <c r="I80" t="s">
        <v>280</v>
      </c>
    </row>
    <row r="81" spans="1:9" x14ac:dyDescent="0.25">
      <c r="A81" t="s">
        <v>64</v>
      </c>
      <c r="B81">
        <v>1E-3</v>
      </c>
      <c r="C81">
        <v>0</v>
      </c>
      <c r="D81">
        <v>1E-3</v>
      </c>
      <c r="E81">
        <v>0</v>
      </c>
      <c r="F81">
        <v>6.0000000000000001E-3</v>
      </c>
      <c r="G81">
        <v>1.2999999999999999E-2</v>
      </c>
      <c r="H81">
        <v>5.0000000000000001E-3</v>
      </c>
      <c r="I81">
        <v>1.2E-2</v>
      </c>
    </row>
    <row r="82" spans="1:9" x14ac:dyDescent="0.25">
      <c r="A82" t="s">
        <v>197</v>
      </c>
      <c r="B82">
        <v>-8.2699999999999996E-3</v>
      </c>
      <c r="C82">
        <v>-8.3599999999999994E-3</v>
      </c>
      <c r="D82">
        <v>-1.18E-2</v>
      </c>
      <c r="E82">
        <v>-1.1299999999999999E-2</v>
      </c>
      <c r="F82">
        <v>4.2299999999999997E-2</v>
      </c>
      <c r="G82">
        <v>-4.8899999999999999E-2</v>
      </c>
      <c r="H82">
        <v>1.8700000000000001E-2</v>
      </c>
      <c r="I82">
        <v>-3.5400000000000001E-2</v>
      </c>
    </row>
    <row r="83" spans="1:9" x14ac:dyDescent="0.25">
      <c r="A83" t="s">
        <v>64</v>
      </c>
      <c r="B83">
        <v>1E-3</v>
      </c>
      <c r="C83">
        <v>2E-3</v>
      </c>
      <c r="D83">
        <v>2E-3</v>
      </c>
      <c r="E83">
        <v>3.0000000000000001E-3</v>
      </c>
      <c r="F83">
        <v>5.0000000000000001E-3</v>
      </c>
      <c r="G83">
        <v>0.01</v>
      </c>
      <c r="H83">
        <v>2E-3</v>
      </c>
      <c r="I83">
        <v>8.0000000000000002E-3</v>
      </c>
    </row>
    <row r="84" spans="1:9" x14ac:dyDescent="0.25">
      <c r="A84" t="s">
        <v>204</v>
      </c>
      <c r="B84">
        <v>-8.9700000000000005E-3</v>
      </c>
      <c r="C84">
        <v>-4.0200000000000001E-3</v>
      </c>
      <c r="D84">
        <v>-9.6799999999999994E-3</v>
      </c>
      <c r="E84">
        <v>-1.1299999999999999E-2</v>
      </c>
      <c r="F84">
        <v>-8.4600000000000005E-3</v>
      </c>
      <c r="G84">
        <v>-3.7400000000000003E-2</v>
      </c>
      <c r="H84">
        <v>-1.77E-2</v>
      </c>
      <c r="I84">
        <v>-3.2000000000000001E-2</v>
      </c>
    </row>
    <row r="85" spans="1:9" x14ac:dyDescent="0.25">
      <c r="A85" t="s">
        <v>64</v>
      </c>
      <c r="B85">
        <v>2E-3</v>
      </c>
      <c r="C85">
        <v>0</v>
      </c>
      <c r="D85">
        <v>1E-3</v>
      </c>
      <c r="E85">
        <v>3.0000000000000001E-3</v>
      </c>
      <c r="F85">
        <v>0</v>
      </c>
      <c r="G85">
        <v>6.0000000000000001E-3</v>
      </c>
      <c r="H85">
        <v>2E-3</v>
      </c>
      <c r="I85">
        <v>7.0000000000000001E-3</v>
      </c>
    </row>
    <row r="86" spans="1:9" x14ac:dyDescent="0.25">
      <c r="A86" t="s">
        <v>210</v>
      </c>
      <c r="B86">
        <v>-9.0900000000000009E-3</v>
      </c>
      <c r="C86">
        <v>-1.2699999999999999E-2</v>
      </c>
      <c r="D86" t="s">
        <v>281</v>
      </c>
      <c r="E86">
        <v>-1.5900000000000001E-2</v>
      </c>
      <c r="F86">
        <v>-3.4700000000000002E-2</v>
      </c>
      <c r="G86">
        <v>-2.41E-2</v>
      </c>
      <c r="H86">
        <v>-3.8899999999999997E-2</v>
      </c>
      <c r="I86">
        <v>-1.2200000000000001E-2</v>
      </c>
    </row>
    <row r="87" spans="1:9" x14ac:dyDescent="0.25">
      <c r="A87" t="s">
        <v>64</v>
      </c>
      <c r="B87">
        <v>2E-3</v>
      </c>
      <c r="C87">
        <v>4.0000000000000001E-3</v>
      </c>
      <c r="D87">
        <v>0.01</v>
      </c>
      <c r="E87">
        <v>5.0000000000000001E-3</v>
      </c>
      <c r="F87">
        <v>5.0000000000000001E-3</v>
      </c>
      <c r="G87">
        <v>2E-3</v>
      </c>
      <c r="H87">
        <v>0.01</v>
      </c>
      <c r="I87">
        <v>1E-3</v>
      </c>
    </row>
    <row r="88" spans="1:9" x14ac:dyDescent="0.25">
      <c r="A88" t="s">
        <v>216</v>
      </c>
      <c r="B88">
        <v>3.6600000000000001E-3</v>
      </c>
      <c r="C88" t="s">
        <v>282</v>
      </c>
      <c r="D88">
        <v>8.4200000000000004E-3</v>
      </c>
      <c r="E88" t="s">
        <v>283</v>
      </c>
      <c r="F88">
        <v>-3.9600000000000003E-2</v>
      </c>
      <c r="G88">
        <v>-9.7699999999999992E-3</v>
      </c>
      <c r="H88">
        <v>-4.9000000000000002E-2</v>
      </c>
      <c r="I88">
        <v>-5.0699999999999999E-3</v>
      </c>
    </row>
    <row r="89" spans="1:9" x14ac:dyDescent="0.25">
      <c r="A89" t="s">
        <v>64</v>
      </c>
      <c r="B89">
        <v>0</v>
      </c>
      <c r="C89">
        <v>0.01</v>
      </c>
      <c r="D89">
        <v>1E-3</v>
      </c>
      <c r="E89">
        <v>1.4E-2</v>
      </c>
      <c r="F89">
        <v>3.0000000000000001E-3</v>
      </c>
      <c r="G89">
        <v>0</v>
      </c>
      <c r="H89">
        <v>7.0000000000000001E-3</v>
      </c>
      <c r="I89">
        <v>0</v>
      </c>
    </row>
    <row r="90" spans="1:9" x14ac:dyDescent="0.25">
      <c r="A90" t="s">
        <v>218</v>
      </c>
      <c r="B90">
        <v>2.9499999999999999E-3</v>
      </c>
      <c r="C90" t="s">
        <v>284</v>
      </c>
      <c r="D90">
        <v>6.6800000000000002E-3</v>
      </c>
      <c r="E90" t="s">
        <v>285</v>
      </c>
      <c r="F90">
        <v>-7.8600000000000003E-2</v>
      </c>
      <c r="G90">
        <v>-1.8200000000000001E-2</v>
      </c>
      <c r="H90" t="s">
        <v>286</v>
      </c>
      <c r="I90">
        <v>3.0200000000000001E-3</v>
      </c>
    </row>
    <row r="91" spans="1:9" x14ac:dyDescent="0.25">
      <c r="A91" t="s">
        <v>64</v>
      </c>
      <c r="B91">
        <v>0</v>
      </c>
      <c r="C91">
        <v>3.5000000000000003E-2</v>
      </c>
      <c r="D91">
        <v>0</v>
      </c>
      <c r="E91">
        <v>2.9000000000000001E-2</v>
      </c>
      <c r="F91">
        <v>1.2999999999999999E-2</v>
      </c>
      <c r="G91">
        <v>1E-3</v>
      </c>
      <c r="H91">
        <v>1.7000000000000001E-2</v>
      </c>
      <c r="I91">
        <v>0</v>
      </c>
    </row>
    <row r="92" spans="1:9" x14ac:dyDescent="0.25">
      <c r="A92" t="s">
        <v>220</v>
      </c>
      <c r="B92">
        <v>-5.8500000000000002E-3</v>
      </c>
      <c r="C92">
        <v>-2.6200000000000001E-2</v>
      </c>
      <c r="D92">
        <v>-8.7899999999999992E-3</v>
      </c>
      <c r="E92">
        <v>-2.2100000000000002E-2</v>
      </c>
      <c r="F92">
        <v>-6.5799999999999997E-2</v>
      </c>
      <c r="G92">
        <v>3.7599999999999998E-4</v>
      </c>
      <c r="H92" t="s">
        <v>287</v>
      </c>
      <c r="I92">
        <v>7.3600000000000002E-3</v>
      </c>
    </row>
    <row r="93" spans="1:9" x14ac:dyDescent="0.25">
      <c r="A93" t="s">
        <v>64</v>
      </c>
      <c r="B93">
        <v>0</v>
      </c>
      <c r="C93">
        <v>8.0000000000000002E-3</v>
      </c>
      <c r="D93">
        <v>1E-3</v>
      </c>
      <c r="E93">
        <v>4.0000000000000001E-3</v>
      </c>
      <c r="F93">
        <v>0.01</v>
      </c>
      <c r="G93">
        <v>0</v>
      </c>
      <c r="H93">
        <v>1.2E-2</v>
      </c>
      <c r="I93">
        <v>0</v>
      </c>
    </row>
    <row r="94" spans="1:9" x14ac:dyDescent="0.25">
      <c r="A94" t="s">
        <v>225</v>
      </c>
      <c r="B94">
        <v>-7.3600000000000002E-3</v>
      </c>
      <c r="C94">
        <v>-1.1999999999999999E-3</v>
      </c>
      <c r="D94">
        <v>-1.17E-2</v>
      </c>
      <c r="E94">
        <v>-2.0200000000000001E-3</v>
      </c>
      <c r="F94">
        <v>-3.8100000000000002E-2</v>
      </c>
      <c r="G94">
        <v>-1.18E-2</v>
      </c>
      <c r="H94">
        <v>-4.2599999999999999E-2</v>
      </c>
      <c r="I94">
        <v>-2.02E-4</v>
      </c>
    </row>
    <row r="95" spans="1:9" x14ac:dyDescent="0.25">
      <c r="A95" t="s">
        <v>64</v>
      </c>
      <c r="B95">
        <v>1E-3</v>
      </c>
      <c r="C95">
        <v>0</v>
      </c>
      <c r="D95">
        <v>1E-3</v>
      </c>
      <c r="E95">
        <v>0</v>
      </c>
      <c r="F95">
        <v>3.0000000000000001E-3</v>
      </c>
      <c r="G95">
        <v>0</v>
      </c>
      <c r="H95">
        <v>6.0000000000000001E-3</v>
      </c>
      <c r="I95">
        <v>0</v>
      </c>
    </row>
    <row r="96" spans="1:9" x14ac:dyDescent="0.25">
      <c r="A96" t="s">
        <v>227</v>
      </c>
      <c r="B96">
        <v>-1.2699999999999999E-2</v>
      </c>
      <c r="C96" t="s">
        <v>288</v>
      </c>
      <c r="D96">
        <v>5.0600000000000003E-3</v>
      </c>
      <c r="E96">
        <v>-3.9199999999999999E-2</v>
      </c>
      <c r="F96">
        <v>2.81E-3</v>
      </c>
      <c r="G96" t="s">
        <v>289</v>
      </c>
      <c r="H96">
        <v>-4.4600000000000004E-3</v>
      </c>
      <c r="I96" t="s">
        <v>290</v>
      </c>
    </row>
    <row r="97" spans="1:17" x14ac:dyDescent="0.25">
      <c r="A97" t="s">
        <v>64</v>
      </c>
      <c r="B97">
        <v>1E-3</v>
      </c>
      <c r="C97">
        <v>1.2999999999999999E-2</v>
      </c>
      <c r="D97">
        <v>0</v>
      </c>
      <c r="E97">
        <v>7.0000000000000001E-3</v>
      </c>
      <c r="F97">
        <v>0</v>
      </c>
      <c r="G97">
        <v>1.4E-2</v>
      </c>
      <c r="H97">
        <v>0</v>
      </c>
      <c r="I97">
        <v>1.2E-2</v>
      </c>
      <c r="J97">
        <f>(B97+B99)/2</f>
        <v>4.9999999999999992E-3</v>
      </c>
      <c r="K97">
        <f t="shared" ref="K97:Q97" si="10">(C97+C99)/2</f>
        <v>1.9E-2</v>
      </c>
      <c r="L97">
        <f t="shared" si="10"/>
        <v>5.0000000000000001E-4</v>
      </c>
      <c r="M97">
        <f t="shared" si="10"/>
        <v>1.2999999999999999E-2</v>
      </c>
      <c r="N97">
        <f t="shared" si="10"/>
        <v>0</v>
      </c>
      <c r="O97">
        <f t="shared" si="10"/>
        <v>0.01</v>
      </c>
      <c r="P97">
        <f t="shared" si="10"/>
        <v>0</v>
      </c>
      <c r="Q97">
        <f t="shared" si="10"/>
        <v>0.01</v>
      </c>
    </row>
    <row r="98" spans="1:17" x14ac:dyDescent="0.25">
      <c r="A98" t="s">
        <v>230</v>
      </c>
      <c r="B98">
        <v>-3.5799999999999998E-2</v>
      </c>
      <c r="C98" t="s">
        <v>291</v>
      </c>
      <c r="D98">
        <v>-1.6799999999999999E-2</v>
      </c>
      <c r="E98" t="s">
        <v>292</v>
      </c>
      <c r="F98">
        <v>-3.0100000000000001E-3</v>
      </c>
      <c r="G98">
        <v>6.6199999999999995E-2</v>
      </c>
      <c r="H98">
        <v>1.9599999999999999E-3</v>
      </c>
      <c r="I98">
        <v>5.8099999999999999E-2</v>
      </c>
    </row>
    <row r="99" spans="1:17" x14ac:dyDescent="0.25">
      <c r="A99" t="s">
        <v>64</v>
      </c>
      <c r="B99">
        <v>8.9999999999999993E-3</v>
      </c>
      <c r="C99">
        <v>2.5000000000000001E-2</v>
      </c>
      <c r="D99">
        <v>1E-3</v>
      </c>
      <c r="E99">
        <v>1.9E-2</v>
      </c>
      <c r="F99">
        <v>0</v>
      </c>
      <c r="G99">
        <v>6.0000000000000001E-3</v>
      </c>
      <c r="H99">
        <v>0</v>
      </c>
      <c r="I99">
        <v>8.0000000000000002E-3</v>
      </c>
    </row>
  </sheetData>
  <autoFilter ref="A1:I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E1" workbookViewId="0">
      <selection activeCell="L5" sqref="L5"/>
    </sheetView>
  </sheetViews>
  <sheetFormatPr defaultRowHeight="15" x14ac:dyDescent="0.25"/>
  <sheetData>
    <row r="1" spans="1:33" ht="15.75" x14ac:dyDescent="0.25">
      <c r="A1" s="1" t="s">
        <v>53</v>
      </c>
    </row>
    <row r="2" spans="1:33" ht="15.75" x14ac:dyDescent="0.25">
      <c r="A2" s="7"/>
      <c r="B2" s="42" t="s">
        <v>8</v>
      </c>
      <c r="C2" s="42"/>
      <c r="D2" s="8"/>
      <c r="E2" s="42" t="s">
        <v>9</v>
      </c>
      <c r="F2" s="42"/>
      <c r="G2" s="8"/>
      <c r="H2" s="42" t="s">
        <v>10</v>
      </c>
      <c r="I2" s="42"/>
      <c r="J2" s="7"/>
      <c r="K2" s="42" t="s">
        <v>11</v>
      </c>
      <c r="L2" s="42"/>
      <c r="M2" s="8"/>
      <c r="N2" s="42" t="s">
        <v>12</v>
      </c>
      <c r="O2" s="42"/>
      <c r="P2" s="8"/>
      <c r="Q2" s="42" t="s">
        <v>15</v>
      </c>
      <c r="R2" s="42"/>
      <c r="S2" s="7"/>
      <c r="T2" s="42" t="s">
        <v>13</v>
      </c>
      <c r="U2" s="42"/>
      <c r="V2" s="7"/>
      <c r="W2" s="42" t="s">
        <v>14</v>
      </c>
      <c r="X2" s="42"/>
      <c r="Y2" s="7"/>
      <c r="Z2" s="41" t="s">
        <v>17</v>
      </c>
      <c r="AA2" s="41"/>
      <c r="AB2" s="7"/>
      <c r="AC2" s="41" t="s">
        <v>16</v>
      </c>
      <c r="AD2" s="41"/>
      <c r="AE2" s="7"/>
      <c r="AF2" s="42" t="s">
        <v>18</v>
      </c>
      <c r="AG2" s="42"/>
    </row>
    <row r="3" spans="1:33" ht="15.75" x14ac:dyDescent="0.25">
      <c r="A3" s="1" t="s">
        <v>0</v>
      </c>
      <c r="B3" s="8" t="s">
        <v>1</v>
      </c>
      <c r="C3" s="8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54</v>
      </c>
      <c r="B4" s="8"/>
      <c r="C4" s="8"/>
      <c r="D4" s="1"/>
      <c r="E4" s="1"/>
      <c r="F4" s="1"/>
      <c r="G4" s="1"/>
      <c r="H4" s="1"/>
      <c r="I4" s="1"/>
    </row>
    <row r="5" spans="1:33" ht="15.75" x14ac:dyDescent="0.25">
      <c r="A5" s="1"/>
      <c r="B5" s="5" t="s">
        <v>21</v>
      </c>
      <c r="C5" s="5" t="s">
        <v>22</v>
      </c>
      <c r="D5" s="3"/>
      <c r="E5" s="5" t="s">
        <v>27</v>
      </c>
      <c r="F5" s="5" t="s">
        <v>38</v>
      </c>
      <c r="G5" s="3"/>
      <c r="H5" s="5" t="s">
        <v>58</v>
      </c>
      <c r="I5" s="5" t="s">
        <v>34</v>
      </c>
      <c r="J5" s="3"/>
      <c r="K5" s="5" t="s">
        <v>24</v>
      </c>
      <c r="L5" s="5" t="s">
        <v>24</v>
      </c>
      <c r="M5" s="3"/>
      <c r="N5" s="5" t="s">
        <v>39</v>
      </c>
      <c r="O5" s="5" t="s">
        <v>39</v>
      </c>
      <c r="P5" s="3"/>
      <c r="Q5" s="5" t="s">
        <v>42</v>
      </c>
      <c r="R5" s="5" t="s">
        <v>42</v>
      </c>
      <c r="S5" s="3"/>
      <c r="T5" s="5" t="s">
        <v>46</v>
      </c>
      <c r="U5" s="5" t="s">
        <v>45</v>
      </c>
      <c r="V5" s="3"/>
      <c r="W5" s="5" t="s">
        <v>42</v>
      </c>
      <c r="X5" s="5" t="s">
        <v>43</v>
      </c>
      <c r="Y5" s="3"/>
      <c r="Z5" s="5" t="s">
        <v>43</v>
      </c>
      <c r="AA5" s="5" t="s">
        <v>41</v>
      </c>
      <c r="AB5" s="3"/>
      <c r="AC5" s="5" t="s">
        <v>26</v>
      </c>
      <c r="AD5" s="5" t="s">
        <v>26</v>
      </c>
      <c r="AE5" s="3"/>
      <c r="AF5" s="5" t="s">
        <v>41</v>
      </c>
      <c r="AG5" s="5" t="s">
        <v>41</v>
      </c>
    </row>
    <row r="6" spans="1:33" ht="15.75" x14ac:dyDescent="0.25">
      <c r="A6" s="1"/>
      <c r="B6" s="5" t="s">
        <v>21</v>
      </c>
      <c r="C6" s="5" t="s">
        <v>22</v>
      </c>
      <c r="D6" s="3"/>
      <c r="E6" s="5" t="s">
        <v>24</v>
      </c>
      <c r="F6" s="5" t="s">
        <v>27</v>
      </c>
      <c r="G6" s="3"/>
      <c r="H6" s="5" t="s">
        <v>30</v>
      </c>
      <c r="I6" s="5" t="s">
        <v>30</v>
      </c>
      <c r="J6" s="3"/>
      <c r="K6" s="5" t="s">
        <v>24</v>
      </c>
      <c r="L6" s="5" t="s">
        <v>24</v>
      </c>
      <c r="M6" s="3"/>
      <c r="N6" s="5" t="s">
        <v>39</v>
      </c>
      <c r="O6" s="5" t="s">
        <v>39</v>
      </c>
      <c r="P6" s="3"/>
      <c r="Q6" s="5" t="s">
        <v>41</v>
      </c>
      <c r="R6" s="5" t="s">
        <v>43</v>
      </c>
      <c r="S6" s="3"/>
      <c r="T6" s="5" t="s">
        <v>49</v>
      </c>
      <c r="U6" s="5" t="s">
        <v>47</v>
      </c>
      <c r="V6" s="3"/>
      <c r="W6" s="5" t="s">
        <v>41</v>
      </c>
      <c r="X6" s="5" t="s">
        <v>41</v>
      </c>
      <c r="Y6" s="3"/>
      <c r="Z6" s="5" t="s">
        <v>43</v>
      </c>
      <c r="AA6" s="5" t="s">
        <v>41</v>
      </c>
      <c r="AB6" s="3"/>
      <c r="AC6" s="5" t="s">
        <v>38</v>
      </c>
      <c r="AD6" s="5" t="s">
        <v>27</v>
      </c>
      <c r="AE6" s="3"/>
      <c r="AF6" s="5" t="s">
        <v>41</v>
      </c>
      <c r="AG6" s="5" t="s">
        <v>41</v>
      </c>
    </row>
    <row r="7" spans="1:33" ht="15.75" x14ac:dyDescent="0.25">
      <c r="A7" s="1"/>
      <c r="B7" s="5" t="s">
        <v>22</v>
      </c>
      <c r="C7" s="5" t="s">
        <v>22</v>
      </c>
      <c r="D7" s="3"/>
      <c r="E7" s="5" t="s">
        <v>24</v>
      </c>
      <c r="F7" s="5" t="s">
        <v>25</v>
      </c>
      <c r="G7" s="3"/>
      <c r="H7" s="5" t="s">
        <v>30</v>
      </c>
      <c r="I7" s="5" t="s">
        <v>30</v>
      </c>
      <c r="J7" s="3"/>
      <c r="K7" s="5" t="s">
        <v>24</v>
      </c>
      <c r="L7" s="5" t="s">
        <v>24</v>
      </c>
      <c r="M7" s="3"/>
      <c r="N7" s="5" t="s">
        <v>39</v>
      </c>
      <c r="O7" s="5" t="s">
        <v>39</v>
      </c>
      <c r="P7" s="3"/>
      <c r="Q7" s="5" t="s">
        <v>41</v>
      </c>
      <c r="R7" s="5" t="s">
        <v>41</v>
      </c>
      <c r="S7" s="3"/>
      <c r="T7" s="5" t="s">
        <v>50</v>
      </c>
      <c r="U7" s="5" t="s">
        <v>49</v>
      </c>
      <c r="V7" s="3"/>
      <c r="W7" s="5" t="s">
        <v>41</v>
      </c>
      <c r="X7" s="5" t="s">
        <v>41</v>
      </c>
      <c r="Y7" s="3"/>
      <c r="Z7" s="5" t="s">
        <v>41</v>
      </c>
      <c r="AA7" s="5" t="s">
        <v>43</v>
      </c>
      <c r="AB7" s="3"/>
      <c r="AC7" s="5" t="s">
        <v>24</v>
      </c>
      <c r="AD7" s="5" t="s">
        <v>24</v>
      </c>
      <c r="AE7" s="3"/>
      <c r="AF7" s="5" t="s">
        <v>41</v>
      </c>
      <c r="AG7" s="5" t="s">
        <v>42</v>
      </c>
    </row>
    <row r="8" spans="1:33" ht="15.75" x14ac:dyDescent="0.25">
      <c r="A8" s="1"/>
      <c r="B8" s="6">
        <f>(0.0478+0.0135+0.01+0.0156)/4</f>
        <v>2.1725000000000001E-2</v>
      </c>
      <c r="C8" s="6">
        <f>(-0.0129-0.00196)</f>
        <v>-1.486E-2</v>
      </c>
      <c r="D8" s="3"/>
      <c r="E8" s="6">
        <f>(-0.00389-0.00278+0.00246-0.00573-0.00251/5)</f>
        <v>-1.0442000000000002E-2</v>
      </c>
      <c r="F8" s="6">
        <f>(0.00618+0.00821-0.00533-0.0101-0.00595)/2</f>
        <v>-3.4949999999999998E-3</v>
      </c>
      <c r="G8" s="3"/>
      <c r="H8" s="6">
        <f>(-0.00159-0.000493+0.000862+0.00272+0.00164+0.000986-0.00195+0.000617+0.00351)/10</f>
        <v>6.3020000000000003E-4</v>
      </c>
      <c r="I8" s="6">
        <f>(0.00273+0.000865-0.00347-0.000832+0.00175-0.00118-0.00000443+0.00213-0.0000476-0.00186)/10</f>
        <v>8.0969999999999226E-6</v>
      </c>
      <c r="J8" s="3"/>
      <c r="K8" s="6">
        <f>(-0.0145-0.00823-0.00827-0.00897-0.00909)/5</f>
        <v>-9.8119999999999995E-3</v>
      </c>
      <c r="L8" s="6">
        <f>(-0.000155-0.00108-0.00836-0.00402-0.0127)/5</f>
        <v>-5.2629999999999994E-3</v>
      </c>
      <c r="M8" s="3"/>
      <c r="N8" s="6">
        <v>-6.3E-3</v>
      </c>
      <c r="O8" s="6">
        <v>-4.8399999999999997E-3</v>
      </c>
      <c r="P8" s="3"/>
      <c r="Q8" s="6">
        <f>(0.0219+0.0237)/2</f>
        <v>2.2800000000000001E-2</v>
      </c>
      <c r="R8" s="6">
        <f>(0.0285+0.0404)/2</f>
        <v>3.4450000000000001E-2</v>
      </c>
      <c r="S8" s="3"/>
      <c r="T8" s="6">
        <f>(-0.0247-0.00552-0.0173-0.0223-0.0138+0.00579+0.00154)/7</f>
        <v>-1.0898571428571428E-2</v>
      </c>
      <c r="U8" s="6">
        <f>(0.0162+0.000301+0.027+0.0207+0.0137+0.0153+0.0263)/7</f>
        <v>1.7071571428571429E-2</v>
      </c>
      <c r="V8" s="3"/>
      <c r="W8" s="6">
        <f>(0.00394+0.0101)/2</f>
        <v>7.0200000000000002E-3</v>
      </c>
      <c r="X8" s="6">
        <f>(0.00576-0.0182)/2</f>
        <v>-6.2199999999999998E-3</v>
      </c>
      <c r="Y8" s="3"/>
      <c r="Z8" s="6">
        <f>(0.0762-0.0185)/2</f>
        <v>2.8850000000000001E-2</v>
      </c>
      <c r="AA8" s="6">
        <f>(-0.0383-0.0434)/2</f>
        <v>-4.0849999999999997E-2</v>
      </c>
      <c r="AB8" s="3"/>
      <c r="AC8" s="6">
        <f>(-0.0217+0.0229+0.0225+0.0277+0.0341)/5</f>
        <v>1.7099999999999997E-2</v>
      </c>
      <c r="AD8" s="6">
        <f>(0.0185-0.00381+0.00179+0.00746+0.0316)/5</f>
        <v>1.1108E-2</v>
      </c>
      <c r="AE8" s="3"/>
      <c r="AF8" s="6">
        <f>(-0.0127-0.0358)/2</f>
        <v>-2.4250000000000001E-2</v>
      </c>
      <c r="AG8" s="6">
        <f>(-0.0407-0.0608)/2</f>
        <v>-5.0750000000000003E-2</v>
      </c>
    </row>
    <row r="9" spans="1:33" ht="18.75" x14ac:dyDescent="0.25">
      <c r="A9" s="1" t="s">
        <v>7</v>
      </c>
      <c r="B9" s="5">
        <v>5.000000000000001E-3</v>
      </c>
      <c r="C9" s="5">
        <v>5.0000000000000001E-4</v>
      </c>
      <c r="D9" s="3"/>
      <c r="E9" s="5">
        <v>1.6000000000000001E-3</v>
      </c>
      <c r="F9" s="5">
        <v>8.0000000000000002E-3</v>
      </c>
      <c r="G9" s="3"/>
      <c r="H9" s="5">
        <v>2.3999999999999998E-3</v>
      </c>
      <c r="I9" s="5">
        <v>9.0000000000000008E-4</v>
      </c>
      <c r="J9" s="3"/>
      <c r="K9" s="5">
        <v>8.8888888888888893E-4</v>
      </c>
      <c r="L9" s="5">
        <v>6.5555555555555558E-3</v>
      </c>
      <c r="M9" s="3"/>
      <c r="N9" s="5">
        <v>5.0000000000000001E-3</v>
      </c>
      <c r="O9" s="5">
        <v>3.0000000000000001E-3</v>
      </c>
      <c r="P9" s="3"/>
      <c r="Q9" s="5">
        <v>4.0000000000000001E-3</v>
      </c>
      <c r="R9" s="5">
        <v>8.5000000000000006E-3</v>
      </c>
      <c r="S9" s="3"/>
      <c r="T9" s="5">
        <v>2.4285714285714288E-3</v>
      </c>
      <c r="U9" s="5">
        <v>6.1428571428571435E-3</v>
      </c>
      <c r="V9" s="3"/>
      <c r="W9" s="5">
        <v>5.0000000000000001E-4</v>
      </c>
      <c r="X9" s="5">
        <v>2E-3</v>
      </c>
      <c r="Y9" s="3"/>
      <c r="Z9" s="5">
        <v>1.15E-2</v>
      </c>
      <c r="AA9" s="5">
        <v>8.9999999999999993E-3</v>
      </c>
      <c r="AB9" s="3"/>
      <c r="AC9" s="5">
        <v>8.2000000000000007E-3</v>
      </c>
      <c r="AD9" s="5">
        <v>3.0000000000000001E-3</v>
      </c>
      <c r="AE9" s="3"/>
      <c r="AF9" s="5">
        <v>4.9999999999999992E-3</v>
      </c>
      <c r="AG9" s="5">
        <v>1.9E-2</v>
      </c>
    </row>
    <row r="10" spans="1:33" ht="15.75" x14ac:dyDescent="0.25">
      <c r="A10" s="1"/>
      <c r="B10" s="5"/>
      <c r="C10" s="5"/>
      <c r="D10" s="3"/>
      <c r="E10" s="5"/>
      <c r="F10" s="5"/>
      <c r="G10" s="3"/>
      <c r="H10" s="5"/>
      <c r="I10" s="5"/>
      <c r="J10" s="3"/>
      <c r="K10" s="5"/>
      <c r="L10" s="5"/>
      <c r="M10" s="3"/>
      <c r="N10" s="5"/>
      <c r="O10" s="5"/>
      <c r="P10" s="3"/>
      <c r="Q10" s="5"/>
      <c r="R10" s="5"/>
      <c r="S10" s="3"/>
      <c r="T10" s="5"/>
      <c r="U10" s="5"/>
      <c r="V10" s="3"/>
      <c r="W10" s="5"/>
      <c r="X10" s="5"/>
      <c r="Y10" s="3"/>
      <c r="Z10" s="5"/>
      <c r="AA10" s="5"/>
      <c r="AB10" s="3"/>
      <c r="AC10" s="5"/>
      <c r="AD10" s="5"/>
      <c r="AE10" s="3"/>
      <c r="AF10" s="5"/>
      <c r="AG10" s="5"/>
    </row>
    <row r="11" spans="1:33" ht="15.75" x14ac:dyDescent="0.25">
      <c r="A11" s="1" t="s">
        <v>55</v>
      </c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  <c r="N11" s="5"/>
      <c r="O11" s="5"/>
      <c r="P11" s="3"/>
      <c r="Q11" s="5"/>
      <c r="R11" s="5"/>
      <c r="S11" s="3"/>
      <c r="T11" s="5"/>
      <c r="U11" s="5"/>
      <c r="V11" s="3"/>
      <c r="W11" s="5"/>
      <c r="X11" s="5"/>
      <c r="Y11" s="3"/>
      <c r="Z11" s="5"/>
      <c r="AA11" s="5"/>
      <c r="AB11" s="3"/>
      <c r="AC11" s="5"/>
      <c r="AD11" s="5"/>
      <c r="AE11" s="3"/>
      <c r="AF11" s="5"/>
      <c r="AG11" s="5"/>
    </row>
    <row r="12" spans="1:33" ht="15.75" x14ac:dyDescent="0.25">
      <c r="A12" s="1"/>
      <c r="B12" s="5" t="s">
        <v>20</v>
      </c>
      <c r="C12" s="5" t="s">
        <v>20</v>
      </c>
      <c r="D12" s="3"/>
      <c r="E12" s="5" t="s">
        <v>27</v>
      </c>
      <c r="F12" s="5" t="s">
        <v>38</v>
      </c>
      <c r="G12" s="3"/>
      <c r="H12" s="5" t="s">
        <v>59</v>
      </c>
      <c r="I12" s="5" t="s">
        <v>31</v>
      </c>
      <c r="J12" s="3"/>
      <c r="K12" s="5" t="s">
        <v>24</v>
      </c>
      <c r="L12" s="5" t="s">
        <v>27</v>
      </c>
      <c r="M12" s="3"/>
      <c r="N12" s="5" t="s">
        <v>39</v>
      </c>
      <c r="O12" s="5" t="s">
        <v>39</v>
      </c>
      <c r="P12" s="3"/>
      <c r="Q12" s="5" t="s">
        <v>42</v>
      </c>
      <c r="R12" s="5" t="s">
        <v>42</v>
      </c>
      <c r="S12" s="3"/>
      <c r="T12" s="5" t="s">
        <v>50</v>
      </c>
      <c r="U12" s="5" t="s">
        <v>48</v>
      </c>
      <c r="V12" s="3"/>
      <c r="W12" s="5" t="s">
        <v>43</v>
      </c>
      <c r="X12" s="5" t="s">
        <v>41</v>
      </c>
      <c r="Y12" s="3"/>
      <c r="Z12" s="5" t="s">
        <v>43</v>
      </c>
      <c r="AA12" s="5" t="s">
        <v>41</v>
      </c>
      <c r="AB12" s="3"/>
      <c r="AC12" s="5" t="s">
        <v>26</v>
      </c>
      <c r="AD12" s="5" t="s">
        <v>38</v>
      </c>
      <c r="AE12" s="3"/>
      <c r="AF12" s="5" t="s">
        <v>43</v>
      </c>
      <c r="AG12" s="5" t="s">
        <v>41</v>
      </c>
    </row>
    <row r="13" spans="1:33" ht="15.75" x14ac:dyDescent="0.25">
      <c r="A13" s="1"/>
      <c r="B13" s="5" t="s">
        <v>21</v>
      </c>
      <c r="C13" s="5" t="s">
        <v>22</v>
      </c>
      <c r="D13" s="3"/>
      <c r="E13" s="5" t="s">
        <v>24</v>
      </c>
      <c r="F13" s="5" t="s">
        <v>27</v>
      </c>
      <c r="G13" s="3"/>
      <c r="H13" s="5" t="s">
        <v>30</v>
      </c>
      <c r="I13" s="5" t="s">
        <v>30</v>
      </c>
      <c r="J13" s="3"/>
      <c r="K13" s="5" t="s">
        <v>24</v>
      </c>
      <c r="L13" s="5" t="s">
        <v>24</v>
      </c>
      <c r="M13" s="3"/>
      <c r="N13" s="5" t="s">
        <v>39</v>
      </c>
      <c r="O13" s="5" t="s">
        <v>39</v>
      </c>
      <c r="P13" s="3"/>
      <c r="Q13" s="5" t="s">
        <v>41</v>
      </c>
      <c r="R13" s="5" t="s">
        <v>42</v>
      </c>
      <c r="S13" s="3"/>
      <c r="T13" s="5" t="s">
        <v>49</v>
      </c>
      <c r="U13" s="5" t="s">
        <v>46</v>
      </c>
      <c r="V13" s="3"/>
      <c r="W13" s="5" t="s">
        <v>41</v>
      </c>
      <c r="X13" s="5" t="s">
        <v>41</v>
      </c>
      <c r="Y13" s="3"/>
      <c r="Z13" s="5" t="s">
        <v>43</v>
      </c>
      <c r="AA13" s="5" t="s">
        <v>41</v>
      </c>
      <c r="AB13" s="3"/>
      <c r="AC13" s="5" t="s">
        <v>24</v>
      </c>
      <c r="AD13" s="5" t="s">
        <v>24</v>
      </c>
      <c r="AE13" s="3"/>
      <c r="AF13" s="5" t="s">
        <v>41</v>
      </c>
      <c r="AG13" s="5" t="s">
        <v>41</v>
      </c>
    </row>
    <row r="14" spans="1:33" ht="15.75" x14ac:dyDescent="0.25">
      <c r="A14" s="1"/>
      <c r="B14" s="5" t="s">
        <v>22</v>
      </c>
      <c r="C14" s="5" t="s">
        <v>22</v>
      </c>
      <c r="D14" s="3"/>
      <c r="E14" s="5" t="s">
        <v>38</v>
      </c>
      <c r="F14" s="5" t="s">
        <v>25</v>
      </c>
      <c r="G14" s="3"/>
      <c r="H14" s="5" t="s">
        <v>30</v>
      </c>
      <c r="I14" s="5" t="s">
        <v>30</v>
      </c>
      <c r="J14" s="3"/>
      <c r="K14" s="5" t="s">
        <v>27</v>
      </c>
      <c r="L14" s="5" t="s">
        <v>24</v>
      </c>
      <c r="M14" s="3"/>
      <c r="N14" s="5" t="s">
        <v>39</v>
      </c>
      <c r="O14" s="5" t="s">
        <v>39</v>
      </c>
      <c r="P14" s="3"/>
      <c r="Q14" s="5" t="s">
        <v>41</v>
      </c>
      <c r="R14" s="5" t="s">
        <v>41</v>
      </c>
      <c r="S14" s="3"/>
      <c r="T14" s="5" t="s">
        <v>50</v>
      </c>
      <c r="U14" s="5" t="s">
        <v>49</v>
      </c>
      <c r="V14" s="3"/>
      <c r="W14" s="5" t="s">
        <v>41</v>
      </c>
      <c r="X14" s="5" t="s">
        <v>41</v>
      </c>
      <c r="Y14" s="3"/>
      <c r="Z14" s="5" t="s">
        <v>41</v>
      </c>
      <c r="AA14" s="5" t="s">
        <v>41</v>
      </c>
      <c r="AB14" s="3"/>
      <c r="AC14" s="5" t="s">
        <v>24</v>
      </c>
      <c r="AD14" s="5" t="s">
        <v>24</v>
      </c>
      <c r="AE14" s="3"/>
      <c r="AF14" s="5" t="s">
        <v>41</v>
      </c>
      <c r="AG14" s="5" t="s">
        <v>42</v>
      </c>
    </row>
    <row r="15" spans="1:33" ht="15.75" x14ac:dyDescent="0.25">
      <c r="A15" s="1"/>
      <c r="B15" s="6">
        <f>(0.0506+0.0229-0.00194-0.0182)/4</f>
        <v>1.3339999999999999E-2</v>
      </c>
      <c r="C15" s="6">
        <f>(-0.0114-0.00988+0.00281+0.00743)/4</f>
        <v>-2.7600000000000003E-3</v>
      </c>
      <c r="D15" s="3"/>
      <c r="E15" s="6">
        <f>(-0.00041+0.00148-0.000157-0.01194-0.000729)/5</f>
        <v>-2.3511999999999999E-3</v>
      </c>
      <c r="F15" s="6">
        <f>(0.000937+0.00885-0.00952-0.0143-0.00909)/5</f>
        <v>-4.6246000000000004E-3</v>
      </c>
      <c r="G15" s="3"/>
      <c r="H15" s="6">
        <f>(-0.00159-0.000493+0.000862+0.00272+0.00294+0.00164+0.000986-0.00195+0.000617+0.00351)/10</f>
        <v>9.2420000000000002E-4</v>
      </c>
      <c r="I15" s="6">
        <f>(0.00273+0.000865-0.00347-0.000832+0.00175-0.00118-0.0000443+0.00213-0.0000476-0.00186)/10</f>
        <v>4.1099999999999429E-6</v>
      </c>
      <c r="J15" s="3"/>
      <c r="K15" s="6">
        <f>(-0.00387-0.00856-0.0118-0.00968-0.0258)/5</f>
        <v>-1.1941999999999999E-2</v>
      </c>
      <c r="L15" s="6">
        <f>(-0.0118+0.00172-0.0113-0.0113-0.0159)/5</f>
        <v>-9.7159999999999989E-3</v>
      </c>
      <c r="M15" s="3"/>
      <c r="N15" s="6">
        <v>-7.1900000000000002E-3</v>
      </c>
      <c r="O15" s="6">
        <v>-4.5500000000000002E-3</v>
      </c>
      <c r="P15" s="3"/>
      <c r="Q15" s="6">
        <f>(0.0351+0.0308)/2</f>
        <v>3.295E-2</v>
      </c>
      <c r="R15" s="6">
        <f>(0.0367+0.0515)/2</f>
        <v>4.41E-2</v>
      </c>
      <c r="S15" s="3"/>
      <c r="T15" s="6">
        <f>(0.00386-0.00116-0.0102-0.011-0.0141-0.00779-0.02)/7</f>
        <v>-8.6271428571428575E-3</v>
      </c>
      <c r="U15" s="6">
        <f>(-0.0221-0.01-0.00339+0.0156+0.00834+0.0143+0.0419)/7</f>
        <v>6.3785714285714279E-3</v>
      </c>
      <c r="V15" s="3"/>
      <c r="W15" s="6">
        <f>(0.0133-0.0105)/2</f>
        <v>1.3999999999999993E-3</v>
      </c>
      <c r="X15" s="6">
        <f>(-0.00849-0.0249)/2</f>
        <v>-1.6694999999999998E-2</v>
      </c>
      <c r="Y15" s="3"/>
      <c r="Z15" s="6">
        <f>(0.0267-0.0186)/2</f>
        <v>4.0500000000000015E-3</v>
      </c>
      <c r="AA15" s="6">
        <f>(-0.0267-0.0186)/2</f>
        <v>-2.265E-2</v>
      </c>
      <c r="AB15" s="3"/>
      <c r="AC15" s="6">
        <f>(-0.0274+0.0159+0.0307+0.0219+0.0258)/5</f>
        <v>1.338E-2</v>
      </c>
      <c r="AD15" s="6">
        <f>(0.00742-0.0105-0.0135-0.00401+0.0166)/5</f>
        <v>-7.980000000000001E-4</v>
      </c>
      <c r="AE15" s="3"/>
      <c r="AF15" s="6">
        <f>(0.00506-0.0168)/2</f>
        <v>-5.8699999999999994E-3</v>
      </c>
      <c r="AG15" s="6">
        <f>(-0.0392-0.0689)/2</f>
        <v>-5.4050000000000001E-2</v>
      </c>
    </row>
    <row r="16" spans="1:33" ht="18.75" x14ac:dyDescent="0.25">
      <c r="A16" s="1" t="s">
        <v>7</v>
      </c>
      <c r="B16" s="5">
        <v>3.7499999999999999E-3</v>
      </c>
      <c r="C16" s="5">
        <v>5.0000000000000001E-4</v>
      </c>
      <c r="D16" s="3"/>
      <c r="E16">
        <v>3.5999999999999999E-3</v>
      </c>
      <c r="F16">
        <v>1.3000000000000001E-2</v>
      </c>
      <c r="G16" s="3"/>
      <c r="H16" s="5">
        <v>5.0000000000000001E-4</v>
      </c>
      <c r="I16" s="5">
        <v>5.0000000000000001E-4</v>
      </c>
      <c r="J16" s="3"/>
      <c r="K16" s="5">
        <v>1.888888888888889E-3</v>
      </c>
      <c r="L16" s="5">
        <v>6.5555555555555567E-3</v>
      </c>
      <c r="M16" s="3"/>
      <c r="N16" s="5">
        <v>6.0000000000000001E-3</v>
      </c>
      <c r="O16" s="5">
        <v>3.0000000000000001E-3</v>
      </c>
      <c r="P16" s="3"/>
      <c r="Q16" s="5">
        <v>5.4999999999999997E-3</v>
      </c>
      <c r="R16" s="5">
        <v>8.0000000000000002E-3</v>
      </c>
      <c r="S16" s="3"/>
      <c r="T16" s="5">
        <v>1.8571428571428573E-3</v>
      </c>
      <c r="U16" s="5">
        <v>5.7142857142857143E-3</v>
      </c>
      <c r="V16" s="3"/>
      <c r="W16" s="5">
        <v>1.5E-3</v>
      </c>
      <c r="X16" s="5">
        <v>3.0000000000000001E-3</v>
      </c>
      <c r="Y16" s="3"/>
      <c r="Z16" s="5">
        <v>1.5E-3</v>
      </c>
      <c r="AA16" s="5">
        <v>4.0000000000000001E-3</v>
      </c>
      <c r="AB16" s="3"/>
      <c r="AC16" s="5">
        <v>4.6000000000000008E-3</v>
      </c>
      <c r="AD16" s="5">
        <v>1.2000000000000001E-3</v>
      </c>
      <c r="AE16" s="3"/>
      <c r="AF16" s="5">
        <v>5.0000000000000001E-4</v>
      </c>
      <c r="AG16" s="5">
        <v>1.2999999999999999E-2</v>
      </c>
    </row>
    <row r="17" spans="1:33" ht="15.75" x14ac:dyDescent="0.25">
      <c r="A17" s="1"/>
      <c r="B17" s="5"/>
      <c r="C17" s="5"/>
      <c r="D17" s="3"/>
      <c r="E17" s="5"/>
      <c r="F17" s="5"/>
      <c r="G17" s="3"/>
      <c r="H17" s="5"/>
      <c r="I17" s="5"/>
      <c r="J17" s="3"/>
      <c r="K17" s="5"/>
      <c r="L17" s="5"/>
      <c r="M17" s="3"/>
      <c r="N17" s="5"/>
      <c r="O17" s="5"/>
      <c r="P17" s="3"/>
      <c r="Q17" s="5"/>
      <c r="R17" s="5"/>
      <c r="S17" s="3"/>
      <c r="T17" s="5"/>
      <c r="U17" s="5"/>
      <c r="V17" s="3"/>
      <c r="W17" s="5"/>
      <c r="X17" s="5"/>
      <c r="Y17" s="3"/>
      <c r="Z17" s="5"/>
      <c r="AA17" s="5"/>
      <c r="AB17" s="3"/>
      <c r="AC17" s="5"/>
      <c r="AD17" s="5"/>
      <c r="AE17" s="3"/>
      <c r="AF17" s="5"/>
      <c r="AG17" s="5"/>
    </row>
    <row r="18" spans="1:33" ht="15.75" x14ac:dyDescent="0.25">
      <c r="A18" s="1" t="s">
        <v>56</v>
      </c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  <c r="N18" s="5"/>
      <c r="O18" s="5"/>
      <c r="P18" s="3"/>
      <c r="Q18" s="5"/>
      <c r="R18" s="5"/>
      <c r="S18" s="3"/>
      <c r="T18" s="5"/>
      <c r="U18" s="5"/>
      <c r="V18" s="3"/>
      <c r="W18" s="5"/>
      <c r="X18" s="5"/>
      <c r="Y18" s="3"/>
      <c r="Z18" s="5"/>
      <c r="AA18" s="5"/>
      <c r="AB18" s="3"/>
      <c r="AC18" s="5"/>
      <c r="AD18" s="5"/>
      <c r="AE18" s="3"/>
      <c r="AF18" s="5"/>
      <c r="AG18" s="5"/>
    </row>
    <row r="19" spans="1:33" ht="15.75" x14ac:dyDescent="0.25">
      <c r="A19" s="1"/>
      <c r="B19" s="5" t="s">
        <v>19</v>
      </c>
      <c r="C19" s="5" t="s">
        <v>19</v>
      </c>
      <c r="D19" s="3"/>
      <c r="E19" s="5" t="s">
        <v>27</v>
      </c>
      <c r="F19" s="5" t="s">
        <v>24</v>
      </c>
      <c r="G19" s="3"/>
      <c r="H19" s="5" t="s">
        <v>34</v>
      </c>
      <c r="I19" s="5" t="s">
        <v>33</v>
      </c>
      <c r="J19" s="3"/>
      <c r="K19" s="5" t="s">
        <v>25</v>
      </c>
      <c r="L19" s="5" t="s">
        <v>24</v>
      </c>
      <c r="M19" s="3"/>
      <c r="N19" s="5" t="s">
        <v>39</v>
      </c>
      <c r="O19" s="5" t="s">
        <v>39</v>
      </c>
      <c r="P19" s="3"/>
      <c r="Q19" s="5" t="s">
        <v>43</v>
      </c>
      <c r="R19" s="5" t="s">
        <v>41</v>
      </c>
      <c r="S19" s="3"/>
      <c r="T19" s="5" t="s">
        <v>44</v>
      </c>
      <c r="U19" s="5" t="s">
        <v>45</v>
      </c>
      <c r="V19" s="3"/>
      <c r="W19" s="5" t="s">
        <v>42</v>
      </c>
      <c r="X19" s="5" t="s">
        <v>42</v>
      </c>
      <c r="Y19" s="3"/>
      <c r="Z19" s="5" t="s">
        <v>43</v>
      </c>
      <c r="AA19" s="5" t="s">
        <v>41</v>
      </c>
      <c r="AB19" s="3"/>
      <c r="AC19" s="5" t="s">
        <v>38</v>
      </c>
      <c r="AD19" s="5" t="s">
        <v>24</v>
      </c>
      <c r="AE19" s="3"/>
      <c r="AF19" s="5" t="s">
        <v>43</v>
      </c>
      <c r="AG19" s="5" t="s">
        <v>42</v>
      </c>
    </row>
    <row r="20" spans="1:33" ht="15.75" x14ac:dyDescent="0.25">
      <c r="A20" s="1"/>
      <c r="B20" s="5" t="s">
        <v>22</v>
      </c>
      <c r="C20" s="5" t="s">
        <v>21</v>
      </c>
      <c r="D20" s="3"/>
      <c r="E20" s="5" t="s">
        <v>24</v>
      </c>
      <c r="F20" s="5" t="s">
        <v>24</v>
      </c>
      <c r="G20" s="3"/>
      <c r="H20" s="5" t="s">
        <v>30</v>
      </c>
      <c r="I20" s="5" t="s">
        <v>28</v>
      </c>
      <c r="J20" s="3"/>
      <c r="K20" s="5" t="s">
        <v>24</v>
      </c>
      <c r="L20" s="5" t="s">
        <v>24</v>
      </c>
      <c r="M20" s="3"/>
      <c r="N20" s="5" t="s">
        <v>39</v>
      </c>
      <c r="O20" s="5" t="s">
        <v>39</v>
      </c>
      <c r="P20" s="3"/>
      <c r="Q20" s="5" t="s">
        <v>41</v>
      </c>
      <c r="R20" s="5" t="s">
        <v>41</v>
      </c>
      <c r="S20" s="3"/>
      <c r="T20" s="5" t="s">
        <v>50</v>
      </c>
      <c r="U20" s="5" t="s">
        <v>50</v>
      </c>
      <c r="V20" s="3"/>
      <c r="W20" s="5" t="s">
        <v>43</v>
      </c>
      <c r="X20" s="5" t="s">
        <v>41</v>
      </c>
      <c r="Y20" s="3"/>
      <c r="Z20" s="5" t="s">
        <v>41</v>
      </c>
      <c r="AA20" s="5" t="s">
        <v>41</v>
      </c>
      <c r="AB20" s="3"/>
      <c r="AC20" s="5" t="s">
        <v>24</v>
      </c>
      <c r="AD20" s="5" t="s">
        <v>24</v>
      </c>
      <c r="AE20" s="3"/>
      <c r="AF20" s="5" t="s">
        <v>41</v>
      </c>
      <c r="AG20" s="5" t="s">
        <v>43</v>
      </c>
    </row>
    <row r="21" spans="1:33" ht="15.75" x14ac:dyDescent="0.25">
      <c r="A21" s="1"/>
      <c r="B21" s="5" t="s">
        <v>22</v>
      </c>
      <c r="C21" s="5" t="s">
        <v>22</v>
      </c>
      <c r="D21" s="3"/>
      <c r="E21" s="5" t="s">
        <v>24</v>
      </c>
      <c r="F21" s="5" t="s">
        <v>24</v>
      </c>
      <c r="G21" s="3"/>
      <c r="H21" s="5" t="s">
        <v>30</v>
      </c>
      <c r="I21" s="5" t="s">
        <v>30</v>
      </c>
      <c r="J21" s="3"/>
      <c r="K21" s="5" t="s">
        <v>24</v>
      </c>
      <c r="L21" s="5" t="s">
        <v>25</v>
      </c>
      <c r="M21" s="3"/>
      <c r="N21" s="5" t="s">
        <v>39</v>
      </c>
      <c r="O21" s="5" t="s">
        <v>39</v>
      </c>
      <c r="P21" s="3"/>
      <c r="Q21" s="5" t="s">
        <v>41</v>
      </c>
      <c r="R21" s="5" t="s">
        <v>43</v>
      </c>
      <c r="S21" s="3"/>
      <c r="T21" s="5" t="s">
        <v>49</v>
      </c>
      <c r="U21" s="5" t="s">
        <v>49</v>
      </c>
      <c r="V21" s="3"/>
      <c r="W21" s="5" t="s">
        <v>41</v>
      </c>
      <c r="X21" s="5" t="s">
        <v>41</v>
      </c>
      <c r="Y21" s="3"/>
      <c r="Z21" s="5" t="s">
        <v>41</v>
      </c>
      <c r="AA21" s="5" t="s">
        <v>41</v>
      </c>
      <c r="AB21" s="3"/>
      <c r="AC21" s="5" t="s">
        <v>24</v>
      </c>
      <c r="AD21" s="5" t="s">
        <v>25</v>
      </c>
      <c r="AE21" s="3"/>
      <c r="AF21" s="5" t="s">
        <v>41</v>
      </c>
      <c r="AG21" s="5" t="s">
        <v>41</v>
      </c>
    </row>
    <row r="22" spans="1:33" ht="15.75" x14ac:dyDescent="0.25">
      <c r="A22" s="1"/>
      <c r="B22" s="6">
        <f>(0.0228+0.0338+0.0315+0.0149)/4</f>
        <v>2.5749999999999999E-2</v>
      </c>
      <c r="C22" s="6">
        <f>(0.0383+0.0241+0.099+0.0283)/4</f>
        <v>4.7424999999999995E-2</v>
      </c>
      <c r="D22" s="3"/>
      <c r="E22" s="6">
        <f>(0.00334-0.00968-0.00422-0.0135-0.00495)/5</f>
        <v>-5.8019999999999999E-3</v>
      </c>
      <c r="F22" s="6">
        <f>(-0.00586-0.0135-0.00927-0.0165-0.00918)/5</f>
        <v>-1.0862E-2</v>
      </c>
      <c r="G22" s="3"/>
      <c r="H22" s="6">
        <f>(-0.00494-0.00156+0.00294-0.00414+0.00171+0.00277-0.00332+0.00147+0.00373+0.00758)/10</f>
        <v>6.2399999999999999E-4</v>
      </c>
      <c r="I22" s="6">
        <f>(0.00729-0.000535-0.00294+0.00531+0.00945+0.0108+0.0081+0.00832+0.012+0.00808)/10</f>
        <v>6.5875000000000005E-3</v>
      </c>
      <c r="J22" s="3"/>
      <c r="K22" s="6">
        <f>(0.113+0.0481+0.0423-0.00846-0.0347)/5</f>
        <v>3.2048E-2</v>
      </c>
      <c r="L22" s="6">
        <f>(-0.0894-0.0522-0.0489-0.0374-0.0241)/5</f>
        <v>-5.04E-2</v>
      </c>
      <c r="M22" s="3"/>
      <c r="N22" s="6">
        <v>-2.0400000000000001E-3</v>
      </c>
      <c r="O22" s="6">
        <v>-1.2400000000000001E-4</v>
      </c>
      <c r="P22" s="3"/>
      <c r="Q22" s="6">
        <f>(-0.0153+0.00438)/2</f>
        <v>-5.4599999999999996E-3</v>
      </c>
      <c r="R22" s="6">
        <f>(-0.0504-0.0407)/2</f>
        <v>-4.555E-2</v>
      </c>
      <c r="S22" s="3"/>
      <c r="T22" s="6">
        <f>(-0.0792+0.00119+0.0607+0.0164+0.00336+0.0125+0.0596)/7</f>
        <v>1.0649999999999998E-2</v>
      </c>
      <c r="U22" s="6">
        <f>(0.0261+0.0102+0.0026+0.0347+0.0561+0.0628+0.0789)/7</f>
        <v>3.8771428571428568E-2</v>
      </c>
      <c r="V22" s="3"/>
      <c r="W22" s="6">
        <f>(0.018+0.0846)/2</f>
        <v>5.1299999999999998E-2</v>
      </c>
      <c r="X22" s="6">
        <f>(0.032+0.0254)/2</f>
        <v>2.87E-2</v>
      </c>
      <c r="Y22" s="3"/>
      <c r="Z22" s="6">
        <f>(0.0548-0.0625)/2</f>
        <v>-3.8499999999999993E-3</v>
      </c>
      <c r="AA22" s="6">
        <f>(-0.04-0.0303)/2</f>
        <v>-3.5150000000000001E-2</v>
      </c>
      <c r="AB22" s="3"/>
      <c r="AC22" s="6">
        <f>(-0.0124-0.0257+0.00313+0.00168-0.00589)/5</f>
        <v>-7.8359999999999992E-3</v>
      </c>
      <c r="AD22" s="6">
        <f>(-0.00122-0.0258-0.0619-0.0948-0.0504)/5</f>
        <v>-4.6823999999999998E-2</v>
      </c>
      <c r="AE22" s="3"/>
      <c r="AF22" s="6">
        <f>(0.00281-0.00301)/2</f>
        <v>-1.0000000000000005E-4</v>
      </c>
      <c r="AG22" s="6">
        <f>(0.103+0.0662)/2</f>
        <v>8.4599999999999995E-2</v>
      </c>
    </row>
    <row r="23" spans="1:33" ht="18.75" x14ac:dyDescent="0.25">
      <c r="A23" s="1" t="s">
        <v>7</v>
      </c>
      <c r="B23" s="5">
        <v>1E-3</v>
      </c>
      <c r="C23" s="5">
        <v>4.0000000000000001E-3</v>
      </c>
      <c r="D23" s="3"/>
      <c r="E23" s="5">
        <v>1E-3</v>
      </c>
      <c r="F23" s="5">
        <v>3.4000000000000002E-3</v>
      </c>
      <c r="G23" s="3"/>
      <c r="H23" s="5">
        <v>3.0000000000000003E-4</v>
      </c>
      <c r="I23" s="5">
        <v>2.4999999999999996E-3</v>
      </c>
      <c r="J23" s="3"/>
      <c r="K23" s="5">
        <v>6.000000000000001E-3</v>
      </c>
      <c r="L23" s="5">
        <v>4.6666666666666671E-3</v>
      </c>
      <c r="M23" s="3"/>
      <c r="N23" s="5">
        <v>0</v>
      </c>
      <c r="O23" s="5">
        <v>0</v>
      </c>
      <c r="P23" s="3"/>
      <c r="Q23" s="5">
        <v>0</v>
      </c>
      <c r="R23" s="5">
        <v>3.0000000000000001E-3</v>
      </c>
      <c r="S23" s="3"/>
      <c r="T23" s="5">
        <v>2.5714285714285717E-3</v>
      </c>
      <c r="U23" s="5">
        <v>7.7142857142857143E-3</v>
      </c>
      <c r="V23" s="3"/>
      <c r="W23" s="5">
        <v>6.5000000000000006E-3</v>
      </c>
      <c r="X23" s="5">
        <v>2E-3</v>
      </c>
      <c r="Y23" s="3"/>
      <c r="Z23" s="5">
        <v>4.0000000000000001E-3</v>
      </c>
      <c r="AA23" s="5">
        <v>3.0000000000000001E-3</v>
      </c>
      <c r="AB23" s="3"/>
      <c r="AC23" s="5">
        <v>2.0000000000000001E-4</v>
      </c>
      <c r="AD23" s="5">
        <v>8.0000000000000002E-3</v>
      </c>
      <c r="AE23" s="3"/>
      <c r="AF23" s="5">
        <v>0</v>
      </c>
      <c r="AG23" s="5">
        <v>0.01</v>
      </c>
    </row>
    <row r="24" spans="1:33" ht="15.75" x14ac:dyDescent="0.25">
      <c r="A24" s="1"/>
      <c r="B24" s="5"/>
      <c r="C24" s="5"/>
      <c r="D24" s="3"/>
      <c r="E24" s="5"/>
      <c r="F24" s="5"/>
      <c r="G24" s="3"/>
      <c r="H24" s="5"/>
      <c r="I24" s="5"/>
      <c r="J24" s="3"/>
      <c r="K24" s="5"/>
      <c r="L24" s="5"/>
      <c r="M24" s="3"/>
      <c r="N24" s="5"/>
      <c r="O24" s="5"/>
      <c r="P24" s="3"/>
      <c r="Q24" s="5"/>
      <c r="R24" s="5"/>
      <c r="S24" s="3"/>
      <c r="T24" s="5"/>
      <c r="U24" s="5"/>
      <c r="V24" s="3"/>
      <c r="W24" s="5"/>
      <c r="X24" s="5"/>
      <c r="Y24" s="3"/>
      <c r="Z24" s="5"/>
      <c r="AA24" s="5"/>
      <c r="AB24" s="3"/>
      <c r="AC24" s="5"/>
      <c r="AD24" s="5"/>
      <c r="AE24" s="3"/>
      <c r="AF24" s="5"/>
      <c r="AG24" s="5"/>
    </row>
    <row r="25" spans="1:33" ht="15.75" x14ac:dyDescent="0.25">
      <c r="A25" s="1" t="s">
        <v>57</v>
      </c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  <c r="N25" s="5"/>
      <c r="O25" s="5"/>
      <c r="P25" s="3"/>
      <c r="Q25" s="5"/>
      <c r="R25" s="5"/>
      <c r="S25" s="3"/>
      <c r="T25" s="5"/>
      <c r="U25" s="5"/>
      <c r="V25" s="3"/>
      <c r="W25" s="5"/>
      <c r="X25" s="5"/>
      <c r="Y25" s="3"/>
      <c r="Z25" s="5"/>
      <c r="AA25" s="5"/>
      <c r="AB25" s="3"/>
      <c r="AC25" s="5"/>
      <c r="AD25" s="5"/>
      <c r="AE25" s="3"/>
      <c r="AF25" s="5"/>
      <c r="AG25" s="5"/>
    </row>
    <row r="26" spans="1:33" ht="15.75" x14ac:dyDescent="0.25">
      <c r="A26" s="1"/>
      <c r="B26" s="5" t="s">
        <v>19</v>
      </c>
      <c r="C26" s="5" t="s">
        <v>19</v>
      </c>
      <c r="D26" s="3"/>
      <c r="E26" s="5" t="s">
        <v>19</v>
      </c>
      <c r="F26" s="5" t="s">
        <v>22</v>
      </c>
      <c r="G26" s="3"/>
      <c r="H26" s="5" t="s">
        <v>34</v>
      </c>
      <c r="I26" s="5" t="s">
        <v>58</v>
      </c>
      <c r="J26" s="3"/>
      <c r="K26" s="5" t="s">
        <v>25</v>
      </c>
      <c r="L26" s="5" t="s">
        <v>24</v>
      </c>
      <c r="M26" s="3"/>
      <c r="N26" s="5" t="s">
        <v>40</v>
      </c>
      <c r="O26" s="5" t="s">
        <v>40</v>
      </c>
      <c r="P26" s="3"/>
      <c r="Q26" s="5" t="s">
        <v>43</v>
      </c>
      <c r="R26" s="5" t="s">
        <v>41</v>
      </c>
      <c r="S26" s="3"/>
      <c r="T26" s="5" t="s">
        <v>51</v>
      </c>
      <c r="U26" s="5" t="s">
        <v>51</v>
      </c>
      <c r="V26" s="3"/>
      <c r="W26" s="5" t="s">
        <v>42</v>
      </c>
      <c r="X26" s="5" t="s">
        <v>42</v>
      </c>
      <c r="Y26" s="3"/>
      <c r="Z26" s="5" t="s">
        <v>41</v>
      </c>
      <c r="AA26" s="5" t="s">
        <v>43</v>
      </c>
      <c r="AB26" s="3"/>
      <c r="AC26" s="5" t="s">
        <v>27</v>
      </c>
      <c r="AD26" s="5" t="s">
        <v>24</v>
      </c>
      <c r="AE26" s="3"/>
      <c r="AF26" s="5" t="s">
        <v>43</v>
      </c>
      <c r="AG26" s="5" t="s">
        <v>42</v>
      </c>
    </row>
    <row r="27" spans="1:33" ht="15.75" x14ac:dyDescent="0.25">
      <c r="A27" s="1"/>
      <c r="B27" s="5" t="s">
        <v>22</v>
      </c>
      <c r="C27" s="5" t="s">
        <v>22</v>
      </c>
      <c r="D27" s="3"/>
      <c r="E27" s="5" t="s">
        <v>22</v>
      </c>
      <c r="F27" s="5" t="s">
        <v>22</v>
      </c>
      <c r="G27" s="3"/>
      <c r="H27" s="5" t="s">
        <v>32</v>
      </c>
      <c r="I27" s="5" t="s">
        <v>35</v>
      </c>
      <c r="J27" s="3"/>
      <c r="K27" s="5" t="s">
        <v>27</v>
      </c>
      <c r="L27" s="5" t="s">
        <v>24</v>
      </c>
      <c r="M27" s="3"/>
      <c r="N27" s="5" t="s">
        <v>39</v>
      </c>
      <c r="O27" s="5" t="s">
        <v>39</v>
      </c>
      <c r="P27" s="3"/>
      <c r="Q27" s="5" t="s">
        <v>41</v>
      </c>
      <c r="R27" s="5" t="s">
        <v>41</v>
      </c>
      <c r="S27" s="3"/>
      <c r="T27" s="5" t="s">
        <v>50</v>
      </c>
      <c r="U27" s="5" t="s">
        <v>47</v>
      </c>
      <c r="V27" s="3"/>
      <c r="W27" s="5" t="s">
        <v>43</v>
      </c>
      <c r="X27" s="5" t="s">
        <v>41</v>
      </c>
      <c r="Y27" s="3"/>
      <c r="Z27" s="5" t="s">
        <v>41</v>
      </c>
      <c r="AA27" s="5" t="s">
        <v>41</v>
      </c>
      <c r="AB27" s="3"/>
      <c r="AC27" s="5" t="s">
        <v>24</v>
      </c>
      <c r="AD27" s="5" t="s">
        <v>24</v>
      </c>
      <c r="AE27" s="3"/>
      <c r="AF27" s="5" t="s">
        <v>43</v>
      </c>
      <c r="AG27" s="5" t="s">
        <v>42</v>
      </c>
    </row>
    <row r="28" spans="1:33" ht="15.75" x14ac:dyDescent="0.25">
      <c r="A28" s="1"/>
      <c r="B28" s="5" t="s">
        <v>22</v>
      </c>
      <c r="C28" s="5" t="s">
        <v>22</v>
      </c>
      <c r="D28" s="3"/>
      <c r="E28" s="5" t="s">
        <v>22</v>
      </c>
      <c r="F28" s="5" t="s">
        <v>22</v>
      </c>
      <c r="G28" s="3"/>
      <c r="H28" s="5" t="s">
        <v>28</v>
      </c>
      <c r="I28" s="5" t="s">
        <v>28</v>
      </c>
      <c r="J28" s="3"/>
      <c r="K28" s="5" t="s">
        <v>27</v>
      </c>
      <c r="L28" s="5" t="s">
        <v>25</v>
      </c>
      <c r="M28" s="3"/>
      <c r="N28" s="5" t="s">
        <v>39</v>
      </c>
      <c r="O28" s="5" t="s">
        <v>39</v>
      </c>
      <c r="P28" s="3"/>
      <c r="Q28" s="5" t="s">
        <v>41</v>
      </c>
      <c r="R28" s="5" t="s">
        <v>42</v>
      </c>
      <c r="S28" s="3"/>
      <c r="T28" s="5" t="s">
        <v>49</v>
      </c>
      <c r="U28" s="5" t="s">
        <v>49</v>
      </c>
      <c r="V28" s="3"/>
      <c r="W28" s="5" t="s">
        <v>41</v>
      </c>
      <c r="X28" s="5" t="s">
        <v>41</v>
      </c>
      <c r="Y28" s="3"/>
      <c r="Z28" s="5" t="s">
        <v>43</v>
      </c>
      <c r="AA28" s="5" t="s">
        <v>43</v>
      </c>
      <c r="AB28" s="3"/>
      <c r="AC28" s="5" t="s">
        <v>24</v>
      </c>
      <c r="AD28" s="5" t="s">
        <v>25</v>
      </c>
      <c r="AE28" s="3"/>
      <c r="AF28" s="5" t="s">
        <v>41</v>
      </c>
      <c r="AG28" s="5" t="s">
        <v>41</v>
      </c>
    </row>
    <row r="29" spans="1:33" ht="15.75" x14ac:dyDescent="0.25">
      <c r="A29" s="1"/>
      <c r="B29" s="6">
        <f>(0.0223+0.0388+0.0401+0.0398)/4</f>
        <v>3.5250000000000004E-2</v>
      </c>
      <c r="C29" s="6">
        <f>(0.0285+0.0201+0.0426+0.0238)/4</f>
        <v>2.8750000000000001E-2</v>
      </c>
      <c r="D29" s="3"/>
      <c r="E29" s="6">
        <f>(0.0125+0.0165+0.0203+0.00189)/4</f>
        <v>1.27975E-2</v>
      </c>
      <c r="F29" s="6">
        <f>(-0.00125-0.0139-0.00432-0.0185)/4</f>
        <v>-9.4924999999999992E-3</v>
      </c>
      <c r="G29" s="3"/>
      <c r="H29" s="6">
        <f>(0.0166-0.00106-0.000705-0.000369-0.00885-0.0118-0.00851-0.0163-0.00474+0.00278)/10</f>
        <v>-3.2954000000000004E-3</v>
      </c>
      <c r="I29" s="6">
        <f>(-0.0114-0.0105-0.0164-0.00577+0.0031+0.000111+0.00761+0.0136+0.00921+0.0102)/10</f>
        <v>-2.3899999999999964E-5</v>
      </c>
      <c r="J29" s="3"/>
      <c r="K29" s="6">
        <f>(0.102+0.0332+0.0187-0.0177-0.0389)/5</f>
        <v>1.9459999999999998E-2</v>
      </c>
      <c r="L29" s="6">
        <f>(-0.09-0.0414-0.0354-0.032-0.0122)/5</f>
        <v>-4.2200000000000001E-2</v>
      </c>
      <c r="M29" s="3"/>
      <c r="N29" s="6">
        <v>2.5100000000000001E-3</v>
      </c>
      <c r="O29" s="6">
        <v>1.0200000000000001E-2</v>
      </c>
      <c r="P29" s="3"/>
      <c r="Q29" s="6">
        <f>(-0.00345+0.0109)/2</f>
        <v>3.725E-3</v>
      </c>
      <c r="R29" s="6">
        <f>(-0.0478-0.0403)/2</f>
        <v>-4.4050000000000006E-2</v>
      </c>
      <c r="S29" s="3"/>
      <c r="T29" s="6">
        <f>(-0.0521+0.0026+0.0395+0.0177-0.0102+0.000197+0.0342)/7</f>
        <v>4.5567142857142863E-3</v>
      </c>
      <c r="U29" s="6">
        <f>(0.0155-0.00536-0.0347+0.0129+0.0479+0.0506+0.0581)/7</f>
        <v>2.0705714285714289E-2</v>
      </c>
      <c r="V29" s="3"/>
      <c r="W29" s="6">
        <f>(0.0135+0.0788)/2</f>
        <v>4.6149999999999997E-2</v>
      </c>
      <c r="X29" s="6">
        <f>(0.027+0.0101)/2</f>
        <v>1.8550000000000001E-2</v>
      </c>
      <c r="Y29" s="3"/>
      <c r="Z29" s="6">
        <f>(-0.00342-0.0677)/2</f>
        <v>-3.5560000000000001E-2</v>
      </c>
      <c r="AA29" s="6">
        <f>(-0.0861+0.0003)/2</f>
        <v>-4.2900000000000001E-2</v>
      </c>
      <c r="AB29" s="3"/>
      <c r="AC29" s="6">
        <f>(0.000132-0.0251-0.00307-0.00835-0.00985)/5</f>
        <v>-9.2475999999999999E-3</v>
      </c>
      <c r="AD29" s="6">
        <f>(-0.000712-0.0163-0.0401-0.0571-0.0493)/5</f>
        <v>-3.27024E-2</v>
      </c>
      <c r="AE29" s="3"/>
      <c r="AF29" s="6">
        <f>(-0.00446+0.00196)/2</f>
        <v>-1.2500000000000002E-3</v>
      </c>
      <c r="AG29" s="6">
        <f>(0.0717+0.0581)/2</f>
        <v>6.4899999999999999E-2</v>
      </c>
    </row>
    <row r="30" spans="1:33" ht="18.75" x14ac:dyDescent="0.25">
      <c r="A30" s="1" t="s">
        <v>7</v>
      </c>
      <c r="B30">
        <v>3.0000000000000001E-3</v>
      </c>
      <c r="C30">
        <v>2E-3</v>
      </c>
      <c r="E30">
        <v>6.0000000000000006E-4</v>
      </c>
      <c r="F30">
        <v>3.2000000000000002E-3</v>
      </c>
      <c r="H30">
        <v>1.3000000000000002E-3</v>
      </c>
      <c r="I30">
        <v>5.2000000000000006E-3</v>
      </c>
      <c r="K30">
        <v>8.2222222222222228E-3</v>
      </c>
      <c r="L30">
        <v>4.6666666666666671E-3</v>
      </c>
      <c r="N30">
        <v>0</v>
      </c>
      <c r="O30">
        <v>5.0000000000000001E-3</v>
      </c>
      <c r="Q30">
        <v>0</v>
      </c>
      <c r="R30">
        <v>5.0000000000000001E-3</v>
      </c>
      <c r="T30">
        <v>2.0000000000000005E-3</v>
      </c>
      <c r="U30">
        <v>8.4285714285714294E-3</v>
      </c>
      <c r="W30">
        <v>8.5000000000000006E-3</v>
      </c>
      <c r="X30">
        <v>2E-3</v>
      </c>
      <c r="Z30">
        <v>5.4999999999999997E-3</v>
      </c>
      <c r="AA30">
        <v>4.0000000000000001E-3</v>
      </c>
      <c r="AC30">
        <v>4.0000000000000002E-4</v>
      </c>
      <c r="AD30">
        <v>6.4000000000000003E-3</v>
      </c>
      <c r="AF30">
        <v>0</v>
      </c>
      <c r="AG30">
        <v>0.01</v>
      </c>
    </row>
  </sheetData>
  <mergeCells count="11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M27" sqref="M27"/>
    </sheetView>
  </sheetViews>
  <sheetFormatPr defaultRowHeight="15" x14ac:dyDescent="0.25"/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3" t="s">
        <v>300</v>
      </c>
      <c r="C2" s="14"/>
      <c r="D2" s="14"/>
      <c r="E2" s="14"/>
      <c r="F2" s="14"/>
      <c r="G2" s="14"/>
      <c r="H2" s="14"/>
      <c r="I2" s="14"/>
      <c r="J2" s="14"/>
      <c r="K2" s="15"/>
      <c r="L2" s="12"/>
    </row>
    <row r="3" spans="1:12" x14ac:dyDescent="0.25">
      <c r="A3" s="16"/>
      <c r="B3" s="17" t="s">
        <v>301</v>
      </c>
      <c r="C3" s="18" t="s">
        <v>3</v>
      </c>
      <c r="D3" s="18" t="s">
        <v>302</v>
      </c>
      <c r="E3" s="18" t="s">
        <v>303</v>
      </c>
      <c r="F3" s="18" t="s">
        <v>6</v>
      </c>
      <c r="G3" s="18" t="s">
        <v>54</v>
      </c>
      <c r="H3" s="18" t="s">
        <v>304</v>
      </c>
      <c r="I3" s="18" t="s">
        <v>56</v>
      </c>
      <c r="J3" s="18" t="s">
        <v>57</v>
      </c>
      <c r="K3" s="19"/>
      <c r="L3" s="16"/>
    </row>
    <row r="4" spans="1:12" x14ac:dyDescent="0.25">
      <c r="A4" s="16"/>
      <c r="B4" s="20" t="s">
        <v>305</v>
      </c>
      <c r="C4" s="21" t="s">
        <v>88</v>
      </c>
      <c r="D4" s="21" t="s">
        <v>89</v>
      </c>
      <c r="E4" s="21">
        <v>1.8499999999999999E-2</v>
      </c>
      <c r="F4" s="21" t="s">
        <v>90</v>
      </c>
      <c r="G4" s="21" t="s">
        <v>248</v>
      </c>
      <c r="H4" s="21" t="s">
        <v>249</v>
      </c>
      <c r="I4" s="21" t="s">
        <v>250</v>
      </c>
      <c r="J4" s="21" t="s">
        <v>251</v>
      </c>
      <c r="K4" s="22"/>
      <c r="L4" s="16"/>
    </row>
    <row r="5" spans="1:12" x14ac:dyDescent="0.25">
      <c r="A5" s="16"/>
      <c r="B5" s="23" t="s">
        <v>64</v>
      </c>
      <c r="C5" s="12">
        <v>1.9E-2</v>
      </c>
      <c r="D5" s="12">
        <v>5.8000000000000003E-2</v>
      </c>
      <c r="E5" s="12">
        <v>5.0000000000000001E-3</v>
      </c>
      <c r="F5" s="12">
        <v>4.1000000000000002E-2</v>
      </c>
      <c r="G5" s="12">
        <v>1.6E-2</v>
      </c>
      <c r="H5" s="12">
        <v>2.9000000000000001E-2</v>
      </c>
      <c r="I5" s="12">
        <v>2.5000000000000001E-2</v>
      </c>
      <c r="J5" s="12">
        <v>2.3E-2</v>
      </c>
      <c r="K5" s="24"/>
      <c r="L5" s="16"/>
    </row>
    <row r="6" spans="1:12" x14ac:dyDescent="0.25">
      <c r="A6" s="16"/>
      <c r="B6" s="25" t="s">
        <v>306</v>
      </c>
      <c r="C6" s="26">
        <v>1.4999999999999999E-2</v>
      </c>
      <c r="D6" s="26">
        <v>-3.81E-3</v>
      </c>
      <c r="E6" s="26">
        <v>1.5900000000000001E-2</v>
      </c>
      <c r="F6" s="26">
        <v>-3.3700000000000002E-3</v>
      </c>
      <c r="G6" s="26">
        <v>-4.8399999999999997E-3</v>
      </c>
      <c r="H6" s="26">
        <v>-4.5500000000000002E-3</v>
      </c>
      <c r="I6" s="26">
        <v>-1.2400000000000001E-4</v>
      </c>
      <c r="J6" s="26">
        <v>1.0200000000000001E-2</v>
      </c>
      <c r="K6" s="24"/>
      <c r="L6" s="16"/>
    </row>
    <row r="7" spans="1:12" x14ac:dyDescent="0.25">
      <c r="A7" s="16"/>
      <c r="B7" s="23" t="s">
        <v>64</v>
      </c>
      <c r="C7" s="12">
        <v>5.0000000000000001E-3</v>
      </c>
      <c r="D7" s="12">
        <v>1E-3</v>
      </c>
      <c r="E7" s="12">
        <v>1.2999999999999999E-2</v>
      </c>
      <c r="F7" s="12">
        <v>2E-3</v>
      </c>
      <c r="G7" s="12">
        <v>3.0000000000000001E-3</v>
      </c>
      <c r="H7" s="12">
        <v>3.0000000000000001E-3</v>
      </c>
      <c r="I7" s="12">
        <v>0</v>
      </c>
      <c r="J7" s="12">
        <v>5.0000000000000001E-3</v>
      </c>
      <c r="K7" s="24"/>
      <c r="L7" s="16"/>
    </row>
    <row r="8" spans="1:12" x14ac:dyDescent="0.25">
      <c r="A8" s="16"/>
      <c r="B8" s="25" t="s">
        <v>307</v>
      </c>
      <c r="C8" s="26">
        <f>-1*0.078</f>
        <v>-7.8E-2</v>
      </c>
      <c r="D8" s="26">
        <f>-1*-0.0523</f>
        <v>5.2299999999999999E-2</v>
      </c>
      <c r="E8" s="26">
        <f>-1*0.0358</f>
        <v>-3.5799999999999998E-2</v>
      </c>
      <c r="F8" s="26">
        <f>-1*-0.0345</f>
        <v>3.4500000000000003E-2</v>
      </c>
      <c r="G8" s="26">
        <f>-1*0.0185</f>
        <v>-1.8499999999999999E-2</v>
      </c>
      <c r="H8" s="26">
        <v>7.4200000000000004E-3</v>
      </c>
      <c r="I8" s="26">
        <v>-1.2199999999999999E-3</v>
      </c>
      <c r="J8" s="26">
        <v>-7.1199999999999996E-4</v>
      </c>
      <c r="K8" s="24">
        <v>1</v>
      </c>
      <c r="L8" s="16"/>
    </row>
    <row r="9" spans="1:12" x14ac:dyDescent="0.25">
      <c r="A9" s="16"/>
      <c r="B9" s="23" t="s">
        <v>64</v>
      </c>
      <c r="C9" s="12">
        <v>2.3E-2</v>
      </c>
      <c r="D9" s="12">
        <v>2.3E-2</v>
      </c>
      <c r="E9" s="12">
        <v>1.0999999999999999E-2</v>
      </c>
      <c r="F9" s="12">
        <v>1.7000000000000001E-2</v>
      </c>
      <c r="G9" s="12">
        <v>3.0000000000000001E-3</v>
      </c>
      <c r="H9" s="12">
        <f>-1*0</f>
        <v>0</v>
      </c>
      <c r="I9" s="12">
        <f>-1*0</f>
        <v>0</v>
      </c>
      <c r="J9" s="12">
        <f>-1*0</f>
        <v>0</v>
      </c>
      <c r="K9" s="24"/>
      <c r="L9" s="16"/>
    </row>
    <row r="10" spans="1:12" x14ac:dyDescent="0.25">
      <c r="A10" s="16"/>
      <c r="B10" s="25" t="s">
        <v>308</v>
      </c>
      <c r="C10" s="26">
        <v>1.6199999999999999E-2</v>
      </c>
      <c r="D10" s="26">
        <v>-1.31E-3</v>
      </c>
      <c r="E10" s="26">
        <v>4.9700000000000005E-4</v>
      </c>
      <c r="F10" s="26">
        <v>6.1199999999999996E-3</v>
      </c>
      <c r="G10" s="26">
        <v>5.7600000000000004E-3</v>
      </c>
      <c r="H10" s="26">
        <v>-8.4899999999999993E-3</v>
      </c>
      <c r="I10" s="26">
        <v>3.2099999999999997E-2</v>
      </c>
      <c r="J10" s="26">
        <v>2.7E-2</v>
      </c>
      <c r="K10" s="24">
        <v>2</v>
      </c>
      <c r="L10" s="16"/>
    </row>
    <row r="11" spans="1:12" x14ac:dyDescent="0.25">
      <c r="A11" s="16"/>
      <c r="B11" s="23" t="s">
        <v>64</v>
      </c>
      <c r="C11" s="12">
        <v>1E-3</v>
      </c>
      <c r="D11" s="12">
        <v>0</v>
      </c>
      <c r="E11" s="12">
        <v>0</v>
      </c>
      <c r="F11" s="12">
        <v>1E-3</v>
      </c>
      <c r="G11" s="12">
        <v>1E-3</v>
      </c>
      <c r="H11" s="12">
        <v>1E-3</v>
      </c>
      <c r="I11" s="12">
        <v>3.0000000000000001E-3</v>
      </c>
      <c r="J11" s="12">
        <v>4.0000000000000001E-3</v>
      </c>
      <c r="K11" s="24"/>
      <c r="L11" s="16"/>
    </row>
    <row r="12" spans="1:12" x14ac:dyDescent="0.25">
      <c r="A12" s="16"/>
      <c r="B12" s="25" t="s">
        <v>309</v>
      </c>
      <c r="C12" s="26">
        <v>2.8799999999999999E-2</v>
      </c>
      <c r="D12" s="26">
        <v>2.2700000000000001E-2</v>
      </c>
      <c r="E12" s="26" t="s">
        <v>124</v>
      </c>
      <c r="F12" s="26">
        <v>-1.8499999999999999E-2</v>
      </c>
      <c r="G12" s="26">
        <v>-5.0000000000000001E-3</v>
      </c>
      <c r="H12" s="26">
        <v>7.43E-3</v>
      </c>
      <c r="I12" s="26">
        <v>2.8299999999999999E-2</v>
      </c>
      <c r="J12" s="26">
        <v>2.3800000000000002E-2</v>
      </c>
      <c r="K12" s="24">
        <v>3</v>
      </c>
      <c r="L12" s="16"/>
    </row>
    <row r="13" spans="1:12" x14ac:dyDescent="0.25">
      <c r="A13" s="16"/>
      <c r="B13" s="23" t="s">
        <v>64</v>
      </c>
      <c r="C13" s="12">
        <v>2E-3</v>
      </c>
      <c r="D13" s="12">
        <v>3.0000000000000001E-3</v>
      </c>
      <c r="E13" s="12">
        <v>8.9999999999999993E-3</v>
      </c>
      <c r="F13" s="12">
        <v>4.0000000000000001E-3</v>
      </c>
      <c r="G13" s="12">
        <v>0</v>
      </c>
      <c r="H13" s="12">
        <v>0</v>
      </c>
      <c r="I13" s="12">
        <v>1E-3</v>
      </c>
      <c r="J13" s="12">
        <v>1E-3</v>
      </c>
      <c r="K13" s="24"/>
      <c r="L13" s="16"/>
    </row>
    <row r="14" spans="1:12" x14ac:dyDescent="0.25">
      <c r="A14" s="16"/>
      <c r="B14" s="25" t="s">
        <v>310</v>
      </c>
      <c r="C14" s="26">
        <v>3.6200000000000003E-2</v>
      </c>
      <c r="D14" s="26">
        <v>1.7500000000000002E-2</v>
      </c>
      <c r="E14" s="26" t="s">
        <v>129</v>
      </c>
      <c r="F14" s="26" t="s">
        <v>131</v>
      </c>
      <c r="G14" s="26">
        <v>4.0399999999999998E-2</v>
      </c>
      <c r="H14" s="26" t="s">
        <v>262</v>
      </c>
      <c r="I14" s="26">
        <v>-4.07E-2</v>
      </c>
      <c r="J14" s="26">
        <v>-4.0300000000000002E-2</v>
      </c>
      <c r="K14" s="24"/>
      <c r="L14" s="16"/>
    </row>
    <row r="15" spans="1:12" x14ac:dyDescent="0.25">
      <c r="A15" s="16"/>
      <c r="B15" s="23" t="s">
        <v>64</v>
      </c>
      <c r="C15" s="12">
        <v>3.0000000000000001E-3</v>
      </c>
      <c r="D15" s="12">
        <v>2E-3</v>
      </c>
      <c r="E15" s="12">
        <v>3.2000000000000001E-2</v>
      </c>
      <c r="F15" s="12">
        <v>2.5000000000000001E-2</v>
      </c>
      <c r="G15" s="12">
        <v>1.0999999999999999E-2</v>
      </c>
      <c r="H15" s="12">
        <v>0.01</v>
      </c>
      <c r="I15" s="12">
        <v>2E-3</v>
      </c>
      <c r="J15" s="12">
        <v>4.0000000000000001E-3</v>
      </c>
      <c r="K15" s="24"/>
      <c r="L15" s="16"/>
    </row>
    <row r="16" spans="1:12" x14ac:dyDescent="0.25">
      <c r="A16" s="16"/>
      <c r="B16" s="25" t="s">
        <v>311</v>
      </c>
      <c r="C16" s="26">
        <f>-1*0.0111</f>
        <v>-1.11E-2</v>
      </c>
      <c r="D16" s="26">
        <f>-1*0.0263</f>
        <v>-2.63E-2</v>
      </c>
      <c r="E16" s="26">
        <f>-1*0.034</f>
        <v>-3.4000000000000002E-2</v>
      </c>
      <c r="F16" s="26">
        <f>-1*-0.0164</f>
        <v>1.6400000000000001E-2</v>
      </c>
      <c r="G16" s="26">
        <f>-1*0.0434</f>
        <v>-4.3400000000000001E-2</v>
      </c>
      <c r="H16" s="26">
        <f>-1*0.0303</f>
        <v>-3.0300000000000001E-2</v>
      </c>
      <c r="I16" s="26">
        <f>-1*0.0121</f>
        <v>-1.21E-2</v>
      </c>
      <c r="J16" s="26">
        <f>-1*-0.0003</f>
        <v>2.9999999999999997E-4</v>
      </c>
      <c r="K16" s="24"/>
      <c r="L16" s="16"/>
    </row>
    <row r="17" spans="1:12" x14ac:dyDescent="0.25">
      <c r="A17" s="16"/>
      <c r="B17" s="23" t="s">
        <v>64</v>
      </c>
      <c r="C17" s="12">
        <v>0</v>
      </c>
      <c r="D17" s="12">
        <v>4.0000000000000001E-3</v>
      </c>
      <c r="E17" s="12">
        <v>5.0000000000000001E-3</v>
      </c>
      <c r="F17" s="12">
        <v>3.0000000000000001E-3</v>
      </c>
      <c r="G17" s="12">
        <v>1.2999999999999999E-2</v>
      </c>
      <c r="H17" s="12">
        <v>4.0000000000000001E-3</v>
      </c>
      <c r="I17" s="12">
        <v>0</v>
      </c>
      <c r="J17" s="12">
        <v>0</v>
      </c>
      <c r="K17" s="24"/>
      <c r="L17" s="16"/>
    </row>
    <row r="18" spans="1:12" x14ac:dyDescent="0.25">
      <c r="A18" s="16"/>
      <c r="B18" s="25" t="s">
        <v>312</v>
      </c>
      <c r="C18" s="26" t="s">
        <v>151</v>
      </c>
      <c r="D18" s="26" t="s">
        <v>153</v>
      </c>
      <c r="E18" s="26" t="s">
        <v>155</v>
      </c>
      <c r="F18" s="26" t="s">
        <v>157</v>
      </c>
      <c r="G18" s="26" t="s">
        <v>269</v>
      </c>
      <c r="H18" s="26" t="s">
        <v>157</v>
      </c>
      <c r="I18" s="26">
        <v>1.6500000000000001E-2</v>
      </c>
      <c r="J18" s="26">
        <v>9.1000000000000004E-3</v>
      </c>
      <c r="K18" s="24"/>
      <c r="L18" s="16"/>
    </row>
    <row r="19" spans="1:12" x14ac:dyDescent="0.25">
      <c r="A19" s="16"/>
      <c r="B19" s="23" t="s">
        <v>64</v>
      </c>
      <c r="C19" s="12">
        <v>5.2999999999999999E-2</v>
      </c>
      <c r="D19" s="12">
        <v>0.04</v>
      </c>
      <c r="E19" s="12">
        <v>2.5999999999999999E-2</v>
      </c>
      <c r="F19" s="12">
        <v>3.5999999999999997E-2</v>
      </c>
      <c r="G19" s="12">
        <v>1.4999999999999999E-2</v>
      </c>
      <c r="H19" s="12">
        <v>2.9000000000000001E-2</v>
      </c>
      <c r="I19" s="12">
        <v>7.0000000000000001E-3</v>
      </c>
      <c r="J19" s="12">
        <v>4.0000000000000001E-3</v>
      </c>
      <c r="K19" s="24"/>
      <c r="L19" s="16"/>
    </row>
    <row r="20" spans="1:12" x14ac:dyDescent="0.25">
      <c r="A20" s="16"/>
      <c r="B20" s="25" t="s">
        <v>313</v>
      </c>
      <c r="C20" s="26">
        <f>-1*0.0257</f>
        <v>-2.5700000000000001E-2</v>
      </c>
      <c r="D20" s="26">
        <f>-1*0.00176</f>
        <v>-1.7600000000000001E-3</v>
      </c>
      <c r="E20" s="26">
        <f>-1*0.0164</f>
        <v>-1.6400000000000001E-2</v>
      </c>
      <c r="F20" s="26">
        <f>-1*-0.000467</f>
        <v>4.6700000000000002E-4</v>
      </c>
      <c r="G20" s="26">
        <f>-1*0.000548</f>
        <v>-5.4799999999999998E-4</v>
      </c>
      <c r="H20" s="26">
        <f>-1*0.00347</f>
        <v>-3.47E-3</v>
      </c>
      <c r="I20" s="26">
        <f>-1*0.00244</f>
        <v>-2.4399999999999999E-3</v>
      </c>
      <c r="J20" s="26">
        <f>-1*-0.00429</f>
        <v>4.2900000000000004E-3</v>
      </c>
      <c r="K20" s="24"/>
      <c r="L20" s="16"/>
    </row>
    <row r="21" spans="1:12" x14ac:dyDescent="0.25">
      <c r="A21" s="16"/>
      <c r="B21" s="23" t="s">
        <v>64</v>
      </c>
      <c r="C21" s="12">
        <v>8.0000000000000002E-3</v>
      </c>
      <c r="D21" s="12">
        <v>3.0000000000000001E-3</v>
      </c>
      <c r="E21" s="12">
        <v>4.0000000000000001E-3</v>
      </c>
      <c r="F21" s="12">
        <v>1E-3</v>
      </c>
      <c r="G21" s="12">
        <v>1E-3</v>
      </c>
      <c r="H21" s="12">
        <v>0</v>
      </c>
      <c r="I21" s="12">
        <v>1E-3</v>
      </c>
      <c r="J21" s="12">
        <v>4.0000000000000001E-3</v>
      </c>
      <c r="K21" s="27">
        <v>4.0000000000000001E-3</v>
      </c>
      <c r="L21" s="16"/>
    </row>
    <row r="22" spans="1:12" x14ac:dyDescent="0.25">
      <c r="A22" s="16"/>
      <c r="B22" s="25" t="s">
        <v>314</v>
      </c>
      <c r="C22" s="26" t="s">
        <v>222</v>
      </c>
      <c r="D22" s="26">
        <v>-9.1799999999999998E-4</v>
      </c>
      <c r="E22" s="26" t="s">
        <v>224</v>
      </c>
      <c r="F22" s="26">
        <v>-1.7899999999999999E-2</v>
      </c>
      <c r="G22" s="26">
        <v>-2.6200000000000001E-2</v>
      </c>
      <c r="H22" s="26">
        <v>-2.2100000000000002E-2</v>
      </c>
      <c r="I22" s="26">
        <v>3.7599999999999998E-4</v>
      </c>
      <c r="J22" s="26">
        <v>7.3600000000000002E-3</v>
      </c>
      <c r="K22" s="24">
        <v>4</v>
      </c>
      <c r="L22" s="16"/>
    </row>
    <row r="23" spans="1:12" x14ac:dyDescent="0.25">
      <c r="A23" s="16"/>
      <c r="B23" s="23" t="s">
        <v>64</v>
      </c>
      <c r="C23" s="12">
        <v>8.0000000000000002E-3</v>
      </c>
      <c r="D23" s="12">
        <v>0</v>
      </c>
      <c r="E23" s="12">
        <v>0.01</v>
      </c>
      <c r="F23" s="12">
        <v>4.0000000000000001E-3</v>
      </c>
      <c r="G23" s="12">
        <v>8.0000000000000002E-3</v>
      </c>
      <c r="H23" s="12">
        <v>4.0000000000000001E-3</v>
      </c>
      <c r="I23" s="12">
        <v>0</v>
      </c>
      <c r="J23" s="12">
        <v>0</v>
      </c>
      <c r="K23" s="24"/>
      <c r="L23" s="16"/>
    </row>
    <row r="24" spans="1:12" x14ac:dyDescent="0.25">
      <c r="A24" s="16"/>
      <c r="B24" s="25" t="s">
        <v>227</v>
      </c>
      <c r="C24" s="16">
        <v>-2.93E-2</v>
      </c>
      <c r="D24" s="16">
        <v>2.3300000000000001E-2</v>
      </c>
      <c r="E24" s="16" t="s">
        <v>228</v>
      </c>
      <c r="F24" s="16" t="s">
        <v>229</v>
      </c>
      <c r="G24" s="16" t="s">
        <v>288</v>
      </c>
      <c r="H24" s="16">
        <v>-3.9199999999999999E-2</v>
      </c>
      <c r="I24" s="16" t="s">
        <v>289</v>
      </c>
      <c r="J24" s="16" t="s">
        <v>290</v>
      </c>
      <c r="K24" s="24"/>
      <c r="L24" s="16"/>
    </row>
    <row r="25" spans="1:12" x14ac:dyDescent="0.25">
      <c r="A25" s="16"/>
      <c r="B25" s="23" t="s">
        <v>64</v>
      </c>
      <c r="C25" s="12">
        <v>2E-3</v>
      </c>
      <c r="D25" s="12">
        <v>3.0000000000000001E-3</v>
      </c>
      <c r="E25" s="12">
        <v>1.0999999999999999E-2</v>
      </c>
      <c r="F25" s="12">
        <v>1.7999999999999999E-2</v>
      </c>
      <c r="G25" s="12">
        <v>1.2999999999999999E-2</v>
      </c>
      <c r="H25" s="12">
        <v>7.0000000000000001E-3</v>
      </c>
      <c r="I25" s="12">
        <v>1.4E-2</v>
      </c>
      <c r="J25" s="12">
        <v>1.2E-2</v>
      </c>
      <c r="K25" s="24"/>
      <c r="L25" s="16"/>
    </row>
    <row r="26" spans="1:12" x14ac:dyDescent="0.25">
      <c r="A26" s="16"/>
      <c r="B26" s="25"/>
      <c r="C26" s="26"/>
      <c r="D26" s="26"/>
      <c r="E26" s="26"/>
      <c r="F26" s="26"/>
      <c r="G26" s="26"/>
      <c r="H26" s="26"/>
      <c r="I26" s="26"/>
      <c r="J26" s="26"/>
      <c r="K26" s="24"/>
      <c r="L26" s="16"/>
    </row>
    <row r="27" spans="1:12" x14ac:dyDescent="0.25">
      <c r="B27" s="25" t="s">
        <v>315</v>
      </c>
      <c r="C27" s="26">
        <v>-2.93E-2</v>
      </c>
      <c r="D27" s="26">
        <v>2.3300000000000001E-2</v>
      </c>
      <c r="E27" s="26" t="s">
        <v>228</v>
      </c>
      <c r="F27" s="26" t="s">
        <v>229</v>
      </c>
      <c r="G27" s="26" t="s">
        <v>288</v>
      </c>
      <c r="H27" s="26">
        <v>-3.9199999999999999E-2</v>
      </c>
      <c r="I27" s="26" t="s">
        <v>289</v>
      </c>
      <c r="J27" s="26" t="s">
        <v>290</v>
      </c>
      <c r="K27" s="24"/>
    </row>
    <row r="28" spans="1:12" x14ac:dyDescent="0.25">
      <c r="B28" s="28"/>
      <c r="C28" s="29" t="s">
        <v>316</v>
      </c>
      <c r="D28" s="30"/>
      <c r="E28" s="30"/>
      <c r="F28" s="30"/>
      <c r="G28" s="30"/>
      <c r="H28" s="30"/>
      <c r="I28" s="30"/>
      <c r="J28" s="21"/>
      <c r="K28" s="22"/>
    </row>
    <row r="29" spans="1:12" x14ac:dyDescent="0.25">
      <c r="B29" s="31">
        <v>1</v>
      </c>
      <c r="C29" s="32" t="s">
        <v>317</v>
      </c>
      <c r="D29" s="33"/>
      <c r="E29" s="33"/>
      <c r="F29" s="33"/>
      <c r="G29" s="33"/>
      <c r="H29" s="33"/>
      <c r="I29" s="33"/>
      <c r="J29" s="12"/>
      <c r="K29" s="27"/>
    </row>
    <row r="30" spans="1:12" x14ac:dyDescent="0.25">
      <c r="B30" s="31">
        <v>2</v>
      </c>
      <c r="C30" s="32" t="s">
        <v>318</v>
      </c>
      <c r="D30" s="33"/>
      <c r="E30" s="33"/>
      <c r="F30" s="33"/>
      <c r="G30" s="33"/>
      <c r="H30" s="33"/>
      <c r="I30" s="33"/>
      <c r="J30" s="12"/>
      <c r="K30" s="27"/>
    </row>
    <row r="31" spans="1:12" x14ac:dyDescent="0.25">
      <c r="B31" s="31">
        <v>3</v>
      </c>
      <c r="C31" s="32" t="s">
        <v>319</v>
      </c>
      <c r="D31" s="33"/>
      <c r="E31" s="33"/>
      <c r="F31" s="33"/>
      <c r="G31" s="33"/>
      <c r="H31" s="33"/>
      <c r="I31" s="33"/>
      <c r="J31" s="12"/>
      <c r="K31" s="27"/>
    </row>
    <row r="32" spans="1:12" x14ac:dyDescent="0.25">
      <c r="B32" s="34">
        <v>4</v>
      </c>
      <c r="C32" s="35" t="s">
        <v>320</v>
      </c>
      <c r="D32" s="36"/>
      <c r="E32" s="36"/>
      <c r="F32" s="36"/>
      <c r="G32" s="36"/>
      <c r="H32" s="36"/>
      <c r="I32" s="36"/>
      <c r="J32" s="37"/>
      <c r="K3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9" workbookViewId="0">
      <selection activeCell="K31" sqref="K31"/>
    </sheetView>
  </sheetViews>
  <sheetFormatPr defaultRowHeight="15" x14ac:dyDescent="0.25"/>
  <cols>
    <col min="1" max="1" width="13.7109375" customWidth="1"/>
    <col min="2" max="2" width="10.7109375" bestFit="1" customWidth="1"/>
    <col min="3" max="3" width="9.28515625" bestFit="1" customWidth="1"/>
    <col min="4" max="4" width="12.5703125" bestFit="1" customWidth="1"/>
    <col min="5" max="5" width="10.7109375" bestFit="1" customWidth="1"/>
  </cols>
  <sheetData>
    <row r="1" spans="1:5" x14ac:dyDescent="0.25">
      <c r="A1" s="45"/>
      <c r="B1" s="45" t="s">
        <v>632</v>
      </c>
      <c r="C1" s="45" t="s">
        <v>633</v>
      </c>
      <c r="D1" s="45" t="s">
        <v>634</v>
      </c>
      <c r="E1" s="45" t="s">
        <v>635</v>
      </c>
    </row>
    <row r="2" spans="1:5" x14ac:dyDescent="0.25">
      <c r="A2" s="46" t="s">
        <v>580</v>
      </c>
      <c r="B2" s="48">
        <v>-7.1300000000000001E-3</v>
      </c>
      <c r="C2" s="48">
        <v>2.06E-2</v>
      </c>
      <c r="D2" s="48">
        <v>-7.0200000000000002E-3</v>
      </c>
      <c r="E2" s="48" t="s">
        <v>628</v>
      </c>
    </row>
    <row r="3" spans="1:5" x14ac:dyDescent="0.25">
      <c r="A3" s="46"/>
      <c r="B3" s="48" t="s">
        <v>581</v>
      </c>
      <c r="C3" s="48">
        <v>-1.38</v>
      </c>
      <c r="D3" s="48" t="s">
        <v>619</v>
      </c>
      <c r="E3" s="48">
        <v>-2.02</v>
      </c>
    </row>
    <row r="4" spans="1:5" x14ac:dyDescent="0.25">
      <c r="A4" s="46"/>
      <c r="B4" s="48"/>
      <c r="C4" s="48"/>
      <c r="D4" s="48"/>
      <c r="E4" s="48"/>
    </row>
    <row r="5" spans="1:5" x14ac:dyDescent="0.25">
      <c r="A5" s="46" t="s">
        <v>582</v>
      </c>
      <c r="B5" s="48">
        <v>-1.03E-2</v>
      </c>
      <c r="C5" s="48">
        <v>1.04E-2</v>
      </c>
      <c r="D5" s="48">
        <v>-1.24E-3</v>
      </c>
      <c r="E5" s="48">
        <v>1.01E-2</v>
      </c>
    </row>
    <row r="6" spans="1:5" x14ac:dyDescent="0.25">
      <c r="A6" s="46"/>
      <c r="B6" s="48" t="s">
        <v>583</v>
      </c>
      <c r="C6" s="48">
        <v>-1.9</v>
      </c>
      <c r="D6" s="48" t="s">
        <v>620</v>
      </c>
      <c r="E6" s="48">
        <v>-1.91</v>
      </c>
    </row>
    <row r="7" spans="1:5" x14ac:dyDescent="0.25">
      <c r="A7" s="46"/>
      <c r="B7" s="48"/>
      <c r="C7" s="48"/>
      <c r="D7" s="48"/>
      <c r="E7" s="48"/>
    </row>
    <row r="8" spans="1:5" x14ac:dyDescent="0.25">
      <c r="A8" s="46" t="s">
        <v>584</v>
      </c>
      <c r="B8" s="48" t="s">
        <v>585</v>
      </c>
      <c r="C8" s="48" t="s">
        <v>614</v>
      </c>
      <c r="D8" s="48" t="s">
        <v>621</v>
      </c>
      <c r="E8" s="48">
        <v>-5.6800000000000002E-3</v>
      </c>
    </row>
    <row r="9" spans="1:5" x14ac:dyDescent="0.25">
      <c r="A9" s="46"/>
      <c r="B9" s="48" t="s">
        <v>586</v>
      </c>
      <c r="C9" s="48" t="s">
        <v>615</v>
      </c>
      <c r="D9" s="48" t="s">
        <v>622</v>
      </c>
      <c r="E9" s="48" t="s">
        <v>629</v>
      </c>
    </row>
    <row r="10" spans="1:5" x14ac:dyDescent="0.25">
      <c r="A10" s="46"/>
      <c r="B10" s="48"/>
      <c r="C10" s="48"/>
      <c r="D10" s="48"/>
      <c r="E10" s="48"/>
    </row>
    <row r="11" spans="1:5" x14ac:dyDescent="0.25">
      <c r="A11" s="46" t="s">
        <v>587</v>
      </c>
      <c r="B11" s="48" t="s">
        <v>588</v>
      </c>
      <c r="C11" s="48">
        <v>2.1800000000000001E-3</v>
      </c>
      <c r="D11" s="48">
        <v>-4.62E-3</v>
      </c>
      <c r="E11" s="48">
        <v>4.6800000000000001E-2</v>
      </c>
    </row>
    <row r="12" spans="1:5" x14ac:dyDescent="0.25">
      <c r="A12" s="46"/>
      <c r="B12" s="48">
        <v>-2.19</v>
      </c>
      <c r="C12" s="48">
        <v>-7.0000000000000007E-2</v>
      </c>
      <c r="D12" s="48" t="s">
        <v>623</v>
      </c>
      <c r="E12" s="48">
        <v>-1.79</v>
      </c>
    </row>
    <row r="13" spans="1:5" x14ac:dyDescent="0.25">
      <c r="A13" s="46"/>
      <c r="B13" s="48"/>
      <c r="C13" s="48"/>
      <c r="D13" s="48"/>
      <c r="E13" s="48"/>
    </row>
    <row r="14" spans="1:5" x14ac:dyDescent="0.25">
      <c r="A14" s="46" t="s">
        <v>589</v>
      </c>
      <c r="B14" s="48">
        <v>-1.6299999999999999E-2</v>
      </c>
      <c r="C14" s="48">
        <v>2.7799999999999998E-2</v>
      </c>
      <c r="D14" s="48">
        <v>1.5200000000000001E-3</v>
      </c>
      <c r="E14" s="48">
        <v>3.82E-3</v>
      </c>
    </row>
    <row r="15" spans="1:5" x14ac:dyDescent="0.25">
      <c r="A15" s="46"/>
      <c r="B15" s="48" t="s">
        <v>590</v>
      </c>
      <c r="C15" s="48">
        <v>-0.79</v>
      </c>
      <c r="D15" s="48">
        <v>-0.1</v>
      </c>
      <c r="E15" s="48">
        <v>-0.1</v>
      </c>
    </row>
    <row r="16" spans="1:5" x14ac:dyDescent="0.25">
      <c r="A16" s="46"/>
      <c r="B16" s="48"/>
      <c r="C16" s="48"/>
      <c r="D16" s="48"/>
      <c r="E16" s="48"/>
    </row>
    <row r="17" spans="1:5" x14ac:dyDescent="0.25">
      <c r="A17" s="46" t="s">
        <v>591</v>
      </c>
      <c r="B17" s="48">
        <v>3.85E-2</v>
      </c>
      <c r="C17" s="48">
        <v>6.3600000000000004E-2</v>
      </c>
      <c r="D17" s="48">
        <v>-3.8600000000000002E-2</v>
      </c>
      <c r="E17" s="48" t="s">
        <v>630</v>
      </c>
    </row>
    <row r="18" spans="1:5" x14ac:dyDescent="0.25">
      <c r="A18" s="46"/>
      <c r="B18" s="48">
        <v>-0.96</v>
      </c>
      <c r="C18" s="48">
        <v>-1.57</v>
      </c>
      <c r="D18" s="48" t="s">
        <v>624</v>
      </c>
      <c r="E18" s="48">
        <v>-2.09</v>
      </c>
    </row>
    <row r="19" spans="1:5" x14ac:dyDescent="0.25">
      <c r="A19" s="46"/>
      <c r="B19" s="48"/>
      <c r="C19" s="48"/>
      <c r="D19" s="48"/>
      <c r="E19" s="48"/>
    </row>
    <row r="20" spans="1:5" x14ac:dyDescent="0.25">
      <c r="A20" s="46" t="s">
        <v>592</v>
      </c>
      <c r="B20" s="48">
        <v>4.2999999999999997E-2</v>
      </c>
      <c r="C20" s="48">
        <v>1.43E-2</v>
      </c>
      <c r="D20" s="48">
        <v>2.0400000000000001E-2</v>
      </c>
      <c r="E20" s="48">
        <v>4.3099999999999999E-2</v>
      </c>
    </row>
    <row r="21" spans="1:5" x14ac:dyDescent="0.25">
      <c r="A21" s="46"/>
      <c r="B21" s="48">
        <v>-1.26</v>
      </c>
      <c r="C21" s="48">
        <v>-0.41</v>
      </c>
      <c r="D21" s="48">
        <v>-1</v>
      </c>
      <c r="E21" s="48">
        <v>-1.1399999999999999</v>
      </c>
    </row>
    <row r="22" spans="1:5" x14ac:dyDescent="0.25">
      <c r="A22" s="46"/>
      <c r="B22" s="48"/>
      <c r="C22" s="48"/>
      <c r="D22" s="48"/>
      <c r="E22" s="48"/>
    </row>
    <row r="23" spans="1:5" x14ac:dyDescent="0.25">
      <c r="A23" s="46" t="s">
        <v>593</v>
      </c>
      <c r="B23" s="48">
        <v>-1.9100000000000001E-4</v>
      </c>
      <c r="C23" s="48">
        <v>-9.4000000000000004E-3</v>
      </c>
      <c r="D23" s="48">
        <v>9.2199999999999997E-4</v>
      </c>
      <c r="E23" s="48">
        <v>5.8199999999999997E-3</v>
      </c>
    </row>
    <row r="24" spans="1:5" x14ac:dyDescent="0.25">
      <c r="A24" s="46"/>
      <c r="B24" s="48" t="s">
        <v>594</v>
      </c>
      <c r="C24" s="48" t="s">
        <v>616</v>
      </c>
      <c r="D24" s="48">
        <v>-0.36</v>
      </c>
      <c r="E24" s="48">
        <v>-0.87</v>
      </c>
    </row>
    <row r="25" spans="1:5" x14ac:dyDescent="0.25">
      <c r="A25" s="46"/>
      <c r="B25" s="48"/>
      <c r="C25" s="48"/>
      <c r="D25" s="48"/>
      <c r="E25" s="48"/>
    </row>
    <row r="26" spans="1:5" x14ac:dyDescent="0.25">
      <c r="A26" s="46" t="s">
        <v>595</v>
      </c>
      <c r="B26" s="48">
        <v>5.0000000000000001E-3</v>
      </c>
      <c r="C26" s="48">
        <v>1.1900000000000001E-2</v>
      </c>
      <c r="D26" s="48">
        <v>3.9899999999999996E-3</v>
      </c>
      <c r="E26" s="48">
        <v>1.17E-2</v>
      </c>
    </row>
    <row r="27" spans="1:5" x14ac:dyDescent="0.25">
      <c r="A27" s="46"/>
      <c r="B27" s="48">
        <v>-0.73</v>
      </c>
      <c r="C27" s="48">
        <v>-1.51</v>
      </c>
      <c r="D27" s="48">
        <v>-1.0900000000000001</v>
      </c>
      <c r="E27" s="48">
        <v>-1.77</v>
      </c>
    </row>
    <row r="28" spans="1:5" x14ac:dyDescent="0.25">
      <c r="A28" s="46"/>
      <c r="B28" s="48"/>
      <c r="C28" s="48"/>
      <c r="D28" s="48"/>
      <c r="E28" s="48"/>
    </row>
    <row r="29" spans="1:5" x14ac:dyDescent="0.25">
      <c r="A29" s="46" t="s">
        <v>596</v>
      </c>
      <c r="B29" s="48">
        <v>-1.1599999999999999E-2</v>
      </c>
      <c r="C29" s="48">
        <v>-1.4200000000000001E-2</v>
      </c>
      <c r="D29" s="48" t="s">
        <v>625</v>
      </c>
      <c r="E29" s="48">
        <v>-6.2300000000000001E-2</v>
      </c>
    </row>
    <row r="30" spans="1:5" x14ac:dyDescent="0.25">
      <c r="A30" s="46"/>
      <c r="B30" s="48" t="s">
        <v>597</v>
      </c>
      <c r="C30" s="48" t="s">
        <v>617</v>
      </c>
      <c r="D30" s="48">
        <v>-2.48</v>
      </c>
      <c r="E30" s="48" t="s">
        <v>631</v>
      </c>
    </row>
    <row r="31" spans="1:5" x14ac:dyDescent="0.25">
      <c r="A31" s="46"/>
      <c r="B31" s="48"/>
      <c r="C31" s="48"/>
      <c r="D31" s="48"/>
      <c r="E31" s="48"/>
    </row>
    <row r="32" spans="1:5" x14ac:dyDescent="0.25">
      <c r="A32" s="46" t="s">
        <v>598</v>
      </c>
      <c r="B32" s="48" t="s">
        <v>599</v>
      </c>
      <c r="C32" s="48">
        <v>-0.115</v>
      </c>
      <c r="D32" s="48">
        <v>1.8100000000000002E-2</v>
      </c>
      <c r="E32" s="48">
        <v>5.7799999999999997E-2</v>
      </c>
    </row>
    <row r="33" spans="1:12" x14ac:dyDescent="0.25">
      <c r="A33" s="46"/>
      <c r="B33" s="48" t="s">
        <v>600</v>
      </c>
      <c r="C33" s="48" t="s">
        <v>618</v>
      </c>
      <c r="D33" s="48">
        <v>-0.67</v>
      </c>
      <c r="E33" s="48">
        <v>-1.01</v>
      </c>
    </row>
    <row r="34" spans="1:12" x14ac:dyDescent="0.25">
      <c r="A34" s="46"/>
      <c r="B34" s="48"/>
      <c r="C34" s="48"/>
      <c r="D34" s="48"/>
      <c r="E34" s="48"/>
    </row>
    <row r="35" spans="1:12" x14ac:dyDescent="0.25">
      <c r="A35" s="46" t="s">
        <v>601</v>
      </c>
      <c r="B35" s="48">
        <v>-8.0300000000000007E-3</v>
      </c>
      <c r="C35" s="48">
        <v>3.7000000000000002E-3</v>
      </c>
      <c r="D35" s="48" t="s">
        <v>626</v>
      </c>
      <c r="E35" s="48">
        <v>6.0600000000000003E-3</v>
      </c>
    </row>
    <row r="36" spans="1:12" x14ac:dyDescent="0.25">
      <c r="A36" s="47"/>
      <c r="B36" s="49" t="s">
        <v>602</v>
      </c>
      <c r="C36" s="49">
        <v>-0.67</v>
      </c>
      <c r="D36" s="49" t="s">
        <v>627</v>
      </c>
      <c r="E36" s="49">
        <v>-0.96</v>
      </c>
    </row>
    <row r="37" spans="1:12" x14ac:dyDescent="0.25">
      <c r="A37" s="43" t="s">
        <v>603</v>
      </c>
      <c r="B37" s="12">
        <v>1222</v>
      </c>
      <c r="C37" s="12">
        <v>1222</v>
      </c>
      <c r="D37" s="12">
        <v>1222</v>
      </c>
      <c r="E37" s="27">
        <v>1222</v>
      </c>
    </row>
    <row r="38" spans="1:12" x14ac:dyDescent="0.25">
      <c r="A38" s="43" t="s">
        <v>64</v>
      </c>
      <c r="B38" s="12">
        <v>7.2999999999999995E-2</v>
      </c>
      <c r="C38" s="12">
        <v>0.06</v>
      </c>
      <c r="D38" s="12">
        <v>4.4999999999999998E-2</v>
      </c>
      <c r="E38" s="27">
        <v>3.6999999999999998E-2</v>
      </c>
    </row>
    <row r="39" spans="1:12" x14ac:dyDescent="0.25">
      <c r="A39" s="44" t="s">
        <v>579</v>
      </c>
      <c r="B39" s="37"/>
      <c r="C39" s="37"/>
      <c r="D39" s="37"/>
      <c r="E39" s="38"/>
    </row>
    <row r="40" spans="1:12" x14ac:dyDescent="0.25">
      <c r="A40" t="s">
        <v>604</v>
      </c>
      <c r="B40" t="s">
        <v>605</v>
      </c>
      <c r="C40" t="s">
        <v>606</v>
      </c>
      <c r="D40" t="s">
        <v>607</v>
      </c>
      <c r="E40" t="s">
        <v>604</v>
      </c>
    </row>
    <row r="41" spans="1:12" x14ac:dyDescent="0.25">
      <c r="A41" t="s">
        <v>608</v>
      </c>
      <c r="B41" t="s">
        <v>609</v>
      </c>
      <c r="C41" t="s">
        <v>610</v>
      </c>
      <c r="D41" t="s">
        <v>611</v>
      </c>
      <c r="E41" t="s">
        <v>608</v>
      </c>
    </row>
    <row r="44" spans="1:12" x14ac:dyDescent="0.25">
      <c r="F44" t="s">
        <v>605</v>
      </c>
      <c r="G44" t="s">
        <v>604</v>
      </c>
      <c r="H44" t="s">
        <v>605</v>
      </c>
      <c r="I44" t="s">
        <v>606</v>
      </c>
      <c r="J44" t="s">
        <v>607</v>
      </c>
    </row>
    <row r="45" spans="1:12" x14ac:dyDescent="0.25">
      <c r="F45" t="s">
        <v>609</v>
      </c>
      <c r="G45" t="s">
        <v>608</v>
      </c>
      <c r="H45" t="s">
        <v>609</v>
      </c>
      <c r="I45" t="s">
        <v>610</v>
      </c>
      <c r="J45" t="s">
        <v>611</v>
      </c>
      <c r="K45" t="s">
        <v>612</v>
      </c>
      <c r="L45" t="s">
        <v>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C1" workbookViewId="0">
      <selection sqref="A1:Z16"/>
    </sheetView>
  </sheetViews>
  <sheetFormatPr defaultRowHeight="15" x14ac:dyDescent="0.25"/>
  <cols>
    <col min="1" max="1" width="10.140625" bestFit="1" customWidth="1"/>
    <col min="8" max="8" width="10.140625" bestFit="1" customWidth="1"/>
    <col min="9" max="9" width="8.5703125" bestFit="1" customWidth="1"/>
  </cols>
  <sheetData>
    <row r="1" spans="1:27" ht="15.75" x14ac:dyDescent="0.25">
      <c r="C1" s="42" t="s">
        <v>8</v>
      </c>
      <c r="D1" s="42"/>
      <c r="E1" s="9"/>
      <c r="F1" s="9" t="s">
        <v>12</v>
      </c>
      <c r="G1" s="9" t="s">
        <v>15</v>
      </c>
      <c r="H1" s="9"/>
      <c r="J1" s="7"/>
      <c r="K1" s="42" t="s">
        <v>13</v>
      </c>
      <c r="L1" s="42"/>
      <c r="M1" s="7"/>
      <c r="P1" s="42" t="s">
        <v>14</v>
      </c>
      <c r="Q1" s="42"/>
      <c r="R1" s="41" t="s">
        <v>17</v>
      </c>
      <c r="S1" s="41"/>
      <c r="T1" s="41" t="s">
        <v>16</v>
      </c>
      <c r="U1" s="41"/>
      <c r="V1" s="7"/>
      <c r="Y1" s="42" t="s">
        <v>18</v>
      </c>
      <c r="Z1" s="42"/>
    </row>
    <row r="2" spans="1:27" x14ac:dyDescent="0.25">
      <c r="B2">
        <v>2001</v>
      </c>
      <c r="C2">
        <v>2002</v>
      </c>
      <c r="D2">
        <v>2003</v>
      </c>
      <c r="E2">
        <v>2004</v>
      </c>
      <c r="F2">
        <v>1975</v>
      </c>
      <c r="G2" t="s">
        <v>565</v>
      </c>
      <c r="H2" t="s">
        <v>564</v>
      </c>
      <c r="I2">
        <v>1980</v>
      </c>
      <c r="J2">
        <v>1981</v>
      </c>
      <c r="K2">
        <v>1982</v>
      </c>
      <c r="L2">
        <v>1983</v>
      </c>
      <c r="M2">
        <v>1984</v>
      </c>
      <c r="N2">
        <v>1985</v>
      </c>
      <c r="O2">
        <v>1986</v>
      </c>
      <c r="P2">
        <v>1999</v>
      </c>
      <c r="Q2">
        <v>2002</v>
      </c>
      <c r="R2">
        <v>1999</v>
      </c>
      <c r="S2">
        <v>2004</v>
      </c>
      <c r="T2">
        <v>2000</v>
      </c>
      <c r="U2">
        <v>2001</v>
      </c>
      <c r="V2">
        <v>2002</v>
      </c>
      <c r="W2">
        <v>2003</v>
      </c>
      <c r="X2">
        <v>2004</v>
      </c>
      <c r="Y2">
        <v>2003</v>
      </c>
      <c r="Z2">
        <v>2004</v>
      </c>
    </row>
    <row r="3" spans="1:27" s="39" customFormat="1" x14ac:dyDescent="0.25">
      <c r="A3" s="39" t="s">
        <v>322</v>
      </c>
      <c r="B3" s="3" t="str">
        <f>Q25</f>
        <v>4/7</v>
      </c>
      <c r="C3" s="3" t="str">
        <f t="shared" ref="C3:E3" si="0">R25</f>
        <v>4/7</v>
      </c>
      <c r="D3" s="3" t="str">
        <f t="shared" si="0"/>
        <v>4/7</v>
      </c>
      <c r="E3" s="3" t="str">
        <f t="shared" si="0"/>
        <v>4/7</v>
      </c>
      <c r="F3" s="3" t="str">
        <f>I25</f>
        <v>0/7</v>
      </c>
      <c r="G3" s="3" t="str">
        <f>U25</f>
        <v>1/7</v>
      </c>
      <c r="H3" s="3" t="str">
        <f>V25</f>
        <v>1/7</v>
      </c>
      <c r="I3" s="40">
        <f>B25</f>
        <v>0.8571428571428571</v>
      </c>
      <c r="J3" s="40" t="str">
        <f t="shared" ref="J3:O8" si="1">C25</f>
        <v>6/7</v>
      </c>
      <c r="K3" s="40" t="str">
        <f t="shared" si="1"/>
        <v>6/7</v>
      </c>
      <c r="L3" s="40" t="str">
        <f t="shared" si="1"/>
        <v>7/7</v>
      </c>
      <c r="M3" s="40" t="str">
        <f t="shared" si="1"/>
        <v>7/7</v>
      </c>
      <c r="N3" s="40" t="str">
        <f t="shared" si="1"/>
        <v>7/7</v>
      </c>
      <c r="O3" s="40" t="str">
        <f t="shared" si="1"/>
        <v>6/7</v>
      </c>
      <c r="P3" s="3" t="str">
        <f>O25</f>
        <v>4/7</v>
      </c>
      <c r="Q3" s="3" t="str">
        <f>P25</f>
        <v>4/7</v>
      </c>
      <c r="R3" s="3" t="str">
        <f>W25</f>
        <v>0/7</v>
      </c>
      <c r="S3" s="3" t="str">
        <f>X25</f>
        <v>0/7</v>
      </c>
      <c r="T3" s="3" t="str">
        <f>J25</f>
        <v>0/7</v>
      </c>
      <c r="U3" s="3" t="str">
        <f t="shared" ref="U3:X3" si="2">K25</f>
        <v>0/7</v>
      </c>
      <c r="V3" s="3" t="str">
        <f t="shared" si="2"/>
        <v>0/7</v>
      </c>
      <c r="W3" s="3" t="str">
        <f t="shared" si="2"/>
        <v>0/7</v>
      </c>
      <c r="X3" s="3" t="str">
        <f t="shared" si="2"/>
        <v>0/7</v>
      </c>
      <c r="Y3" s="3" t="str">
        <f>AW25</f>
        <v>6/7</v>
      </c>
      <c r="Z3" s="3" t="str">
        <f>AX25</f>
        <v>6/7</v>
      </c>
    </row>
    <row r="4" spans="1:27" s="39" customFormat="1" x14ac:dyDescent="0.25">
      <c r="A4" s="39" t="s">
        <v>323</v>
      </c>
      <c r="B4" s="3" t="str">
        <f t="shared" ref="B4:B8" si="3">Q26</f>
        <v>1/7</v>
      </c>
      <c r="C4" s="3" t="str">
        <f t="shared" ref="C4:C8" si="4">R26</f>
        <v>1/7</v>
      </c>
      <c r="D4" s="3" t="str">
        <f t="shared" ref="D4:D8" si="5">S26</f>
        <v>0/7</v>
      </c>
      <c r="E4" s="3" t="str">
        <f t="shared" ref="E4:E8" si="6">T26</f>
        <v>1/7</v>
      </c>
      <c r="F4" s="3" t="str">
        <f t="shared" ref="F4:F8" si="7">I26</f>
        <v>0/7</v>
      </c>
      <c r="G4" s="3" t="str">
        <f t="shared" ref="G4:H4" si="8">U26</f>
        <v>2/7</v>
      </c>
      <c r="H4" s="3" t="str">
        <f t="shared" si="8"/>
        <v>4/7</v>
      </c>
      <c r="I4" s="40">
        <f t="shared" ref="I4:I8" si="9">B26</f>
        <v>0.5714285714285714</v>
      </c>
      <c r="J4" s="40" t="str">
        <f t="shared" si="1"/>
        <v>6/7</v>
      </c>
      <c r="K4" s="40" t="str">
        <f t="shared" si="1"/>
        <v>6/7</v>
      </c>
      <c r="L4" s="40" t="str">
        <f t="shared" si="1"/>
        <v>5/7</v>
      </c>
      <c r="M4" s="40" t="str">
        <f t="shared" si="1"/>
        <v>3/7</v>
      </c>
      <c r="N4" s="40" t="str">
        <f t="shared" si="1"/>
        <v>4/7</v>
      </c>
      <c r="O4" s="40" t="str">
        <f t="shared" si="1"/>
        <v>3/7</v>
      </c>
      <c r="P4" s="3" t="str">
        <f t="shared" ref="P4:Q4" si="10">O26</f>
        <v>0/7</v>
      </c>
      <c r="Q4" s="3" t="str">
        <f t="shared" si="10"/>
        <v>0/7</v>
      </c>
      <c r="R4" s="3" t="str">
        <f t="shared" ref="R4:S4" si="11">W26</f>
        <v>3/7</v>
      </c>
      <c r="S4" s="3" t="str">
        <f t="shared" si="11"/>
        <v>4/7</v>
      </c>
      <c r="T4" s="3" t="str">
        <f t="shared" ref="T4:T8" si="12">J26</f>
        <v>2/7</v>
      </c>
      <c r="U4" s="3" t="str">
        <f t="shared" ref="U4:U8" si="13">K26</f>
        <v>2/7</v>
      </c>
      <c r="V4" s="3" t="str">
        <f t="shared" ref="V4:V8" si="14">L26</f>
        <v>3/7</v>
      </c>
      <c r="W4" s="3" t="str">
        <f t="shared" ref="W4:W8" si="15">M26</f>
        <v>3/7</v>
      </c>
      <c r="X4" s="3" t="str">
        <f t="shared" ref="X4:X8" si="16">N26</f>
        <v>3/7</v>
      </c>
      <c r="Y4" s="3" t="str">
        <f t="shared" ref="Y4:Z4" si="17">AW26</f>
        <v>2/7</v>
      </c>
      <c r="Z4" s="3" t="str">
        <f t="shared" si="17"/>
        <v>3/7</v>
      </c>
    </row>
    <row r="5" spans="1:27" s="39" customFormat="1" x14ac:dyDescent="0.25">
      <c r="A5" s="39" t="s">
        <v>324</v>
      </c>
      <c r="B5" s="3" t="str">
        <f t="shared" si="3"/>
        <v>0.023</v>
      </c>
      <c r="C5" s="3" t="str">
        <f t="shared" si="4"/>
        <v>0.012</v>
      </c>
      <c r="D5" s="3" t="str">
        <f t="shared" si="5"/>
        <v>0.02</v>
      </c>
      <c r="E5" s="3" t="str">
        <f t="shared" si="6"/>
        <v>0.019</v>
      </c>
      <c r="F5" s="3" t="str">
        <f t="shared" si="7"/>
        <v>0.007</v>
      </c>
      <c r="G5" s="3" t="str">
        <f t="shared" ref="G5:H5" si="18">U27</f>
        <v>0.05</v>
      </c>
      <c r="H5" s="3" t="str">
        <f t="shared" si="18"/>
        <v>0.075</v>
      </c>
      <c r="I5" s="40">
        <f t="shared" si="9"/>
        <v>3.9E-2</v>
      </c>
      <c r="J5" s="40" t="str">
        <f t="shared" si="1"/>
        <v>0.036</v>
      </c>
      <c r="K5" s="40" t="str">
        <f t="shared" si="1"/>
        <v>0.033</v>
      </c>
      <c r="L5" s="40" t="str">
        <f t="shared" si="1"/>
        <v>0.032</v>
      </c>
      <c r="M5" s="40" t="str">
        <f t="shared" si="1"/>
        <v>0.035</v>
      </c>
      <c r="N5" s="40" t="str">
        <f t="shared" si="1"/>
        <v>0.035</v>
      </c>
      <c r="O5" s="40" t="str">
        <f t="shared" si="1"/>
        <v>0.03</v>
      </c>
      <c r="P5" s="3" t="str">
        <f t="shared" ref="P5:Q5" si="19">O27</f>
        <v>0.005</v>
      </c>
      <c r="Q5" s="3" t="str">
        <f t="shared" si="19"/>
        <v>0.007</v>
      </c>
      <c r="R5" s="3" t="str">
        <f t="shared" ref="R5:S5" si="20">W27</f>
        <v>0.024</v>
      </c>
      <c r="S5" s="3" t="str">
        <f t="shared" si="20"/>
        <v>0.021</v>
      </c>
      <c r="T5" s="3" t="str">
        <f t="shared" si="12"/>
        <v>0.066</v>
      </c>
      <c r="U5" s="3" t="str">
        <f t="shared" si="13"/>
        <v>0.067</v>
      </c>
      <c r="V5" s="3" t="str">
        <f t="shared" si="14"/>
        <v>0.072</v>
      </c>
      <c r="W5" s="3" t="str">
        <f t="shared" si="15"/>
        <v>0.07</v>
      </c>
      <c r="X5" s="3" t="str">
        <f t="shared" si="16"/>
        <v>0.072</v>
      </c>
      <c r="Y5" s="3" t="str">
        <f t="shared" ref="Y5:Z5" si="21">AW27</f>
        <v>0.057</v>
      </c>
      <c r="Z5" s="3" t="str">
        <f t="shared" si="21"/>
        <v>0.049</v>
      </c>
    </row>
    <row r="6" spans="1:27" s="39" customFormat="1" x14ac:dyDescent="0.25">
      <c r="A6" s="39" t="s">
        <v>325</v>
      </c>
      <c r="B6" s="3" t="str">
        <f t="shared" si="3"/>
        <v>95-00</v>
      </c>
      <c r="C6" s="3" t="str">
        <f t="shared" si="4"/>
        <v>95-00</v>
      </c>
      <c r="D6" s="3" t="str">
        <f t="shared" si="5"/>
        <v>85-90</v>
      </c>
      <c r="E6" s="3" t="str">
        <f t="shared" si="6"/>
        <v>95-00</v>
      </c>
      <c r="F6" s="3" t="str">
        <f t="shared" si="7"/>
        <v>95-00</v>
      </c>
      <c r="G6" s="3" t="str">
        <f t="shared" ref="G6:H6" si="22">U28</f>
        <v>90-95</v>
      </c>
      <c r="H6" s="3" t="str">
        <f t="shared" si="22"/>
        <v>85-90</v>
      </c>
      <c r="I6" s="40" t="str">
        <f t="shared" si="9"/>
        <v>95-00</v>
      </c>
      <c r="J6" s="40" t="str">
        <f t="shared" si="1"/>
        <v>95-00</v>
      </c>
      <c r="K6" s="40" t="str">
        <f t="shared" si="1"/>
        <v>95-00</v>
      </c>
      <c r="L6" s="40" t="str">
        <f t="shared" si="1"/>
        <v>90-95</v>
      </c>
      <c r="M6" s="40" t="str">
        <f t="shared" si="1"/>
        <v>90-95</v>
      </c>
      <c r="N6" s="40" t="str">
        <f t="shared" si="1"/>
        <v>90-95</v>
      </c>
      <c r="O6" s="40" t="str">
        <f t="shared" si="1"/>
        <v>85-90</v>
      </c>
      <c r="P6" s="3" t="str">
        <f t="shared" ref="P6:Q6" si="23">O28</f>
        <v>95-00</v>
      </c>
      <c r="Q6" s="3" t="str">
        <f t="shared" si="23"/>
        <v>75-80</v>
      </c>
      <c r="R6" s="3" t="str">
        <f t="shared" ref="R6:S6" si="24">W28</f>
        <v>90-95</v>
      </c>
      <c r="S6" s="3" t="str">
        <f t="shared" si="24"/>
        <v>90-95</v>
      </c>
      <c r="T6" s="3" t="str">
        <f t="shared" si="12"/>
        <v>85-90</v>
      </c>
      <c r="U6" s="3" t="str">
        <f t="shared" si="13"/>
        <v>85-90</v>
      </c>
      <c r="V6" s="3" t="str">
        <f t="shared" si="14"/>
        <v>85-90</v>
      </c>
      <c r="W6" s="3" t="str">
        <f t="shared" si="15"/>
        <v>85-90</v>
      </c>
      <c r="X6" s="3" t="str">
        <f t="shared" si="16"/>
        <v>85-90</v>
      </c>
      <c r="Y6" s="3" t="str">
        <f t="shared" ref="Y6:Z6" si="25">AW28</f>
        <v>85-90</v>
      </c>
      <c r="Z6" s="3" t="str">
        <f t="shared" si="25"/>
        <v>85-90</v>
      </c>
    </row>
    <row r="7" spans="1:27" s="39" customFormat="1" x14ac:dyDescent="0.25">
      <c r="A7" s="39" t="s">
        <v>326</v>
      </c>
      <c r="B7" s="3" t="str">
        <f t="shared" si="3"/>
        <v>0.0678**</v>
      </c>
      <c r="C7" s="3" t="str">
        <f t="shared" si="4"/>
        <v>0.0493*</v>
      </c>
      <c r="D7" s="3">
        <f t="shared" si="5"/>
        <v>-8.3400000000000002E-2</v>
      </c>
      <c r="E7" s="3" t="str">
        <f t="shared" si="6"/>
        <v>0.0643**</v>
      </c>
      <c r="F7" s="3">
        <f t="shared" si="7"/>
        <v>-7.0499999999999998E-3</v>
      </c>
      <c r="G7" s="3" t="str">
        <f t="shared" ref="G7:H7" si="26">U29</f>
        <v>-0.103***</v>
      </c>
      <c r="H7" s="3" t="str">
        <f t="shared" si="26"/>
        <v>-0.158***</v>
      </c>
      <c r="I7" s="40" t="str">
        <f t="shared" si="9"/>
        <v>0.128***</v>
      </c>
      <c r="J7" s="40" t="str">
        <f t="shared" si="1"/>
        <v>0.0420***</v>
      </c>
      <c r="K7" s="40" t="str">
        <f t="shared" si="1"/>
        <v>0.0552***</v>
      </c>
      <c r="L7" s="40" t="str">
        <f t="shared" si="1"/>
        <v>0.0486***</v>
      </c>
      <c r="M7" s="40" t="str">
        <f t="shared" si="1"/>
        <v>0.0423**</v>
      </c>
      <c r="N7" s="40" t="str">
        <f t="shared" si="1"/>
        <v>0.0413**</v>
      </c>
      <c r="O7" s="40" t="str">
        <f t="shared" si="1"/>
        <v>0.0510**</v>
      </c>
      <c r="P7" s="3">
        <f t="shared" ref="P7:Q7" si="27">O29</f>
        <v>2.1100000000000001E-2</v>
      </c>
      <c r="Q7" s="3">
        <f t="shared" si="27"/>
        <v>-4.4400000000000002E-2</v>
      </c>
      <c r="R7" s="3" t="str">
        <f t="shared" ref="R7:S7" si="28">W29</f>
        <v>-0.109***</v>
      </c>
      <c r="S7" s="3" t="str">
        <f t="shared" si="28"/>
        <v>-0.0703**</v>
      </c>
      <c r="T7" s="3" t="str">
        <f t="shared" si="12"/>
        <v>-0.120***</v>
      </c>
      <c r="U7" s="3" t="str">
        <f t="shared" si="13"/>
        <v>-0.126***</v>
      </c>
      <c r="V7" s="3" t="str">
        <f t="shared" si="14"/>
        <v>-0.107***</v>
      </c>
      <c r="W7" s="3" t="str">
        <f t="shared" si="15"/>
        <v>-0.109***</v>
      </c>
      <c r="X7" s="3" t="str">
        <f t="shared" si="16"/>
        <v>-0.124***</v>
      </c>
      <c r="Y7" s="3" t="str">
        <f t="shared" ref="Y7:Z7" si="29">AW29</f>
        <v>0.135***</v>
      </c>
      <c r="Z7" s="3" t="str">
        <f t="shared" si="29"/>
        <v>0.129***</v>
      </c>
    </row>
    <row r="8" spans="1:27" s="39" customFormat="1" x14ac:dyDescent="0.25">
      <c r="A8" s="39" t="s">
        <v>327</v>
      </c>
      <c r="B8" s="3">
        <f t="shared" si="3"/>
        <v>9.8499999999999994E-3</v>
      </c>
      <c r="C8" s="3">
        <f t="shared" si="4"/>
        <v>1.1900000000000001E-2</v>
      </c>
      <c r="D8" s="3">
        <f t="shared" si="5"/>
        <v>2.0899999999999998E-2</v>
      </c>
      <c r="E8" s="3">
        <f t="shared" si="6"/>
        <v>1.5100000000000001E-2</v>
      </c>
      <c r="F8" s="3">
        <f t="shared" si="7"/>
        <v>-5.4999999999999997E-3</v>
      </c>
      <c r="G8" s="3">
        <f t="shared" ref="G8:H8" si="30">U30</f>
        <v>3.0499999999999999E-2</v>
      </c>
      <c r="H8" s="3">
        <f t="shared" si="30"/>
        <v>3.04E-2</v>
      </c>
      <c r="I8" s="40">
        <f t="shared" si="9"/>
        <v>-1.6899999999999998E-2</v>
      </c>
      <c r="J8" s="40">
        <f t="shared" si="1"/>
        <v>-1.26E-2</v>
      </c>
      <c r="K8" s="40">
        <f t="shared" si="1"/>
        <v>-1.14E-2</v>
      </c>
      <c r="L8" s="40">
        <f t="shared" si="1"/>
        <v>5.5999999999999995E-4</v>
      </c>
      <c r="M8" s="40">
        <f t="shared" si="1"/>
        <v>2.9099999999999998E-3</v>
      </c>
      <c r="N8" s="40">
        <f t="shared" si="1"/>
        <v>4.9899999999999996E-3</v>
      </c>
      <c r="O8" s="40">
        <f t="shared" si="1"/>
        <v>-7.1900000000000002E-3</v>
      </c>
      <c r="P8" s="3">
        <f t="shared" ref="P8:Q8" si="31">O30</f>
        <v>1.8599999999999998E-2</v>
      </c>
      <c r="Q8" s="3">
        <f t="shared" si="31"/>
        <v>1.52E-2</v>
      </c>
      <c r="R8" s="3">
        <f t="shared" ref="R8:S8" si="32">W30</f>
        <v>-3.9899999999999998E-2</v>
      </c>
      <c r="S8" s="3" t="str">
        <f t="shared" si="32"/>
        <v>-0.0553**</v>
      </c>
      <c r="T8" s="3">
        <f t="shared" si="12"/>
        <v>-1.06E-2</v>
      </c>
      <c r="U8" s="3">
        <f t="shared" si="13"/>
        <v>-4.3299999999999996E-3</v>
      </c>
      <c r="V8" s="3">
        <f t="shared" si="14"/>
        <v>-2.8800000000000002E-3</v>
      </c>
      <c r="W8" s="3">
        <f t="shared" si="15"/>
        <v>-4.15E-3</v>
      </c>
      <c r="X8" s="3">
        <f t="shared" si="16"/>
        <v>-1.1100000000000001E-3</v>
      </c>
      <c r="Y8" s="3">
        <f t="shared" ref="Y8:Z8" si="33">AW30</f>
        <v>-3.61E-2</v>
      </c>
      <c r="Z8" s="3">
        <f t="shared" si="33"/>
        <v>-3.44E-2</v>
      </c>
    </row>
    <row r="9" spans="1:27" ht="15.75" x14ac:dyDescent="0.25">
      <c r="B9" s="42" t="s">
        <v>9</v>
      </c>
      <c r="C9" s="42"/>
      <c r="D9" s="9"/>
      <c r="J9" s="42" t="s">
        <v>10</v>
      </c>
      <c r="K9" s="42"/>
      <c r="L9" s="7"/>
      <c r="S9" s="42" t="s">
        <v>11</v>
      </c>
      <c r="T9" s="42"/>
      <c r="Y9" s="3"/>
      <c r="Z9" s="3"/>
    </row>
    <row r="10" spans="1:27" x14ac:dyDescent="0.25">
      <c r="B10" s="3" t="s">
        <v>569</v>
      </c>
      <c r="C10" s="3" t="s">
        <v>570</v>
      </c>
      <c r="D10" s="3" t="s">
        <v>571</v>
      </c>
      <c r="E10" s="3" t="s">
        <v>572</v>
      </c>
      <c r="F10" s="3" t="s">
        <v>573</v>
      </c>
      <c r="G10" s="3" t="s">
        <v>569</v>
      </c>
      <c r="H10" s="3" t="s">
        <v>570</v>
      </c>
      <c r="I10" s="3" t="s">
        <v>571</v>
      </c>
      <c r="J10" s="3" t="s">
        <v>572</v>
      </c>
      <c r="K10" s="3" t="s">
        <v>573</v>
      </c>
      <c r="L10" s="3" t="s">
        <v>574</v>
      </c>
      <c r="M10" s="3" t="s">
        <v>575</v>
      </c>
      <c r="N10" s="3" t="s">
        <v>576</v>
      </c>
      <c r="O10" s="3" t="s">
        <v>577</v>
      </c>
      <c r="P10" s="3" t="s">
        <v>578</v>
      </c>
      <c r="Q10" s="3" t="s">
        <v>570</v>
      </c>
      <c r="R10" s="3" t="s">
        <v>571</v>
      </c>
      <c r="S10" s="3" t="s">
        <v>572</v>
      </c>
      <c r="T10" s="3" t="s">
        <v>573</v>
      </c>
      <c r="U10" s="3" t="s">
        <v>574</v>
      </c>
      <c r="V10" s="3" t="s">
        <v>575</v>
      </c>
      <c r="W10" s="3" t="s">
        <v>576</v>
      </c>
      <c r="X10" s="3" t="s">
        <v>577</v>
      </c>
      <c r="Y10" s="3" t="s">
        <v>578</v>
      </c>
      <c r="Z10" s="3"/>
    </row>
    <row r="11" spans="1:27" s="39" customFormat="1" x14ac:dyDescent="0.25">
      <c r="A11" s="39" t="s">
        <v>322</v>
      </c>
      <c r="B11" s="3" t="str">
        <f>Y25</f>
        <v>0/7</v>
      </c>
      <c r="C11" s="3" t="str">
        <f>Z25</f>
        <v>0/7</v>
      </c>
      <c r="D11" s="3" t="str">
        <f t="shared" ref="D11:X16" si="34">AA25</f>
        <v>0/7</v>
      </c>
      <c r="E11" s="3" t="str">
        <f t="shared" si="34"/>
        <v>0/7</v>
      </c>
      <c r="F11" s="3" t="str">
        <f t="shared" si="34"/>
        <v>0/7</v>
      </c>
      <c r="G11" s="3" t="str">
        <f t="shared" si="34"/>
        <v>0/7</v>
      </c>
      <c r="H11" s="3" t="str">
        <f t="shared" si="34"/>
        <v>0/7</v>
      </c>
      <c r="I11" s="3" t="str">
        <f t="shared" si="34"/>
        <v>0/7</v>
      </c>
      <c r="J11" s="3" t="str">
        <f t="shared" si="34"/>
        <v>0/7</v>
      </c>
      <c r="K11" s="3" t="str">
        <f t="shared" si="34"/>
        <v>0/7</v>
      </c>
      <c r="L11" s="3" t="str">
        <f t="shared" si="34"/>
        <v>0/7</v>
      </c>
      <c r="M11" s="3" t="str">
        <f t="shared" si="34"/>
        <v>0/7</v>
      </c>
      <c r="N11" s="3" t="str">
        <f t="shared" si="34"/>
        <v>0/7</v>
      </c>
      <c r="O11" s="3" t="str">
        <f t="shared" si="34"/>
        <v>0/7</v>
      </c>
      <c r="P11" s="3" t="str">
        <f t="shared" si="34"/>
        <v>0/7</v>
      </c>
      <c r="Q11" s="3" t="str">
        <f t="shared" si="34"/>
        <v>2/7</v>
      </c>
      <c r="R11" s="3" t="str">
        <f t="shared" si="34"/>
        <v>2/7</v>
      </c>
      <c r="S11" s="3" t="str">
        <f t="shared" si="34"/>
        <v>1/7</v>
      </c>
      <c r="T11" s="3" t="str">
        <f t="shared" si="34"/>
        <v>1/7</v>
      </c>
      <c r="U11" s="3" t="str">
        <f t="shared" si="34"/>
        <v>2/7</v>
      </c>
      <c r="V11" s="3" t="str">
        <f t="shared" si="34"/>
        <v>2/7</v>
      </c>
      <c r="W11" s="3" t="str">
        <f t="shared" si="34"/>
        <v>1/7</v>
      </c>
      <c r="X11" s="3" t="str">
        <f t="shared" si="34"/>
        <v>2/7</v>
      </c>
      <c r="Y11" s="3" t="str">
        <f t="shared" ref="Y11:Y16" si="35">AV25</f>
        <v>2/7</v>
      </c>
      <c r="Z11" s="3"/>
      <c r="AA11" s="3"/>
    </row>
    <row r="12" spans="1:27" x14ac:dyDescent="0.25">
      <c r="A12" s="39" t="s">
        <v>323</v>
      </c>
      <c r="B12" s="3" t="str">
        <f t="shared" ref="B12:C16" si="36">Y26</f>
        <v>4/7</v>
      </c>
      <c r="C12" s="3" t="str">
        <f t="shared" si="36"/>
        <v>4/7</v>
      </c>
      <c r="D12" s="3" t="str">
        <f t="shared" si="34"/>
        <v>5/7</v>
      </c>
      <c r="E12" s="3" t="str">
        <f t="shared" si="34"/>
        <v>4/7</v>
      </c>
      <c r="F12" s="3" t="str">
        <f t="shared" si="34"/>
        <v>3/7</v>
      </c>
      <c r="G12" s="3" t="str">
        <f t="shared" si="34"/>
        <v>1/7</v>
      </c>
      <c r="H12" s="3" t="str">
        <f t="shared" si="34"/>
        <v>0/7</v>
      </c>
      <c r="I12" s="3" t="str">
        <f t="shared" si="34"/>
        <v>0/7</v>
      </c>
      <c r="J12" s="3" t="str">
        <f t="shared" si="34"/>
        <v>0/7</v>
      </c>
      <c r="K12" s="3" t="str">
        <f t="shared" si="34"/>
        <v>1/7</v>
      </c>
      <c r="L12" s="3" t="str">
        <f t="shared" si="34"/>
        <v>1/7</v>
      </c>
      <c r="M12" s="3" t="str">
        <f t="shared" si="34"/>
        <v>1/7</v>
      </c>
      <c r="N12" s="3" t="str">
        <f t="shared" si="34"/>
        <v>1/7</v>
      </c>
      <c r="O12" s="3" t="str">
        <f t="shared" si="34"/>
        <v>0/7</v>
      </c>
      <c r="P12" s="3" t="str">
        <f t="shared" si="34"/>
        <v>1/7</v>
      </c>
      <c r="Q12" s="3" t="str">
        <f t="shared" si="34"/>
        <v>3/7</v>
      </c>
      <c r="R12" s="3" t="str">
        <f t="shared" si="34"/>
        <v>2/7</v>
      </c>
      <c r="S12" s="3" t="str">
        <f t="shared" si="34"/>
        <v>2/7</v>
      </c>
      <c r="T12" s="3" t="str">
        <f t="shared" si="34"/>
        <v>2/7</v>
      </c>
      <c r="U12" s="3" t="str">
        <f t="shared" si="34"/>
        <v>2/7</v>
      </c>
      <c r="V12" s="3" t="str">
        <f t="shared" si="34"/>
        <v>1/7</v>
      </c>
      <c r="W12" s="3" t="str">
        <f t="shared" si="34"/>
        <v>1/7</v>
      </c>
      <c r="X12" s="3" t="str">
        <f t="shared" si="34"/>
        <v>1/7</v>
      </c>
      <c r="Y12" s="3" t="str">
        <f t="shared" si="35"/>
        <v>1/7</v>
      </c>
      <c r="Z12" s="3"/>
      <c r="AA12" s="3"/>
    </row>
    <row r="13" spans="1:27" x14ac:dyDescent="0.25">
      <c r="A13" s="39" t="s">
        <v>324</v>
      </c>
      <c r="B13" s="3" t="str">
        <f t="shared" si="36"/>
        <v>0.022</v>
      </c>
      <c r="C13" s="3" t="str">
        <f t="shared" si="36"/>
        <v>0.016</v>
      </c>
      <c r="D13" s="3" t="str">
        <f t="shared" si="34"/>
        <v>0.035</v>
      </c>
      <c r="E13" s="3" t="str">
        <f t="shared" si="34"/>
        <v>0.04</v>
      </c>
      <c r="F13" s="3" t="str">
        <f t="shared" si="34"/>
        <v>0.037</v>
      </c>
      <c r="G13" s="3" t="str">
        <f t="shared" si="34"/>
        <v>0.036</v>
      </c>
      <c r="H13" s="3" t="str">
        <f t="shared" si="34"/>
        <v>0.009</v>
      </c>
      <c r="I13" s="3" t="str">
        <f t="shared" si="34"/>
        <v>0.006</v>
      </c>
      <c r="J13" s="3" t="str">
        <f t="shared" si="34"/>
        <v>0.007</v>
      </c>
      <c r="K13" s="3" t="str">
        <f t="shared" si="34"/>
        <v>0.008</v>
      </c>
      <c r="L13" s="3" t="str">
        <f t="shared" si="34"/>
        <v>0.011</v>
      </c>
      <c r="M13" s="3" t="str">
        <f t="shared" si="34"/>
        <v>0.009</v>
      </c>
      <c r="N13" s="3" t="str">
        <f t="shared" si="34"/>
        <v>0.012</v>
      </c>
      <c r="O13" s="3" t="str">
        <f t="shared" si="34"/>
        <v>0.008</v>
      </c>
      <c r="P13" s="3" t="str">
        <f t="shared" si="34"/>
        <v>0.011</v>
      </c>
      <c r="Q13" s="3" t="str">
        <f t="shared" si="34"/>
        <v>0.016</v>
      </c>
      <c r="R13" s="3" t="str">
        <f t="shared" si="34"/>
        <v>0.038</v>
      </c>
      <c r="S13" s="3" t="str">
        <f t="shared" si="34"/>
        <v>0.039</v>
      </c>
      <c r="T13" s="3" t="str">
        <f t="shared" si="34"/>
        <v>0.039</v>
      </c>
      <c r="U13" s="3" t="str">
        <f t="shared" si="34"/>
        <v>0.037</v>
      </c>
      <c r="V13" s="3" t="str">
        <f t="shared" si="34"/>
        <v>0.039</v>
      </c>
      <c r="W13" s="3" t="str">
        <f t="shared" si="34"/>
        <v>0.047</v>
      </c>
      <c r="X13" s="3" t="str">
        <f t="shared" si="34"/>
        <v>0.044</v>
      </c>
      <c r="Y13" s="3" t="str">
        <f t="shared" si="35"/>
        <v>0.034</v>
      </c>
      <c r="Z13" s="3"/>
      <c r="AA13" s="3"/>
    </row>
    <row r="14" spans="1:27" x14ac:dyDescent="0.25">
      <c r="A14" s="39" t="s">
        <v>325</v>
      </c>
      <c r="B14" s="3" t="str">
        <f t="shared" si="36"/>
        <v>00-05</v>
      </c>
      <c r="C14" s="3" t="str">
        <f t="shared" si="36"/>
        <v>75-80</v>
      </c>
      <c r="D14" s="3" t="str">
        <f t="shared" si="34"/>
        <v>90-95</v>
      </c>
      <c r="E14" s="3" t="str">
        <f t="shared" si="34"/>
        <v>90-95</v>
      </c>
      <c r="F14" s="3" t="str">
        <f t="shared" si="34"/>
        <v>90-95</v>
      </c>
      <c r="G14" s="3" t="str">
        <f t="shared" si="34"/>
        <v>75-80</v>
      </c>
      <c r="H14" s="3" t="str">
        <f t="shared" si="34"/>
        <v>95-00</v>
      </c>
      <c r="I14" s="3" t="str">
        <f t="shared" si="34"/>
        <v>00-05</v>
      </c>
      <c r="J14" s="3" t="str">
        <f t="shared" si="34"/>
        <v>00-05</v>
      </c>
      <c r="K14" s="3" t="str">
        <f t="shared" si="34"/>
        <v>05-10</v>
      </c>
      <c r="L14" s="3" t="str">
        <f t="shared" si="34"/>
        <v>05-10</v>
      </c>
      <c r="M14" s="3" t="str">
        <f t="shared" si="34"/>
        <v>05-10</v>
      </c>
      <c r="N14" s="3" t="str">
        <f t="shared" si="34"/>
        <v>00-05</v>
      </c>
      <c r="O14" s="3" t="str">
        <f t="shared" si="34"/>
        <v>00-05</v>
      </c>
      <c r="P14" s="3" t="str">
        <f t="shared" si="34"/>
        <v>95-00</v>
      </c>
      <c r="Q14" s="3" t="str">
        <f t="shared" si="34"/>
        <v>90-95</v>
      </c>
      <c r="R14" s="3" t="str">
        <f t="shared" si="34"/>
        <v>85-90</v>
      </c>
      <c r="S14" s="3" t="str">
        <f t="shared" si="34"/>
        <v>85-90</v>
      </c>
      <c r="T14" s="3" t="str">
        <f t="shared" si="34"/>
        <v>85-90</v>
      </c>
      <c r="U14" s="3" t="str">
        <f t="shared" si="34"/>
        <v>85-90</v>
      </c>
      <c r="V14" s="3" t="str">
        <f t="shared" si="34"/>
        <v>85-90</v>
      </c>
      <c r="W14" s="3" t="str">
        <f t="shared" si="34"/>
        <v>85-90</v>
      </c>
      <c r="X14" s="3" t="str">
        <f t="shared" si="34"/>
        <v>85-90</v>
      </c>
      <c r="Y14" s="3" t="str">
        <f t="shared" si="35"/>
        <v>85-90</v>
      </c>
      <c r="Z14" s="3"/>
      <c r="AA14" s="3"/>
    </row>
    <row r="15" spans="1:27" x14ac:dyDescent="0.25">
      <c r="A15" s="39" t="s">
        <v>326</v>
      </c>
      <c r="B15" s="3" t="str">
        <f t="shared" si="36"/>
        <v>-0.0137**</v>
      </c>
      <c r="C15" s="3" t="str">
        <f t="shared" si="36"/>
        <v>-0.0160**</v>
      </c>
      <c r="D15" s="3" t="str">
        <f t="shared" si="34"/>
        <v>-0.0203***</v>
      </c>
      <c r="E15" s="3" t="str">
        <f t="shared" si="34"/>
        <v>-0.0211***</v>
      </c>
      <c r="F15" s="3" t="str">
        <f t="shared" si="34"/>
        <v>-0.0175***</v>
      </c>
      <c r="G15" s="3" t="str">
        <f t="shared" si="34"/>
        <v>-0.0252***</v>
      </c>
      <c r="H15" s="3">
        <f t="shared" si="34"/>
        <v>-8.0700000000000008E-3</v>
      </c>
      <c r="I15" s="3">
        <f t="shared" si="34"/>
        <v>-6.28E-3</v>
      </c>
      <c r="J15" s="3">
        <f t="shared" si="34"/>
        <v>-6.8799999999999998E-3</v>
      </c>
      <c r="K15" s="3" t="str">
        <f t="shared" si="34"/>
        <v>-0.00714*</v>
      </c>
      <c r="L15" s="3" t="str">
        <f t="shared" si="34"/>
        <v>-0.00806*</v>
      </c>
      <c r="M15" s="3" t="str">
        <f t="shared" si="34"/>
        <v>-0.00741*</v>
      </c>
      <c r="N15" s="3" t="str">
        <f t="shared" si="34"/>
        <v>-0.00867*</v>
      </c>
      <c r="O15" s="3">
        <f t="shared" si="34"/>
        <v>-6.7000000000000002E-3</v>
      </c>
      <c r="P15" s="3" t="str">
        <f t="shared" si="34"/>
        <v>-0.00882*</v>
      </c>
      <c r="Q15" s="3" t="str">
        <f t="shared" si="34"/>
        <v>-0.0638*</v>
      </c>
      <c r="R15" s="3" t="str">
        <f t="shared" si="34"/>
        <v>-0.0571***</v>
      </c>
      <c r="S15" s="3" t="str">
        <f t="shared" si="34"/>
        <v>-0.0616***</v>
      </c>
      <c r="T15" s="3" t="str">
        <f t="shared" si="34"/>
        <v>-0.0622***</v>
      </c>
      <c r="U15" s="3" t="str">
        <f t="shared" si="34"/>
        <v>-0.0610***</v>
      </c>
      <c r="V15" s="3" t="str">
        <f t="shared" si="34"/>
        <v>-0.0900**</v>
      </c>
      <c r="W15" s="3" t="str">
        <f t="shared" si="34"/>
        <v>-0.0964**</v>
      </c>
      <c r="X15" s="3" t="str">
        <f t="shared" si="34"/>
        <v>-0.0909**</v>
      </c>
      <c r="Y15" s="3" t="str">
        <f t="shared" si="35"/>
        <v>-0.0799**</v>
      </c>
      <c r="Z15" s="3"/>
      <c r="AA15" s="3"/>
    </row>
    <row r="16" spans="1:27" x14ac:dyDescent="0.25">
      <c r="A16" s="39" t="s">
        <v>327</v>
      </c>
      <c r="B16" s="3">
        <f t="shared" si="36"/>
        <v>-2.2200000000000002E-3</v>
      </c>
      <c r="C16" s="3">
        <f t="shared" si="36"/>
        <v>-1.2700000000000001E-3</v>
      </c>
      <c r="D16" s="3">
        <f t="shared" si="34"/>
        <v>-6.0699999999999999E-3</v>
      </c>
      <c r="E16" s="3">
        <f t="shared" si="34"/>
        <v>-1.65E-3</v>
      </c>
      <c r="F16" s="3">
        <f t="shared" si="34"/>
        <v>-3.2599999999999999E-3</v>
      </c>
      <c r="G16" s="3">
        <f t="shared" si="34"/>
        <v>-9.2099999999999994E-3</v>
      </c>
      <c r="H16" s="3">
        <f t="shared" si="34"/>
        <v>-2.48E-3</v>
      </c>
      <c r="I16" s="3">
        <f t="shared" si="34"/>
        <v>-4.2500000000000003E-3</v>
      </c>
      <c r="J16" s="3">
        <f t="shared" si="34"/>
        <v>-6.0499999999999998E-3</v>
      </c>
      <c r="K16" s="3" t="str">
        <f t="shared" si="34"/>
        <v>-0.00714*</v>
      </c>
      <c r="L16" s="3" t="str">
        <f t="shared" si="34"/>
        <v>-0.00806*</v>
      </c>
      <c r="M16" s="3" t="str">
        <f t="shared" si="34"/>
        <v>-0.00741*</v>
      </c>
      <c r="N16" s="3">
        <f t="shared" si="34"/>
        <v>-3.7299999999999998E-3</v>
      </c>
      <c r="O16" s="3">
        <f t="shared" si="34"/>
        <v>-2.8600000000000001E-3</v>
      </c>
      <c r="P16" s="3">
        <f t="shared" si="34"/>
        <v>-2.9199999999999999E-3</v>
      </c>
      <c r="Q16" s="3">
        <f t="shared" si="34"/>
        <v>1.6899999999999998E-2</v>
      </c>
      <c r="R16" s="3">
        <f t="shared" si="34"/>
        <v>4.4400000000000004E-3</v>
      </c>
      <c r="S16" s="3">
        <f t="shared" si="34"/>
        <v>-1.3200000000000001E-4</v>
      </c>
      <c r="T16" s="3">
        <f t="shared" si="34"/>
        <v>-3.6499999999999998E-4</v>
      </c>
      <c r="U16" s="3">
        <f t="shared" si="34"/>
        <v>-2.96E-3</v>
      </c>
      <c r="V16" s="3">
        <f t="shared" si="34"/>
        <v>6.1999999999999998E-3</v>
      </c>
      <c r="W16" s="3">
        <f t="shared" si="34"/>
        <v>3.0699999999999998E-3</v>
      </c>
      <c r="X16" s="3">
        <f t="shared" si="34"/>
        <v>6.43E-3</v>
      </c>
      <c r="Y16" s="3">
        <f t="shared" si="35"/>
        <v>4.6999999999999999E-4</v>
      </c>
      <c r="Z16" s="3"/>
      <c r="AA16" s="3"/>
    </row>
    <row r="17" spans="1:50" x14ac:dyDescent="0.25">
      <c r="B17" s="3"/>
    </row>
    <row r="18" spans="1:50" x14ac:dyDescent="0.25">
      <c r="C18" s="3"/>
      <c r="D18" s="3"/>
      <c r="E18" s="3"/>
      <c r="F18" s="3"/>
      <c r="G18" s="3"/>
    </row>
    <row r="19" spans="1:50" x14ac:dyDescent="0.25">
      <c r="C19" s="3"/>
      <c r="D19" s="3"/>
      <c r="E19" s="3"/>
      <c r="F19" s="3"/>
      <c r="G19" s="3"/>
    </row>
    <row r="24" spans="1:50" x14ac:dyDescent="0.25">
      <c r="A24" t="s">
        <v>321</v>
      </c>
      <c r="B24" t="s">
        <v>328</v>
      </c>
      <c r="C24" s="3" t="s">
        <v>331</v>
      </c>
      <c r="D24" s="3" t="s">
        <v>333</v>
      </c>
      <c r="E24" s="3" t="s">
        <v>335</v>
      </c>
      <c r="F24" s="3" t="s">
        <v>338</v>
      </c>
      <c r="G24" s="3" t="s">
        <v>340</v>
      </c>
      <c r="H24" s="3" t="s">
        <v>305</v>
      </c>
      <c r="I24" s="3" t="s">
        <v>306</v>
      </c>
      <c r="J24" s="3" t="s">
        <v>307</v>
      </c>
      <c r="K24" s="3" t="s">
        <v>345</v>
      </c>
      <c r="L24" s="3" t="s">
        <v>347</v>
      </c>
      <c r="M24" s="3" t="s">
        <v>349</v>
      </c>
      <c r="N24" s="3" t="s">
        <v>350</v>
      </c>
      <c r="O24" s="3" t="s">
        <v>308</v>
      </c>
      <c r="P24" s="3" t="s">
        <v>352</v>
      </c>
      <c r="Q24" s="3" t="s">
        <v>354</v>
      </c>
      <c r="R24" s="3" t="s">
        <v>356</v>
      </c>
      <c r="S24" s="3" t="s">
        <v>358</v>
      </c>
      <c r="T24" s="3" t="s">
        <v>309</v>
      </c>
      <c r="U24" s="3" t="s">
        <v>360</v>
      </c>
      <c r="V24" s="3" t="s">
        <v>310</v>
      </c>
      <c r="W24" s="3" t="s">
        <v>363</v>
      </c>
      <c r="X24" s="3" t="s">
        <v>311</v>
      </c>
      <c r="Y24" s="3" t="s">
        <v>366</v>
      </c>
      <c r="Z24" s="3" t="s">
        <v>369</v>
      </c>
      <c r="AA24" s="3" t="s">
        <v>371</v>
      </c>
      <c r="AB24" s="3" t="s">
        <v>312</v>
      </c>
      <c r="AC24" s="3" t="s">
        <v>374</v>
      </c>
      <c r="AD24" s="3" t="s">
        <v>376</v>
      </c>
      <c r="AE24" s="3" t="s">
        <v>378</v>
      </c>
      <c r="AF24" s="3" t="s">
        <v>313</v>
      </c>
      <c r="AG24" s="3" t="s">
        <v>379</v>
      </c>
      <c r="AH24" s="3" t="s">
        <v>380</v>
      </c>
      <c r="AI24" s="3" t="s">
        <v>382</v>
      </c>
      <c r="AJ24" s="3" t="s">
        <v>384</v>
      </c>
      <c r="AK24" s="3" t="s">
        <v>386</v>
      </c>
      <c r="AL24" s="3" t="s">
        <v>388</v>
      </c>
      <c r="AM24" s="3" t="s">
        <v>389</v>
      </c>
      <c r="AN24" s="3" t="s">
        <v>391</v>
      </c>
      <c r="AO24" s="3" t="s">
        <v>393</v>
      </c>
      <c r="AP24" s="3" t="s">
        <v>395</v>
      </c>
      <c r="AQ24" s="3" t="s">
        <v>396</v>
      </c>
      <c r="AR24" s="3" t="s">
        <v>398</v>
      </c>
      <c r="AS24" s="3" t="s">
        <v>400</v>
      </c>
      <c r="AT24" s="3" t="s">
        <v>402</v>
      </c>
      <c r="AU24" s="3" t="s">
        <v>314</v>
      </c>
      <c r="AV24" s="3" t="s">
        <v>405</v>
      </c>
      <c r="AW24" s="3" t="s">
        <v>315</v>
      </c>
      <c r="AX24" s="3" t="s">
        <v>482</v>
      </c>
    </row>
    <row r="25" spans="1:50" x14ac:dyDescent="0.25">
      <c r="A25" t="s">
        <v>322</v>
      </c>
      <c r="B25" s="40">
        <v>0.8571428571428571</v>
      </c>
      <c r="C25" s="3" t="s">
        <v>44</v>
      </c>
      <c r="D25" s="3" t="s">
        <v>44</v>
      </c>
      <c r="E25" s="3" t="s">
        <v>45</v>
      </c>
      <c r="F25" s="3" t="s">
        <v>45</v>
      </c>
      <c r="G25" s="3" t="s">
        <v>45</v>
      </c>
      <c r="H25" s="3" t="s">
        <v>44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48</v>
      </c>
      <c r="P25" s="3" t="s">
        <v>48</v>
      </c>
      <c r="Q25" s="3" t="s">
        <v>48</v>
      </c>
      <c r="R25" s="3" t="s">
        <v>48</v>
      </c>
      <c r="S25" s="3" t="s">
        <v>48</v>
      </c>
      <c r="T25" s="3" t="s">
        <v>48</v>
      </c>
      <c r="U25" s="3" t="s">
        <v>50</v>
      </c>
      <c r="V25" s="3" t="s">
        <v>50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46</v>
      </c>
      <c r="AO25" s="3" t="s">
        <v>46</v>
      </c>
      <c r="AP25" s="3" t="s">
        <v>50</v>
      </c>
      <c r="AQ25" s="3" t="s">
        <v>50</v>
      </c>
      <c r="AR25" s="3" t="s">
        <v>46</v>
      </c>
      <c r="AS25" s="3" t="s">
        <v>46</v>
      </c>
      <c r="AT25" s="3" t="s">
        <v>50</v>
      </c>
      <c r="AU25" s="3" t="s">
        <v>46</v>
      </c>
      <c r="AV25" s="3" t="s">
        <v>46</v>
      </c>
      <c r="AW25" s="3" t="s">
        <v>44</v>
      </c>
      <c r="AX25" s="3" t="s">
        <v>44</v>
      </c>
    </row>
    <row r="26" spans="1:50" x14ac:dyDescent="0.25">
      <c r="A26" t="s">
        <v>323</v>
      </c>
      <c r="B26" s="40">
        <v>0.5714285714285714</v>
      </c>
      <c r="C26" s="3" t="s">
        <v>44</v>
      </c>
      <c r="D26" s="3" t="s">
        <v>44</v>
      </c>
      <c r="E26" s="3" t="s">
        <v>51</v>
      </c>
      <c r="F26" s="3" t="s">
        <v>47</v>
      </c>
      <c r="G26" s="3" t="s">
        <v>48</v>
      </c>
      <c r="H26" s="3" t="s">
        <v>47</v>
      </c>
      <c r="I26" s="3" t="s">
        <v>49</v>
      </c>
      <c r="J26" s="3" t="s">
        <v>46</v>
      </c>
      <c r="K26" s="3" t="s">
        <v>46</v>
      </c>
      <c r="L26" s="3" t="s">
        <v>47</v>
      </c>
      <c r="M26" s="3" t="s">
        <v>47</v>
      </c>
      <c r="N26" s="3" t="s">
        <v>47</v>
      </c>
      <c r="O26" s="3" t="s">
        <v>49</v>
      </c>
      <c r="P26" s="3" t="s">
        <v>49</v>
      </c>
      <c r="Q26" s="3" t="s">
        <v>50</v>
      </c>
      <c r="R26" s="3" t="s">
        <v>50</v>
      </c>
      <c r="S26" s="3" t="s">
        <v>49</v>
      </c>
      <c r="T26" s="3" t="s">
        <v>50</v>
      </c>
      <c r="U26" s="3" t="s">
        <v>46</v>
      </c>
      <c r="V26" s="3" t="s">
        <v>48</v>
      </c>
      <c r="W26" s="3" t="s">
        <v>47</v>
      </c>
      <c r="X26" s="3" t="s">
        <v>48</v>
      </c>
      <c r="Y26" s="3" t="s">
        <v>48</v>
      </c>
      <c r="Z26" s="3" t="s">
        <v>48</v>
      </c>
      <c r="AA26" s="3" t="s">
        <v>51</v>
      </c>
      <c r="AB26" s="3" t="s">
        <v>48</v>
      </c>
      <c r="AC26" s="3" t="s">
        <v>47</v>
      </c>
      <c r="AD26" s="3" t="s">
        <v>50</v>
      </c>
      <c r="AE26" s="3" t="s">
        <v>49</v>
      </c>
      <c r="AF26" s="3" t="s">
        <v>49</v>
      </c>
      <c r="AG26" s="3" t="s">
        <v>49</v>
      </c>
      <c r="AH26" s="3" t="s">
        <v>50</v>
      </c>
      <c r="AI26" s="3" t="s">
        <v>50</v>
      </c>
      <c r="AJ26" s="3" t="s">
        <v>50</v>
      </c>
      <c r="AK26" s="3" t="s">
        <v>50</v>
      </c>
      <c r="AL26" s="3" t="s">
        <v>49</v>
      </c>
      <c r="AM26" s="3" t="s">
        <v>50</v>
      </c>
      <c r="AN26" s="3" t="s">
        <v>47</v>
      </c>
      <c r="AO26" s="3" t="s">
        <v>46</v>
      </c>
      <c r="AP26" s="3" t="s">
        <v>46</v>
      </c>
      <c r="AQ26" s="3" t="s">
        <v>46</v>
      </c>
      <c r="AR26" s="3" t="s">
        <v>46</v>
      </c>
      <c r="AS26" s="3" t="s">
        <v>50</v>
      </c>
      <c r="AT26" s="3" t="s">
        <v>50</v>
      </c>
      <c r="AU26" s="3" t="s">
        <v>50</v>
      </c>
      <c r="AV26" s="3" t="s">
        <v>50</v>
      </c>
      <c r="AW26" s="3" t="s">
        <v>46</v>
      </c>
      <c r="AX26" s="3" t="s">
        <v>47</v>
      </c>
    </row>
    <row r="27" spans="1:50" x14ac:dyDescent="0.25">
      <c r="A27" t="s">
        <v>324</v>
      </c>
      <c r="B27">
        <v>3.9E-2</v>
      </c>
      <c r="C27" s="3" t="s">
        <v>407</v>
      </c>
      <c r="D27" s="3" t="s">
        <v>408</v>
      </c>
      <c r="E27" s="3" t="s">
        <v>409</v>
      </c>
      <c r="F27" s="3" t="s">
        <v>410</v>
      </c>
      <c r="G27" s="3" t="s">
        <v>410</v>
      </c>
      <c r="H27" s="3" t="s">
        <v>411</v>
      </c>
      <c r="I27" s="3" t="s">
        <v>412</v>
      </c>
      <c r="J27" s="3" t="s">
        <v>413</v>
      </c>
      <c r="K27" s="3" t="s">
        <v>414</v>
      </c>
      <c r="L27" s="3" t="s">
        <v>415</v>
      </c>
      <c r="M27" s="3" t="s">
        <v>416</v>
      </c>
      <c r="N27" s="3" t="s">
        <v>415</v>
      </c>
      <c r="O27" s="3" t="s">
        <v>417</v>
      </c>
      <c r="P27" s="3" t="s">
        <v>412</v>
      </c>
      <c r="Q27" s="3" t="s">
        <v>418</v>
      </c>
      <c r="R27" s="3" t="s">
        <v>419</v>
      </c>
      <c r="S27" s="3" t="s">
        <v>420</v>
      </c>
      <c r="T27" s="3" t="s">
        <v>421</v>
      </c>
      <c r="U27" s="3" t="s">
        <v>422</v>
      </c>
      <c r="V27" s="3" t="s">
        <v>423</v>
      </c>
      <c r="W27" s="3" t="s">
        <v>424</v>
      </c>
      <c r="X27" s="3" t="s">
        <v>425</v>
      </c>
      <c r="Y27" s="3" t="s">
        <v>426</v>
      </c>
      <c r="Z27" s="3" t="s">
        <v>427</v>
      </c>
      <c r="AA27" s="3" t="s">
        <v>410</v>
      </c>
      <c r="AB27" s="3" t="s">
        <v>428</v>
      </c>
      <c r="AC27" s="3" t="s">
        <v>429</v>
      </c>
      <c r="AD27" s="3" t="s">
        <v>407</v>
      </c>
      <c r="AE27" s="3" t="s">
        <v>430</v>
      </c>
      <c r="AF27" s="3" t="s">
        <v>431</v>
      </c>
      <c r="AG27" s="3" t="s">
        <v>412</v>
      </c>
      <c r="AH27" s="3" t="s">
        <v>432</v>
      </c>
      <c r="AI27" s="3" t="s">
        <v>434</v>
      </c>
      <c r="AJ27" s="3" t="s">
        <v>430</v>
      </c>
      <c r="AK27" s="3" t="s">
        <v>419</v>
      </c>
      <c r="AL27" s="3" t="s">
        <v>432</v>
      </c>
      <c r="AM27" s="3" t="s">
        <v>434</v>
      </c>
      <c r="AN27" s="3" t="s">
        <v>427</v>
      </c>
      <c r="AO27" s="3" t="s">
        <v>435</v>
      </c>
      <c r="AP27" s="3" t="s">
        <v>436</v>
      </c>
      <c r="AQ27" s="3" t="s">
        <v>436</v>
      </c>
      <c r="AR27" s="3" t="s">
        <v>429</v>
      </c>
      <c r="AS27" s="3" t="s">
        <v>436</v>
      </c>
      <c r="AT27" s="3" t="s">
        <v>437</v>
      </c>
      <c r="AU27" s="3" t="s">
        <v>438</v>
      </c>
      <c r="AV27" s="3" t="s">
        <v>439</v>
      </c>
      <c r="AW27" s="3" t="s">
        <v>496</v>
      </c>
      <c r="AX27" s="3" t="s">
        <v>567</v>
      </c>
    </row>
    <row r="28" spans="1:50" x14ac:dyDescent="0.25">
      <c r="A28" t="s">
        <v>325</v>
      </c>
      <c r="B28" t="s">
        <v>329</v>
      </c>
      <c r="C28" s="3" t="s">
        <v>329</v>
      </c>
      <c r="D28" s="3" t="s">
        <v>329</v>
      </c>
      <c r="E28" s="3" t="s">
        <v>336</v>
      </c>
      <c r="F28" s="3" t="s">
        <v>336</v>
      </c>
      <c r="G28" s="3" t="s">
        <v>336</v>
      </c>
      <c r="H28" s="3" t="s">
        <v>342</v>
      </c>
      <c r="I28" s="3" t="s">
        <v>329</v>
      </c>
      <c r="J28" s="3" t="s">
        <v>342</v>
      </c>
      <c r="K28" s="3" t="s">
        <v>342</v>
      </c>
      <c r="L28" s="3" t="s">
        <v>342</v>
      </c>
      <c r="M28" s="3" t="s">
        <v>342</v>
      </c>
      <c r="N28" s="3" t="s">
        <v>342</v>
      </c>
      <c r="O28" s="3" t="s">
        <v>329</v>
      </c>
      <c r="P28" s="3" t="s">
        <v>353</v>
      </c>
      <c r="Q28" s="3" t="s">
        <v>329</v>
      </c>
      <c r="R28" s="3" t="s">
        <v>329</v>
      </c>
      <c r="S28" s="3" t="s">
        <v>342</v>
      </c>
      <c r="T28" s="3" t="s">
        <v>329</v>
      </c>
      <c r="U28" s="3" t="s">
        <v>336</v>
      </c>
      <c r="V28" s="3" t="s">
        <v>342</v>
      </c>
      <c r="W28" s="3" t="s">
        <v>336</v>
      </c>
      <c r="X28" s="3" t="s">
        <v>336</v>
      </c>
      <c r="Y28" s="3" t="s">
        <v>367</v>
      </c>
      <c r="Z28" s="3" t="s">
        <v>353</v>
      </c>
      <c r="AA28" s="3" t="s">
        <v>336</v>
      </c>
      <c r="AB28" s="3" t="s">
        <v>336</v>
      </c>
      <c r="AC28" s="3" t="s">
        <v>336</v>
      </c>
      <c r="AD28" s="3" t="s">
        <v>353</v>
      </c>
      <c r="AE28" s="3" t="s">
        <v>329</v>
      </c>
      <c r="AF28" s="3" t="s">
        <v>367</v>
      </c>
      <c r="AG28" s="3" t="s">
        <v>367</v>
      </c>
      <c r="AH28" s="3" t="s">
        <v>433</v>
      </c>
      <c r="AI28" s="3" t="s">
        <v>433</v>
      </c>
      <c r="AJ28" s="3" t="s">
        <v>433</v>
      </c>
      <c r="AK28" s="3" t="s">
        <v>367</v>
      </c>
      <c r="AL28" s="3" t="s">
        <v>367</v>
      </c>
      <c r="AM28" s="3" t="s">
        <v>329</v>
      </c>
      <c r="AN28" s="3" t="s">
        <v>336</v>
      </c>
      <c r="AO28" s="3" t="s">
        <v>342</v>
      </c>
      <c r="AP28" s="3" t="s">
        <v>342</v>
      </c>
      <c r="AQ28" s="3" t="s">
        <v>342</v>
      </c>
      <c r="AR28" s="3" t="s">
        <v>342</v>
      </c>
      <c r="AS28" s="3" t="s">
        <v>342</v>
      </c>
      <c r="AT28" s="3" t="s">
        <v>342</v>
      </c>
      <c r="AU28" s="3" t="s">
        <v>342</v>
      </c>
      <c r="AV28" s="3" t="s">
        <v>342</v>
      </c>
      <c r="AW28" s="3" t="s">
        <v>342</v>
      </c>
      <c r="AX28" s="3" t="s">
        <v>342</v>
      </c>
    </row>
    <row r="29" spans="1:50" x14ac:dyDescent="0.25">
      <c r="A29" t="s">
        <v>326</v>
      </c>
      <c r="B29" t="s">
        <v>330</v>
      </c>
      <c r="C29" t="s">
        <v>332</v>
      </c>
      <c r="D29" t="s">
        <v>334</v>
      </c>
      <c r="E29" t="s">
        <v>337</v>
      </c>
      <c r="F29" t="s">
        <v>339</v>
      </c>
      <c r="G29" t="s">
        <v>341</v>
      </c>
      <c r="H29" t="s">
        <v>343</v>
      </c>
      <c r="I29">
        <v>-7.0499999999999998E-3</v>
      </c>
      <c r="J29" t="s">
        <v>344</v>
      </c>
      <c r="K29" t="s">
        <v>346</v>
      </c>
      <c r="L29" t="s">
        <v>348</v>
      </c>
      <c r="M29" t="s">
        <v>231</v>
      </c>
      <c r="N29" t="s">
        <v>351</v>
      </c>
      <c r="O29">
        <v>2.1100000000000001E-2</v>
      </c>
      <c r="P29">
        <v>-4.4400000000000002E-2</v>
      </c>
      <c r="Q29" t="s">
        <v>355</v>
      </c>
      <c r="R29" t="s">
        <v>357</v>
      </c>
      <c r="S29">
        <v>-8.3400000000000002E-2</v>
      </c>
      <c r="T29" t="s">
        <v>359</v>
      </c>
      <c r="U29" t="s">
        <v>361</v>
      </c>
      <c r="V29" t="s">
        <v>362</v>
      </c>
      <c r="W29" t="s">
        <v>231</v>
      </c>
      <c r="X29" t="s">
        <v>364</v>
      </c>
      <c r="Y29" t="s">
        <v>368</v>
      </c>
      <c r="Z29" t="s">
        <v>370</v>
      </c>
      <c r="AA29" t="s">
        <v>372</v>
      </c>
      <c r="AB29" t="s">
        <v>373</v>
      </c>
      <c r="AC29" t="s">
        <v>375</v>
      </c>
      <c r="AD29" t="s">
        <v>377</v>
      </c>
      <c r="AE29">
        <v>-8.0700000000000008E-3</v>
      </c>
      <c r="AF29">
        <v>-6.28E-3</v>
      </c>
      <c r="AG29">
        <v>-6.8799999999999998E-3</v>
      </c>
      <c r="AH29" t="s">
        <v>381</v>
      </c>
      <c r="AI29" t="s">
        <v>383</v>
      </c>
      <c r="AJ29" t="s">
        <v>385</v>
      </c>
      <c r="AK29" t="s">
        <v>387</v>
      </c>
      <c r="AL29">
        <v>-6.7000000000000002E-3</v>
      </c>
      <c r="AM29" t="s">
        <v>390</v>
      </c>
      <c r="AN29" t="s">
        <v>392</v>
      </c>
      <c r="AO29" t="s">
        <v>394</v>
      </c>
      <c r="AP29" t="s">
        <v>199</v>
      </c>
      <c r="AQ29" t="s">
        <v>397</v>
      </c>
      <c r="AR29" t="s">
        <v>399</v>
      </c>
      <c r="AS29" t="s">
        <v>401</v>
      </c>
      <c r="AT29" t="s">
        <v>403</v>
      </c>
      <c r="AU29" t="s">
        <v>404</v>
      </c>
      <c r="AV29" t="s">
        <v>406</v>
      </c>
      <c r="AW29" t="s">
        <v>566</v>
      </c>
      <c r="AX29" t="s">
        <v>568</v>
      </c>
    </row>
    <row r="30" spans="1:50" x14ac:dyDescent="0.25">
      <c r="A30" t="s">
        <v>327</v>
      </c>
      <c r="B30">
        <v>-1.6899999999999998E-2</v>
      </c>
      <c r="C30">
        <v>-1.26E-2</v>
      </c>
      <c r="D30">
        <v>-1.14E-2</v>
      </c>
      <c r="E30">
        <v>5.5999999999999995E-4</v>
      </c>
      <c r="F30">
        <v>2.9099999999999998E-3</v>
      </c>
      <c r="G30">
        <v>4.9899999999999996E-3</v>
      </c>
      <c r="H30">
        <v>-7.1900000000000002E-3</v>
      </c>
      <c r="I30">
        <v>-5.4999999999999997E-3</v>
      </c>
      <c r="J30">
        <v>-1.06E-2</v>
      </c>
      <c r="K30">
        <v>-4.3299999999999996E-3</v>
      </c>
      <c r="L30">
        <v>-2.8800000000000002E-3</v>
      </c>
      <c r="M30">
        <v>-4.15E-3</v>
      </c>
      <c r="N30">
        <v>-1.1100000000000001E-3</v>
      </c>
      <c r="O30">
        <v>1.8599999999999998E-2</v>
      </c>
      <c r="P30">
        <v>1.52E-2</v>
      </c>
      <c r="Q30">
        <v>9.8499999999999994E-3</v>
      </c>
      <c r="R30">
        <v>1.1900000000000001E-2</v>
      </c>
      <c r="S30">
        <v>2.0899999999999998E-2</v>
      </c>
      <c r="T30">
        <v>1.5100000000000001E-2</v>
      </c>
      <c r="U30">
        <v>3.0499999999999999E-2</v>
      </c>
      <c r="V30">
        <v>3.04E-2</v>
      </c>
      <c r="W30">
        <v>-3.9899999999999998E-2</v>
      </c>
      <c r="X30" t="s">
        <v>365</v>
      </c>
      <c r="Y30">
        <v>-2.2200000000000002E-3</v>
      </c>
      <c r="Z30">
        <v>-1.2700000000000001E-3</v>
      </c>
      <c r="AA30">
        <v>-6.0699999999999999E-3</v>
      </c>
      <c r="AB30">
        <v>-1.65E-3</v>
      </c>
      <c r="AC30">
        <v>-3.2599999999999999E-3</v>
      </c>
      <c r="AD30">
        <v>-9.2099999999999994E-3</v>
      </c>
      <c r="AE30">
        <v>-2.48E-3</v>
      </c>
      <c r="AF30">
        <v>-4.2500000000000003E-3</v>
      </c>
      <c r="AG30">
        <v>-6.0499999999999998E-3</v>
      </c>
      <c r="AH30" t="s">
        <v>381</v>
      </c>
      <c r="AI30" t="s">
        <v>383</v>
      </c>
      <c r="AJ30" t="s">
        <v>385</v>
      </c>
      <c r="AK30">
        <v>-3.7299999999999998E-3</v>
      </c>
      <c r="AL30">
        <v>-2.8600000000000001E-3</v>
      </c>
      <c r="AM30">
        <v>-2.9199999999999999E-3</v>
      </c>
      <c r="AN30">
        <v>1.6899999999999998E-2</v>
      </c>
      <c r="AO30">
        <v>4.4400000000000004E-3</v>
      </c>
      <c r="AP30">
        <v>-1.3200000000000001E-4</v>
      </c>
      <c r="AQ30">
        <v>-3.6499999999999998E-4</v>
      </c>
      <c r="AR30">
        <v>-2.96E-3</v>
      </c>
      <c r="AS30">
        <v>6.1999999999999998E-3</v>
      </c>
      <c r="AT30">
        <v>3.0699999999999998E-3</v>
      </c>
      <c r="AU30">
        <v>6.43E-3</v>
      </c>
      <c r="AV30">
        <v>4.6999999999999999E-4</v>
      </c>
      <c r="AW30">
        <v>-3.61E-2</v>
      </c>
      <c r="AX30">
        <v>-3.44E-2</v>
      </c>
    </row>
  </sheetData>
  <mergeCells count="9">
    <mergeCell ref="C1:D1"/>
    <mergeCell ref="B9:C9"/>
    <mergeCell ref="J9:K9"/>
    <mergeCell ref="S9:T9"/>
    <mergeCell ref="K1:L1"/>
    <mergeCell ref="P1:Q1"/>
    <mergeCell ref="R1:S1"/>
    <mergeCell ref="T1:U1"/>
    <mergeCell ref="Y1:Z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opLeftCell="C2" workbookViewId="0">
      <selection activeCell="A2" sqref="A2:Z17"/>
    </sheetView>
  </sheetViews>
  <sheetFormatPr defaultRowHeight="15" x14ac:dyDescent="0.25"/>
  <sheetData>
    <row r="1" spans="1:52" ht="15.75" x14ac:dyDescent="0.25">
      <c r="C1" s="42" t="s">
        <v>8</v>
      </c>
      <c r="D1" s="42"/>
      <c r="E1" s="11"/>
      <c r="F1" s="11" t="s">
        <v>12</v>
      </c>
      <c r="G1" s="11" t="s">
        <v>15</v>
      </c>
      <c r="H1" s="11"/>
      <c r="J1" s="7"/>
      <c r="K1" s="42" t="s">
        <v>13</v>
      </c>
      <c r="L1" s="42"/>
      <c r="M1" s="7"/>
      <c r="P1" s="42" t="s">
        <v>14</v>
      </c>
      <c r="Q1" s="42"/>
      <c r="R1" s="41" t="s">
        <v>17</v>
      </c>
      <c r="S1" s="41"/>
      <c r="T1" s="41" t="s">
        <v>16</v>
      </c>
      <c r="U1" s="41"/>
      <c r="V1" s="7"/>
      <c r="Y1" s="42" t="s">
        <v>18</v>
      </c>
      <c r="Z1" s="42"/>
      <c r="AC1" s="42" t="s">
        <v>8</v>
      </c>
      <c r="AD1" s="42"/>
      <c r="AE1" s="11"/>
      <c r="AF1" s="11" t="s">
        <v>12</v>
      </c>
      <c r="AG1" s="11" t="s">
        <v>15</v>
      </c>
      <c r="AH1" s="11"/>
      <c r="AJ1" s="7"/>
      <c r="AK1" s="42" t="s">
        <v>13</v>
      </c>
      <c r="AL1" s="42"/>
      <c r="AM1" s="7"/>
      <c r="AP1" s="42" t="s">
        <v>14</v>
      </c>
      <c r="AQ1" s="42"/>
      <c r="AR1" s="41" t="s">
        <v>17</v>
      </c>
      <c r="AS1" s="41"/>
      <c r="AT1" s="41" t="s">
        <v>16</v>
      </c>
      <c r="AU1" s="41"/>
      <c r="AV1" s="7"/>
      <c r="AY1" s="42" t="s">
        <v>18</v>
      </c>
      <c r="AZ1" s="42"/>
    </row>
    <row r="2" spans="1:52" ht="15.75" x14ac:dyDescent="0.25">
      <c r="C2" s="42" t="s">
        <v>8</v>
      </c>
      <c r="D2" s="42"/>
      <c r="E2" s="11"/>
      <c r="F2" s="11" t="s">
        <v>12</v>
      </c>
      <c r="G2" s="11" t="s">
        <v>15</v>
      </c>
      <c r="H2" s="11"/>
      <c r="J2" s="7"/>
      <c r="K2" s="42" t="s">
        <v>13</v>
      </c>
      <c r="L2" s="42"/>
      <c r="M2" s="7"/>
      <c r="P2" s="42" t="s">
        <v>14</v>
      </c>
      <c r="Q2" s="42"/>
      <c r="R2" s="41" t="s">
        <v>17</v>
      </c>
      <c r="S2" s="41"/>
      <c r="T2" s="41" t="s">
        <v>16</v>
      </c>
      <c r="U2" s="41"/>
      <c r="V2" s="7"/>
      <c r="Y2" s="42" t="s">
        <v>18</v>
      </c>
      <c r="Z2" s="42"/>
    </row>
    <row r="3" spans="1:52" x14ac:dyDescent="0.25">
      <c r="B3">
        <v>2001</v>
      </c>
      <c r="C3">
        <v>2002</v>
      </c>
      <c r="D3">
        <v>2003</v>
      </c>
      <c r="E3">
        <v>2004</v>
      </c>
      <c r="F3">
        <v>1975</v>
      </c>
      <c r="G3" t="s">
        <v>565</v>
      </c>
      <c r="H3" t="s">
        <v>564</v>
      </c>
      <c r="I3">
        <v>1980</v>
      </c>
      <c r="J3">
        <v>1981</v>
      </c>
      <c r="K3">
        <v>1982</v>
      </c>
      <c r="L3">
        <v>1983</v>
      </c>
      <c r="M3">
        <v>1984</v>
      </c>
      <c r="N3">
        <v>1985</v>
      </c>
      <c r="O3">
        <v>1986</v>
      </c>
      <c r="P3">
        <v>1999</v>
      </c>
      <c r="Q3">
        <v>2002</v>
      </c>
      <c r="R3">
        <v>1999</v>
      </c>
      <c r="S3">
        <v>2004</v>
      </c>
      <c r="T3">
        <v>2000</v>
      </c>
      <c r="U3">
        <v>2001</v>
      </c>
      <c r="V3">
        <v>2002</v>
      </c>
      <c r="W3">
        <v>2003</v>
      </c>
      <c r="X3">
        <v>2004</v>
      </c>
      <c r="Y3">
        <v>2003</v>
      </c>
      <c r="Z3">
        <v>2004</v>
      </c>
    </row>
    <row r="4" spans="1:52" x14ac:dyDescent="0.25">
      <c r="A4" s="39" t="s">
        <v>322</v>
      </c>
      <c r="B4" s="3" t="str">
        <f>Q26</f>
        <v>3/7</v>
      </c>
      <c r="C4" s="3" t="str">
        <f t="shared" ref="C4:C14" si="0">R26</f>
        <v>3/7</v>
      </c>
      <c r="D4" s="3" t="str">
        <f t="shared" ref="D4:D14" si="1">S26</f>
        <v>3/7</v>
      </c>
      <c r="E4" s="3" t="str">
        <f t="shared" ref="E4:E14" si="2">T26</f>
        <v>2/7</v>
      </c>
      <c r="F4" s="3" t="str">
        <f>I26</f>
        <v>0/7</v>
      </c>
      <c r="G4" s="3" t="str">
        <f>U26</f>
        <v>2/7</v>
      </c>
      <c r="H4" s="3" t="str">
        <f>V26</f>
        <v>3/7</v>
      </c>
      <c r="I4" s="40" t="str">
        <f>B26</f>
        <v>5/7</v>
      </c>
      <c r="J4" s="40" t="str">
        <f t="shared" ref="J4:J14" si="3">C26</f>
        <v>3/7</v>
      </c>
      <c r="K4" s="40" t="str">
        <f t="shared" ref="K4:K14" si="4">D26</f>
        <v>3/7</v>
      </c>
      <c r="L4" s="40" t="str">
        <f t="shared" ref="L4:L14" si="5">E26</f>
        <v>5/7</v>
      </c>
      <c r="M4" s="40" t="str">
        <f t="shared" ref="M4:M14" si="6">F26</f>
        <v>5/7</v>
      </c>
      <c r="N4" s="40" t="str">
        <f t="shared" ref="N4:N14" si="7">G26</f>
        <v>4/7</v>
      </c>
      <c r="O4" s="40" t="str">
        <f t="shared" ref="O4:O14" si="8">H26</f>
        <v>4/7</v>
      </c>
      <c r="P4" s="3" t="str">
        <f>O26</f>
        <v>3/7</v>
      </c>
      <c r="Q4" s="3" t="str">
        <f>P26</f>
        <v>4/7</v>
      </c>
      <c r="R4" s="3" t="str">
        <f>W26</f>
        <v>0/7</v>
      </c>
      <c r="S4" s="3" t="str">
        <f>X26</f>
        <v>0/7</v>
      </c>
      <c r="T4" s="3" t="str">
        <f>J26</f>
        <v>0/7</v>
      </c>
      <c r="U4" s="3" t="str">
        <f t="shared" ref="U4:U14" si="9">K26</f>
        <v>0/7</v>
      </c>
      <c r="V4" s="3" t="str">
        <f t="shared" ref="V4:V14" si="10">L26</f>
        <v>0/7</v>
      </c>
      <c r="W4" s="3" t="str">
        <f t="shared" ref="W4:W14" si="11">M26</f>
        <v>0/7</v>
      </c>
      <c r="X4" s="3" t="str">
        <f t="shared" ref="X4:X14" si="12">N26</f>
        <v>0/7</v>
      </c>
      <c r="Y4" s="3" t="str">
        <f>AW26</f>
        <v>4/7</v>
      </c>
      <c r="Z4" s="3" t="str">
        <f>AX26</f>
        <v>4/7</v>
      </c>
    </row>
    <row r="5" spans="1:52" x14ac:dyDescent="0.25">
      <c r="A5" s="39" t="s">
        <v>323</v>
      </c>
      <c r="B5" s="3" t="str">
        <f t="shared" ref="B5:B13" si="13">Q27</f>
        <v>1/7</v>
      </c>
      <c r="C5" s="3" t="str">
        <f t="shared" si="0"/>
        <v>1/7</v>
      </c>
      <c r="D5" s="3" t="str">
        <f t="shared" si="1"/>
        <v>1/7</v>
      </c>
      <c r="E5" s="3" t="str">
        <f t="shared" si="2"/>
        <v>1/7</v>
      </c>
      <c r="F5" s="3" t="str">
        <f t="shared" ref="F5:F13" si="14">I27</f>
        <v>2/7</v>
      </c>
      <c r="G5" s="3" t="str">
        <f t="shared" ref="G5:G13" si="15">U27</f>
        <v>1/7</v>
      </c>
      <c r="H5" s="3" t="str">
        <f t="shared" ref="H5:H13" si="16">V27</f>
        <v>2/7</v>
      </c>
      <c r="I5" s="40" t="str">
        <f t="shared" ref="I5:I13" si="17">B27</f>
        <v>1/7</v>
      </c>
      <c r="J5" s="40" t="str">
        <f t="shared" si="3"/>
        <v>0/7</v>
      </c>
      <c r="K5" s="40" t="str">
        <f t="shared" si="4"/>
        <v>2/7</v>
      </c>
      <c r="L5" s="40" t="str">
        <f t="shared" si="5"/>
        <v>1/7</v>
      </c>
      <c r="M5" s="40" t="str">
        <f t="shared" si="6"/>
        <v>2/7</v>
      </c>
      <c r="N5" s="40" t="str">
        <f t="shared" si="7"/>
        <v>2/7</v>
      </c>
      <c r="O5" s="40" t="str">
        <f t="shared" si="8"/>
        <v>2/7</v>
      </c>
      <c r="P5" s="3" t="str">
        <f t="shared" ref="P5:P13" si="18">O27</f>
        <v>1/7</v>
      </c>
      <c r="Q5" s="3" t="str">
        <f t="shared" ref="Q5:Q13" si="19">P27</f>
        <v>1/7</v>
      </c>
      <c r="R5" s="3" t="str">
        <f t="shared" ref="R5:R13" si="20">W27</f>
        <v>2/7</v>
      </c>
      <c r="S5" s="3" t="str">
        <f t="shared" ref="S5:S13" si="21">X27</f>
        <v>2/7</v>
      </c>
      <c r="T5" s="3" t="str">
        <f t="shared" ref="T5:T13" si="22">J27</f>
        <v>0/7</v>
      </c>
      <c r="U5" s="3" t="str">
        <f t="shared" si="9"/>
        <v>0/7</v>
      </c>
      <c r="V5" s="3" t="str">
        <f t="shared" si="10"/>
        <v>0/7</v>
      </c>
      <c r="W5" s="3" t="str">
        <f t="shared" si="11"/>
        <v>0/7</v>
      </c>
      <c r="X5" s="3" t="str">
        <f t="shared" si="12"/>
        <v>2/7</v>
      </c>
      <c r="Y5" s="3" t="str">
        <f t="shared" ref="Y5:Y13" si="23">AW27</f>
        <v>1/7</v>
      </c>
      <c r="Z5" s="3" t="str">
        <f t="shared" ref="Z5:Z13" si="24">AX27</f>
        <v>1/7</v>
      </c>
    </row>
    <row r="6" spans="1:52" x14ac:dyDescent="0.25">
      <c r="A6" s="39" t="s">
        <v>324</v>
      </c>
      <c r="B6" s="3" t="str">
        <f t="shared" si="13"/>
        <v>0.015</v>
      </c>
      <c r="C6" s="3" t="str">
        <f t="shared" si="0"/>
        <v>0.011</v>
      </c>
      <c r="D6" s="3" t="str">
        <f t="shared" si="1"/>
        <v>0.008</v>
      </c>
      <c r="E6" s="3" t="str">
        <f t="shared" si="2"/>
        <v>0.008</v>
      </c>
      <c r="F6" s="3" t="str">
        <f t="shared" si="14"/>
        <v>0.013</v>
      </c>
      <c r="G6" s="3" t="str">
        <f t="shared" si="15"/>
        <v>0.01</v>
      </c>
      <c r="H6" s="3" t="str">
        <f t="shared" si="16"/>
        <v>0.019</v>
      </c>
      <c r="I6" s="40" t="str">
        <f t="shared" si="17"/>
        <v>0.014</v>
      </c>
      <c r="J6" s="40" t="str">
        <f t="shared" si="3"/>
        <v>0.007</v>
      </c>
      <c r="K6" s="40" t="str">
        <f t="shared" si="4"/>
        <v>0.012</v>
      </c>
      <c r="L6" s="40" t="str">
        <f t="shared" si="5"/>
        <v>0.02</v>
      </c>
      <c r="M6" s="40" t="str">
        <f t="shared" si="6"/>
        <v>0.02</v>
      </c>
      <c r="N6" s="40" t="str">
        <f t="shared" si="7"/>
        <v>0.015</v>
      </c>
      <c r="O6" s="40" t="str">
        <f t="shared" si="8"/>
        <v>0.017</v>
      </c>
      <c r="P6" s="3" t="str">
        <f t="shared" si="18"/>
        <v>0.009</v>
      </c>
      <c r="Q6" s="3" t="str">
        <f t="shared" si="19"/>
        <v>0.017</v>
      </c>
      <c r="R6" s="3" t="str">
        <f t="shared" si="20"/>
        <v>0.009</v>
      </c>
      <c r="S6" s="3" t="str">
        <f t="shared" si="21"/>
        <v>0.018</v>
      </c>
      <c r="T6" s="3" t="str">
        <f t="shared" si="22"/>
        <v>0.005</v>
      </c>
      <c r="U6" s="3" t="str">
        <f t="shared" si="9"/>
        <v>0.005</v>
      </c>
      <c r="V6" s="3" t="str">
        <f t="shared" si="10"/>
        <v>0.006</v>
      </c>
      <c r="W6" s="3" t="str">
        <f t="shared" si="11"/>
        <v>0.006</v>
      </c>
      <c r="X6" s="3" t="str">
        <f t="shared" si="12"/>
        <v>0.012</v>
      </c>
      <c r="Y6" s="3" t="str">
        <f t="shared" si="23"/>
        <v>0.013</v>
      </c>
      <c r="Z6" s="3" t="str">
        <f t="shared" si="24"/>
        <v>0.012</v>
      </c>
    </row>
    <row r="7" spans="1:52" x14ac:dyDescent="0.25">
      <c r="A7" s="39" t="s">
        <v>325</v>
      </c>
      <c r="B7" s="3" t="str">
        <f t="shared" si="13"/>
        <v>95-00</v>
      </c>
      <c r="C7" s="3" t="str">
        <f t="shared" si="0"/>
        <v>95-00</v>
      </c>
      <c r="D7" s="3" t="str">
        <f t="shared" si="1"/>
        <v>85-90</v>
      </c>
      <c r="E7" s="3" t="str">
        <f t="shared" si="2"/>
        <v>95-00</v>
      </c>
      <c r="F7" s="3" t="str">
        <f t="shared" si="14"/>
        <v>95-00</v>
      </c>
      <c r="G7" s="3" t="str">
        <f t="shared" si="15"/>
        <v>90-95</v>
      </c>
      <c r="H7" s="3" t="str">
        <f t="shared" si="16"/>
        <v>90-95</v>
      </c>
      <c r="I7" s="40" t="str">
        <f t="shared" si="17"/>
        <v>90-95</v>
      </c>
      <c r="J7" s="40" t="str">
        <f t="shared" si="3"/>
        <v>90-95</v>
      </c>
      <c r="K7" s="40" t="str">
        <f t="shared" si="4"/>
        <v>90-95</v>
      </c>
      <c r="L7" s="40" t="str">
        <f t="shared" si="5"/>
        <v>90-95</v>
      </c>
      <c r="M7" s="40" t="str">
        <f t="shared" si="6"/>
        <v>90-95</v>
      </c>
      <c r="N7" s="40" t="str">
        <f t="shared" si="7"/>
        <v>90-95</v>
      </c>
      <c r="O7" s="40" t="str">
        <f t="shared" si="8"/>
        <v>90-95</v>
      </c>
      <c r="P7" s="3" t="str">
        <f t="shared" si="18"/>
        <v>05-10</v>
      </c>
      <c r="Q7" s="3" t="str">
        <f t="shared" si="19"/>
        <v>05-10</v>
      </c>
      <c r="R7" s="3" t="str">
        <f t="shared" si="20"/>
        <v>90-95</v>
      </c>
      <c r="S7" s="3" t="str">
        <f t="shared" si="21"/>
        <v>90-95</v>
      </c>
      <c r="T7" s="3" t="str">
        <f t="shared" si="22"/>
        <v>80-85</v>
      </c>
      <c r="U7" s="3" t="str">
        <f t="shared" si="9"/>
        <v>90-95</v>
      </c>
      <c r="V7" s="3" t="str">
        <f t="shared" si="10"/>
        <v>90-95</v>
      </c>
      <c r="W7" s="3" t="str">
        <f t="shared" si="11"/>
        <v>90-95</v>
      </c>
      <c r="X7" s="3" t="str">
        <f t="shared" si="12"/>
        <v>90-95</v>
      </c>
      <c r="Y7" s="3" t="str">
        <f t="shared" si="23"/>
        <v>05-10</v>
      </c>
      <c r="Z7" s="3" t="str">
        <f t="shared" si="24"/>
        <v>05-10</v>
      </c>
    </row>
    <row r="8" spans="1:52" x14ac:dyDescent="0.25">
      <c r="A8" s="39" t="s">
        <v>326</v>
      </c>
      <c r="B8" s="3" t="str">
        <f t="shared" si="13"/>
        <v>0.0567**</v>
      </c>
      <c r="C8" s="3" t="str">
        <f t="shared" si="0"/>
        <v>0.0485*</v>
      </c>
      <c r="D8" s="3">
        <f t="shared" si="1"/>
        <v>-4.7199999999999999E-2</v>
      </c>
      <c r="E8" s="3" t="str">
        <f t="shared" si="2"/>
        <v>0.0437*</v>
      </c>
      <c r="F8" s="3" t="str">
        <f t="shared" si="14"/>
        <v>-0.00987*</v>
      </c>
      <c r="G8" s="3" t="str">
        <f t="shared" si="15"/>
        <v>-0.0366*</v>
      </c>
      <c r="H8" s="3" t="str">
        <f t="shared" si="16"/>
        <v>-0.0538**</v>
      </c>
      <c r="I8" s="40" t="str">
        <f t="shared" si="17"/>
        <v>0.0670**</v>
      </c>
      <c r="J8" s="40">
        <f t="shared" si="3"/>
        <v>1.6299999999999999E-2</v>
      </c>
      <c r="K8" s="40" t="str">
        <f t="shared" si="4"/>
        <v>0.0278*</v>
      </c>
      <c r="L8" s="40" t="str">
        <f t="shared" si="5"/>
        <v>0.0306**</v>
      </c>
      <c r="M8" s="40" t="str">
        <f t="shared" si="6"/>
        <v>0.0259**</v>
      </c>
      <c r="N8" s="40" t="str">
        <f t="shared" si="7"/>
        <v>0.0213*</v>
      </c>
      <c r="O8" s="40" t="str">
        <f t="shared" si="8"/>
        <v>0.0263*</v>
      </c>
      <c r="P8" s="3" t="str">
        <f t="shared" si="18"/>
        <v>-0.0360*</v>
      </c>
      <c r="Q8" s="3" t="str">
        <f t="shared" si="19"/>
        <v>-0.0674**</v>
      </c>
      <c r="R8" s="3" t="str">
        <f t="shared" si="20"/>
        <v>-0.0525*</v>
      </c>
      <c r="S8" s="3" t="str">
        <f t="shared" si="21"/>
        <v>-0.0523***</v>
      </c>
      <c r="T8" s="3">
        <f t="shared" si="22"/>
        <v>-2.6100000000000002E-2</v>
      </c>
      <c r="U8" s="3">
        <f t="shared" si="9"/>
        <v>-2.4299999999999999E-2</v>
      </c>
      <c r="V8" s="3">
        <f t="shared" si="10"/>
        <v>-2.0299999999999999E-2</v>
      </c>
      <c r="W8" s="3">
        <f t="shared" si="11"/>
        <v>-2.12E-2</v>
      </c>
      <c r="X8" s="3" t="str">
        <f t="shared" si="12"/>
        <v>-0.0345*</v>
      </c>
      <c r="Y8" s="3">
        <f t="shared" si="23"/>
        <v>-6.2600000000000003E-2</v>
      </c>
      <c r="Z8" s="3">
        <f t="shared" si="24"/>
        <v>-6.2799999999999995E-2</v>
      </c>
    </row>
    <row r="9" spans="1:52" x14ac:dyDescent="0.25">
      <c r="A9" s="39" t="s">
        <v>327</v>
      </c>
      <c r="B9" s="3">
        <f t="shared" si="13"/>
        <v>-1.8599999999999998E-2</v>
      </c>
      <c r="C9" s="3">
        <f t="shared" si="0"/>
        <v>-3.3300000000000003E-2</v>
      </c>
      <c r="D9" s="3">
        <f t="shared" si="1"/>
        <v>-1.26E-2</v>
      </c>
      <c r="E9" s="3">
        <f t="shared" si="2"/>
        <v>-2.07E-2</v>
      </c>
      <c r="F9" s="3">
        <f t="shared" si="14"/>
        <v>-6.5700000000000003E-3</v>
      </c>
      <c r="G9" s="3">
        <f t="shared" si="15"/>
        <v>4.19E-2</v>
      </c>
      <c r="H9" s="3" t="str">
        <f t="shared" si="16"/>
        <v>0.0667*</v>
      </c>
      <c r="I9" s="40">
        <f t="shared" si="17"/>
        <v>1.7999999999999999E-2</v>
      </c>
      <c r="J9" s="40">
        <f t="shared" si="3"/>
        <v>-6.8500000000000002E-3</v>
      </c>
      <c r="K9" s="40">
        <f t="shared" si="4"/>
        <v>-2.2100000000000002E-2</v>
      </c>
      <c r="L9" s="40">
        <f t="shared" si="5"/>
        <v>3.48E-3</v>
      </c>
      <c r="M9" s="40">
        <f t="shared" si="6"/>
        <v>3.0599999999999998E-3</v>
      </c>
      <c r="N9" s="40">
        <f t="shared" si="7"/>
        <v>5.4900000000000001E-3</v>
      </c>
      <c r="O9" s="40">
        <f t="shared" si="8"/>
        <v>4.45E-3</v>
      </c>
      <c r="P9" s="3" t="str">
        <f t="shared" si="18"/>
        <v>-0.0360*</v>
      </c>
      <c r="Q9" s="3" t="str">
        <f t="shared" si="19"/>
        <v>-0.0674**</v>
      </c>
      <c r="R9" s="3">
        <f t="shared" si="20"/>
        <v>-9.9500000000000001E-4</v>
      </c>
      <c r="S9" s="3">
        <f t="shared" si="21"/>
        <v>-1.9099999999999999E-2</v>
      </c>
      <c r="T9" s="3">
        <f t="shared" si="22"/>
        <v>-5.5300000000000002E-3</v>
      </c>
      <c r="U9" s="3">
        <f t="shared" si="9"/>
        <v>-4.8599999999999997E-3</v>
      </c>
      <c r="V9" s="3">
        <f t="shared" si="10"/>
        <v>-7.6800000000000002E-3</v>
      </c>
      <c r="W9" s="3">
        <f t="shared" si="11"/>
        <v>-2.4299999999999999E-3</v>
      </c>
      <c r="X9" s="3">
        <f t="shared" si="12"/>
        <v>-1.0800000000000001E-2</v>
      </c>
      <c r="Y9" s="3">
        <f t="shared" si="23"/>
        <v>-6.2600000000000003E-2</v>
      </c>
      <c r="Z9" s="3">
        <f t="shared" si="24"/>
        <v>-6.2799999999999995E-2</v>
      </c>
    </row>
    <row r="10" spans="1:52" ht="15.75" x14ac:dyDescent="0.25">
      <c r="B10" s="11" t="s">
        <v>9</v>
      </c>
      <c r="C10" s="11"/>
      <c r="D10" s="11"/>
      <c r="J10" s="11" t="s">
        <v>10</v>
      </c>
      <c r="K10" s="11"/>
      <c r="L10" s="7"/>
      <c r="S10" s="11" t="s">
        <v>11</v>
      </c>
      <c r="T10" s="11"/>
      <c r="Y10" s="3"/>
      <c r="Z10" s="3"/>
    </row>
    <row r="11" spans="1:52" x14ac:dyDescent="0.25">
      <c r="B11" s="3" t="s">
        <v>569</v>
      </c>
      <c r="C11" s="3" t="s">
        <v>570</v>
      </c>
      <c r="D11" s="3" t="s">
        <v>571</v>
      </c>
      <c r="E11" s="3" t="s">
        <v>572</v>
      </c>
      <c r="F11" s="3" t="s">
        <v>573</v>
      </c>
      <c r="G11" s="3" t="s">
        <v>569</v>
      </c>
      <c r="H11" s="3" t="s">
        <v>570</v>
      </c>
      <c r="I11" s="3" t="s">
        <v>571</v>
      </c>
      <c r="J11" s="3" t="s">
        <v>572</v>
      </c>
      <c r="K11" s="3" t="s">
        <v>573</v>
      </c>
      <c r="L11" s="3" t="s">
        <v>574</v>
      </c>
      <c r="M11" s="3" t="s">
        <v>575</v>
      </c>
      <c r="N11" s="3" t="s">
        <v>576</v>
      </c>
      <c r="O11" s="3" t="s">
        <v>577</v>
      </c>
      <c r="P11" s="3" t="s">
        <v>578</v>
      </c>
      <c r="Q11" s="3" t="s">
        <v>570</v>
      </c>
      <c r="R11" s="3" t="s">
        <v>571</v>
      </c>
      <c r="S11" s="3" t="s">
        <v>572</v>
      </c>
      <c r="T11" s="3" t="s">
        <v>573</v>
      </c>
      <c r="U11" s="3" t="s">
        <v>574</v>
      </c>
      <c r="V11" s="3" t="s">
        <v>575</v>
      </c>
      <c r="W11" s="3" t="s">
        <v>576</v>
      </c>
      <c r="X11" s="3" t="s">
        <v>577</v>
      </c>
      <c r="Y11" s="3" t="s">
        <v>578</v>
      </c>
      <c r="Z11" s="3"/>
    </row>
    <row r="12" spans="1:52" x14ac:dyDescent="0.25">
      <c r="A12" s="39" t="s">
        <v>322</v>
      </c>
      <c r="B12" s="3" t="str">
        <f>Y26</f>
        <v>0/7</v>
      </c>
      <c r="C12" s="3" t="str">
        <f>Z26</f>
        <v>0/7</v>
      </c>
      <c r="D12" s="3" t="str">
        <f t="shared" ref="D12:D22" si="25">AA26</f>
        <v>0/7</v>
      </c>
      <c r="E12" s="3" t="str">
        <f t="shared" ref="E12:E22" si="26">AB26</f>
        <v>0/7</v>
      </c>
      <c r="F12" s="3" t="str">
        <f t="shared" ref="F12:F22" si="27">AC26</f>
        <v>0/7</v>
      </c>
      <c r="G12" s="3" t="str">
        <f t="shared" ref="G12:G22" si="28">AD26</f>
        <v>0/7</v>
      </c>
      <c r="H12" s="3" t="str">
        <f t="shared" ref="H12:H22" si="29">AE26</f>
        <v>0/7</v>
      </c>
      <c r="I12" s="3" t="str">
        <f t="shared" ref="I12:I22" si="30">AF26</f>
        <v>0/7</v>
      </c>
      <c r="J12" s="3" t="str">
        <f t="shared" ref="J12:J22" si="31">AG26</f>
        <v>0/7</v>
      </c>
      <c r="K12" s="3" t="str">
        <f t="shared" ref="K12:K22" si="32">AH26</f>
        <v>0/7</v>
      </c>
      <c r="L12" s="3" t="str">
        <f t="shared" ref="L12:L22" si="33">AI26</f>
        <v>0/7</v>
      </c>
      <c r="M12" s="3" t="str">
        <f t="shared" ref="M12:M22" si="34">AJ26</f>
        <v>0/7</v>
      </c>
      <c r="N12" s="3" t="str">
        <f t="shared" ref="N12:N22" si="35">AK26</f>
        <v>0/7</v>
      </c>
      <c r="O12" s="3" t="str">
        <f t="shared" ref="O12:O22" si="36">AL26</f>
        <v>0/7</v>
      </c>
      <c r="P12" s="3" t="str">
        <f t="shared" ref="P12:P22" si="37">AM26</f>
        <v>0/7</v>
      </c>
      <c r="Q12" s="3" t="str">
        <f t="shared" ref="Q12:Q22" si="38">AN26</f>
        <v>4/7</v>
      </c>
      <c r="R12" s="3" t="str">
        <f t="shared" ref="R12:R22" si="39">AO26</f>
        <v>3/7</v>
      </c>
      <c r="S12" s="3" t="str">
        <f t="shared" ref="S12:S22" si="40">AP26</f>
        <v>2/7</v>
      </c>
      <c r="T12" s="3" t="str">
        <f t="shared" ref="T12:T22" si="41">AQ26</f>
        <v>2/7</v>
      </c>
      <c r="U12" s="3" t="str">
        <f t="shared" ref="U12:U22" si="42">AR26</f>
        <v>3/7</v>
      </c>
      <c r="V12" s="3" t="str">
        <f t="shared" ref="V12:V22" si="43">AS26</f>
        <v>3/7</v>
      </c>
      <c r="W12" s="3" t="str">
        <f t="shared" ref="W12:W22" si="44">AT26</f>
        <v>3/7</v>
      </c>
      <c r="X12" s="3" t="str">
        <f t="shared" ref="X12:X22" si="45">AU26</f>
        <v>3/7</v>
      </c>
      <c r="Y12" s="3" t="str">
        <f t="shared" ref="Y12:Y22" si="46">AV26</f>
        <v>3/7</v>
      </c>
      <c r="Z12" s="3"/>
    </row>
    <row r="13" spans="1:52" x14ac:dyDescent="0.25">
      <c r="A13" s="39" t="s">
        <v>323</v>
      </c>
      <c r="B13" s="3" t="str">
        <f t="shared" ref="B13:B21" si="47">Y27</f>
        <v>1/7</v>
      </c>
      <c r="C13" s="3" t="str">
        <f t="shared" ref="C13:C21" si="48">Z27</f>
        <v>0/7</v>
      </c>
      <c r="D13" s="3" t="str">
        <f t="shared" si="25"/>
        <v>1/7</v>
      </c>
      <c r="E13" s="3" t="str">
        <f t="shared" si="26"/>
        <v>3/7</v>
      </c>
      <c r="F13" s="3" t="str">
        <f t="shared" si="27"/>
        <v>1/7</v>
      </c>
      <c r="G13" s="3" t="str">
        <f t="shared" si="28"/>
        <v>2/7</v>
      </c>
      <c r="H13" s="3" t="str">
        <f t="shared" si="29"/>
        <v>1/7</v>
      </c>
      <c r="I13" s="3" t="str">
        <f t="shared" si="30"/>
        <v>1/7</v>
      </c>
      <c r="J13" s="3" t="str">
        <f t="shared" si="31"/>
        <v>1/7</v>
      </c>
      <c r="K13" s="3" t="str">
        <f t="shared" si="32"/>
        <v>1/7</v>
      </c>
      <c r="L13" s="3" t="str">
        <f t="shared" si="33"/>
        <v>1/7</v>
      </c>
      <c r="M13" s="3" t="str">
        <f t="shared" si="34"/>
        <v>1/7</v>
      </c>
      <c r="N13" s="3" t="str">
        <f t="shared" si="35"/>
        <v>1/7</v>
      </c>
      <c r="O13" s="3" t="str">
        <f t="shared" si="36"/>
        <v>1/7</v>
      </c>
      <c r="P13" s="3" t="str">
        <f t="shared" si="37"/>
        <v>1/7</v>
      </c>
      <c r="Q13" s="3" t="str">
        <f t="shared" si="38"/>
        <v>0/7</v>
      </c>
      <c r="R13" s="3" t="str">
        <f t="shared" si="39"/>
        <v>0/7</v>
      </c>
      <c r="S13" s="3" t="str">
        <f t="shared" si="40"/>
        <v>0/7</v>
      </c>
      <c r="T13" s="3" t="str">
        <f t="shared" si="41"/>
        <v>0/7</v>
      </c>
      <c r="U13" s="3" t="str">
        <f t="shared" si="42"/>
        <v>1/7</v>
      </c>
      <c r="V13" s="3" t="str">
        <f t="shared" si="43"/>
        <v>0/7</v>
      </c>
      <c r="W13" s="3" t="str">
        <f t="shared" si="44"/>
        <v>0/7</v>
      </c>
      <c r="X13" s="3" t="str">
        <f t="shared" si="45"/>
        <v>0/7</v>
      </c>
      <c r="Y13" s="3" t="str">
        <f t="shared" si="46"/>
        <v>0/7</v>
      </c>
      <c r="Z13" s="3"/>
    </row>
    <row r="14" spans="1:52" x14ac:dyDescent="0.25">
      <c r="A14" s="39" t="s">
        <v>324</v>
      </c>
      <c r="B14" s="3" t="str">
        <f t="shared" si="47"/>
        <v>0.007</v>
      </c>
      <c r="C14" s="3" t="str">
        <f t="shared" si="48"/>
        <v>0.006</v>
      </c>
      <c r="D14" s="3" t="str">
        <f t="shared" si="25"/>
        <v>0.027</v>
      </c>
      <c r="E14" s="3" t="str">
        <f t="shared" si="26"/>
        <v>0.029</v>
      </c>
      <c r="F14" s="3" t="str">
        <f t="shared" si="27"/>
        <v>0.016</v>
      </c>
      <c r="G14" s="3" t="str">
        <f t="shared" si="28"/>
        <v>0.014</v>
      </c>
      <c r="H14" s="3" t="str">
        <f t="shared" si="29"/>
        <v>0.013</v>
      </c>
      <c r="I14" s="3" t="str">
        <f t="shared" si="30"/>
        <v>0.01</v>
      </c>
      <c r="J14" s="3" t="str">
        <f t="shared" si="31"/>
        <v>0.017</v>
      </c>
      <c r="K14" s="3" t="str">
        <f t="shared" si="32"/>
        <v>0.007</v>
      </c>
      <c r="L14" s="3" t="str">
        <f t="shared" si="33"/>
        <v>0.011</v>
      </c>
      <c r="M14" s="3" t="str">
        <f t="shared" si="34"/>
        <v>0.007</v>
      </c>
      <c r="N14" s="3" t="str">
        <f t="shared" si="35"/>
        <v>0.018</v>
      </c>
      <c r="O14" s="3" t="str">
        <f t="shared" si="36"/>
        <v>0.023</v>
      </c>
      <c r="P14" s="3" t="str">
        <f t="shared" si="37"/>
        <v>0.013</v>
      </c>
      <c r="Q14" s="3" t="str">
        <f t="shared" si="38"/>
        <v>0.004</v>
      </c>
      <c r="R14" s="3" t="str">
        <f t="shared" si="39"/>
        <v>0.011</v>
      </c>
      <c r="S14" s="3" t="str">
        <f t="shared" si="40"/>
        <v>0.008</v>
      </c>
      <c r="T14" s="3" t="str">
        <f t="shared" si="41"/>
        <v>0.007</v>
      </c>
      <c r="U14" s="3" t="str">
        <f t="shared" si="42"/>
        <v>0.013</v>
      </c>
      <c r="V14" s="3" t="str">
        <f t="shared" si="43"/>
        <v>0.003</v>
      </c>
      <c r="W14" s="3" t="str">
        <f t="shared" si="44"/>
        <v>0.005</v>
      </c>
      <c r="X14" s="3" t="str">
        <f t="shared" si="45"/>
        <v>0.004</v>
      </c>
      <c r="Y14" s="3" t="str">
        <f t="shared" si="46"/>
        <v>0.005</v>
      </c>
      <c r="Z14" s="3"/>
    </row>
    <row r="15" spans="1:52" x14ac:dyDescent="0.25">
      <c r="A15" s="39" t="s">
        <v>325</v>
      </c>
      <c r="B15" s="3" t="str">
        <f t="shared" si="47"/>
        <v>90-95</v>
      </c>
      <c r="C15" s="3" t="str">
        <f t="shared" si="48"/>
        <v>85-90</v>
      </c>
      <c r="D15" s="3" t="str">
        <f t="shared" si="25"/>
        <v>90-95</v>
      </c>
      <c r="E15" s="3" t="str">
        <f t="shared" si="26"/>
        <v>90-95</v>
      </c>
      <c r="F15" s="3" t="str">
        <f t="shared" si="27"/>
        <v>90-95</v>
      </c>
      <c r="G15" s="3" t="str">
        <f t="shared" si="28"/>
        <v>05-10</v>
      </c>
      <c r="H15" s="3" t="str">
        <f t="shared" si="29"/>
        <v>05-10</v>
      </c>
      <c r="I15" s="3" t="str">
        <f t="shared" si="30"/>
        <v>05-10</v>
      </c>
      <c r="J15" s="3" t="str">
        <f t="shared" si="31"/>
        <v>05-10</v>
      </c>
      <c r="K15" s="3" t="str">
        <f t="shared" si="32"/>
        <v>05-10</v>
      </c>
      <c r="L15" s="3" t="str">
        <f t="shared" si="33"/>
        <v>05-10</v>
      </c>
      <c r="M15" s="3" t="str">
        <f t="shared" si="34"/>
        <v>05-10</v>
      </c>
      <c r="N15" s="3" t="str">
        <f t="shared" si="35"/>
        <v>05-10</v>
      </c>
      <c r="O15" s="3" t="str">
        <f t="shared" si="36"/>
        <v>05-10</v>
      </c>
      <c r="P15" s="3" t="str">
        <f t="shared" si="37"/>
        <v>05-10</v>
      </c>
      <c r="Q15" s="3" t="str">
        <f t="shared" si="38"/>
        <v>90-95</v>
      </c>
      <c r="R15" s="3" t="str">
        <f t="shared" si="39"/>
        <v>05-10</v>
      </c>
      <c r="S15" s="3" t="str">
        <f t="shared" si="40"/>
        <v>05-10</v>
      </c>
      <c r="T15" s="3" t="str">
        <f t="shared" si="41"/>
        <v>05-10</v>
      </c>
      <c r="U15" s="3" t="str">
        <f t="shared" si="42"/>
        <v>05-10</v>
      </c>
      <c r="V15" s="3" t="str">
        <f t="shared" si="43"/>
        <v>95-00</v>
      </c>
      <c r="W15" s="3" t="str">
        <f t="shared" si="44"/>
        <v>95-00</v>
      </c>
      <c r="X15" s="3" t="str">
        <f t="shared" si="45"/>
        <v>95-00</v>
      </c>
      <c r="Y15" s="3" t="str">
        <f t="shared" si="46"/>
        <v>05-10</v>
      </c>
      <c r="Z15" s="3"/>
    </row>
    <row r="16" spans="1:52" x14ac:dyDescent="0.25">
      <c r="A16" s="39" t="s">
        <v>326</v>
      </c>
      <c r="B16" s="3" t="str">
        <f t="shared" si="47"/>
        <v>-0.00708*</v>
      </c>
      <c r="C16" s="3">
        <f t="shared" si="48"/>
        <v>-8.94E-3</v>
      </c>
      <c r="D16" s="3" t="str">
        <f t="shared" si="25"/>
        <v>-0.0141***</v>
      </c>
      <c r="E16" s="3" t="str">
        <f t="shared" si="26"/>
        <v>-0.0143***</v>
      </c>
      <c r="F16" s="3" t="str">
        <f t="shared" si="27"/>
        <v>-0.00915**</v>
      </c>
      <c r="G16" s="3" t="str">
        <f t="shared" si="28"/>
        <v>-0.0157*</v>
      </c>
      <c r="H16" s="3" t="str">
        <f t="shared" si="29"/>
        <v>-0.0119**</v>
      </c>
      <c r="I16" s="3" t="str">
        <f t="shared" si="30"/>
        <v>-0.0106*</v>
      </c>
      <c r="J16" s="3" t="str">
        <f t="shared" si="31"/>
        <v>-0.0144***</v>
      </c>
      <c r="K16" s="3" t="str">
        <f t="shared" si="32"/>
        <v>-0.00880*</v>
      </c>
      <c r="L16" s="3" t="str">
        <f t="shared" si="33"/>
        <v>-0.0104*</v>
      </c>
      <c r="M16" s="3" t="str">
        <f t="shared" si="34"/>
        <v>-0.00867*</v>
      </c>
      <c r="N16" s="3" t="str">
        <f t="shared" si="35"/>
        <v>-0.0141**</v>
      </c>
      <c r="O16" s="3" t="str">
        <f t="shared" si="36"/>
        <v>-0.0152***</v>
      </c>
      <c r="P16" s="3" t="str">
        <f t="shared" si="37"/>
        <v>-0.0118*</v>
      </c>
      <c r="Q16" s="3">
        <f t="shared" si="38"/>
        <v>-2.7199999999999998E-2</v>
      </c>
      <c r="R16" s="3">
        <f t="shared" si="39"/>
        <v>2.9700000000000001E-2</v>
      </c>
      <c r="S16" s="3">
        <f t="shared" si="40"/>
        <v>2.7300000000000001E-2</v>
      </c>
      <c r="T16" s="3">
        <f t="shared" si="41"/>
        <v>2.5399999999999999E-2</v>
      </c>
      <c r="U16" s="3" t="str">
        <f t="shared" si="42"/>
        <v>0.0347*</v>
      </c>
      <c r="V16" s="3">
        <f t="shared" si="43"/>
        <v>-2.2100000000000002E-2</v>
      </c>
      <c r="W16" s="3">
        <f t="shared" si="44"/>
        <v>-2.5899999999999999E-2</v>
      </c>
      <c r="X16" s="3">
        <f t="shared" si="45"/>
        <v>-2.2100000000000002E-2</v>
      </c>
      <c r="Y16" s="3">
        <f t="shared" si="46"/>
        <v>3.09E-2</v>
      </c>
      <c r="Z16" s="3"/>
    </row>
    <row r="17" spans="1:50" x14ac:dyDescent="0.25">
      <c r="A17" s="39" t="s">
        <v>327</v>
      </c>
      <c r="B17" s="3">
        <f t="shared" si="47"/>
        <v>-2.2799999999999999E-3</v>
      </c>
      <c r="C17" s="3">
        <f t="shared" si="48"/>
        <v>-6.9499999999999996E-3</v>
      </c>
      <c r="D17" s="3">
        <f t="shared" si="25"/>
        <v>-2.5900000000000001E-4</v>
      </c>
      <c r="E17" s="3">
        <f t="shared" si="26"/>
        <v>-6.11E-3</v>
      </c>
      <c r="F17" s="3">
        <f t="shared" si="27"/>
        <v>-4.8500000000000001E-3</v>
      </c>
      <c r="G17" s="3" t="str">
        <f t="shared" si="28"/>
        <v>-0.0157*</v>
      </c>
      <c r="H17" s="3" t="str">
        <f t="shared" si="29"/>
        <v>-0.0119**</v>
      </c>
      <c r="I17" s="3" t="str">
        <f t="shared" si="30"/>
        <v>-0.0106*</v>
      </c>
      <c r="J17" s="3" t="str">
        <f t="shared" si="31"/>
        <v>-0.0144***</v>
      </c>
      <c r="K17" s="3" t="str">
        <f t="shared" si="32"/>
        <v>-0.00880*</v>
      </c>
      <c r="L17" s="3" t="str">
        <f t="shared" si="33"/>
        <v>-0.0104*</v>
      </c>
      <c r="M17" s="3" t="str">
        <f t="shared" si="34"/>
        <v>-0.00867*</v>
      </c>
      <c r="N17" s="3" t="str">
        <f t="shared" si="35"/>
        <v>-0.0141**</v>
      </c>
      <c r="O17" s="3" t="str">
        <f t="shared" si="36"/>
        <v>-0.0152***</v>
      </c>
      <c r="P17" s="3" t="str">
        <f t="shared" si="37"/>
        <v>-0.0118*</v>
      </c>
      <c r="Q17" s="3">
        <f t="shared" si="38"/>
        <v>2.9700000000000001E-2</v>
      </c>
      <c r="R17" s="3">
        <f t="shared" si="39"/>
        <v>2.9700000000000001E-2</v>
      </c>
      <c r="S17" s="3">
        <f t="shared" si="40"/>
        <v>2.7300000000000001E-2</v>
      </c>
      <c r="T17" s="3">
        <f t="shared" si="41"/>
        <v>2.5399999999999999E-2</v>
      </c>
      <c r="U17" s="3" t="str">
        <f t="shared" si="42"/>
        <v>0.0347*</v>
      </c>
      <c r="V17" s="3">
        <f t="shared" si="43"/>
        <v>1.6299999999999999E-2</v>
      </c>
      <c r="W17" s="3">
        <f t="shared" si="44"/>
        <v>1.6299999999999999E-2</v>
      </c>
      <c r="X17" s="3">
        <f t="shared" si="45"/>
        <v>2.5999999999999999E-2</v>
      </c>
      <c r="Y17" s="3">
        <f t="shared" si="46"/>
        <v>3.09E-2</v>
      </c>
      <c r="Z17" s="3"/>
    </row>
    <row r="25" spans="1:50" x14ac:dyDescent="0.25">
      <c r="A25" s="3" t="s">
        <v>321</v>
      </c>
      <c r="B25" s="3" t="s">
        <v>328</v>
      </c>
      <c r="C25" s="3" t="s">
        <v>331</v>
      </c>
      <c r="D25" s="3" t="s">
        <v>333</v>
      </c>
      <c r="E25" s="3" t="s">
        <v>335</v>
      </c>
      <c r="F25" s="3" t="s">
        <v>338</v>
      </c>
      <c r="G25" s="3" t="s">
        <v>340</v>
      </c>
      <c r="H25" s="3" t="s">
        <v>305</v>
      </c>
      <c r="I25" s="3" t="s">
        <v>306</v>
      </c>
      <c r="J25" s="3" t="s">
        <v>307</v>
      </c>
      <c r="K25" s="3" t="s">
        <v>345</v>
      </c>
      <c r="L25" s="3" t="s">
        <v>347</v>
      </c>
      <c r="M25" s="3" t="s">
        <v>349</v>
      </c>
      <c r="N25" s="3" t="s">
        <v>350</v>
      </c>
      <c r="O25" s="3" t="s">
        <v>308</v>
      </c>
      <c r="P25" s="3" t="s">
        <v>352</v>
      </c>
      <c r="Q25" s="3" t="s">
        <v>354</v>
      </c>
      <c r="R25" s="3" t="s">
        <v>356</v>
      </c>
      <c r="S25" s="3" t="s">
        <v>358</v>
      </c>
      <c r="T25" s="3" t="s">
        <v>309</v>
      </c>
      <c r="U25" s="3" t="s">
        <v>360</v>
      </c>
      <c r="V25" s="3" t="s">
        <v>310</v>
      </c>
      <c r="W25" s="3" t="s">
        <v>363</v>
      </c>
      <c r="X25" s="3" t="s">
        <v>311</v>
      </c>
      <c r="Y25" s="3" t="s">
        <v>366</v>
      </c>
      <c r="Z25" s="3" t="s">
        <v>369</v>
      </c>
      <c r="AA25" s="3" t="s">
        <v>371</v>
      </c>
      <c r="AB25" s="3" t="s">
        <v>312</v>
      </c>
      <c r="AC25" s="3" t="s">
        <v>374</v>
      </c>
      <c r="AD25" s="3" t="s">
        <v>376</v>
      </c>
      <c r="AE25" s="3" t="s">
        <v>378</v>
      </c>
      <c r="AF25" s="3" t="s">
        <v>313</v>
      </c>
      <c r="AG25" s="3" t="s">
        <v>379</v>
      </c>
      <c r="AH25" s="3" t="s">
        <v>380</v>
      </c>
      <c r="AI25" s="3" t="s">
        <v>382</v>
      </c>
      <c r="AJ25" s="3" t="s">
        <v>384</v>
      </c>
      <c r="AK25" s="3" t="s">
        <v>386</v>
      </c>
      <c r="AL25" s="3" t="s">
        <v>388</v>
      </c>
      <c r="AM25" s="3" t="s">
        <v>389</v>
      </c>
      <c r="AN25" s="3" t="s">
        <v>391</v>
      </c>
      <c r="AO25" s="3" t="s">
        <v>393</v>
      </c>
      <c r="AP25" s="3" t="s">
        <v>395</v>
      </c>
      <c r="AQ25" s="3" t="s">
        <v>396</v>
      </c>
      <c r="AR25" s="3" t="s">
        <v>398</v>
      </c>
      <c r="AS25" s="3" t="s">
        <v>400</v>
      </c>
      <c r="AT25" s="3" t="s">
        <v>402</v>
      </c>
      <c r="AU25" s="3" t="s">
        <v>314</v>
      </c>
      <c r="AV25" s="3" t="s">
        <v>405</v>
      </c>
      <c r="AW25" s="3" t="s">
        <v>315</v>
      </c>
      <c r="AX25" s="3" t="s">
        <v>482</v>
      </c>
    </row>
    <row r="26" spans="1:50" x14ac:dyDescent="0.25">
      <c r="A26" s="3" t="s">
        <v>322</v>
      </c>
      <c r="B26" s="3" t="s">
        <v>51</v>
      </c>
      <c r="C26" s="3" t="s">
        <v>47</v>
      </c>
      <c r="D26" s="3" t="s">
        <v>47</v>
      </c>
      <c r="E26" s="3" t="s">
        <v>51</v>
      </c>
      <c r="F26" s="3" t="s">
        <v>51</v>
      </c>
      <c r="G26" s="3" t="s">
        <v>48</v>
      </c>
      <c r="H26" s="3" t="s">
        <v>48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47</v>
      </c>
      <c r="P26" s="3" t="s">
        <v>48</v>
      </c>
      <c r="Q26" s="3" t="s">
        <v>47</v>
      </c>
      <c r="R26" s="3" t="s">
        <v>47</v>
      </c>
      <c r="S26" s="3" t="s">
        <v>47</v>
      </c>
      <c r="T26" s="3" t="s">
        <v>46</v>
      </c>
      <c r="U26" s="3" t="s">
        <v>46</v>
      </c>
      <c r="V26" s="3" t="s">
        <v>47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48</v>
      </c>
      <c r="AO26" s="3" t="s">
        <v>47</v>
      </c>
      <c r="AP26" s="3" t="s">
        <v>46</v>
      </c>
      <c r="AQ26" s="3" t="s">
        <v>46</v>
      </c>
      <c r="AR26" s="3" t="s">
        <v>47</v>
      </c>
      <c r="AS26" s="3" t="s">
        <v>47</v>
      </c>
      <c r="AT26" s="3" t="s">
        <v>47</v>
      </c>
      <c r="AU26" s="3" t="s">
        <v>47</v>
      </c>
      <c r="AV26" s="3" t="s">
        <v>47</v>
      </c>
      <c r="AW26" s="3" t="s">
        <v>48</v>
      </c>
      <c r="AX26" s="3" t="s">
        <v>48</v>
      </c>
    </row>
    <row r="27" spans="1:50" x14ac:dyDescent="0.25">
      <c r="A27" s="3" t="s">
        <v>323</v>
      </c>
      <c r="B27" s="3" t="s">
        <v>50</v>
      </c>
      <c r="C27" s="3" t="s">
        <v>49</v>
      </c>
      <c r="D27" s="3" t="s">
        <v>46</v>
      </c>
      <c r="E27" s="3" t="s">
        <v>50</v>
      </c>
      <c r="F27" s="3" t="s">
        <v>46</v>
      </c>
      <c r="G27" s="3" t="s">
        <v>46</v>
      </c>
      <c r="H27" s="3" t="s">
        <v>46</v>
      </c>
      <c r="I27" s="3" t="s">
        <v>46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46</v>
      </c>
      <c r="O27" s="3" t="s">
        <v>50</v>
      </c>
      <c r="P27" s="3" t="s">
        <v>50</v>
      </c>
      <c r="Q27" s="3" t="s">
        <v>50</v>
      </c>
      <c r="R27" s="3" t="s">
        <v>50</v>
      </c>
      <c r="S27" s="3" t="s">
        <v>50</v>
      </c>
      <c r="T27" s="3" t="s">
        <v>50</v>
      </c>
      <c r="U27" s="3" t="s">
        <v>50</v>
      </c>
      <c r="V27" s="3" t="s">
        <v>46</v>
      </c>
      <c r="W27" s="3" t="s">
        <v>46</v>
      </c>
      <c r="X27" s="3" t="s">
        <v>46</v>
      </c>
      <c r="Y27" s="3" t="s">
        <v>50</v>
      </c>
      <c r="Z27" s="3" t="s">
        <v>49</v>
      </c>
      <c r="AA27" s="3" t="s">
        <v>50</v>
      </c>
      <c r="AB27" s="3" t="s">
        <v>47</v>
      </c>
      <c r="AC27" s="3" t="s">
        <v>50</v>
      </c>
      <c r="AD27" s="3" t="s">
        <v>46</v>
      </c>
      <c r="AE27" s="3" t="s">
        <v>50</v>
      </c>
      <c r="AF27" s="3" t="s">
        <v>50</v>
      </c>
      <c r="AG27" s="3" t="s">
        <v>50</v>
      </c>
      <c r="AH27" s="3" t="s">
        <v>50</v>
      </c>
      <c r="AI27" s="3" t="s">
        <v>50</v>
      </c>
      <c r="AJ27" s="3" t="s">
        <v>50</v>
      </c>
      <c r="AK27" s="3" t="s">
        <v>50</v>
      </c>
      <c r="AL27" s="3" t="s">
        <v>50</v>
      </c>
      <c r="AM27" s="3" t="s">
        <v>50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50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50</v>
      </c>
      <c r="AX27" s="3" t="s">
        <v>50</v>
      </c>
    </row>
    <row r="28" spans="1:50" x14ac:dyDescent="0.25">
      <c r="A28" s="3" t="s">
        <v>324</v>
      </c>
      <c r="B28" s="3" t="s">
        <v>440</v>
      </c>
      <c r="C28" s="3" t="s">
        <v>412</v>
      </c>
      <c r="D28" s="3" t="s">
        <v>419</v>
      </c>
      <c r="E28" s="3" t="s">
        <v>420</v>
      </c>
      <c r="F28" s="3" t="s">
        <v>420</v>
      </c>
      <c r="G28" s="3" t="s">
        <v>445</v>
      </c>
      <c r="H28" s="3" t="s">
        <v>447</v>
      </c>
      <c r="I28" s="3" t="s">
        <v>449</v>
      </c>
      <c r="J28" s="3" t="s">
        <v>417</v>
      </c>
      <c r="K28" s="3" t="s">
        <v>417</v>
      </c>
      <c r="L28" s="3" t="s">
        <v>431</v>
      </c>
      <c r="M28" s="3" t="s">
        <v>431</v>
      </c>
      <c r="N28" s="3" t="s">
        <v>419</v>
      </c>
      <c r="O28" s="3" t="s">
        <v>430</v>
      </c>
      <c r="P28" s="3" t="s">
        <v>447</v>
      </c>
      <c r="Q28" s="3" t="s">
        <v>445</v>
      </c>
      <c r="R28" s="3" t="s">
        <v>434</v>
      </c>
      <c r="S28" s="3" t="s">
        <v>432</v>
      </c>
      <c r="T28" s="3" t="s">
        <v>432</v>
      </c>
      <c r="U28" s="3" t="s">
        <v>457</v>
      </c>
      <c r="V28" s="3" t="s">
        <v>421</v>
      </c>
      <c r="W28" s="3" t="s">
        <v>430</v>
      </c>
      <c r="X28" s="3" t="s">
        <v>462</v>
      </c>
      <c r="Y28" s="3" t="s">
        <v>412</v>
      </c>
      <c r="Z28" s="3" t="s">
        <v>431</v>
      </c>
      <c r="AA28" s="3" t="s">
        <v>465</v>
      </c>
      <c r="AB28" s="3" t="s">
        <v>467</v>
      </c>
      <c r="AC28" s="3" t="s">
        <v>427</v>
      </c>
      <c r="AD28" s="3" t="s">
        <v>440</v>
      </c>
      <c r="AE28" s="3" t="s">
        <v>449</v>
      </c>
      <c r="AF28" s="3" t="s">
        <v>457</v>
      </c>
      <c r="AG28" s="3" t="s">
        <v>447</v>
      </c>
      <c r="AH28" s="3" t="s">
        <v>412</v>
      </c>
      <c r="AI28" s="3" t="s">
        <v>434</v>
      </c>
      <c r="AJ28" s="3" t="s">
        <v>412</v>
      </c>
      <c r="AK28" s="3" t="s">
        <v>462</v>
      </c>
      <c r="AL28" s="3" t="s">
        <v>418</v>
      </c>
      <c r="AM28" s="3" t="s">
        <v>449</v>
      </c>
      <c r="AN28" s="3" t="s">
        <v>479</v>
      </c>
      <c r="AO28" s="3" t="s">
        <v>434</v>
      </c>
      <c r="AP28" s="3" t="s">
        <v>432</v>
      </c>
      <c r="AQ28" s="3" t="s">
        <v>412</v>
      </c>
      <c r="AR28" s="3" t="s">
        <v>449</v>
      </c>
      <c r="AS28" s="3" t="s">
        <v>481</v>
      </c>
      <c r="AT28" s="3" t="s">
        <v>417</v>
      </c>
      <c r="AU28" s="3" t="s">
        <v>479</v>
      </c>
      <c r="AV28" s="3" t="s">
        <v>417</v>
      </c>
      <c r="AW28" s="3" t="s">
        <v>449</v>
      </c>
      <c r="AX28" s="3" t="s">
        <v>419</v>
      </c>
    </row>
    <row r="29" spans="1:50" x14ac:dyDescent="0.25">
      <c r="A29" s="3" t="s">
        <v>325</v>
      </c>
      <c r="B29" s="3" t="s">
        <v>336</v>
      </c>
      <c r="C29" s="3" t="s">
        <v>336</v>
      </c>
      <c r="D29" s="3" t="s">
        <v>336</v>
      </c>
      <c r="E29" s="3" t="s">
        <v>336</v>
      </c>
      <c r="F29" s="3" t="s">
        <v>336</v>
      </c>
      <c r="G29" s="3" t="s">
        <v>336</v>
      </c>
      <c r="H29" s="3" t="s">
        <v>336</v>
      </c>
      <c r="I29" s="3" t="s">
        <v>329</v>
      </c>
      <c r="J29" s="3" t="s">
        <v>451</v>
      </c>
      <c r="K29" s="3" t="s">
        <v>336</v>
      </c>
      <c r="L29" s="3" t="s">
        <v>336</v>
      </c>
      <c r="M29" s="3" t="s">
        <v>336</v>
      </c>
      <c r="N29" s="3" t="s">
        <v>336</v>
      </c>
      <c r="O29" s="3" t="s">
        <v>433</v>
      </c>
      <c r="P29" s="3" t="s">
        <v>433</v>
      </c>
      <c r="Q29" s="3" t="s">
        <v>329</v>
      </c>
      <c r="R29" s="3" t="s">
        <v>329</v>
      </c>
      <c r="S29" s="3" t="s">
        <v>342</v>
      </c>
      <c r="T29" s="3" t="s">
        <v>329</v>
      </c>
      <c r="U29" s="3" t="s">
        <v>336</v>
      </c>
      <c r="V29" s="3" t="s">
        <v>336</v>
      </c>
      <c r="W29" s="3" t="s">
        <v>336</v>
      </c>
      <c r="X29" s="3" t="s">
        <v>336</v>
      </c>
      <c r="Y29" s="3" t="s">
        <v>336</v>
      </c>
      <c r="Z29" s="3" t="s">
        <v>342</v>
      </c>
      <c r="AA29" s="3" t="s">
        <v>336</v>
      </c>
      <c r="AB29" s="3" t="s">
        <v>336</v>
      </c>
      <c r="AC29" s="3" t="s">
        <v>336</v>
      </c>
      <c r="AD29" s="3" t="s">
        <v>433</v>
      </c>
      <c r="AE29" s="3" t="s">
        <v>433</v>
      </c>
      <c r="AF29" s="3" t="s">
        <v>433</v>
      </c>
      <c r="AG29" s="3" t="s">
        <v>433</v>
      </c>
      <c r="AH29" s="3" t="s">
        <v>433</v>
      </c>
      <c r="AI29" s="3" t="s">
        <v>433</v>
      </c>
      <c r="AJ29" s="3" t="s">
        <v>433</v>
      </c>
      <c r="AK29" s="3" t="s">
        <v>433</v>
      </c>
      <c r="AL29" s="3" t="s">
        <v>433</v>
      </c>
      <c r="AM29" s="3" t="s">
        <v>433</v>
      </c>
      <c r="AN29" s="3" t="s">
        <v>336</v>
      </c>
      <c r="AO29" s="3" t="s">
        <v>433</v>
      </c>
      <c r="AP29" s="3" t="s">
        <v>433</v>
      </c>
      <c r="AQ29" s="3" t="s">
        <v>433</v>
      </c>
      <c r="AR29" s="3" t="s">
        <v>433</v>
      </c>
      <c r="AS29" s="3" t="s">
        <v>329</v>
      </c>
      <c r="AT29" s="3" t="s">
        <v>329</v>
      </c>
      <c r="AU29" s="3" t="s">
        <v>329</v>
      </c>
      <c r="AV29" s="3" t="s">
        <v>433</v>
      </c>
      <c r="AW29" s="3" t="s">
        <v>433</v>
      </c>
      <c r="AX29" s="3" t="s">
        <v>433</v>
      </c>
    </row>
    <row r="30" spans="1:50" x14ac:dyDescent="0.25">
      <c r="A30" t="s">
        <v>326</v>
      </c>
      <c r="B30" t="s">
        <v>441</v>
      </c>
      <c r="C30">
        <v>1.6299999999999999E-2</v>
      </c>
      <c r="D30" t="s">
        <v>442</v>
      </c>
      <c r="E30" t="s">
        <v>443</v>
      </c>
      <c r="F30" t="s">
        <v>444</v>
      </c>
      <c r="G30" t="s">
        <v>446</v>
      </c>
      <c r="H30" t="s">
        <v>448</v>
      </c>
      <c r="I30" t="s">
        <v>450</v>
      </c>
      <c r="J30">
        <v>-2.6100000000000002E-2</v>
      </c>
      <c r="K30">
        <v>-2.4299999999999999E-2</v>
      </c>
      <c r="L30">
        <v>-2.0299999999999999E-2</v>
      </c>
      <c r="M30">
        <v>-2.12E-2</v>
      </c>
      <c r="N30" t="s">
        <v>213</v>
      </c>
      <c r="O30" t="s">
        <v>452</v>
      </c>
      <c r="P30" t="s">
        <v>453</v>
      </c>
      <c r="Q30" t="s">
        <v>454</v>
      </c>
      <c r="R30" t="s">
        <v>455</v>
      </c>
      <c r="S30">
        <v>-4.7199999999999999E-2</v>
      </c>
      <c r="T30" t="s">
        <v>456</v>
      </c>
      <c r="U30" t="s">
        <v>458</v>
      </c>
      <c r="V30" t="s">
        <v>459</v>
      </c>
      <c r="W30" t="s">
        <v>461</v>
      </c>
      <c r="X30" t="s">
        <v>463</v>
      </c>
      <c r="Y30" t="s">
        <v>464</v>
      </c>
      <c r="Z30">
        <v>-8.94E-3</v>
      </c>
      <c r="AA30" t="s">
        <v>466</v>
      </c>
      <c r="AB30" t="s">
        <v>468</v>
      </c>
      <c r="AC30" t="s">
        <v>469</v>
      </c>
      <c r="AD30" t="s">
        <v>470</v>
      </c>
      <c r="AE30" t="s">
        <v>471</v>
      </c>
      <c r="AF30" t="s">
        <v>472</v>
      </c>
      <c r="AG30" t="s">
        <v>473</v>
      </c>
      <c r="AH30" t="s">
        <v>474</v>
      </c>
      <c r="AI30" t="s">
        <v>475</v>
      </c>
      <c r="AJ30" t="s">
        <v>387</v>
      </c>
      <c r="AK30" t="s">
        <v>476</v>
      </c>
      <c r="AL30" t="s">
        <v>477</v>
      </c>
      <c r="AM30" t="s">
        <v>478</v>
      </c>
      <c r="AN30">
        <v>-2.7199999999999998E-2</v>
      </c>
      <c r="AO30">
        <v>2.9700000000000001E-2</v>
      </c>
      <c r="AP30">
        <v>2.7300000000000001E-2</v>
      </c>
      <c r="AQ30">
        <v>2.5399999999999999E-2</v>
      </c>
      <c r="AR30" t="s">
        <v>480</v>
      </c>
      <c r="AS30">
        <v>-2.2100000000000002E-2</v>
      </c>
      <c r="AT30">
        <v>-2.5899999999999999E-2</v>
      </c>
      <c r="AU30">
        <v>-2.2100000000000002E-2</v>
      </c>
      <c r="AV30">
        <v>3.09E-2</v>
      </c>
      <c r="AW30">
        <v>-6.2600000000000003E-2</v>
      </c>
      <c r="AX30">
        <v>-6.2799999999999995E-2</v>
      </c>
    </row>
    <row r="31" spans="1:50" x14ac:dyDescent="0.25">
      <c r="A31" t="s">
        <v>327</v>
      </c>
      <c r="B31">
        <v>1.7999999999999999E-2</v>
      </c>
      <c r="C31">
        <v>-6.8500000000000002E-3</v>
      </c>
      <c r="D31">
        <v>-2.2100000000000002E-2</v>
      </c>
      <c r="E31">
        <v>3.48E-3</v>
      </c>
      <c r="F31">
        <v>3.0599999999999998E-3</v>
      </c>
      <c r="G31">
        <v>5.4900000000000001E-3</v>
      </c>
      <c r="H31">
        <v>4.45E-3</v>
      </c>
      <c r="I31">
        <v>-6.5700000000000003E-3</v>
      </c>
      <c r="J31">
        <v>-5.5300000000000002E-3</v>
      </c>
      <c r="K31">
        <v>-4.8599999999999997E-3</v>
      </c>
      <c r="L31">
        <v>-7.6800000000000002E-3</v>
      </c>
      <c r="M31">
        <v>-2.4299999999999999E-3</v>
      </c>
      <c r="N31">
        <v>-1.0800000000000001E-2</v>
      </c>
      <c r="O31" t="s">
        <v>452</v>
      </c>
      <c r="P31" t="s">
        <v>453</v>
      </c>
      <c r="Q31">
        <v>-1.8599999999999998E-2</v>
      </c>
      <c r="R31">
        <v>-3.3300000000000003E-2</v>
      </c>
      <c r="S31">
        <v>-1.26E-2</v>
      </c>
      <c r="T31">
        <v>-2.07E-2</v>
      </c>
      <c r="U31">
        <v>4.19E-2</v>
      </c>
      <c r="V31" t="s">
        <v>460</v>
      </c>
      <c r="W31">
        <v>-9.9500000000000001E-4</v>
      </c>
      <c r="X31">
        <v>-1.9099999999999999E-2</v>
      </c>
      <c r="Y31">
        <v>-2.2799999999999999E-3</v>
      </c>
      <c r="Z31">
        <v>-6.9499999999999996E-3</v>
      </c>
      <c r="AA31">
        <v>-2.5900000000000001E-4</v>
      </c>
      <c r="AB31">
        <v>-6.11E-3</v>
      </c>
      <c r="AC31">
        <v>-4.8500000000000001E-3</v>
      </c>
      <c r="AD31" t="s">
        <v>470</v>
      </c>
      <c r="AE31" t="s">
        <v>471</v>
      </c>
      <c r="AF31" t="s">
        <v>472</v>
      </c>
      <c r="AG31" t="s">
        <v>473</v>
      </c>
      <c r="AH31" t="s">
        <v>474</v>
      </c>
      <c r="AI31" t="s">
        <v>475</v>
      </c>
      <c r="AJ31" t="s">
        <v>387</v>
      </c>
      <c r="AK31" t="s">
        <v>476</v>
      </c>
      <c r="AL31" t="s">
        <v>477</v>
      </c>
      <c r="AM31" t="s">
        <v>478</v>
      </c>
      <c r="AN31">
        <v>2.9700000000000001E-2</v>
      </c>
      <c r="AO31">
        <v>2.9700000000000001E-2</v>
      </c>
      <c r="AP31">
        <v>2.7300000000000001E-2</v>
      </c>
      <c r="AQ31">
        <v>2.5399999999999999E-2</v>
      </c>
      <c r="AR31" t="s">
        <v>480</v>
      </c>
      <c r="AS31">
        <v>1.6299999999999999E-2</v>
      </c>
      <c r="AT31">
        <v>1.6299999999999999E-2</v>
      </c>
      <c r="AU31">
        <v>2.5999999999999999E-2</v>
      </c>
      <c r="AV31">
        <v>3.09E-2</v>
      </c>
      <c r="AW31">
        <v>-6.2600000000000003E-2</v>
      </c>
      <c r="AX31">
        <v>-6.2799999999999995E-2</v>
      </c>
    </row>
    <row r="32" spans="1:50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0" x14ac:dyDescent="0.25">
      <c r="A49" s="3"/>
      <c r="B49" s="3"/>
      <c r="C49" s="3"/>
      <c r="D49" s="3"/>
      <c r="E49" s="3"/>
    </row>
    <row r="50" spans="1:50" x14ac:dyDescent="0.25">
      <c r="A50" s="3"/>
      <c r="B50" s="3"/>
      <c r="C50" s="3"/>
      <c r="D50" s="3"/>
      <c r="E50" s="3"/>
    </row>
    <row r="53" spans="1:50" x14ac:dyDescent="0.25">
      <c r="A53" s="3" t="s">
        <v>321</v>
      </c>
      <c r="B53" s="3" t="s">
        <v>328</v>
      </c>
      <c r="C53" s="3" t="s">
        <v>331</v>
      </c>
      <c r="D53" s="3" t="s">
        <v>333</v>
      </c>
      <c r="E53" s="3" t="s">
        <v>335</v>
      </c>
      <c r="F53" s="3" t="s">
        <v>338</v>
      </c>
      <c r="G53" s="3" t="s">
        <v>340</v>
      </c>
      <c r="H53" s="3" t="s">
        <v>305</v>
      </c>
      <c r="I53" s="3" t="s">
        <v>306</v>
      </c>
      <c r="J53" s="3" t="s">
        <v>307</v>
      </c>
      <c r="K53" s="3" t="s">
        <v>345</v>
      </c>
      <c r="L53" s="3" t="s">
        <v>347</v>
      </c>
      <c r="M53" s="3" t="s">
        <v>349</v>
      </c>
      <c r="N53" s="3" t="s">
        <v>350</v>
      </c>
      <c r="O53" s="3" t="s">
        <v>308</v>
      </c>
      <c r="P53" s="3" t="s">
        <v>352</v>
      </c>
      <c r="Q53" s="3" t="s">
        <v>354</v>
      </c>
      <c r="R53" s="3" t="s">
        <v>356</v>
      </c>
      <c r="S53" s="3" t="s">
        <v>358</v>
      </c>
      <c r="T53" s="3" t="s">
        <v>309</v>
      </c>
      <c r="U53" s="3" t="s">
        <v>360</v>
      </c>
      <c r="V53" s="3" t="s">
        <v>310</v>
      </c>
      <c r="W53" s="3" t="s">
        <v>363</v>
      </c>
      <c r="X53" s="3" t="s">
        <v>311</v>
      </c>
      <c r="Y53" s="3" t="s">
        <v>366</v>
      </c>
      <c r="Z53" s="3" t="s">
        <v>369</v>
      </c>
      <c r="AA53" s="3" t="s">
        <v>371</v>
      </c>
      <c r="AB53" s="3" t="s">
        <v>312</v>
      </c>
      <c r="AC53" s="3" t="s">
        <v>374</v>
      </c>
      <c r="AD53" s="3" t="s">
        <v>376</v>
      </c>
      <c r="AE53" s="3" t="s">
        <v>378</v>
      </c>
      <c r="AF53" s="3" t="s">
        <v>313</v>
      </c>
      <c r="AG53" s="3" t="s">
        <v>379</v>
      </c>
      <c r="AH53" s="3" t="s">
        <v>380</v>
      </c>
      <c r="AI53" s="3" t="s">
        <v>382</v>
      </c>
      <c r="AJ53" s="3" t="s">
        <v>384</v>
      </c>
      <c r="AK53" s="3" t="s">
        <v>386</v>
      </c>
      <c r="AL53" s="3" t="s">
        <v>388</v>
      </c>
      <c r="AM53" s="3" t="s">
        <v>389</v>
      </c>
      <c r="AN53" s="3" t="s">
        <v>391</v>
      </c>
      <c r="AO53" s="3" t="s">
        <v>393</v>
      </c>
      <c r="AP53" s="3" t="s">
        <v>395</v>
      </c>
      <c r="AQ53" s="3" t="s">
        <v>396</v>
      </c>
      <c r="AR53" s="3" t="s">
        <v>398</v>
      </c>
      <c r="AS53" s="3" t="s">
        <v>400</v>
      </c>
      <c r="AT53" s="3" t="s">
        <v>402</v>
      </c>
      <c r="AU53" s="3" t="s">
        <v>314</v>
      </c>
      <c r="AV53" s="3" t="s">
        <v>405</v>
      </c>
      <c r="AW53" s="3" t="s">
        <v>315</v>
      </c>
      <c r="AX53" s="3" t="s">
        <v>482</v>
      </c>
    </row>
    <row r="54" spans="1:50" x14ac:dyDescent="0.25">
      <c r="A54" s="3" t="s">
        <v>322</v>
      </c>
      <c r="B54" s="3" t="s">
        <v>51</v>
      </c>
      <c r="C54" s="3" t="s">
        <v>47</v>
      </c>
      <c r="D54" s="3" t="s">
        <v>47</v>
      </c>
      <c r="E54" s="3" t="s">
        <v>51</v>
      </c>
      <c r="F54" s="3" t="s">
        <v>51</v>
      </c>
      <c r="G54" s="3" t="s">
        <v>48</v>
      </c>
      <c r="H54" s="3" t="s">
        <v>48</v>
      </c>
      <c r="I54" s="3" t="s">
        <v>49</v>
      </c>
      <c r="J54" s="3" t="s">
        <v>49</v>
      </c>
      <c r="K54" s="3" t="s">
        <v>49</v>
      </c>
      <c r="L54" s="3" t="s">
        <v>49</v>
      </c>
      <c r="M54" s="3" t="s">
        <v>49</v>
      </c>
      <c r="N54" s="3" t="s">
        <v>49</v>
      </c>
      <c r="O54" s="3" t="s">
        <v>47</v>
      </c>
      <c r="P54" s="3" t="s">
        <v>48</v>
      </c>
      <c r="Q54" s="3" t="s">
        <v>47</v>
      </c>
      <c r="R54" s="3" t="s">
        <v>47</v>
      </c>
      <c r="S54" s="3" t="s">
        <v>47</v>
      </c>
      <c r="T54" s="3" t="s">
        <v>46</v>
      </c>
      <c r="U54" s="3" t="s">
        <v>46</v>
      </c>
      <c r="V54" s="3" t="s">
        <v>47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49</v>
      </c>
      <c r="AD54" s="3" t="s">
        <v>49</v>
      </c>
      <c r="AE54" s="3" t="s">
        <v>49</v>
      </c>
      <c r="AF54" s="3" t="s">
        <v>49</v>
      </c>
      <c r="AG54" s="3" t="s">
        <v>49</v>
      </c>
      <c r="AH54" s="3" t="s">
        <v>49</v>
      </c>
      <c r="AI54" s="3" t="s">
        <v>49</v>
      </c>
      <c r="AJ54" s="3" t="s">
        <v>49</v>
      </c>
      <c r="AK54" s="3" t="s">
        <v>49</v>
      </c>
      <c r="AL54" s="3" t="s">
        <v>49</v>
      </c>
      <c r="AM54" s="3" t="s">
        <v>49</v>
      </c>
      <c r="AN54" s="3" t="s">
        <v>48</v>
      </c>
      <c r="AO54" s="3" t="s">
        <v>47</v>
      </c>
      <c r="AP54" s="3" t="s">
        <v>46</v>
      </c>
      <c r="AQ54" s="3" t="s">
        <v>46</v>
      </c>
      <c r="AR54" s="3" t="s">
        <v>47</v>
      </c>
      <c r="AS54" s="3" t="s">
        <v>47</v>
      </c>
      <c r="AT54" s="3" t="s">
        <v>47</v>
      </c>
      <c r="AU54" s="3" t="s">
        <v>47</v>
      </c>
      <c r="AV54" s="3" t="s">
        <v>47</v>
      </c>
      <c r="AW54" s="3" t="s">
        <v>48</v>
      </c>
      <c r="AX54" s="3" t="s">
        <v>48</v>
      </c>
    </row>
    <row r="55" spans="1:50" x14ac:dyDescent="0.25">
      <c r="A55" s="3" t="s">
        <v>323</v>
      </c>
      <c r="B55" s="3" t="s">
        <v>50</v>
      </c>
      <c r="C55" s="3" t="s">
        <v>49</v>
      </c>
      <c r="D55" s="3" t="s">
        <v>46</v>
      </c>
      <c r="E55" s="3" t="s">
        <v>50</v>
      </c>
      <c r="F55" s="3" t="s">
        <v>46</v>
      </c>
      <c r="G55" s="3" t="s">
        <v>46</v>
      </c>
      <c r="H55" s="3" t="s">
        <v>46</v>
      </c>
      <c r="I55" s="3" t="s">
        <v>46</v>
      </c>
      <c r="J55" s="3" t="s">
        <v>49</v>
      </c>
      <c r="K55" s="3" t="s">
        <v>49</v>
      </c>
      <c r="L55" s="3" t="s">
        <v>49</v>
      </c>
      <c r="M55" s="3" t="s">
        <v>49</v>
      </c>
      <c r="N55" s="3" t="s">
        <v>46</v>
      </c>
      <c r="O55" s="3" t="s">
        <v>50</v>
      </c>
      <c r="P55" s="3" t="s">
        <v>50</v>
      </c>
      <c r="Q55" s="3" t="s">
        <v>50</v>
      </c>
      <c r="R55" s="3" t="s">
        <v>50</v>
      </c>
      <c r="S55" s="3" t="s">
        <v>50</v>
      </c>
      <c r="T55" s="3" t="s">
        <v>50</v>
      </c>
      <c r="U55" s="3" t="s">
        <v>50</v>
      </c>
      <c r="V55" s="3" t="s">
        <v>46</v>
      </c>
      <c r="W55" s="3" t="s">
        <v>46</v>
      </c>
      <c r="X55" s="3" t="s">
        <v>46</v>
      </c>
      <c r="Y55" s="3" t="s">
        <v>50</v>
      </c>
      <c r="Z55" s="3" t="s">
        <v>49</v>
      </c>
      <c r="AA55" s="3" t="s">
        <v>50</v>
      </c>
      <c r="AB55" s="3" t="s">
        <v>47</v>
      </c>
      <c r="AC55" s="3" t="s">
        <v>50</v>
      </c>
      <c r="AD55" s="3" t="s">
        <v>46</v>
      </c>
      <c r="AE55" s="3" t="s">
        <v>50</v>
      </c>
      <c r="AF55" s="3" t="s">
        <v>50</v>
      </c>
      <c r="AG55" s="3" t="s">
        <v>50</v>
      </c>
      <c r="AH55" s="3" t="s">
        <v>50</v>
      </c>
      <c r="AI55" s="3" t="s">
        <v>50</v>
      </c>
      <c r="AJ55" s="3" t="s">
        <v>50</v>
      </c>
      <c r="AK55" s="3" t="s">
        <v>50</v>
      </c>
      <c r="AL55" s="3" t="s">
        <v>50</v>
      </c>
      <c r="AM55" s="3" t="s">
        <v>50</v>
      </c>
      <c r="AN55" s="3" t="s">
        <v>49</v>
      </c>
      <c r="AO55" s="3" t="s">
        <v>49</v>
      </c>
      <c r="AP55" s="3" t="s">
        <v>49</v>
      </c>
      <c r="AQ55" s="3" t="s">
        <v>49</v>
      </c>
      <c r="AR55" s="3" t="s">
        <v>50</v>
      </c>
      <c r="AS55" s="3" t="s">
        <v>49</v>
      </c>
      <c r="AT55" s="3" t="s">
        <v>49</v>
      </c>
      <c r="AU55" s="3" t="s">
        <v>49</v>
      </c>
      <c r="AV55" s="3" t="s">
        <v>49</v>
      </c>
      <c r="AW55" s="3" t="s">
        <v>50</v>
      </c>
      <c r="AX55" s="3" t="s">
        <v>50</v>
      </c>
    </row>
    <row r="56" spans="1:50" x14ac:dyDescent="0.25">
      <c r="A56" s="3" t="s">
        <v>324</v>
      </c>
      <c r="B56" s="3" t="s">
        <v>440</v>
      </c>
      <c r="C56" s="3" t="s">
        <v>412</v>
      </c>
      <c r="D56" s="3" t="s">
        <v>419</v>
      </c>
      <c r="E56" s="3" t="s">
        <v>420</v>
      </c>
      <c r="F56" s="3" t="s">
        <v>420</v>
      </c>
      <c r="G56" s="3" t="s">
        <v>445</v>
      </c>
      <c r="H56" s="3" t="s">
        <v>447</v>
      </c>
      <c r="I56" s="3" t="s">
        <v>449</v>
      </c>
      <c r="J56" s="3" t="s">
        <v>417</v>
      </c>
      <c r="K56" s="3" t="s">
        <v>417</v>
      </c>
      <c r="L56" s="3" t="s">
        <v>431</v>
      </c>
      <c r="M56" s="3" t="s">
        <v>431</v>
      </c>
      <c r="N56" s="3" t="s">
        <v>419</v>
      </c>
      <c r="O56" s="3" t="s">
        <v>430</v>
      </c>
      <c r="P56" s="3" t="s">
        <v>447</v>
      </c>
      <c r="Q56" s="3" t="s">
        <v>445</v>
      </c>
      <c r="R56" s="3" t="s">
        <v>434</v>
      </c>
      <c r="S56" s="3" t="s">
        <v>432</v>
      </c>
      <c r="T56" s="3" t="s">
        <v>432</v>
      </c>
      <c r="U56" s="3" t="s">
        <v>457</v>
      </c>
      <c r="V56" s="3" t="s">
        <v>421</v>
      </c>
      <c r="W56" s="3" t="s">
        <v>430</v>
      </c>
      <c r="X56" s="3" t="s">
        <v>462</v>
      </c>
      <c r="Y56" s="3" t="s">
        <v>412</v>
      </c>
      <c r="Z56" s="3" t="s">
        <v>431</v>
      </c>
      <c r="AA56" s="3" t="s">
        <v>465</v>
      </c>
      <c r="AB56" s="3" t="s">
        <v>467</v>
      </c>
      <c r="AC56" s="3" t="s">
        <v>427</v>
      </c>
      <c r="AD56" s="3" t="s">
        <v>440</v>
      </c>
      <c r="AE56" s="3" t="s">
        <v>449</v>
      </c>
      <c r="AF56" s="3" t="s">
        <v>457</v>
      </c>
      <c r="AG56" s="3" t="s">
        <v>447</v>
      </c>
      <c r="AH56" s="3" t="s">
        <v>412</v>
      </c>
      <c r="AI56" s="3" t="s">
        <v>434</v>
      </c>
      <c r="AJ56" s="3" t="s">
        <v>412</v>
      </c>
      <c r="AK56" s="3" t="s">
        <v>462</v>
      </c>
      <c r="AL56" s="3" t="s">
        <v>418</v>
      </c>
      <c r="AM56" s="3" t="s">
        <v>449</v>
      </c>
      <c r="AN56" s="3" t="s">
        <v>479</v>
      </c>
      <c r="AO56" s="3" t="s">
        <v>434</v>
      </c>
      <c r="AP56" s="3" t="s">
        <v>432</v>
      </c>
      <c r="AQ56" s="3" t="s">
        <v>412</v>
      </c>
      <c r="AR56" s="3" t="s">
        <v>449</v>
      </c>
      <c r="AS56" s="3" t="s">
        <v>481</v>
      </c>
      <c r="AT56" s="3" t="s">
        <v>417</v>
      </c>
      <c r="AU56" s="3" t="s">
        <v>479</v>
      </c>
      <c r="AV56" s="3" t="s">
        <v>417</v>
      </c>
      <c r="AW56" s="3" t="s">
        <v>449</v>
      </c>
      <c r="AX56" s="3" t="s">
        <v>419</v>
      </c>
    </row>
    <row r="57" spans="1:50" x14ac:dyDescent="0.25">
      <c r="A57" s="3" t="s">
        <v>325</v>
      </c>
      <c r="B57" s="3" t="s">
        <v>336</v>
      </c>
      <c r="C57" s="3" t="s">
        <v>336</v>
      </c>
      <c r="D57" s="3" t="s">
        <v>336</v>
      </c>
      <c r="E57" s="3" t="s">
        <v>336</v>
      </c>
      <c r="F57" s="3" t="s">
        <v>336</v>
      </c>
      <c r="G57" s="3" t="s">
        <v>336</v>
      </c>
      <c r="H57" s="3" t="s">
        <v>336</v>
      </c>
      <c r="I57" s="3" t="s">
        <v>329</v>
      </c>
      <c r="J57" s="3" t="s">
        <v>451</v>
      </c>
      <c r="K57" s="3" t="s">
        <v>336</v>
      </c>
      <c r="L57" s="3" t="s">
        <v>336</v>
      </c>
      <c r="M57" s="3" t="s">
        <v>336</v>
      </c>
      <c r="N57" s="3" t="s">
        <v>336</v>
      </c>
      <c r="O57" s="3" t="s">
        <v>433</v>
      </c>
      <c r="P57" s="3" t="s">
        <v>433</v>
      </c>
      <c r="Q57" s="3" t="s">
        <v>329</v>
      </c>
      <c r="R57" s="3" t="s">
        <v>329</v>
      </c>
      <c r="S57" s="3" t="s">
        <v>342</v>
      </c>
      <c r="T57" s="3" t="s">
        <v>329</v>
      </c>
      <c r="U57" s="3" t="s">
        <v>336</v>
      </c>
      <c r="V57" s="3" t="s">
        <v>336</v>
      </c>
      <c r="W57" s="3" t="s">
        <v>336</v>
      </c>
      <c r="X57" s="3" t="s">
        <v>336</v>
      </c>
      <c r="Y57" s="3" t="s">
        <v>336</v>
      </c>
      <c r="Z57" s="3" t="s">
        <v>342</v>
      </c>
      <c r="AA57" s="3" t="s">
        <v>336</v>
      </c>
      <c r="AB57" s="3" t="s">
        <v>336</v>
      </c>
      <c r="AC57" s="3" t="s">
        <v>336</v>
      </c>
      <c r="AD57" s="3" t="s">
        <v>433</v>
      </c>
      <c r="AE57" s="3" t="s">
        <v>433</v>
      </c>
      <c r="AF57" s="3" t="s">
        <v>433</v>
      </c>
      <c r="AG57" s="3" t="s">
        <v>433</v>
      </c>
      <c r="AH57" s="3" t="s">
        <v>433</v>
      </c>
      <c r="AI57" s="3" t="s">
        <v>433</v>
      </c>
      <c r="AJ57" s="3" t="s">
        <v>433</v>
      </c>
      <c r="AK57" s="3" t="s">
        <v>433</v>
      </c>
      <c r="AL57" s="3" t="s">
        <v>433</v>
      </c>
      <c r="AM57" s="3" t="s">
        <v>433</v>
      </c>
      <c r="AN57" s="3" t="s">
        <v>336</v>
      </c>
      <c r="AO57" s="3" t="s">
        <v>433</v>
      </c>
      <c r="AP57" s="3" t="s">
        <v>433</v>
      </c>
      <c r="AQ57" s="3" t="s">
        <v>433</v>
      </c>
      <c r="AR57" s="3" t="s">
        <v>433</v>
      </c>
      <c r="AS57" s="3" t="s">
        <v>329</v>
      </c>
      <c r="AT57" s="3" t="s">
        <v>329</v>
      </c>
      <c r="AU57" s="3" t="s">
        <v>329</v>
      </c>
      <c r="AV57" s="3" t="s">
        <v>433</v>
      </c>
      <c r="AW57" s="3" t="s">
        <v>433</v>
      </c>
      <c r="AX57" s="3" t="s">
        <v>433</v>
      </c>
    </row>
    <row r="58" spans="1:50" x14ac:dyDescent="0.25">
      <c r="A58" t="s">
        <v>326</v>
      </c>
      <c r="B58" t="s">
        <v>441</v>
      </c>
      <c r="C58">
        <v>1.6299999999999999E-2</v>
      </c>
      <c r="D58" t="s">
        <v>442</v>
      </c>
      <c r="E58" t="s">
        <v>443</v>
      </c>
      <c r="F58" t="s">
        <v>444</v>
      </c>
      <c r="G58" t="s">
        <v>446</v>
      </c>
      <c r="H58" t="s">
        <v>448</v>
      </c>
      <c r="I58" t="s">
        <v>450</v>
      </c>
      <c r="J58">
        <v>-2.6100000000000002E-2</v>
      </c>
      <c r="K58">
        <v>-2.4299999999999999E-2</v>
      </c>
      <c r="L58">
        <v>-2.0299999999999999E-2</v>
      </c>
      <c r="M58">
        <v>-2.12E-2</v>
      </c>
      <c r="N58" t="s">
        <v>213</v>
      </c>
      <c r="O58" t="s">
        <v>452</v>
      </c>
      <c r="P58" t="s">
        <v>453</v>
      </c>
      <c r="Q58" t="s">
        <v>454</v>
      </c>
      <c r="R58" t="s">
        <v>455</v>
      </c>
      <c r="S58">
        <v>-4.7199999999999999E-2</v>
      </c>
      <c r="T58" t="s">
        <v>456</v>
      </c>
      <c r="U58" t="s">
        <v>458</v>
      </c>
      <c r="V58" t="s">
        <v>459</v>
      </c>
      <c r="W58" t="s">
        <v>461</v>
      </c>
      <c r="X58" t="s">
        <v>463</v>
      </c>
      <c r="Y58" t="s">
        <v>464</v>
      </c>
      <c r="Z58">
        <v>-8.94E-3</v>
      </c>
      <c r="AA58" t="s">
        <v>466</v>
      </c>
      <c r="AB58" t="s">
        <v>468</v>
      </c>
      <c r="AC58" t="s">
        <v>469</v>
      </c>
      <c r="AD58" t="s">
        <v>470</v>
      </c>
      <c r="AE58" t="s">
        <v>471</v>
      </c>
      <c r="AF58" t="s">
        <v>472</v>
      </c>
      <c r="AG58" t="s">
        <v>473</v>
      </c>
      <c r="AH58" t="s">
        <v>474</v>
      </c>
      <c r="AI58" t="s">
        <v>475</v>
      </c>
      <c r="AJ58" t="s">
        <v>387</v>
      </c>
      <c r="AK58" t="s">
        <v>476</v>
      </c>
      <c r="AL58" t="s">
        <v>477</v>
      </c>
      <c r="AM58" t="s">
        <v>478</v>
      </c>
      <c r="AN58">
        <v>-2.7199999999999998E-2</v>
      </c>
      <c r="AO58">
        <v>2.9700000000000001E-2</v>
      </c>
      <c r="AP58">
        <v>2.7300000000000001E-2</v>
      </c>
      <c r="AQ58">
        <v>2.5399999999999999E-2</v>
      </c>
      <c r="AR58" t="s">
        <v>480</v>
      </c>
      <c r="AS58">
        <v>-2.2100000000000002E-2</v>
      </c>
      <c r="AT58">
        <v>-2.5899999999999999E-2</v>
      </c>
      <c r="AU58">
        <v>-2.2100000000000002E-2</v>
      </c>
      <c r="AV58">
        <v>3.09E-2</v>
      </c>
      <c r="AW58">
        <v>-6.2600000000000003E-2</v>
      </c>
      <c r="AX58">
        <v>-6.2799999999999995E-2</v>
      </c>
    </row>
    <row r="59" spans="1:50" x14ac:dyDescent="0.25">
      <c r="A59" t="s">
        <v>327</v>
      </c>
      <c r="B59">
        <v>1.7999999999999999E-2</v>
      </c>
      <c r="C59">
        <v>-6.8500000000000002E-3</v>
      </c>
      <c r="D59">
        <v>-2.2100000000000002E-2</v>
      </c>
      <c r="E59">
        <v>3.48E-3</v>
      </c>
      <c r="F59">
        <v>3.0599999999999998E-3</v>
      </c>
      <c r="G59">
        <v>5.4900000000000001E-3</v>
      </c>
      <c r="H59">
        <v>4.45E-3</v>
      </c>
      <c r="I59">
        <v>-6.5700000000000003E-3</v>
      </c>
      <c r="J59">
        <v>-5.5300000000000002E-3</v>
      </c>
      <c r="K59">
        <v>-4.8599999999999997E-3</v>
      </c>
      <c r="L59">
        <v>-7.6800000000000002E-3</v>
      </c>
      <c r="M59">
        <v>-2.4299999999999999E-3</v>
      </c>
      <c r="N59">
        <v>-1.0800000000000001E-2</v>
      </c>
      <c r="O59" t="s">
        <v>452</v>
      </c>
      <c r="P59" t="s">
        <v>453</v>
      </c>
      <c r="Q59">
        <v>-1.8599999999999998E-2</v>
      </c>
      <c r="R59">
        <v>-3.3300000000000003E-2</v>
      </c>
      <c r="S59">
        <v>-1.26E-2</v>
      </c>
      <c r="T59">
        <v>-2.07E-2</v>
      </c>
      <c r="U59">
        <v>4.19E-2</v>
      </c>
      <c r="V59" t="s">
        <v>460</v>
      </c>
      <c r="W59">
        <v>-9.9500000000000001E-4</v>
      </c>
      <c r="X59">
        <v>-1.9099999999999999E-2</v>
      </c>
      <c r="Y59">
        <v>-2.2799999999999999E-3</v>
      </c>
      <c r="Z59">
        <v>-6.9499999999999996E-3</v>
      </c>
      <c r="AA59">
        <v>-2.5900000000000001E-4</v>
      </c>
      <c r="AB59">
        <v>-6.11E-3</v>
      </c>
      <c r="AC59">
        <v>-4.8500000000000001E-3</v>
      </c>
      <c r="AD59" t="s">
        <v>470</v>
      </c>
      <c r="AE59" t="s">
        <v>471</v>
      </c>
      <c r="AF59" t="s">
        <v>472</v>
      </c>
      <c r="AG59" t="s">
        <v>473</v>
      </c>
      <c r="AH59" t="s">
        <v>474</v>
      </c>
      <c r="AI59" t="s">
        <v>475</v>
      </c>
      <c r="AJ59" t="s">
        <v>387</v>
      </c>
      <c r="AK59" t="s">
        <v>476</v>
      </c>
      <c r="AL59" t="s">
        <v>477</v>
      </c>
      <c r="AM59" t="s">
        <v>478</v>
      </c>
      <c r="AN59">
        <v>2.9700000000000001E-2</v>
      </c>
      <c r="AO59">
        <v>2.9700000000000001E-2</v>
      </c>
      <c r="AP59">
        <v>2.7300000000000001E-2</v>
      </c>
      <c r="AQ59">
        <v>2.5399999999999999E-2</v>
      </c>
      <c r="AR59" t="s">
        <v>480</v>
      </c>
      <c r="AS59">
        <v>1.6299999999999999E-2</v>
      </c>
      <c r="AT59">
        <v>1.6299999999999999E-2</v>
      </c>
      <c r="AU59">
        <v>2.5999999999999999E-2</v>
      </c>
      <c r="AV59">
        <v>3.09E-2</v>
      </c>
      <c r="AW59">
        <v>-6.2600000000000003E-2</v>
      </c>
      <c r="AX59">
        <v>-6.2799999999999995E-2</v>
      </c>
    </row>
  </sheetData>
  <mergeCells count="18">
    <mergeCell ref="K2:L2"/>
    <mergeCell ref="C2:D2"/>
    <mergeCell ref="AR1:AS1"/>
    <mergeCell ref="AT1:AU1"/>
    <mergeCell ref="AY1:AZ1"/>
    <mergeCell ref="AC1:AD1"/>
    <mergeCell ref="AK1:AL1"/>
    <mergeCell ref="AP1:AQ1"/>
    <mergeCell ref="Y2:Z2"/>
    <mergeCell ref="T2:U2"/>
    <mergeCell ref="R2:S2"/>
    <mergeCell ref="P2:Q2"/>
    <mergeCell ref="C1:D1"/>
    <mergeCell ref="K1:L1"/>
    <mergeCell ref="P1:Q1"/>
    <mergeCell ref="R1:S1"/>
    <mergeCell ref="T1:U1"/>
    <mergeCell ref="Y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J1" workbookViewId="0">
      <selection sqref="A1:Z16"/>
    </sheetView>
  </sheetViews>
  <sheetFormatPr defaultRowHeight="15" x14ac:dyDescent="0.25"/>
  <sheetData>
    <row r="1" spans="1:26" ht="15.75" x14ac:dyDescent="0.25">
      <c r="C1" s="42" t="s">
        <v>8</v>
      </c>
      <c r="D1" s="42"/>
      <c r="E1" s="11"/>
      <c r="F1" s="11" t="s">
        <v>12</v>
      </c>
      <c r="G1" s="11" t="s">
        <v>15</v>
      </c>
      <c r="H1" s="11"/>
      <c r="J1" s="7"/>
      <c r="K1" s="42" t="s">
        <v>13</v>
      </c>
      <c r="L1" s="42"/>
      <c r="M1" s="7"/>
      <c r="P1" s="42" t="s">
        <v>14</v>
      </c>
      <c r="Q1" s="42"/>
      <c r="R1" s="41" t="s">
        <v>17</v>
      </c>
      <c r="S1" s="41"/>
      <c r="T1" s="41" t="s">
        <v>16</v>
      </c>
      <c r="U1" s="41"/>
      <c r="V1" s="7"/>
      <c r="Y1" s="42" t="s">
        <v>18</v>
      </c>
      <c r="Z1" s="42"/>
    </row>
    <row r="2" spans="1:26" x14ac:dyDescent="0.25">
      <c r="B2">
        <v>2001</v>
      </c>
      <c r="C2">
        <v>2002</v>
      </c>
      <c r="D2">
        <v>2003</v>
      </c>
      <c r="E2">
        <v>2004</v>
      </c>
      <c r="F2">
        <v>1975</v>
      </c>
      <c r="G2" t="s">
        <v>565</v>
      </c>
      <c r="H2" t="s">
        <v>564</v>
      </c>
      <c r="I2">
        <v>1980</v>
      </c>
      <c r="J2">
        <v>1981</v>
      </c>
      <c r="K2">
        <v>1982</v>
      </c>
      <c r="L2">
        <v>1983</v>
      </c>
      <c r="M2">
        <v>1984</v>
      </c>
      <c r="N2">
        <v>1985</v>
      </c>
      <c r="O2">
        <v>1986</v>
      </c>
      <c r="P2">
        <v>1999</v>
      </c>
      <c r="Q2">
        <v>2002</v>
      </c>
      <c r="R2">
        <v>1999</v>
      </c>
      <c r="S2">
        <v>2004</v>
      </c>
      <c r="T2">
        <v>2000</v>
      </c>
      <c r="U2">
        <v>2001</v>
      </c>
      <c r="V2">
        <v>2002</v>
      </c>
      <c r="W2">
        <v>2003</v>
      </c>
      <c r="X2">
        <v>2004</v>
      </c>
      <c r="Y2">
        <v>2003</v>
      </c>
      <c r="Z2">
        <v>2004</v>
      </c>
    </row>
    <row r="3" spans="1:26" x14ac:dyDescent="0.25">
      <c r="A3" s="39" t="s">
        <v>322</v>
      </c>
      <c r="B3" s="3" t="str">
        <f>Q25</f>
        <v>4/7</v>
      </c>
      <c r="C3" s="3" t="str">
        <f t="shared" ref="C3:E13" si="0">R25</f>
        <v>2/7</v>
      </c>
      <c r="D3" s="3" t="str">
        <f t="shared" si="0"/>
        <v>3/7</v>
      </c>
      <c r="E3" s="3" t="str">
        <f t="shared" si="0"/>
        <v>2/7</v>
      </c>
      <c r="F3" s="3" t="str">
        <f>I25</f>
        <v>0/7</v>
      </c>
      <c r="G3" s="3" t="str">
        <f>U25</f>
        <v>0/7</v>
      </c>
      <c r="H3" s="3" t="str">
        <f>V25</f>
        <v>0/7</v>
      </c>
      <c r="I3" s="40" t="str">
        <f>B25</f>
        <v>7/7</v>
      </c>
      <c r="J3" s="40" t="str">
        <f t="shared" ref="J3:O13" si="1">C25</f>
        <v>7/7</v>
      </c>
      <c r="K3" s="40" t="str">
        <f t="shared" si="1"/>
        <v>7/7</v>
      </c>
      <c r="L3" s="40" t="str">
        <f t="shared" si="1"/>
        <v>7/7</v>
      </c>
      <c r="M3" s="40" t="str">
        <f t="shared" si="1"/>
        <v>7/7</v>
      </c>
      <c r="N3" s="40" t="str">
        <f t="shared" si="1"/>
        <v>7/7</v>
      </c>
      <c r="O3" s="40" t="str">
        <f t="shared" si="1"/>
        <v>7/7</v>
      </c>
      <c r="P3" s="3" t="str">
        <f>O25</f>
        <v>4/7</v>
      </c>
      <c r="Q3" s="3" t="str">
        <f>P25</f>
        <v>4/7</v>
      </c>
      <c r="R3" s="3" t="str">
        <f>W25</f>
        <v>0/7</v>
      </c>
      <c r="S3" s="3" t="str">
        <f>X25</f>
        <v>0/7</v>
      </c>
      <c r="T3" s="3" t="str">
        <f>J25</f>
        <v>0/7</v>
      </c>
      <c r="U3" s="3" t="str">
        <f t="shared" ref="U3:X13" si="2">K25</f>
        <v>0/7</v>
      </c>
      <c r="V3" s="3" t="str">
        <f t="shared" si="2"/>
        <v>0/7</v>
      </c>
      <c r="W3" s="3" t="str">
        <f t="shared" si="2"/>
        <v>0/7</v>
      </c>
      <c r="X3" s="3" t="str">
        <f t="shared" si="2"/>
        <v>0/7</v>
      </c>
      <c r="Y3" s="3" t="str">
        <f>AW25</f>
        <v>7/7</v>
      </c>
      <c r="Z3" s="3" t="str">
        <f>AX25</f>
        <v>7/7</v>
      </c>
    </row>
    <row r="4" spans="1:26" x14ac:dyDescent="0.25">
      <c r="A4" s="39" t="s">
        <v>323</v>
      </c>
      <c r="B4" s="3" t="str">
        <f t="shared" ref="B4:B12" si="3">Q26</f>
        <v>0/7</v>
      </c>
      <c r="C4" s="3" t="str">
        <f t="shared" si="0"/>
        <v>0/7</v>
      </c>
      <c r="D4" s="3" t="str">
        <f t="shared" si="0"/>
        <v>0/7</v>
      </c>
      <c r="E4" s="3" t="str">
        <f t="shared" si="0"/>
        <v>0/7</v>
      </c>
      <c r="F4" s="3" t="str">
        <f t="shared" ref="F4:F12" si="4">I26</f>
        <v>0/7</v>
      </c>
      <c r="G4" s="3" t="str">
        <f t="shared" ref="G4:H12" si="5">U26</f>
        <v>6/7</v>
      </c>
      <c r="H4" s="3" t="str">
        <f t="shared" si="5"/>
        <v>6/7</v>
      </c>
      <c r="I4" s="40" t="str">
        <f t="shared" ref="I4:I12" si="6">B26</f>
        <v>4/7</v>
      </c>
      <c r="J4" s="40" t="str">
        <f t="shared" si="1"/>
        <v>6/7</v>
      </c>
      <c r="K4" s="40" t="str">
        <f t="shared" si="1"/>
        <v>5/7</v>
      </c>
      <c r="L4" s="40" t="str">
        <f t="shared" si="1"/>
        <v>5/7</v>
      </c>
      <c r="M4" s="40" t="str">
        <f t="shared" si="1"/>
        <v>4/7</v>
      </c>
      <c r="N4" s="40" t="str">
        <f t="shared" si="1"/>
        <v>5/7</v>
      </c>
      <c r="O4" s="40" t="str">
        <f t="shared" si="1"/>
        <v>4/7</v>
      </c>
      <c r="P4" s="3" t="str">
        <f t="shared" ref="P4:Q12" si="7">O26</f>
        <v>0/7</v>
      </c>
      <c r="Q4" s="3" t="str">
        <f t="shared" si="7"/>
        <v>0/7</v>
      </c>
      <c r="R4" s="3" t="str">
        <f t="shared" ref="R4:S12" si="8">W26</f>
        <v>3/7</v>
      </c>
      <c r="S4" s="3" t="str">
        <f t="shared" si="8"/>
        <v>2/7</v>
      </c>
      <c r="T4" s="3" t="str">
        <f t="shared" ref="T4:T12" si="9">J26</f>
        <v>5/7</v>
      </c>
      <c r="U4" s="3" t="str">
        <f t="shared" si="2"/>
        <v>5/7</v>
      </c>
      <c r="V4" s="3" t="str">
        <f t="shared" si="2"/>
        <v>5/7</v>
      </c>
      <c r="W4" s="3" t="str">
        <f t="shared" si="2"/>
        <v>5/7</v>
      </c>
      <c r="X4" s="3" t="str">
        <f t="shared" si="2"/>
        <v>6/7</v>
      </c>
      <c r="Y4" s="3" t="str">
        <f t="shared" ref="Y4:Z12" si="10">AW26</f>
        <v>5/7</v>
      </c>
      <c r="Z4" s="3" t="str">
        <f t="shared" si="10"/>
        <v>6/7</v>
      </c>
    </row>
    <row r="5" spans="1:26" x14ac:dyDescent="0.25">
      <c r="A5" s="39" t="s">
        <v>324</v>
      </c>
      <c r="B5" s="3" t="str">
        <f t="shared" si="3"/>
        <v>0.002</v>
      </c>
      <c r="C5" s="3" t="str">
        <f t="shared" si="0"/>
        <v>0.003</v>
      </c>
      <c r="D5" s="3" t="str">
        <f t="shared" si="0"/>
        <v>0.006</v>
      </c>
      <c r="E5" s="3" t="str">
        <f t="shared" si="0"/>
        <v>0.006</v>
      </c>
      <c r="F5" s="3" t="str">
        <f t="shared" si="4"/>
        <v>0.008</v>
      </c>
      <c r="G5" s="3" t="str">
        <f t="shared" si="5"/>
        <v>0.034</v>
      </c>
      <c r="H5" s="3" t="str">
        <f t="shared" si="5"/>
        <v>0.048</v>
      </c>
      <c r="I5" s="40" t="str">
        <f t="shared" si="6"/>
        <v>0.045</v>
      </c>
      <c r="J5" s="40" t="str">
        <f t="shared" si="1"/>
        <v>0.027</v>
      </c>
      <c r="K5" s="40" t="str">
        <f t="shared" si="1"/>
        <v>0.032</v>
      </c>
      <c r="L5" s="40" t="str">
        <f t="shared" si="1"/>
        <v>0.031</v>
      </c>
      <c r="M5" s="40" t="str">
        <f t="shared" si="1"/>
        <v>0.045</v>
      </c>
      <c r="N5" s="40" t="str">
        <f t="shared" si="1"/>
        <v>0.032</v>
      </c>
      <c r="O5" s="40" t="str">
        <f t="shared" si="1"/>
        <v>0.033</v>
      </c>
      <c r="P5" s="3" t="str">
        <f t="shared" si="7"/>
        <v>0.002</v>
      </c>
      <c r="Q5" s="3" t="str">
        <f t="shared" si="7"/>
        <v>0.008</v>
      </c>
      <c r="R5" s="3" t="str">
        <f t="shared" si="8"/>
        <v>0.023</v>
      </c>
      <c r="S5" s="3" t="str">
        <f t="shared" si="8"/>
        <v>0.016</v>
      </c>
      <c r="T5" s="3" t="str">
        <f t="shared" si="9"/>
        <v>0.051</v>
      </c>
      <c r="U5" s="3" t="str">
        <f t="shared" si="2"/>
        <v>0.051</v>
      </c>
      <c r="V5" s="3" t="str">
        <f t="shared" si="2"/>
        <v>0.057</v>
      </c>
      <c r="W5" s="3" t="str">
        <f t="shared" si="2"/>
        <v>0.058</v>
      </c>
      <c r="X5" s="3" t="str">
        <f t="shared" si="2"/>
        <v>0.061</v>
      </c>
      <c r="Y5" s="3" t="str">
        <f t="shared" si="10"/>
        <v>0.043</v>
      </c>
      <c r="Z5" s="3" t="str">
        <f t="shared" si="10"/>
        <v>0.04</v>
      </c>
    </row>
    <row r="6" spans="1:26" x14ac:dyDescent="0.25">
      <c r="A6" s="39" t="s">
        <v>325</v>
      </c>
      <c r="B6" s="3" t="str">
        <f t="shared" si="3"/>
        <v>75-80</v>
      </c>
      <c r="C6" s="3" t="str">
        <f t="shared" si="0"/>
        <v>75-80</v>
      </c>
      <c r="D6" s="3" t="str">
        <f t="shared" si="0"/>
        <v>75-80</v>
      </c>
      <c r="E6" s="3" t="str">
        <f t="shared" si="0"/>
        <v>75-80</v>
      </c>
      <c r="F6" s="3" t="str">
        <f t="shared" si="4"/>
        <v>85-90</v>
      </c>
      <c r="G6" s="3" t="str">
        <f t="shared" si="5"/>
        <v>95-00</v>
      </c>
      <c r="H6" s="3" t="str">
        <f t="shared" si="5"/>
        <v>90-95</v>
      </c>
      <c r="I6" s="40" t="str">
        <f t="shared" si="6"/>
        <v>95-00</v>
      </c>
      <c r="J6" s="40" t="str">
        <f t="shared" si="1"/>
        <v>85-90</v>
      </c>
      <c r="K6" s="40" t="str">
        <f t="shared" si="1"/>
        <v>85-90</v>
      </c>
      <c r="L6" s="40" t="str">
        <f t="shared" si="1"/>
        <v>90-95</v>
      </c>
      <c r="M6" s="40" t="str">
        <f t="shared" si="1"/>
        <v>85-90</v>
      </c>
      <c r="N6" s="40" t="str">
        <f t="shared" si="1"/>
        <v>85-90</v>
      </c>
      <c r="O6" s="40" t="str">
        <f t="shared" si="1"/>
        <v>85-90</v>
      </c>
      <c r="P6" s="3" t="str">
        <f t="shared" si="7"/>
        <v>75-80</v>
      </c>
      <c r="Q6" s="3" t="str">
        <f t="shared" si="7"/>
        <v>75-80</v>
      </c>
      <c r="R6" s="3" t="str">
        <f t="shared" si="8"/>
        <v>95-00</v>
      </c>
      <c r="S6" s="3" t="str">
        <f t="shared" si="8"/>
        <v>95-00</v>
      </c>
      <c r="T6" s="3" t="str">
        <f t="shared" si="9"/>
        <v>85-90</v>
      </c>
      <c r="U6" s="3" t="str">
        <f t="shared" si="2"/>
        <v>85-90</v>
      </c>
      <c r="V6" s="3" t="str">
        <f t="shared" si="2"/>
        <v>85-90</v>
      </c>
      <c r="W6" s="3" t="str">
        <f t="shared" si="2"/>
        <v>85-90</v>
      </c>
      <c r="X6" s="3" t="str">
        <f t="shared" si="2"/>
        <v>85-90</v>
      </c>
      <c r="Y6" s="3" t="str">
        <f t="shared" si="10"/>
        <v>85-90</v>
      </c>
      <c r="Z6" s="3" t="str">
        <f t="shared" si="10"/>
        <v>85-90</v>
      </c>
    </row>
    <row r="7" spans="1:26" x14ac:dyDescent="0.25">
      <c r="A7" s="39" t="s">
        <v>326</v>
      </c>
      <c r="B7" s="3">
        <f t="shared" si="3"/>
        <v>-1.7600000000000001E-2</v>
      </c>
      <c r="C7" s="3">
        <f t="shared" si="0"/>
        <v>-2.0899999999999998E-2</v>
      </c>
      <c r="D7" s="3">
        <f t="shared" si="0"/>
        <v>-3.3000000000000002E-2</v>
      </c>
      <c r="E7" s="3">
        <f t="shared" si="0"/>
        <v>-3.1099999999999999E-2</v>
      </c>
      <c r="F7" s="3">
        <f t="shared" si="4"/>
        <v>-6.6899999999999998E-3</v>
      </c>
      <c r="G7" s="3" t="str">
        <f t="shared" si="5"/>
        <v>-0.0625***</v>
      </c>
      <c r="H7" s="3" t="str">
        <f t="shared" si="5"/>
        <v>-0.0771***</v>
      </c>
      <c r="I7" s="40" t="str">
        <f t="shared" si="6"/>
        <v>0.108***</v>
      </c>
      <c r="J7" s="40" t="str">
        <f t="shared" si="1"/>
        <v>0.0320***</v>
      </c>
      <c r="K7" s="40" t="str">
        <f t="shared" si="1"/>
        <v>0.0477***</v>
      </c>
      <c r="L7" s="40" t="str">
        <f t="shared" si="1"/>
        <v>0.0341***</v>
      </c>
      <c r="M7" s="40" t="str">
        <f t="shared" si="1"/>
        <v>0.0396***</v>
      </c>
      <c r="N7" s="40" t="str">
        <f t="shared" si="1"/>
        <v>0.0325***</v>
      </c>
      <c r="O7" s="40" t="str">
        <f t="shared" si="1"/>
        <v>0.0378***</v>
      </c>
      <c r="P7" s="3">
        <f t="shared" si="7"/>
        <v>-1.2699999999999999E-2</v>
      </c>
      <c r="Q7" s="3">
        <f t="shared" si="7"/>
        <v>-3.4500000000000003E-2</v>
      </c>
      <c r="R7" s="3" t="str">
        <f t="shared" si="8"/>
        <v>-0.0766***</v>
      </c>
      <c r="S7" s="3" t="str">
        <f t="shared" si="8"/>
        <v>-0.0442**</v>
      </c>
      <c r="T7" s="3" t="str">
        <f t="shared" si="9"/>
        <v>-0.0741***</v>
      </c>
      <c r="U7" s="3" t="str">
        <f t="shared" si="2"/>
        <v>-0.0774***</v>
      </c>
      <c r="V7" s="3" t="str">
        <f t="shared" si="2"/>
        <v>-0.0673***</v>
      </c>
      <c r="W7" s="3" t="str">
        <f t="shared" si="2"/>
        <v>-0.0699***</v>
      </c>
      <c r="X7" s="3" t="str">
        <f t="shared" si="2"/>
        <v>-0.0808***</v>
      </c>
      <c r="Y7" s="3" t="str">
        <f t="shared" si="10"/>
        <v>0.0826***</v>
      </c>
      <c r="Z7" s="3" t="str">
        <f t="shared" si="10"/>
        <v>0.0818***</v>
      </c>
    </row>
    <row r="8" spans="1:26" x14ac:dyDescent="0.25">
      <c r="A8" s="39" t="s">
        <v>327</v>
      </c>
      <c r="B8" s="3">
        <f t="shared" si="3"/>
        <v>1.5299999999999999E-3</v>
      </c>
      <c r="C8" s="3">
        <f t="shared" si="0"/>
        <v>-7.2999999999999996E-4</v>
      </c>
      <c r="D8" s="3">
        <f t="shared" si="0"/>
        <v>5.0000000000000001E-3</v>
      </c>
      <c r="E8" s="3">
        <f t="shared" si="0"/>
        <v>-1.6799999999999999E-2</v>
      </c>
      <c r="F8" s="3">
        <f t="shared" si="4"/>
        <v>-3.29E-3</v>
      </c>
      <c r="G8" s="3" t="str">
        <f t="shared" si="5"/>
        <v>-0.0277*</v>
      </c>
      <c r="H8" s="3" t="str">
        <f t="shared" si="5"/>
        <v>-0.0337*</v>
      </c>
      <c r="I8" s="40">
        <f t="shared" si="6"/>
        <v>2.1399999999999999E-2</v>
      </c>
      <c r="J8" s="40">
        <f t="shared" si="1"/>
        <v>9.1199999999999996E-3</v>
      </c>
      <c r="K8" s="40">
        <f t="shared" si="1"/>
        <v>1.5599999999999999E-2</v>
      </c>
      <c r="L8" s="40">
        <f t="shared" si="1"/>
        <v>1.1599999999999999E-2</v>
      </c>
      <c r="M8" s="40">
        <f t="shared" si="1"/>
        <v>5.8999999999999999E-3</v>
      </c>
      <c r="N8" s="40">
        <f t="shared" si="1"/>
        <v>6.8300000000000001E-3</v>
      </c>
      <c r="O8" s="40">
        <f t="shared" si="1"/>
        <v>1.2099999999999999E-3</v>
      </c>
      <c r="P8" s="3">
        <f t="shared" si="7"/>
        <v>-6.8799999999999998E-3</v>
      </c>
      <c r="Q8" s="3">
        <f t="shared" si="7"/>
        <v>-1.61E-2</v>
      </c>
      <c r="R8" s="3" t="str">
        <f t="shared" si="8"/>
        <v>-0.0360*</v>
      </c>
      <c r="S8" s="3">
        <f t="shared" si="8"/>
        <v>-1.04E-2</v>
      </c>
      <c r="T8" s="3" t="str">
        <f t="shared" si="9"/>
        <v>-0.0392***</v>
      </c>
      <c r="U8" s="3" t="str">
        <f t="shared" si="2"/>
        <v>-0.0376**</v>
      </c>
      <c r="V8" s="3" t="str">
        <f t="shared" si="2"/>
        <v>-0.0320***</v>
      </c>
      <c r="W8" s="3" t="str">
        <f t="shared" si="2"/>
        <v>-0.0332***</v>
      </c>
      <c r="X8" s="3" t="str">
        <f t="shared" si="2"/>
        <v>-0.0386***</v>
      </c>
      <c r="Y8" s="3" t="str">
        <f t="shared" si="10"/>
        <v>0.0310*</v>
      </c>
      <c r="Z8" s="3" t="str">
        <f t="shared" si="10"/>
        <v>0.0325*</v>
      </c>
    </row>
    <row r="9" spans="1:26" ht="15.75" x14ac:dyDescent="0.25">
      <c r="B9" s="11" t="s">
        <v>9</v>
      </c>
      <c r="C9" s="11"/>
      <c r="D9" s="11"/>
      <c r="J9" s="11" t="s">
        <v>10</v>
      </c>
      <c r="K9" s="11"/>
      <c r="L9" s="7"/>
      <c r="S9" s="11" t="s">
        <v>11</v>
      </c>
      <c r="T9" s="11"/>
      <c r="Y9" s="3"/>
      <c r="Z9" s="3"/>
    </row>
    <row r="10" spans="1:26" x14ac:dyDescent="0.25">
      <c r="B10" s="3" t="s">
        <v>569</v>
      </c>
      <c r="C10" s="3" t="s">
        <v>570</v>
      </c>
      <c r="D10" s="3" t="s">
        <v>571</v>
      </c>
      <c r="E10" s="3" t="s">
        <v>572</v>
      </c>
      <c r="F10" s="3" t="s">
        <v>573</v>
      </c>
      <c r="G10" s="3" t="s">
        <v>569</v>
      </c>
      <c r="H10" s="3" t="s">
        <v>570</v>
      </c>
      <c r="I10" s="3" t="s">
        <v>571</v>
      </c>
      <c r="J10" s="3" t="s">
        <v>572</v>
      </c>
      <c r="K10" s="3" t="s">
        <v>573</v>
      </c>
      <c r="L10" s="3" t="s">
        <v>574</v>
      </c>
      <c r="M10" s="3" t="s">
        <v>575</v>
      </c>
      <c r="N10" s="3" t="s">
        <v>576</v>
      </c>
      <c r="O10" s="3" t="s">
        <v>577</v>
      </c>
      <c r="P10" s="3" t="s">
        <v>578</v>
      </c>
      <c r="Q10" s="3" t="s">
        <v>570</v>
      </c>
      <c r="R10" s="3" t="s">
        <v>571</v>
      </c>
      <c r="S10" s="3" t="s">
        <v>572</v>
      </c>
      <c r="T10" s="3" t="s">
        <v>573</v>
      </c>
      <c r="U10" s="3" t="s">
        <v>574</v>
      </c>
      <c r="V10" s="3" t="s">
        <v>575</v>
      </c>
      <c r="W10" s="3" t="s">
        <v>576</v>
      </c>
      <c r="X10" s="3" t="s">
        <v>577</v>
      </c>
      <c r="Y10" s="3" t="s">
        <v>578</v>
      </c>
      <c r="Z10" s="3"/>
    </row>
    <row r="11" spans="1:26" x14ac:dyDescent="0.25">
      <c r="A11" s="39" t="s">
        <v>322</v>
      </c>
      <c r="B11" s="3" t="str">
        <f>Y25</f>
        <v>0/7</v>
      </c>
      <c r="C11" s="3" t="str">
        <f>Z25</f>
        <v>0/7</v>
      </c>
      <c r="D11" s="3" t="str">
        <f t="shared" ref="D11:S16" si="11">AA25</f>
        <v>0/7</v>
      </c>
      <c r="E11" s="3" t="str">
        <f t="shared" si="11"/>
        <v>0/7</v>
      </c>
      <c r="F11" s="3" t="str">
        <f t="shared" si="11"/>
        <v>0/7</v>
      </c>
      <c r="G11" s="3" t="str">
        <f t="shared" si="11"/>
        <v>0/7</v>
      </c>
      <c r="H11" s="3" t="str">
        <f t="shared" si="11"/>
        <v>0/7</v>
      </c>
      <c r="I11" s="3" t="str">
        <f t="shared" si="11"/>
        <v>0/7</v>
      </c>
      <c r="J11" s="3" t="str">
        <f t="shared" si="11"/>
        <v>0/7</v>
      </c>
      <c r="K11" s="3" t="str">
        <f t="shared" si="11"/>
        <v>0/7</v>
      </c>
      <c r="L11" s="3" t="str">
        <f t="shared" si="11"/>
        <v>0/7</v>
      </c>
      <c r="M11" s="3" t="str">
        <f t="shared" si="11"/>
        <v>0/7</v>
      </c>
      <c r="N11" s="3" t="str">
        <f t="shared" si="11"/>
        <v>0/7</v>
      </c>
      <c r="O11" s="3" t="str">
        <f t="shared" si="11"/>
        <v>0/7</v>
      </c>
      <c r="P11" s="3" t="str">
        <f t="shared" si="11"/>
        <v>0/7</v>
      </c>
      <c r="Q11" s="3" t="str">
        <f t="shared" si="11"/>
        <v>0/7</v>
      </c>
      <c r="R11" s="3" t="str">
        <f t="shared" si="11"/>
        <v>0/7</v>
      </c>
      <c r="S11" s="3" t="str">
        <f t="shared" si="11"/>
        <v>0/7</v>
      </c>
      <c r="T11" s="3" t="str">
        <f t="shared" ref="T11:Y16" si="12">AQ25</f>
        <v>0/7</v>
      </c>
      <c r="U11" s="3" t="str">
        <f t="shared" si="12"/>
        <v>0/7</v>
      </c>
      <c r="V11" s="3" t="str">
        <f t="shared" si="12"/>
        <v>0/7</v>
      </c>
      <c r="W11" s="3" t="str">
        <f t="shared" si="12"/>
        <v>0/7</v>
      </c>
      <c r="X11" s="3" t="str">
        <f t="shared" si="12"/>
        <v>0/7</v>
      </c>
      <c r="Y11" s="3" t="str">
        <f t="shared" si="12"/>
        <v>0/7</v>
      </c>
      <c r="Z11" s="3"/>
    </row>
    <row r="12" spans="1:26" x14ac:dyDescent="0.25">
      <c r="A12" s="39" t="s">
        <v>323</v>
      </c>
      <c r="B12" s="3" t="str">
        <f t="shared" ref="B12:C16" si="13">Y26</f>
        <v>5/7</v>
      </c>
      <c r="C12" s="3" t="str">
        <f t="shared" si="13"/>
        <v>5/7</v>
      </c>
      <c r="D12" s="3" t="str">
        <f t="shared" si="11"/>
        <v>6/7</v>
      </c>
      <c r="E12" s="3" t="str">
        <f t="shared" si="11"/>
        <v>6/7</v>
      </c>
      <c r="F12" s="3" t="str">
        <f t="shared" si="11"/>
        <v>4/7</v>
      </c>
      <c r="G12" s="3" t="str">
        <f t="shared" si="11"/>
        <v>1/7</v>
      </c>
      <c r="H12" s="3" t="str">
        <f t="shared" si="11"/>
        <v>0/7</v>
      </c>
      <c r="I12" s="3" t="str">
        <f t="shared" si="11"/>
        <v>0/7</v>
      </c>
      <c r="J12" s="3" t="str">
        <f t="shared" si="11"/>
        <v>0/7</v>
      </c>
      <c r="K12" s="3" t="str">
        <f t="shared" si="11"/>
        <v>0/7</v>
      </c>
      <c r="L12" s="3" t="str">
        <f t="shared" si="11"/>
        <v>0/7</v>
      </c>
      <c r="M12" s="3" t="str">
        <f t="shared" si="11"/>
        <v>0/7</v>
      </c>
      <c r="N12" s="3" t="str">
        <f t="shared" si="11"/>
        <v>0/7</v>
      </c>
      <c r="O12" s="3" t="str">
        <f t="shared" si="11"/>
        <v>0/7</v>
      </c>
      <c r="P12" s="3" t="str">
        <f t="shared" si="11"/>
        <v>0/7</v>
      </c>
      <c r="Q12" s="3" t="str">
        <f t="shared" si="11"/>
        <v>2/7</v>
      </c>
      <c r="R12" s="3" t="str">
        <f t="shared" si="11"/>
        <v>4/7</v>
      </c>
      <c r="S12" s="3" t="str">
        <f t="shared" si="11"/>
        <v>5/7</v>
      </c>
      <c r="T12" s="3" t="str">
        <f t="shared" si="12"/>
        <v>5/7</v>
      </c>
      <c r="U12" s="3" t="str">
        <f t="shared" si="12"/>
        <v>3/7</v>
      </c>
      <c r="V12" s="3" t="str">
        <f t="shared" si="12"/>
        <v>3/7</v>
      </c>
      <c r="W12" s="3" t="str">
        <f t="shared" si="12"/>
        <v>4/7</v>
      </c>
      <c r="X12" s="3" t="str">
        <f t="shared" si="12"/>
        <v>4/7</v>
      </c>
      <c r="Y12" s="3" t="str">
        <f t="shared" si="12"/>
        <v>4/7</v>
      </c>
      <c r="Z12" s="3"/>
    </row>
    <row r="13" spans="1:26" x14ac:dyDescent="0.25">
      <c r="A13" s="39" t="s">
        <v>324</v>
      </c>
      <c r="B13" s="3" t="str">
        <f t="shared" si="13"/>
        <v>0.024</v>
      </c>
      <c r="C13" s="3" t="str">
        <f t="shared" si="13"/>
        <v>0.017</v>
      </c>
      <c r="D13" s="3" t="str">
        <f t="shared" si="11"/>
        <v>0.035</v>
      </c>
      <c r="E13" s="3" t="str">
        <f t="shared" si="11"/>
        <v>0.036</v>
      </c>
      <c r="F13" s="3" t="str">
        <f t="shared" si="11"/>
        <v>0.023</v>
      </c>
      <c r="G13" s="3" t="str">
        <f t="shared" si="11"/>
        <v>0.012</v>
      </c>
      <c r="H13" s="3" t="str">
        <f t="shared" si="11"/>
        <v>0.001</v>
      </c>
      <c r="I13" s="3" t="str">
        <f t="shared" si="11"/>
        <v>0.002</v>
      </c>
      <c r="J13" s="3" t="str">
        <f t="shared" si="11"/>
        <v>0.002</v>
      </c>
      <c r="K13" s="3" t="str">
        <f t="shared" si="11"/>
        <v>0.002</v>
      </c>
      <c r="L13" s="3" t="str">
        <f t="shared" si="11"/>
        <v>0.006</v>
      </c>
      <c r="M13" s="3" t="str">
        <f t="shared" si="11"/>
        <v>0.003</v>
      </c>
      <c r="N13" s="3" t="str">
        <f t="shared" si="11"/>
        <v>0.006</v>
      </c>
      <c r="O13" s="3" t="str">
        <f t="shared" si="11"/>
        <v>0.004</v>
      </c>
      <c r="P13" s="3" t="str">
        <f t="shared" si="11"/>
        <v>0.003</v>
      </c>
      <c r="Q13" s="3" t="str">
        <f t="shared" si="11"/>
        <v>0.012</v>
      </c>
      <c r="R13" s="3" t="str">
        <f t="shared" si="11"/>
        <v>0.023</v>
      </c>
      <c r="S13" s="3" t="str">
        <f t="shared" si="11"/>
        <v>0.023</v>
      </c>
      <c r="T13" s="3" t="str">
        <f t="shared" si="12"/>
        <v>0.025</v>
      </c>
      <c r="U13" s="3" t="str">
        <f t="shared" si="12"/>
        <v>0.023</v>
      </c>
      <c r="V13" s="3" t="str">
        <f t="shared" si="12"/>
        <v>0.03</v>
      </c>
      <c r="W13" s="3" t="str">
        <f t="shared" si="12"/>
        <v>0.034</v>
      </c>
      <c r="X13" s="3" t="str">
        <f t="shared" si="12"/>
        <v>0.028</v>
      </c>
      <c r="Y13" s="3" t="str">
        <f t="shared" si="12"/>
        <v>0.022</v>
      </c>
      <c r="Z13" s="3"/>
    </row>
    <row r="14" spans="1:26" x14ac:dyDescent="0.25">
      <c r="A14" s="39" t="s">
        <v>325</v>
      </c>
      <c r="B14" s="3" t="str">
        <f t="shared" si="13"/>
        <v>90-95</v>
      </c>
      <c r="C14" s="3" t="str">
        <f t="shared" si="13"/>
        <v>75-80</v>
      </c>
      <c r="D14" s="3" t="str">
        <f t="shared" si="11"/>
        <v>90-95</v>
      </c>
      <c r="E14" s="3" t="str">
        <f t="shared" si="11"/>
        <v>90-95</v>
      </c>
      <c r="F14" s="3" t="str">
        <f t="shared" si="11"/>
        <v>90-95</v>
      </c>
      <c r="G14" s="3" t="str">
        <f t="shared" si="11"/>
        <v>75-80</v>
      </c>
      <c r="H14" s="3" t="str">
        <f t="shared" si="11"/>
        <v>75-80</v>
      </c>
      <c r="I14" s="3" t="str">
        <f t="shared" si="11"/>
        <v>80-85</v>
      </c>
      <c r="J14" s="3" t="str">
        <f t="shared" si="11"/>
        <v>75-80</v>
      </c>
      <c r="K14" s="3" t="str">
        <f t="shared" si="11"/>
        <v>75-80</v>
      </c>
      <c r="L14" s="3" t="str">
        <f t="shared" si="11"/>
        <v>80-85</v>
      </c>
      <c r="M14" s="3" t="str">
        <f t="shared" si="11"/>
        <v>75-80</v>
      </c>
      <c r="N14" s="3" t="str">
        <f t="shared" si="11"/>
        <v>05-10</v>
      </c>
      <c r="O14" s="3" t="str">
        <f t="shared" si="11"/>
        <v>95-00</v>
      </c>
      <c r="P14" s="3" t="str">
        <f t="shared" si="11"/>
        <v>90-95</v>
      </c>
      <c r="Q14" s="3" t="str">
        <f t="shared" si="11"/>
        <v>85-90</v>
      </c>
      <c r="R14" s="3" t="str">
        <f t="shared" si="11"/>
        <v>90-95</v>
      </c>
      <c r="S14" s="3" t="str">
        <f t="shared" si="11"/>
        <v>90-95</v>
      </c>
      <c r="T14" s="3" t="str">
        <f t="shared" si="12"/>
        <v>90-95</v>
      </c>
      <c r="U14" s="3" t="str">
        <f t="shared" si="12"/>
        <v>85-90</v>
      </c>
      <c r="V14" s="3" t="str">
        <f t="shared" si="12"/>
        <v>85-90</v>
      </c>
      <c r="W14" s="3" t="str">
        <f t="shared" si="12"/>
        <v>85-90</v>
      </c>
      <c r="X14" s="3" t="str">
        <f t="shared" si="12"/>
        <v>85-90</v>
      </c>
      <c r="Y14" s="3" t="str">
        <f t="shared" si="12"/>
        <v>85-90</v>
      </c>
      <c r="Z14" s="3"/>
    </row>
    <row r="15" spans="1:26" x14ac:dyDescent="0.25">
      <c r="A15" s="39" t="s">
        <v>326</v>
      </c>
      <c r="B15" s="3" t="str">
        <f t="shared" si="13"/>
        <v>-0.0118***</v>
      </c>
      <c r="C15" s="3" t="str">
        <f t="shared" si="13"/>
        <v>-0.0124***</v>
      </c>
      <c r="D15" s="3" t="str">
        <f t="shared" si="11"/>
        <v>-0.0144***</v>
      </c>
      <c r="E15" s="3" t="str">
        <f t="shared" si="11"/>
        <v>-0.0143***</v>
      </c>
      <c r="F15" s="3" t="str">
        <f t="shared" si="11"/>
        <v>-0.00996***</v>
      </c>
      <c r="G15" s="3" t="str">
        <f t="shared" si="11"/>
        <v>-0.0108*</v>
      </c>
      <c r="H15" s="3">
        <f t="shared" si="11"/>
        <v>-2.2799999999999999E-3</v>
      </c>
      <c r="I15" s="3">
        <f t="shared" si="11"/>
        <v>-3.1900000000000001E-3</v>
      </c>
      <c r="J15" s="3">
        <f t="shared" si="11"/>
        <v>-3.31E-3</v>
      </c>
      <c r="K15" s="3">
        <f t="shared" si="11"/>
        <v>-3.5100000000000001E-3</v>
      </c>
      <c r="L15" s="3">
        <f t="shared" si="11"/>
        <v>-4.79E-3</v>
      </c>
      <c r="M15" s="3">
        <f t="shared" si="11"/>
        <v>-4.2300000000000003E-3</v>
      </c>
      <c r="N15" s="3">
        <f t="shared" si="11"/>
        <v>-3.9500000000000004E-3</v>
      </c>
      <c r="O15" s="3">
        <f t="shared" si="11"/>
        <v>-3.81E-3</v>
      </c>
      <c r="P15" s="3">
        <f t="shared" si="11"/>
        <v>-3.5400000000000002E-3</v>
      </c>
      <c r="Q15" s="3" t="str">
        <f t="shared" si="11"/>
        <v>-0.0462*</v>
      </c>
      <c r="R15" s="3" t="str">
        <f t="shared" si="11"/>
        <v>-0.0273***</v>
      </c>
      <c r="S15" s="3" t="str">
        <f t="shared" si="11"/>
        <v>-0.0288***</v>
      </c>
      <c r="T15" s="3" t="str">
        <f t="shared" si="12"/>
        <v>-0.0302***</v>
      </c>
      <c r="U15" s="3" t="str">
        <f t="shared" si="12"/>
        <v>-0.0338**</v>
      </c>
      <c r="V15" s="3" t="str">
        <f t="shared" si="12"/>
        <v>-0.0554*</v>
      </c>
      <c r="W15" s="3" t="str">
        <f t="shared" si="12"/>
        <v>-0.0581**</v>
      </c>
      <c r="X15" s="3" t="str">
        <f t="shared" si="12"/>
        <v>-0.0515**</v>
      </c>
      <c r="Y15" s="3" t="str">
        <f t="shared" si="12"/>
        <v>-0.0457*</v>
      </c>
      <c r="Z15" s="3"/>
    </row>
    <row r="16" spans="1:26" x14ac:dyDescent="0.25">
      <c r="A16" s="39" t="s">
        <v>327</v>
      </c>
      <c r="B16" s="3" t="str">
        <f t="shared" si="13"/>
        <v>-0.00553*</v>
      </c>
      <c r="C16" s="3">
        <f t="shared" si="13"/>
        <v>-2.98E-3</v>
      </c>
      <c r="D16" s="3" t="str">
        <f t="shared" si="11"/>
        <v>-0.00509*</v>
      </c>
      <c r="E16" s="3">
        <f t="shared" si="11"/>
        <v>-5.1599999999999997E-3</v>
      </c>
      <c r="F16" s="3">
        <f t="shared" si="11"/>
        <v>-4.4099999999999999E-3</v>
      </c>
      <c r="G16" s="3">
        <f t="shared" si="11"/>
        <v>-2.0600000000000002E-3</v>
      </c>
      <c r="H16" s="3">
        <f t="shared" si="11"/>
        <v>-1.2999999999999999E-3</v>
      </c>
      <c r="I16" s="3">
        <f t="shared" si="11"/>
        <v>-1.81E-3</v>
      </c>
      <c r="J16" s="3">
        <f t="shared" si="11"/>
        <v>-1.7899999999999999E-4</v>
      </c>
      <c r="K16" s="3">
        <f t="shared" si="11"/>
        <v>-8.4800000000000001E-4</v>
      </c>
      <c r="L16" s="3">
        <f t="shared" si="11"/>
        <v>-1.4300000000000001E-3</v>
      </c>
      <c r="M16" s="3">
        <f t="shared" si="11"/>
        <v>-1.5499999999999999E-3</v>
      </c>
      <c r="N16" s="3">
        <f t="shared" si="11"/>
        <v>-3.9500000000000004E-3</v>
      </c>
      <c r="O16" s="3">
        <f t="shared" si="11"/>
        <v>-2.6199999999999999E-3</v>
      </c>
      <c r="P16" s="3">
        <f t="shared" si="11"/>
        <v>-2.2300000000000002E-3</v>
      </c>
      <c r="Q16" s="3">
        <f t="shared" si="11"/>
        <v>-9.9900000000000006E-3</v>
      </c>
      <c r="R16" s="3">
        <f t="shared" si="11"/>
        <v>-1.06E-2</v>
      </c>
      <c r="S16" s="3" t="str">
        <f t="shared" si="11"/>
        <v>-0.0149*</v>
      </c>
      <c r="T16" s="3">
        <f t="shared" si="12"/>
        <v>-1.17E-2</v>
      </c>
      <c r="U16" s="3">
        <f t="shared" si="12"/>
        <v>-6.4999999999999997E-3</v>
      </c>
      <c r="V16" s="3">
        <f t="shared" si="12"/>
        <v>-2.0199999999999999E-2</v>
      </c>
      <c r="W16" s="3" t="str">
        <f t="shared" si="12"/>
        <v>-0.0205*</v>
      </c>
      <c r="X16" s="3" t="str">
        <f t="shared" si="12"/>
        <v>-0.0198*</v>
      </c>
      <c r="Y16" s="3">
        <f t="shared" si="12"/>
        <v>-2.0199999999999999E-2</v>
      </c>
      <c r="Z16" s="3"/>
    </row>
    <row r="17" spans="1:50" x14ac:dyDescent="0.25">
      <c r="A17" s="3"/>
      <c r="B17" s="3"/>
      <c r="C17" s="3"/>
      <c r="D17" s="3"/>
      <c r="E17" s="3"/>
    </row>
    <row r="18" spans="1:50" x14ac:dyDescent="0.25">
      <c r="A18" s="3"/>
      <c r="B18" s="3"/>
      <c r="C18" s="3"/>
      <c r="D18" s="3"/>
      <c r="E18" s="3"/>
    </row>
    <row r="19" spans="1:50" x14ac:dyDescent="0.25">
      <c r="A19" s="3"/>
      <c r="B19" s="3"/>
      <c r="C19" s="3"/>
      <c r="D19" s="3"/>
      <c r="E19" s="3"/>
    </row>
    <row r="20" spans="1:50" x14ac:dyDescent="0.25">
      <c r="A20" s="3"/>
      <c r="B20" s="3"/>
      <c r="C20" s="3"/>
      <c r="D20" s="3"/>
      <c r="E20" s="3"/>
    </row>
    <row r="21" spans="1:50" x14ac:dyDescent="0.25">
      <c r="A21" s="3"/>
      <c r="B21" s="3"/>
      <c r="C21" s="3"/>
      <c r="D21" s="3"/>
      <c r="E21" s="3"/>
    </row>
    <row r="22" spans="1:50" x14ac:dyDescent="0.25">
      <c r="A22" s="3"/>
      <c r="B22" s="3"/>
      <c r="C22" s="3"/>
      <c r="D22" s="3"/>
      <c r="E22" s="3"/>
    </row>
    <row r="23" spans="1:50" x14ac:dyDescent="0.25">
      <c r="A23" s="3"/>
      <c r="B23" s="3"/>
      <c r="C23" s="3"/>
      <c r="D23" s="3"/>
      <c r="E23" s="3"/>
    </row>
    <row r="24" spans="1:50" x14ac:dyDescent="0.25">
      <c r="A24" s="3" t="s">
        <v>321</v>
      </c>
      <c r="B24" s="3" t="s">
        <v>328</v>
      </c>
      <c r="C24" s="3" t="s">
        <v>331</v>
      </c>
      <c r="D24" s="3" t="s">
        <v>333</v>
      </c>
      <c r="E24" s="3" t="s">
        <v>335</v>
      </c>
      <c r="F24" s="3" t="s">
        <v>338</v>
      </c>
      <c r="G24" s="3" t="s">
        <v>340</v>
      </c>
      <c r="H24" s="3" t="s">
        <v>305</v>
      </c>
      <c r="I24" s="3" t="s">
        <v>306</v>
      </c>
      <c r="J24" s="3" t="s">
        <v>307</v>
      </c>
      <c r="K24" s="3" t="s">
        <v>345</v>
      </c>
      <c r="L24" s="3" t="s">
        <v>347</v>
      </c>
      <c r="M24" s="3" t="s">
        <v>349</v>
      </c>
      <c r="N24" s="3" t="s">
        <v>350</v>
      </c>
      <c r="O24" s="3" t="s">
        <v>308</v>
      </c>
      <c r="P24" s="3" t="s">
        <v>352</v>
      </c>
      <c r="Q24" s="3" t="s">
        <v>354</v>
      </c>
      <c r="R24" s="3" t="s">
        <v>356</v>
      </c>
      <c r="S24" s="3" t="s">
        <v>358</v>
      </c>
      <c r="T24" s="3" t="s">
        <v>309</v>
      </c>
      <c r="U24" s="3" t="s">
        <v>360</v>
      </c>
      <c r="V24" s="3" t="s">
        <v>310</v>
      </c>
      <c r="W24" s="3" t="s">
        <v>363</v>
      </c>
      <c r="X24" s="3" t="s">
        <v>311</v>
      </c>
      <c r="Y24" s="3" t="s">
        <v>366</v>
      </c>
      <c r="Z24" s="3" t="s">
        <v>369</v>
      </c>
      <c r="AA24" s="3" t="s">
        <v>371</v>
      </c>
      <c r="AB24" s="3" t="s">
        <v>312</v>
      </c>
      <c r="AC24" s="3" t="s">
        <v>374</v>
      </c>
      <c r="AD24" s="3" t="s">
        <v>376</v>
      </c>
      <c r="AE24" s="3" t="s">
        <v>378</v>
      </c>
      <c r="AF24" s="3" t="s">
        <v>313</v>
      </c>
      <c r="AG24" s="3" t="s">
        <v>379</v>
      </c>
      <c r="AH24" s="3" t="s">
        <v>380</v>
      </c>
      <c r="AI24" s="3" t="s">
        <v>382</v>
      </c>
      <c r="AJ24" s="3" t="s">
        <v>384</v>
      </c>
      <c r="AK24" s="3" t="s">
        <v>386</v>
      </c>
      <c r="AL24" s="3" t="s">
        <v>388</v>
      </c>
      <c r="AM24" s="3" t="s">
        <v>389</v>
      </c>
      <c r="AN24" s="3" t="s">
        <v>391</v>
      </c>
      <c r="AO24" s="3" t="s">
        <v>393</v>
      </c>
      <c r="AP24" s="3" t="s">
        <v>395</v>
      </c>
      <c r="AQ24" s="3" t="s">
        <v>396</v>
      </c>
      <c r="AR24" s="3" t="s">
        <v>398</v>
      </c>
      <c r="AS24" s="3" t="s">
        <v>400</v>
      </c>
      <c r="AT24" s="3" t="s">
        <v>402</v>
      </c>
      <c r="AU24" s="3" t="s">
        <v>314</v>
      </c>
      <c r="AV24" s="3" t="s">
        <v>405</v>
      </c>
      <c r="AW24" s="3" t="s">
        <v>315</v>
      </c>
      <c r="AX24" s="3" t="s">
        <v>482</v>
      </c>
    </row>
    <row r="25" spans="1:50" x14ac:dyDescent="0.25">
      <c r="A25" s="3" t="s">
        <v>322</v>
      </c>
      <c r="B25" s="3" t="s">
        <v>45</v>
      </c>
      <c r="C25" s="3" t="s">
        <v>45</v>
      </c>
      <c r="D25" s="3" t="s">
        <v>45</v>
      </c>
      <c r="E25" s="3" t="s">
        <v>45</v>
      </c>
      <c r="F25" s="3" t="s">
        <v>45</v>
      </c>
      <c r="G25" s="3" t="s">
        <v>45</v>
      </c>
      <c r="H25" s="3" t="s">
        <v>45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48</v>
      </c>
      <c r="P25" s="3" t="s">
        <v>48</v>
      </c>
      <c r="Q25" s="3" t="s">
        <v>48</v>
      </c>
      <c r="R25" s="3" t="s">
        <v>46</v>
      </c>
      <c r="S25" s="3" t="s">
        <v>47</v>
      </c>
      <c r="T25" s="3" t="s">
        <v>46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45</v>
      </c>
      <c r="AX25" s="3" t="s">
        <v>45</v>
      </c>
    </row>
    <row r="26" spans="1:50" x14ac:dyDescent="0.25">
      <c r="A26" s="3" t="s">
        <v>323</v>
      </c>
      <c r="B26" s="3" t="s">
        <v>48</v>
      </c>
      <c r="C26" s="3" t="s">
        <v>44</v>
      </c>
      <c r="D26" s="3" t="s">
        <v>51</v>
      </c>
      <c r="E26" s="3" t="s">
        <v>51</v>
      </c>
      <c r="F26" s="3" t="s">
        <v>48</v>
      </c>
      <c r="G26" s="3" t="s">
        <v>51</v>
      </c>
      <c r="H26" s="3" t="s">
        <v>48</v>
      </c>
      <c r="I26" s="3" t="s">
        <v>49</v>
      </c>
      <c r="J26" s="3" t="s">
        <v>51</v>
      </c>
      <c r="K26" s="3" t="s">
        <v>51</v>
      </c>
      <c r="L26" s="3" t="s">
        <v>51</v>
      </c>
      <c r="M26" s="3" t="s">
        <v>51</v>
      </c>
      <c r="N26" s="3" t="s">
        <v>44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44</v>
      </c>
      <c r="V26" s="3" t="s">
        <v>44</v>
      </c>
      <c r="W26" s="3" t="s">
        <v>47</v>
      </c>
      <c r="X26" s="3" t="s">
        <v>46</v>
      </c>
      <c r="Y26" s="3" t="s">
        <v>51</v>
      </c>
      <c r="Z26" s="3" t="s">
        <v>51</v>
      </c>
      <c r="AA26" s="3" t="s">
        <v>44</v>
      </c>
      <c r="AB26" s="3" t="s">
        <v>44</v>
      </c>
      <c r="AC26" s="3" t="s">
        <v>48</v>
      </c>
      <c r="AD26" s="3" t="s">
        <v>50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46</v>
      </c>
      <c r="AO26" s="3" t="s">
        <v>48</v>
      </c>
      <c r="AP26" s="3" t="s">
        <v>51</v>
      </c>
      <c r="AQ26" s="3" t="s">
        <v>51</v>
      </c>
      <c r="AR26" s="3" t="s">
        <v>47</v>
      </c>
      <c r="AS26" s="3" t="s">
        <v>47</v>
      </c>
      <c r="AT26" s="3" t="s">
        <v>48</v>
      </c>
      <c r="AU26" s="3" t="s">
        <v>48</v>
      </c>
      <c r="AV26" s="3" t="s">
        <v>48</v>
      </c>
      <c r="AW26" s="3" t="s">
        <v>51</v>
      </c>
      <c r="AX26" s="3" t="s">
        <v>44</v>
      </c>
    </row>
    <row r="27" spans="1:50" x14ac:dyDescent="0.25">
      <c r="A27" s="3" t="s">
        <v>324</v>
      </c>
      <c r="B27" s="3" t="s">
        <v>483</v>
      </c>
      <c r="C27" s="3" t="s">
        <v>465</v>
      </c>
      <c r="D27" s="3" t="s">
        <v>409</v>
      </c>
      <c r="E27" s="3" t="s">
        <v>487</v>
      </c>
      <c r="F27" s="3" t="s">
        <v>483</v>
      </c>
      <c r="G27" s="3" t="s">
        <v>409</v>
      </c>
      <c r="H27" s="3" t="s">
        <v>408</v>
      </c>
      <c r="I27" s="3" t="s">
        <v>432</v>
      </c>
      <c r="J27" s="3" t="s">
        <v>491</v>
      </c>
      <c r="K27" s="3" t="s">
        <v>491</v>
      </c>
      <c r="L27" s="3" t="s">
        <v>496</v>
      </c>
      <c r="M27" s="3" t="s">
        <v>499</v>
      </c>
      <c r="N27" s="3" t="s">
        <v>502</v>
      </c>
      <c r="O27" s="3" t="s">
        <v>505</v>
      </c>
      <c r="P27" s="3" t="s">
        <v>432</v>
      </c>
      <c r="Q27" s="3" t="s">
        <v>505</v>
      </c>
      <c r="R27" s="3" t="s">
        <v>481</v>
      </c>
      <c r="S27" s="3" t="s">
        <v>431</v>
      </c>
      <c r="T27" s="3" t="s">
        <v>431</v>
      </c>
      <c r="U27" s="3" t="s">
        <v>439</v>
      </c>
      <c r="V27" s="3" t="s">
        <v>508</v>
      </c>
      <c r="W27" s="3" t="s">
        <v>418</v>
      </c>
      <c r="X27" s="3" t="s">
        <v>427</v>
      </c>
      <c r="Y27" s="3" t="s">
        <v>424</v>
      </c>
      <c r="Z27" s="3" t="s">
        <v>447</v>
      </c>
      <c r="AA27" s="3" t="s">
        <v>410</v>
      </c>
      <c r="AB27" s="3" t="s">
        <v>407</v>
      </c>
      <c r="AC27" s="3" t="s">
        <v>418</v>
      </c>
      <c r="AD27" s="3" t="s">
        <v>419</v>
      </c>
      <c r="AE27" s="3" t="s">
        <v>519</v>
      </c>
      <c r="AF27" s="3" t="s">
        <v>505</v>
      </c>
      <c r="AG27" s="3" t="s">
        <v>505</v>
      </c>
      <c r="AH27" s="3" t="s">
        <v>505</v>
      </c>
      <c r="AI27" s="3" t="s">
        <v>431</v>
      </c>
      <c r="AJ27" s="3" t="s">
        <v>481</v>
      </c>
      <c r="AK27" s="3" t="s">
        <v>431</v>
      </c>
      <c r="AL27" s="3" t="s">
        <v>479</v>
      </c>
      <c r="AM27" s="3" t="s">
        <v>481</v>
      </c>
      <c r="AN27" s="3" t="s">
        <v>419</v>
      </c>
      <c r="AO27" s="3" t="s">
        <v>418</v>
      </c>
      <c r="AP27" s="3" t="s">
        <v>418</v>
      </c>
      <c r="AQ27" s="3" t="s">
        <v>523</v>
      </c>
      <c r="AR27" s="3" t="s">
        <v>418</v>
      </c>
      <c r="AS27" s="3" t="s">
        <v>411</v>
      </c>
      <c r="AT27" s="3" t="s">
        <v>439</v>
      </c>
      <c r="AU27" s="3" t="s">
        <v>529</v>
      </c>
      <c r="AV27" s="3" t="s">
        <v>426</v>
      </c>
      <c r="AW27" s="3" t="s">
        <v>533</v>
      </c>
      <c r="AX27" s="3" t="s">
        <v>428</v>
      </c>
    </row>
    <row r="28" spans="1:50" x14ac:dyDescent="0.25">
      <c r="A28" s="3" t="s">
        <v>325</v>
      </c>
      <c r="B28" s="3" t="s">
        <v>329</v>
      </c>
      <c r="C28" s="3" t="s">
        <v>342</v>
      </c>
      <c r="D28" s="3" t="s">
        <v>342</v>
      </c>
      <c r="E28" s="3" t="s">
        <v>336</v>
      </c>
      <c r="F28" s="3" t="s">
        <v>342</v>
      </c>
      <c r="G28" s="3" t="s">
        <v>342</v>
      </c>
      <c r="H28" s="3" t="s">
        <v>342</v>
      </c>
      <c r="I28" s="3" t="s">
        <v>342</v>
      </c>
      <c r="J28" s="3" t="s">
        <v>342</v>
      </c>
      <c r="K28" s="3" t="s">
        <v>342</v>
      </c>
      <c r="L28" s="3" t="s">
        <v>342</v>
      </c>
      <c r="M28" s="3" t="s">
        <v>342</v>
      </c>
      <c r="N28" s="3" t="s">
        <v>342</v>
      </c>
      <c r="O28" s="3" t="s">
        <v>353</v>
      </c>
      <c r="P28" s="3" t="s">
        <v>353</v>
      </c>
      <c r="Q28" s="3" t="s">
        <v>353</v>
      </c>
      <c r="R28" s="3" t="s">
        <v>353</v>
      </c>
      <c r="S28" s="3" t="s">
        <v>353</v>
      </c>
      <c r="T28" s="3" t="s">
        <v>353</v>
      </c>
      <c r="U28" s="3" t="s">
        <v>329</v>
      </c>
      <c r="V28" s="3" t="s">
        <v>336</v>
      </c>
      <c r="W28" s="3" t="s">
        <v>329</v>
      </c>
      <c r="X28" s="3" t="s">
        <v>329</v>
      </c>
      <c r="Y28" s="3" t="s">
        <v>336</v>
      </c>
      <c r="Z28" s="3" t="s">
        <v>353</v>
      </c>
      <c r="AA28" s="3" t="s">
        <v>336</v>
      </c>
      <c r="AB28" s="3" t="s">
        <v>336</v>
      </c>
      <c r="AC28" s="3" t="s">
        <v>336</v>
      </c>
      <c r="AD28" s="3" t="s">
        <v>353</v>
      </c>
      <c r="AE28" s="3" t="s">
        <v>353</v>
      </c>
      <c r="AF28" s="3" t="s">
        <v>451</v>
      </c>
      <c r="AG28" s="3" t="s">
        <v>353</v>
      </c>
      <c r="AH28" s="3" t="s">
        <v>353</v>
      </c>
      <c r="AI28" s="3" t="s">
        <v>451</v>
      </c>
      <c r="AJ28" s="3" t="s">
        <v>353</v>
      </c>
      <c r="AK28" s="3" t="s">
        <v>433</v>
      </c>
      <c r="AL28" s="3" t="s">
        <v>329</v>
      </c>
      <c r="AM28" s="3" t="s">
        <v>336</v>
      </c>
      <c r="AN28" s="3" t="s">
        <v>342</v>
      </c>
      <c r="AO28" s="3" t="s">
        <v>336</v>
      </c>
      <c r="AP28" s="3" t="s">
        <v>336</v>
      </c>
      <c r="AQ28" s="3" t="s">
        <v>336</v>
      </c>
      <c r="AR28" s="3" t="s">
        <v>342</v>
      </c>
      <c r="AS28" s="3" t="s">
        <v>342</v>
      </c>
      <c r="AT28" s="3" t="s">
        <v>342</v>
      </c>
      <c r="AU28" s="3" t="s">
        <v>342</v>
      </c>
      <c r="AV28" s="3" t="s">
        <v>342</v>
      </c>
      <c r="AW28" s="3" t="s">
        <v>342</v>
      </c>
      <c r="AX28" s="3" t="s">
        <v>342</v>
      </c>
    </row>
    <row r="29" spans="1:50" x14ac:dyDescent="0.25">
      <c r="A29" t="s">
        <v>326</v>
      </c>
      <c r="B29" t="s">
        <v>484</v>
      </c>
      <c r="C29" t="s">
        <v>485</v>
      </c>
      <c r="D29" t="s">
        <v>486</v>
      </c>
      <c r="E29" t="s">
        <v>488</v>
      </c>
      <c r="F29" t="s">
        <v>489</v>
      </c>
      <c r="G29" t="s">
        <v>86</v>
      </c>
      <c r="H29" t="s">
        <v>490</v>
      </c>
      <c r="I29">
        <v>-6.6899999999999998E-3</v>
      </c>
      <c r="J29" t="s">
        <v>492</v>
      </c>
      <c r="K29" t="s">
        <v>494</v>
      </c>
      <c r="L29" t="s">
        <v>497</v>
      </c>
      <c r="M29" t="s">
        <v>500</v>
      </c>
      <c r="N29" t="s">
        <v>503</v>
      </c>
      <c r="O29">
        <v>-1.2699999999999999E-2</v>
      </c>
      <c r="P29">
        <v>-3.4500000000000003E-2</v>
      </c>
      <c r="Q29">
        <v>-1.7600000000000001E-2</v>
      </c>
      <c r="R29">
        <v>-2.0899999999999998E-2</v>
      </c>
      <c r="S29">
        <v>-3.3000000000000002E-2</v>
      </c>
      <c r="T29">
        <v>-3.1099999999999999E-2</v>
      </c>
      <c r="U29" t="s">
        <v>506</v>
      </c>
      <c r="V29" t="s">
        <v>509</v>
      </c>
      <c r="W29" t="s">
        <v>511</v>
      </c>
      <c r="X29" t="s">
        <v>512</v>
      </c>
      <c r="Y29" t="s">
        <v>513</v>
      </c>
      <c r="Z29" t="s">
        <v>515</v>
      </c>
      <c r="AA29" t="s">
        <v>473</v>
      </c>
      <c r="AB29" t="s">
        <v>468</v>
      </c>
      <c r="AC29" t="s">
        <v>517</v>
      </c>
      <c r="AD29" t="s">
        <v>518</v>
      </c>
      <c r="AE29">
        <v>-2.2799999999999999E-3</v>
      </c>
      <c r="AF29">
        <v>-3.1900000000000001E-3</v>
      </c>
      <c r="AG29">
        <v>-3.31E-3</v>
      </c>
      <c r="AH29">
        <v>-3.5100000000000001E-3</v>
      </c>
      <c r="AI29">
        <v>-4.79E-3</v>
      </c>
      <c r="AJ29">
        <v>-4.2300000000000003E-3</v>
      </c>
      <c r="AK29">
        <v>-3.9500000000000004E-3</v>
      </c>
      <c r="AL29">
        <v>-3.81E-3</v>
      </c>
      <c r="AM29">
        <v>-3.5400000000000002E-3</v>
      </c>
      <c r="AN29" t="s">
        <v>520</v>
      </c>
      <c r="AO29" t="s">
        <v>521</v>
      </c>
      <c r="AP29" t="s">
        <v>203</v>
      </c>
      <c r="AQ29" t="s">
        <v>524</v>
      </c>
      <c r="AR29" t="s">
        <v>525</v>
      </c>
      <c r="AS29" t="s">
        <v>526</v>
      </c>
      <c r="AT29" t="s">
        <v>527</v>
      </c>
      <c r="AU29" t="s">
        <v>530</v>
      </c>
      <c r="AV29" t="s">
        <v>532</v>
      </c>
      <c r="AW29" t="s">
        <v>534</v>
      </c>
      <c r="AX29" t="s">
        <v>536</v>
      </c>
    </row>
    <row r="30" spans="1:50" x14ac:dyDescent="0.25">
      <c r="A30" t="s">
        <v>327</v>
      </c>
      <c r="B30">
        <v>2.1399999999999999E-2</v>
      </c>
      <c r="C30">
        <v>9.1199999999999996E-3</v>
      </c>
      <c r="D30">
        <v>1.5599999999999999E-2</v>
      </c>
      <c r="E30">
        <v>1.1599999999999999E-2</v>
      </c>
      <c r="F30">
        <v>5.8999999999999999E-3</v>
      </c>
      <c r="G30">
        <v>6.8300000000000001E-3</v>
      </c>
      <c r="H30">
        <v>1.2099999999999999E-3</v>
      </c>
      <c r="I30">
        <v>-3.29E-3</v>
      </c>
      <c r="J30" t="s">
        <v>493</v>
      </c>
      <c r="K30" t="s">
        <v>495</v>
      </c>
      <c r="L30" t="s">
        <v>498</v>
      </c>
      <c r="M30" t="s">
        <v>501</v>
      </c>
      <c r="N30" t="s">
        <v>504</v>
      </c>
      <c r="O30">
        <v>-6.8799999999999998E-3</v>
      </c>
      <c r="P30">
        <v>-1.61E-2</v>
      </c>
      <c r="Q30">
        <v>1.5299999999999999E-3</v>
      </c>
      <c r="R30">
        <v>-7.2999999999999996E-4</v>
      </c>
      <c r="S30">
        <v>5.0000000000000001E-3</v>
      </c>
      <c r="T30">
        <v>-1.6799999999999999E-2</v>
      </c>
      <c r="U30" t="s">
        <v>507</v>
      </c>
      <c r="V30" t="s">
        <v>510</v>
      </c>
      <c r="W30" t="s">
        <v>452</v>
      </c>
      <c r="X30">
        <v>-1.04E-2</v>
      </c>
      <c r="Y30" t="s">
        <v>514</v>
      </c>
      <c r="Z30">
        <v>-2.98E-3</v>
      </c>
      <c r="AA30" t="s">
        <v>516</v>
      </c>
      <c r="AB30">
        <v>-5.1599999999999997E-3</v>
      </c>
      <c r="AC30">
        <v>-4.4099999999999999E-3</v>
      </c>
      <c r="AD30">
        <v>-2.0600000000000002E-3</v>
      </c>
      <c r="AE30">
        <v>-1.2999999999999999E-3</v>
      </c>
      <c r="AF30">
        <v>-1.81E-3</v>
      </c>
      <c r="AG30">
        <v>-1.7899999999999999E-4</v>
      </c>
      <c r="AH30">
        <v>-8.4800000000000001E-4</v>
      </c>
      <c r="AI30">
        <v>-1.4300000000000001E-3</v>
      </c>
      <c r="AJ30">
        <v>-1.5499999999999999E-3</v>
      </c>
      <c r="AK30">
        <v>-3.9500000000000004E-3</v>
      </c>
      <c r="AL30">
        <v>-2.6199999999999999E-3</v>
      </c>
      <c r="AM30">
        <v>-2.2300000000000002E-3</v>
      </c>
      <c r="AN30">
        <v>-9.9900000000000006E-3</v>
      </c>
      <c r="AO30">
        <v>-1.06E-2</v>
      </c>
      <c r="AP30" t="s">
        <v>522</v>
      </c>
      <c r="AQ30">
        <v>-1.17E-2</v>
      </c>
      <c r="AR30">
        <v>-6.4999999999999997E-3</v>
      </c>
      <c r="AS30">
        <v>-2.0199999999999999E-2</v>
      </c>
      <c r="AT30" t="s">
        <v>528</v>
      </c>
      <c r="AU30" t="s">
        <v>531</v>
      </c>
      <c r="AV30">
        <v>-2.0199999999999999E-2</v>
      </c>
      <c r="AW30" t="s">
        <v>535</v>
      </c>
      <c r="AX30" t="s">
        <v>537</v>
      </c>
    </row>
    <row r="31" spans="1:50" x14ac:dyDescent="0.25">
      <c r="A31" s="3"/>
      <c r="B31" s="3"/>
      <c r="C31" s="3"/>
      <c r="D31" s="3"/>
      <c r="E31" s="3"/>
    </row>
    <row r="32" spans="1:50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</sheetData>
  <mergeCells count="6">
    <mergeCell ref="C1:D1"/>
    <mergeCell ref="K1:L1"/>
    <mergeCell ref="P1:Q1"/>
    <mergeCell ref="R1:S1"/>
    <mergeCell ref="T1:U1"/>
    <mergeCell ref="Y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D21" sqref="D21"/>
    </sheetView>
  </sheetViews>
  <sheetFormatPr defaultRowHeight="15" x14ac:dyDescent="0.25"/>
  <cols>
    <col min="1" max="1" width="14.140625" bestFit="1" customWidth="1"/>
  </cols>
  <sheetData>
    <row r="1" spans="1:26" ht="15.75" x14ac:dyDescent="0.25">
      <c r="C1" s="42" t="s">
        <v>8</v>
      </c>
      <c r="D1" s="42"/>
      <c r="E1" s="11"/>
      <c r="F1" s="11" t="s">
        <v>12</v>
      </c>
      <c r="G1" s="11" t="s">
        <v>15</v>
      </c>
      <c r="H1" s="11"/>
      <c r="J1" s="7"/>
      <c r="K1" s="42" t="s">
        <v>13</v>
      </c>
      <c r="L1" s="42"/>
      <c r="M1" s="7"/>
      <c r="P1" s="42" t="s">
        <v>14</v>
      </c>
      <c r="Q1" s="42"/>
      <c r="R1" s="41" t="s">
        <v>17</v>
      </c>
      <c r="S1" s="41"/>
      <c r="T1" s="41" t="s">
        <v>16</v>
      </c>
      <c r="U1" s="41"/>
      <c r="V1" s="7"/>
      <c r="Y1" s="42" t="s">
        <v>18</v>
      </c>
      <c r="Z1" s="42"/>
    </row>
    <row r="2" spans="1:26" x14ac:dyDescent="0.25">
      <c r="B2">
        <v>2001</v>
      </c>
      <c r="C2">
        <v>2002</v>
      </c>
      <c r="D2">
        <v>2003</v>
      </c>
      <c r="E2">
        <v>2004</v>
      </c>
      <c r="F2">
        <v>1975</v>
      </c>
      <c r="G2" t="s">
        <v>565</v>
      </c>
      <c r="H2" t="s">
        <v>564</v>
      </c>
      <c r="I2">
        <v>1980</v>
      </c>
      <c r="J2">
        <v>1981</v>
      </c>
      <c r="K2">
        <v>1982</v>
      </c>
      <c r="L2">
        <v>1983</v>
      </c>
      <c r="M2">
        <v>1984</v>
      </c>
      <c r="N2">
        <v>1985</v>
      </c>
      <c r="O2">
        <v>1986</v>
      </c>
      <c r="P2">
        <v>1999</v>
      </c>
      <c r="Q2">
        <v>2002</v>
      </c>
      <c r="R2">
        <v>1999</v>
      </c>
      <c r="S2">
        <v>2004</v>
      </c>
      <c r="T2">
        <v>2000</v>
      </c>
      <c r="U2">
        <v>2001</v>
      </c>
      <c r="V2">
        <v>2002</v>
      </c>
      <c r="W2">
        <v>2003</v>
      </c>
      <c r="X2">
        <v>2004</v>
      </c>
      <c r="Y2">
        <v>2003</v>
      </c>
      <c r="Z2">
        <v>2004</v>
      </c>
    </row>
    <row r="3" spans="1:26" x14ac:dyDescent="0.25">
      <c r="A3" s="39" t="s">
        <v>322</v>
      </c>
      <c r="B3" s="3" t="str">
        <f>Q25</f>
        <v>6/7</v>
      </c>
      <c r="C3" s="3" t="str">
        <f t="shared" ref="C3:E13" si="0">R25</f>
        <v>3/7</v>
      </c>
      <c r="D3" s="3" t="str">
        <f t="shared" si="0"/>
        <v>6/7</v>
      </c>
      <c r="E3" s="3" t="str">
        <f t="shared" si="0"/>
        <v>6/7</v>
      </c>
      <c r="F3" s="3" t="str">
        <f>I25</f>
        <v>0/7</v>
      </c>
      <c r="G3" s="3" t="str">
        <f>U25</f>
        <v>2/7</v>
      </c>
      <c r="H3" s="3" t="str">
        <f>V25</f>
        <v>4/7</v>
      </c>
      <c r="I3" s="40" t="str">
        <f>B25</f>
        <v>5/7</v>
      </c>
      <c r="J3" s="40" t="str">
        <f t="shared" ref="J3:O13" si="1">C25</f>
        <v>3/7</v>
      </c>
      <c r="K3" s="40" t="str">
        <f t="shared" si="1"/>
        <v>4/7</v>
      </c>
      <c r="L3" s="40" t="str">
        <f t="shared" si="1"/>
        <v>6/7</v>
      </c>
      <c r="M3" s="40" t="str">
        <f t="shared" si="1"/>
        <v>5/7</v>
      </c>
      <c r="N3" s="40" t="str">
        <f t="shared" si="1"/>
        <v>6/7</v>
      </c>
      <c r="O3" s="40" t="str">
        <f t="shared" si="1"/>
        <v>6/7</v>
      </c>
      <c r="P3" s="3" t="str">
        <f>O25</f>
        <v>5/7</v>
      </c>
      <c r="Q3" s="3" t="str">
        <f>P25</f>
        <v>6/7</v>
      </c>
      <c r="R3" s="3" t="str">
        <f>W25</f>
        <v>0/7</v>
      </c>
      <c r="S3" s="3" t="str">
        <f>X25</f>
        <v>0/7</v>
      </c>
      <c r="T3" s="3" t="str">
        <f>J25</f>
        <v>0/7</v>
      </c>
      <c r="U3" s="3" t="str">
        <f t="shared" ref="U3:X13" si="2">K25</f>
        <v>0/7</v>
      </c>
      <c r="V3" s="3" t="str">
        <f t="shared" si="2"/>
        <v>0/7</v>
      </c>
      <c r="W3" s="3" t="str">
        <f t="shared" si="2"/>
        <v>0/7</v>
      </c>
      <c r="X3" s="3" t="str">
        <f t="shared" si="2"/>
        <v>0/7</v>
      </c>
      <c r="Y3" s="3" t="str">
        <f>AW25</f>
        <v>4/7</v>
      </c>
      <c r="Z3" s="3" t="str">
        <f>AX25</f>
        <v>4/7</v>
      </c>
    </row>
    <row r="4" spans="1:26" x14ac:dyDescent="0.25">
      <c r="A4" s="39" t="s">
        <v>323</v>
      </c>
      <c r="B4" s="3" t="str">
        <f t="shared" ref="B4:B12" si="3">Q26</f>
        <v>0/7</v>
      </c>
      <c r="C4" s="3" t="str">
        <f t="shared" si="0"/>
        <v>0/7</v>
      </c>
      <c r="D4" s="3" t="str">
        <f t="shared" si="0"/>
        <v>0/7</v>
      </c>
      <c r="E4" s="3" t="str">
        <f t="shared" si="0"/>
        <v>1/7</v>
      </c>
      <c r="F4" s="3" t="str">
        <f t="shared" ref="F4:F12" si="4">I26</f>
        <v>0/7</v>
      </c>
      <c r="G4" s="3" t="str">
        <f t="shared" ref="G4:H12" si="5">U26</f>
        <v>0/7</v>
      </c>
      <c r="H4" s="3" t="str">
        <f t="shared" si="5"/>
        <v>0/7</v>
      </c>
      <c r="I4" s="40" t="str">
        <f t="shared" ref="I4:I12" si="6">B26</f>
        <v>0/7</v>
      </c>
      <c r="J4" s="40" t="str">
        <f t="shared" si="1"/>
        <v>0/7</v>
      </c>
      <c r="K4" s="40" t="str">
        <f t="shared" si="1"/>
        <v>0/7</v>
      </c>
      <c r="L4" s="40" t="str">
        <f t="shared" si="1"/>
        <v>0/7</v>
      </c>
      <c r="M4" s="40" t="str">
        <f t="shared" si="1"/>
        <v>1/7</v>
      </c>
      <c r="N4" s="40" t="str">
        <f t="shared" si="1"/>
        <v>2/7</v>
      </c>
      <c r="O4" s="40" t="str">
        <f t="shared" si="1"/>
        <v>1/7</v>
      </c>
      <c r="P4" s="3" t="str">
        <f t="shared" ref="P4:Q12" si="7">O26</f>
        <v>0/7</v>
      </c>
      <c r="Q4" s="3" t="str">
        <f t="shared" si="7"/>
        <v>1/7</v>
      </c>
      <c r="R4" s="3" t="str">
        <f t="shared" ref="R4:S12" si="8">W26</f>
        <v>0/7</v>
      </c>
      <c r="S4" s="3" t="str">
        <f t="shared" si="8"/>
        <v>1/7</v>
      </c>
      <c r="T4" s="3" t="str">
        <f t="shared" ref="T4:T12" si="9">J26</f>
        <v>1/7</v>
      </c>
      <c r="U4" s="3" t="str">
        <f t="shared" si="2"/>
        <v>2/7</v>
      </c>
      <c r="V4" s="3" t="str">
        <f t="shared" si="2"/>
        <v>1/7</v>
      </c>
      <c r="W4" s="3" t="str">
        <f t="shared" si="2"/>
        <v>1/7</v>
      </c>
      <c r="X4" s="3" t="str">
        <f t="shared" si="2"/>
        <v>1/7</v>
      </c>
      <c r="Y4" s="3" t="str">
        <f t="shared" ref="Y4:Z12" si="10">AW26</f>
        <v>0/7</v>
      </c>
      <c r="Z4" s="3" t="str">
        <f t="shared" si="10"/>
        <v>0/7</v>
      </c>
    </row>
    <row r="5" spans="1:26" x14ac:dyDescent="0.25">
      <c r="A5" s="39" t="s">
        <v>324</v>
      </c>
      <c r="B5" s="3" t="str">
        <f t="shared" si="3"/>
        <v>0.008</v>
      </c>
      <c r="C5" s="3" t="str">
        <f t="shared" si="0"/>
        <v>0.004</v>
      </c>
      <c r="D5" s="3" t="str">
        <f t="shared" si="0"/>
        <v>0.008</v>
      </c>
      <c r="E5" s="3" t="str">
        <f t="shared" si="0"/>
        <v>0.026</v>
      </c>
      <c r="F5" s="3" t="str">
        <f t="shared" si="4"/>
        <v>0.005</v>
      </c>
      <c r="G5" s="3" t="str">
        <f t="shared" si="5"/>
        <v>0.009</v>
      </c>
      <c r="H5" s="3" t="str">
        <f t="shared" si="5"/>
        <v>0.008</v>
      </c>
      <c r="I5" s="40" t="str">
        <f t="shared" si="6"/>
        <v>0.01</v>
      </c>
      <c r="J5" s="40" t="str">
        <f t="shared" si="1"/>
        <v>0.007</v>
      </c>
      <c r="K5" s="40" t="str">
        <f t="shared" si="1"/>
        <v>0.005</v>
      </c>
      <c r="L5" s="40" t="str">
        <f t="shared" si="1"/>
        <v>0.01</v>
      </c>
      <c r="M5" s="40" t="str">
        <f t="shared" si="1"/>
        <v>0.02</v>
      </c>
      <c r="N5" s="40" t="str">
        <f t="shared" si="1"/>
        <v>0.018</v>
      </c>
      <c r="O5" s="40" t="str">
        <f t="shared" si="1"/>
        <v>0.028</v>
      </c>
      <c r="P5" s="3" t="str">
        <f t="shared" si="7"/>
        <v>0.003</v>
      </c>
      <c r="Q5" s="3" t="str">
        <f t="shared" si="7"/>
        <v>0.012</v>
      </c>
      <c r="R5" s="3" t="str">
        <f t="shared" si="8"/>
        <v>0.007</v>
      </c>
      <c r="S5" s="3" t="str">
        <f t="shared" si="8"/>
        <v>0.014</v>
      </c>
      <c r="T5" s="3" t="str">
        <f t="shared" si="9"/>
        <v>0.012</v>
      </c>
      <c r="U5" s="3" t="str">
        <f t="shared" si="2"/>
        <v>0.011</v>
      </c>
      <c r="V5" s="3" t="str">
        <f t="shared" si="2"/>
        <v>0.011</v>
      </c>
      <c r="W5" s="3" t="str">
        <f t="shared" si="2"/>
        <v>0.013</v>
      </c>
      <c r="X5" s="3" t="str">
        <f t="shared" si="2"/>
        <v>0.012</v>
      </c>
      <c r="Y5" s="3" t="str">
        <f t="shared" si="10"/>
        <v>0.007</v>
      </c>
      <c r="Z5" s="3" t="str">
        <f t="shared" si="10"/>
        <v>0.007</v>
      </c>
    </row>
    <row r="6" spans="1:26" x14ac:dyDescent="0.25">
      <c r="A6" s="39" t="s">
        <v>325</v>
      </c>
      <c r="B6" s="3" t="str">
        <f t="shared" si="3"/>
        <v>80-85</v>
      </c>
      <c r="C6" s="3" t="str">
        <f t="shared" si="0"/>
        <v>80-85</v>
      </c>
      <c r="D6" s="3" t="str">
        <f t="shared" si="0"/>
        <v>80-85</v>
      </c>
      <c r="E6" s="3" t="str">
        <f t="shared" si="0"/>
        <v>80-85</v>
      </c>
      <c r="F6" s="3" t="str">
        <f t="shared" si="4"/>
        <v>75-80</v>
      </c>
      <c r="G6" s="3" t="str">
        <f t="shared" si="5"/>
        <v>90-95</v>
      </c>
      <c r="H6" s="3" t="str">
        <f t="shared" si="5"/>
        <v>90-95</v>
      </c>
      <c r="I6" s="40" t="str">
        <f t="shared" si="6"/>
        <v>85-90</v>
      </c>
      <c r="J6" s="40" t="str">
        <f t="shared" si="1"/>
        <v>05-10</v>
      </c>
      <c r="K6" s="40" t="str">
        <f t="shared" si="1"/>
        <v>05-10</v>
      </c>
      <c r="L6" s="40" t="str">
        <f t="shared" si="1"/>
        <v>05-10</v>
      </c>
      <c r="M6" s="40" t="str">
        <f t="shared" si="1"/>
        <v>85-90</v>
      </c>
      <c r="N6" s="40" t="str">
        <f t="shared" si="1"/>
        <v>85-90</v>
      </c>
      <c r="O6" s="40" t="str">
        <f t="shared" si="1"/>
        <v>85-90</v>
      </c>
      <c r="P6" s="3" t="str">
        <f t="shared" si="7"/>
        <v>00-05</v>
      </c>
      <c r="Q6" s="3" t="str">
        <f t="shared" si="7"/>
        <v>95-00</v>
      </c>
      <c r="R6" s="3" t="str">
        <f t="shared" si="8"/>
        <v>75-80</v>
      </c>
      <c r="S6" s="3" t="str">
        <f t="shared" si="8"/>
        <v>75-80</v>
      </c>
      <c r="T6" s="3" t="str">
        <f t="shared" si="9"/>
        <v>90-95</v>
      </c>
      <c r="U6" s="3" t="str">
        <f t="shared" si="2"/>
        <v>90-95</v>
      </c>
      <c r="V6" s="3" t="str">
        <f t="shared" si="2"/>
        <v>90-95</v>
      </c>
      <c r="W6" s="3" t="str">
        <f t="shared" si="2"/>
        <v>05-10</v>
      </c>
      <c r="X6" s="3" t="str">
        <f t="shared" si="2"/>
        <v>05-10</v>
      </c>
      <c r="Y6" s="3" t="str">
        <f t="shared" si="10"/>
        <v>05-10</v>
      </c>
      <c r="Z6" s="3" t="str">
        <f t="shared" si="10"/>
        <v>90-95</v>
      </c>
    </row>
    <row r="7" spans="1:26" x14ac:dyDescent="0.25">
      <c r="A7" s="39" t="s">
        <v>326</v>
      </c>
      <c r="B7" s="3">
        <f t="shared" si="3"/>
        <v>7.3899999999999993E-2</v>
      </c>
      <c r="C7" s="3">
        <f t="shared" si="0"/>
        <v>5.5300000000000002E-2</v>
      </c>
      <c r="D7" s="3">
        <f t="shared" si="0"/>
        <v>8.1699999999999995E-2</v>
      </c>
      <c r="E7" s="3" t="str">
        <f t="shared" si="0"/>
        <v>0.139**</v>
      </c>
      <c r="F7" s="3">
        <f t="shared" si="4"/>
        <v>-1.0200000000000001E-2</v>
      </c>
      <c r="G7" s="3">
        <f t="shared" si="5"/>
        <v>-6.4799999999999996E-2</v>
      </c>
      <c r="H7" s="3">
        <f t="shared" si="5"/>
        <v>-6.3600000000000004E-2</v>
      </c>
      <c r="I7" s="40">
        <f t="shared" si="6"/>
        <v>0.11799999999999999</v>
      </c>
      <c r="J7" s="40">
        <f t="shared" si="1"/>
        <v>2.1899999999999999E-2</v>
      </c>
      <c r="K7" s="40">
        <f t="shared" si="1"/>
        <v>2.63E-2</v>
      </c>
      <c r="L7" s="40">
        <f t="shared" si="1"/>
        <v>3.1099999999999999E-2</v>
      </c>
      <c r="M7" s="40" t="str">
        <f t="shared" si="1"/>
        <v>0.0553*</v>
      </c>
      <c r="N7" s="40">
        <f t="shared" si="1"/>
        <v>5.0599999999999999E-2</v>
      </c>
      <c r="O7" s="40" t="str">
        <f t="shared" si="1"/>
        <v>0.0729*</v>
      </c>
      <c r="P7" s="3">
        <f t="shared" si="7"/>
        <v>2.6599999999999999E-2</v>
      </c>
      <c r="Q7" s="3" t="str">
        <f t="shared" si="7"/>
        <v>0.0691**</v>
      </c>
      <c r="R7" s="3">
        <f t="shared" si="8"/>
        <v>-9.5600000000000004E-2</v>
      </c>
      <c r="S7" s="3" t="str">
        <f t="shared" si="8"/>
        <v>-0.0950*</v>
      </c>
      <c r="T7" s="3" t="str">
        <f t="shared" si="9"/>
        <v>-0.0638*</v>
      </c>
      <c r="U7" s="3" t="str">
        <f t="shared" si="2"/>
        <v>-0.0629*</v>
      </c>
      <c r="V7" s="3">
        <f t="shared" si="2"/>
        <v>-5.2600000000000001E-2</v>
      </c>
      <c r="W7" s="3" t="str">
        <f t="shared" si="2"/>
        <v>-0.0465*</v>
      </c>
      <c r="X7" s="3" t="str">
        <f t="shared" si="2"/>
        <v>-0.0497*</v>
      </c>
      <c r="Y7" s="3">
        <f t="shared" si="10"/>
        <v>4.4999999999999998E-2</v>
      </c>
      <c r="Z7" s="3">
        <f t="shared" si="10"/>
        <v>5.8400000000000001E-2</v>
      </c>
    </row>
    <row r="8" spans="1:26" x14ac:dyDescent="0.25">
      <c r="A8" s="39" t="s">
        <v>327</v>
      </c>
      <c r="B8" s="3">
        <f t="shared" si="3"/>
        <v>6.3600000000000002E-3</v>
      </c>
      <c r="C8" s="3">
        <f t="shared" si="0"/>
        <v>-1.35E-2</v>
      </c>
      <c r="D8" s="3">
        <f t="shared" si="0"/>
        <v>3.2199999999999999E-2</v>
      </c>
      <c r="E8" s="3">
        <f t="shared" si="0"/>
        <v>6.5500000000000003E-3</v>
      </c>
      <c r="F8" s="3">
        <f t="shared" si="4"/>
        <v>-9.1600000000000004E-4</v>
      </c>
      <c r="G8" s="3">
        <f t="shared" si="5"/>
        <v>-3.0700000000000002E-2</v>
      </c>
      <c r="H8" s="3">
        <f t="shared" si="5"/>
        <v>-2.4299999999999999E-2</v>
      </c>
      <c r="I8" s="40">
        <f t="shared" si="6"/>
        <v>4.7800000000000002E-2</v>
      </c>
      <c r="J8" s="40">
        <f t="shared" si="1"/>
        <v>2.1899999999999999E-2</v>
      </c>
      <c r="K8" s="40">
        <f t="shared" si="1"/>
        <v>2.63E-2</v>
      </c>
      <c r="L8" s="40">
        <f t="shared" si="1"/>
        <v>3.1099999999999999E-2</v>
      </c>
      <c r="M8" s="40">
        <f t="shared" si="1"/>
        <v>2.52E-2</v>
      </c>
      <c r="N8" s="40" t="str">
        <f t="shared" si="1"/>
        <v>0.0280*</v>
      </c>
      <c r="O8" s="40">
        <f t="shared" si="1"/>
        <v>2.3099999999999999E-2</v>
      </c>
      <c r="P8" s="3">
        <f t="shared" si="7"/>
        <v>1.29E-2</v>
      </c>
      <c r="Q8" s="3">
        <f t="shared" si="7"/>
        <v>8.3499999999999998E-3</v>
      </c>
      <c r="R8" s="3">
        <f t="shared" si="8"/>
        <v>-2.18E-2</v>
      </c>
      <c r="S8" s="3">
        <f t="shared" si="8"/>
        <v>-1.56E-3</v>
      </c>
      <c r="T8" s="3">
        <f t="shared" si="9"/>
        <v>-3.1099999999999999E-2</v>
      </c>
      <c r="U8" s="3" t="str">
        <f t="shared" si="2"/>
        <v>-0.0466*</v>
      </c>
      <c r="V8" s="3" t="str">
        <f t="shared" si="2"/>
        <v>-0.0415*</v>
      </c>
      <c r="W8" s="3" t="str">
        <f t="shared" si="2"/>
        <v>-0.0465*</v>
      </c>
      <c r="X8" s="3" t="str">
        <f t="shared" si="2"/>
        <v>-0.0497*</v>
      </c>
      <c r="Y8" s="3">
        <f t="shared" si="10"/>
        <v>4.4999999999999998E-2</v>
      </c>
      <c r="Z8" s="3">
        <f t="shared" si="10"/>
        <v>4.9099999999999998E-2</v>
      </c>
    </row>
    <row r="9" spans="1:26" ht="15.75" x14ac:dyDescent="0.25">
      <c r="B9" s="11" t="s">
        <v>9</v>
      </c>
      <c r="C9" s="11"/>
      <c r="D9" s="11"/>
      <c r="J9" s="11" t="s">
        <v>10</v>
      </c>
      <c r="K9" s="11"/>
      <c r="L9" s="7"/>
      <c r="S9" s="11" t="s">
        <v>11</v>
      </c>
      <c r="T9" s="11"/>
      <c r="Y9" s="3"/>
      <c r="Z9" s="3"/>
    </row>
    <row r="10" spans="1:26" x14ac:dyDescent="0.25">
      <c r="B10" s="3" t="s">
        <v>569</v>
      </c>
      <c r="C10" s="3" t="s">
        <v>570</v>
      </c>
      <c r="D10" s="3" t="s">
        <v>571</v>
      </c>
      <c r="E10" s="3" t="s">
        <v>572</v>
      </c>
      <c r="F10" s="3" t="s">
        <v>573</v>
      </c>
      <c r="G10" s="3" t="s">
        <v>569</v>
      </c>
      <c r="H10" s="3" t="s">
        <v>570</v>
      </c>
      <c r="I10" s="3" t="s">
        <v>571</v>
      </c>
      <c r="J10" s="3" t="s">
        <v>572</v>
      </c>
      <c r="K10" s="3" t="s">
        <v>573</v>
      </c>
      <c r="L10" s="3" t="s">
        <v>574</v>
      </c>
      <c r="M10" s="3" t="s">
        <v>575</v>
      </c>
      <c r="N10" s="3" t="s">
        <v>576</v>
      </c>
      <c r="O10" s="3" t="s">
        <v>577</v>
      </c>
      <c r="P10" s="3" t="s">
        <v>578</v>
      </c>
      <c r="Q10" s="3" t="s">
        <v>570</v>
      </c>
      <c r="R10" s="3" t="s">
        <v>571</v>
      </c>
      <c r="S10" s="3" t="s">
        <v>572</v>
      </c>
      <c r="T10" s="3" t="s">
        <v>573</v>
      </c>
      <c r="U10" s="3" t="s">
        <v>574</v>
      </c>
      <c r="V10" s="3" t="s">
        <v>575</v>
      </c>
      <c r="W10" s="3" t="s">
        <v>576</v>
      </c>
      <c r="X10" s="3" t="s">
        <v>577</v>
      </c>
      <c r="Y10" s="3" t="s">
        <v>578</v>
      </c>
      <c r="Z10" s="3"/>
    </row>
    <row r="11" spans="1:26" x14ac:dyDescent="0.25">
      <c r="A11" s="39" t="s">
        <v>322</v>
      </c>
      <c r="B11" s="3" t="str">
        <f>Y25</f>
        <v>0/7</v>
      </c>
      <c r="C11" s="3" t="str">
        <f>Z25</f>
        <v>0/7</v>
      </c>
      <c r="D11" s="3" t="str">
        <f t="shared" ref="D11:S16" si="11">AA25</f>
        <v>0/7</v>
      </c>
      <c r="E11" s="3" t="str">
        <f t="shared" si="11"/>
        <v>0/7</v>
      </c>
      <c r="F11" s="3" t="str">
        <f t="shared" si="11"/>
        <v>0/7</v>
      </c>
      <c r="G11" s="3" t="str">
        <f t="shared" si="11"/>
        <v>0/7</v>
      </c>
      <c r="H11" s="3" t="str">
        <f t="shared" si="11"/>
        <v>0/7</v>
      </c>
      <c r="I11" s="3" t="str">
        <f t="shared" si="11"/>
        <v>0/7</v>
      </c>
      <c r="J11" s="3" t="str">
        <f t="shared" si="11"/>
        <v>0/7</v>
      </c>
      <c r="K11" s="3" t="str">
        <f t="shared" si="11"/>
        <v>0/7</v>
      </c>
      <c r="L11" s="3" t="str">
        <f t="shared" si="11"/>
        <v>0/7</v>
      </c>
      <c r="M11" s="3" t="str">
        <f t="shared" si="11"/>
        <v>0/7</v>
      </c>
      <c r="N11" s="3" t="str">
        <f t="shared" si="11"/>
        <v>0/7</v>
      </c>
      <c r="O11" s="3" t="str">
        <f t="shared" si="11"/>
        <v>0/7</v>
      </c>
      <c r="P11" s="3" t="str">
        <f t="shared" si="11"/>
        <v>0/7</v>
      </c>
      <c r="Q11" s="3" t="str">
        <f t="shared" si="11"/>
        <v>3/7</v>
      </c>
      <c r="R11" s="3" t="str">
        <f t="shared" si="11"/>
        <v>4/7</v>
      </c>
      <c r="S11" s="3" t="str">
        <f t="shared" si="11"/>
        <v>4/7</v>
      </c>
      <c r="T11" s="3" t="str">
        <f t="shared" ref="T11:Y16" si="12">AQ25</f>
        <v>4/7</v>
      </c>
      <c r="U11" s="3" t="str">
        <f t="shared" si="12"/>
        <v>3/7</v>
      </c>
      <c r="V11" s="3" t="str">
        <f t="shared" si="12"/>
        <v>4/7</v>
      </c>
      <c r="W11" s="3" t="str">
        <f t="shared" si="12"/>
        <v>4/7</v>
      </c>
      <c r="X11" s="3" t="str">
        <f t="shared" si="12"/>
        <v>4/7</v>
      </c>
      <c r="Y11" s="3" t="str">
        <f t="shared" si="12"/>
        <v>4/7</v>
      </c>
      <c r="Z11" s="3"/>
    </row>
    <row r="12" spans="1:26" x14ac:dyDescent="0.25">
      <c r="A12" s="39" t="s">
        <v>323</v>
      </c>
      <c r="B12" s="3" t="str">
        <f t="shared" ref="B12:C16" si="13">Y26</f>
        <v>0/7</v>
      </c>
      <c r="C12" s="3" t="str">
        <f t="shared" si="13"/>
        <v>2/7</v>
      </c>
      <c r="D12" s="3" t="str">
        <f t="shared" si="11"/>
        <v>0/7</v>
      </c>
      <c r="E12" s="3" t="str">
        <f t="shared" si="11"/>
        <v>0/7</v>
      </c>
      <c r="F12" s="3" t="str">
        <f t="shared" si="11"/>
        <v>1/7</v>
      </c>
      <c r="G12" s="3" t="str">
        <f t="shared" si="11"/>
        <v>1/7</v>
      </c>
      <c r="H12" s="3" t="str">
        <f t="shared" si="11"/>
        <v>1/7</v>
      </c>
      <c r="I12" s="3" t="str">
        <f t="shared" si="11"/>
        <v>0/7</v>
      </c>
      <c r="J12" s="3" t="str">
        <f t="shared" si="11"/>
        <v>0/7</v>
      </c>
      <c r="K12" s="3" t="str">
        <f t="shared" si="11"/>
        <v>0/7</v>
      </c>
      <c r="L12" s="3" t="str">
        <f t="shared" si="11"/>
        <v>1/7</v>
      </c>
      <c r="M12" s="3" t="str">
        <f t="shared" si="11"/>
        <v>0/7</v>
      </c>
      <c r="N12" s="3" t="str">
        <f t="shared" si="11"/>
        <v>2/7</v>
      </c>
      <c r="O12" s="3" t="str">
        <f t="shared" si="11"/>
        <v>1/7</v>
      </c>
      <c r="P12" s="3" t="str">
        <f t="shared" si="11"/>
        <v>1/7</v>
      </c>
      <c r="Q12" s="3" t="str">
        <f t="shared" si="11"/>
        <v>2/7</v>
      </c>
      <c r="R12" s="3" t="str">
        <f t="shared" si="11"/>
        <v>0/7</v>
      </c>
      <c r="S12" s="3" t="str">
        <f t="shared" si="11"/>
        <v>1/7</v>
      </c>
      <c r="T12" s="3" t="str">
        <f t="shared" si="12"/>
        <v>0/7</v>
      </c>
      <c r="U12" s="3" t="str">
        <f t="shared" si="12"/>
        <v>0/7</v>
      </c>
      <c r="V12" s="3" t="str">
        <f t="shared" si="12"/>
        <v>2/7</v>
      </c>
      <c r="W12" s="3" t="str">
        <f t="shared" si="12"/>
        <v>2/7</v>
      </c>
      <c r="X12" s="3" t="str">
        <f t="shared" si="12"/>
        <v>2/7</v>
      </c>
      <c r="Y12" s="3" t="str">
        <f t="shared" si="12"/>
        <v>2/7</v>
      </c>
      <c r="Z12" s="3"/>
    </row>
    <row r="13" spans="1:26" x14ac:dyDescent="0.25">
      <c r="A13" s="39" t="s">
        <v>324</v>
      </c>
      <c r="B13" s="3" t="str">
        <f t="shared" si="13"/>
        <v>0.01</v>
      </c>
      <c r="C13" s="3" t="str">
        <f t="shared" si="13"/>
        <v>0.01</v>
      </c>
      <c r="D13" s="3" t="str">
        <f t="shared" si="11"/>
        <v>0.006</v>
      </c>
      <c r="E13" s="3" t="str">
        <f t="shared" si="11"/>
        <v>0.004</v>
      </c>
      <c r="F13" s="3" t="str">
        <f t="shared" si="11"/>
        <v>0.009</v>
      </c>
      <c r="G13" s="3" t="str">
        <f t="shared" si="11"/>
        <v>0.017</v>
      </c>
      <c r="H13" s="3" t="str">
        <f t="shared" si="11"/>
        <v>0.011</v>
      </c>
      <c r="I13" s="3" t="str">
        <f t="shared" si="11"/>
        <v>0.01</v>
      </c>
      <c r="J13" s="3" t="str">
        <f t="shared" si="11"/>
        <v>0.008</v>
      </c>
      <c r="K13" s="3" t="str">
        <f t="shared" si="11"/>
        <v>0.007</v>
      </c>
      <c r="L13" s="3" t="str">
        <f t="shared" si="11"/>
        <v>0.009</v>
      </c>
      <c r="M13" s="3" t="str">
        <f t="shared" si="11"/>
        <v>0.006</v>
      </c>
      <c r="N13" s="3" t="str">
        <f t="shared" si="11"/>
        <v>0.01</v>
      </c>
      <c r="O13" s="3" t="str">
        <f t="shared" si="11"/>
        <v>0.01</v>
      </c>
      <c r="P13" s="3" t="str">
        <f t="shared" si="11"/>
        <v>0.009</v>
      </c>
      <c r="Q13" s="3" t="str">
        <f t="shared" si="11"/>
        <v>0.018</v>
      </c>
      <c r="R13" s="3" t="str">
        <f t="shared" si="11"/>
        <v>0.007</v>
      </c>
      <c r="S13" s="3" t="str">
        <f t="shared" si="11"/>
        <v>0.009</v>
      </c>
      <c r="T13" s="3" t="str">
        <f t="shared" si="12"/>
        <v>0.012</v>
      </c>
      <c r="U13" s="3" t="str">
        <f t="shared" si="12"/>
        <v>0.009</v>
      </c>
      <c r="V13" s="3" t="str">
        <f t="shared" si="12"/>
        <v>0.017</v>
      </c>
      <c r="W13" s="3" t="str">
        <f t="shared" si="12"/>
        <v>0.013</v>
      </c>
      <c r="X13" s="3" t="str">
        <f t="shared" si="12"/>
        <v>0.012</v>
      </c>
      <c r="Y13" s="3" t="str">
        <f t="shared" si="12"/>
        <v>0.011</v>
      </c>
      <c r="Z13" s="3"/>
    </row>
    <row r="14" spans="1:26" x14ac:dyDescent="0.25">
      <c r="A14" s="39" t="s">
        <v>325</v>
      </c>
      <c r="B14" s="3" t="str">
        <f t="shared" si="13"/>
        <v>05-10</v>
      </c>
      <c r="C14" s="3" t="str">
        <f t="shared" si="13"/>
        <v>90-95</v>
      </c>
      <c r="D14" s="3" t="str">
        <f t="shared" si="11"/>
        <v>95-00</v>
      </c>
      <c r="E14" s="3" t="str">
        <f t="shared" si="11"/>
        <v>90-95</v>
      </c>
      <c r="F14" s="3" t="str">
        <f t="shared" si="11"/>
        <v>05-10</v>
      </c>
      <c r="G14" s="3" t="str">
        <f t="shared" si="11"/>
        <v>95-00</v>
      </c>
      <c r="H14" s="3" t="str">
        <f t="shared" si="11"/>
        <v>95-00</v>
      </c>
      <c r="I14" s="3" t="str">
        <f t="shared" si="11"/>
        <v>95-00</v>
      </c>
      <c r="J14" s="3" t="str">
        <f t="shared" si="11"/>
        <v>95-00</v>
      </c>
      <c r="K14" s="3" t="str">
        <f t="shared" si="11"/>
        <v>95-00</v>
      </c>
      <c r="L14" s="3" t="str">
        <f t="shared" si="11"/>
        <v>00-05</v>
      </c>
      <c r="M14" s="3" t="str">
        <f t="shared" si="11"/>
        <v>00-05</v>
      </c>
      <c r="N14" s="3" t="str">
        <f t="shared" si="11"/>
        <v>95-00</v>
      </c>
      <c r="O14" s="3" t="str">
        <f t="shared" si="11"/>
        <v>95-00</v>
      </c>
      <c r="P14" s="3" t="str">
        <f t="shared" si="11"/>
        <v>00-05</v>
      </c>
      <c r="Q14" s="3" t="str">
        <f t="shared" si="11"/>
        <v>05-10</v>
      </c>
      <c r="R14" s="3" t="str">
        <f t="shared" si="11"/>
        <v>90-95</v>
      </c>
      <c r="S14" s="3" t="str">
        <f t="shared" si="11"/>
        <v>05-10</v>
      </c>
      <c r="T14" s="3" t="str">
        <f t="shared" si="12"/>
        <v>90-95</v>
      </c>
      <c r="U14" s="3" t="str">
        <f t="shared" si="12"/>
        <v>90-95</v>
      </c>
      <c r="V14" s="3" t="str">
        <f t="shared" si="12"/>
        <v>05-10</v>
      </c>
      <c r="W14" s="3" t="str">
        <f t="shared" si="12"/>
        <v>90-95</v>
      </c>
      <c r="X14" s="3" t="str">
        <f t="shared" si="12"/>
        <v>90-95</v>
      </c>
      <c r="Y14" s="3" t="str">
        <f t="shared" si="12"/>
        <v>90-95</v>
      </c>
      <c r="Z14" s="3"/>
    </row>
    <row r="15" spans="1:26" x14ac:dyDescent="0.25">
      <c r="A15" s="39" t="s">
        <v>326</v>
      </c>
      <c r="B15" s="3">
        <f t="shared" si="13"/>
        <v>-1.24E-2</v>
      </c>
      <c r="C15" s="3" t="str">
        <f t="shared" si="13"/>
        <v>-0.0162*</v>
      </c>
      <c r="D15" s="3">
        <f t="shared" si="11"/>
        <v>-1.0999999999999999E-2</v>
      </c>
      <c r="E15" s="3">
        <f t="shared" si="11"/>
        <v>-9.1000000000000004E-3</v>
      </c>
      <c r="F15" s="3" t="str">
        <f t="shared" si="11"/>
        <v>-0.00991*</v>
      </c>
      <c r="G15" s="3" t="str">
        <f t="shared" si="11"/>
        <v>-0.0208***</v>
      </c>
      <c r="H15" s="3" t="str">
        <f t="shared" si="11"/>
        <v>-0.0128*</v>
      </c>
      <c r="I15" s="3">
        <f t="shared" si="11"/>
        <v>-1.2200000000000001E-2</v>
      </c>
      <c r="J15" s="3">
        <f t="shared" si="11"/>
        <v>-1.14E-2</v>
      </c>
      <c r="K15" s="3">
        <f t="shared" si="11"/>
        <v>-1.0500000000000001E-2</v>
      </c>
      <c r="L15" s="3" t="str">
        <f t="shared" si="11"/>
        <v>-0.0117*</v>
      </c>
      <c r="M15" s="3">
        <f t="shared" si="11"/>
        <v>-0.01</v>
      </c>
      <c r="N15" s="3" t="str">
        <f t="shared" si="11"/>
        <v>-0.0122*</v>
      </c>
      <c r="O15" s="3" t="str">
        <f t="shared" si="11"/>
        <v>-0.0116*</v>
      </c>
      <c r="P15" s="3" t="str">
        <f t="shared" si="11"/>
        <v>-0.0121*</v>
      </c>
      <c r="Q15" s="3" t="str">
        <f t="shared" si="11"/>
        <v>-0.0785**</v>
      </c>
      <c r="R15" s="3">
        <f t="shared" si="11"/>
        <v>-3.0800000000000001E-2</v>
      </c>
      <c r="S15" s="3" t="str">
        <f t="shared" si="11"/>
        <v>-0.0287*</v>
      </c>
      <c r="T15" s="3">
        <f t="shared" si="12"/>
        <v>-4.3299999999999998E-2</v>
      </c>
      <c r="U15" s="3">
        <f t="shared" si="12"/>
        <v>-3.7400000000000003E-2</v>
      </c>
      <c r="V15" s="3" t="str">
        <f t="shared" si="12"/>
        <v>-0.0590***</v>
      </c>
      <c r="W15" s="3" t="str">
        <f t="shared" si="12"/>
        <v>-0.0625*</v>
      </c>
      <c r="X15" s="3" t="str">
        <f t="shared" si="12"/>
        <v>-0.0589*</v>
      </c>
      <c r="Y15" s="3" t="str">
        <f t="shared" si="12"/>
        <v>-0.0573*</v>
      </c>
      <c r="Z15" s="3"/>
    </row>
    <row r="16" spans="1:26" x14ac:dyDescent="0.25">
      <c r="A16" s="39" t="s">
        <v>327</v>
      </c>
      <c r="B16" s="3">
        <f t="shared" si="13"/>
        <v>-1.24E-2</v>
      </c>
      <c r="C16" s="3">
        <f t="shared" si="13"/>
        <v>-1.0200000000000001E-2</v>
      </c>
      <c r="D16" s="3">
        <f t="shared" si="11"/>
        <v>-4.0499999999999998E-3</v>
      </c>
      <c r="E16" s="3">
        <f t="shared" si="11"/>
        <v>-6.5700000000000003E-3</v>
      </c>
      <c r="F16" s="3" t="str">
        <f t="shared" si="11"/>
        <v>-0.00991*</v>
      </c>
      <c r="G16" s="3">
        <f t="shared" si="11"/>
        <v>-1.16E-3</v>
      </c>
      <c r="H16" s="3">
        <f t="shared" si="11"/>
        <v>-2.5799999999999998E-3</v>
      </c>
      <c r="I16" s="3">
        <f t="shared" si="11"/>
        <v>-3.9899999999999996E-3</v>
      </c>
      <c r="J16" s="3">
        <f t="shared" si="11"/>
        <v>-2.3E-3</v>
      </c>
      <c r="K16" s="3">
        <f t="shared" si="11"/>
        <v>-8.9800000000000004E-4</v>
      </c>
      <c r="L16" s="3">
        <f t="shared" si="11"/>
        <v>-1.0300000000000001E-3</v>
      </c>
      <c r="M16" s="3">
        <f t="shared" si="11"/>
        <v>-8.52E-4</v>
      </c>
      <c r="N16" s="3">
        <f t="shared" si="11"/>
        <v>-2.4199999999999998E-3</v>
      </c>
      <c r="O16" s="3">
        <f t="shared" si="11"/>
        <v>-2.0699999999999998E-3</v>
      </c>
      <c r="P16" s="3">
        <f t="shared" si="11"/>
        <v>-2.3900000000000002E-3</v>
      </c>
      <c r="Q16" s="3" t="str">
        <f t="shared" si="11"/>
        <v>-0.0785**</v>
      </c>
      <c r="R16" s="3">
        <f t="shared" si="11"/>
        <v>-2.4899999999999999E-2</v>
      </c>
      <c r="S16" s="3" t="str">
        <f t="shared" si="11"/>
        <v>-0.0287*</v>
      </c>
      <c r="T16" s="3">
        <f t="shared" si="12"/>
        <v>-2.3199999999999998E-2</v>
      </c>
      <c r="U16" s="3">
        <f t="shared" si="12"/>
        <v>-1.34E-2</v>
      </c>
      <c r="V16" s="3" t="str">
        <f t="shared" si="12"/>
        <v>-0.0590***</v>
      </c>
      <c r="W16" s="3" t="str">
        <f t="shared" si="12"/>
        <v>-0.0472*</v>
      </c>
      <c r="X16" s="3" t="str">
        <f t="shared" si="12"/>
        <v>-0.0417*</v>
      </c>
      <c r="Y16" s="3" t="str">
        <f t="shared" si="12"/>
        <v>-0.0453*</v>
      </c>
      <c r="Z16" s="3"/>
    </row>
    <row r="17" spans="1:50" x14ac:dyDescent="0.25">
      <c r="B17" s="3"/>
      <c r="C17" s="3"/>
      <c r="D17" s="3"/>
      <c r="E17" s="3"/>
      <c r="F17" s="3"/>
    </row>
    <row r="18" spans="1:50" x14ac:dyDescent="0.25">
      <c r="B18" s="3"/>
      <c r="C18" s="3"/>
      <c r="D18" s="3"/>
      <c r="E18" s="3"/>
      <c r="F18" s="3"/>
    </row>
    <row r="19" spans="1:50" x14ac:dyDescent="0.25">
      <c r="B19" s="3"/>
      <c r="C19" s="3"/>
      <c r="D19" s="3"/>
      <c r="E19" s="3"/>
      <c r="F19" s="3"/>
    </row>
    <row r="20" spans="1:50" x14ac:dyDescent="0.25">
      <c r="B20" s="3"/>
      <c r="C20" s="3"/>
      <c r="D20" s="3"/>
      <c r="E20" s="3"/>
      <c r="F20" s="3"/>
    </row>
    <row r="21" spans="1:50" x14ac:dyDescent="0.25">
      <c r="B21" s="3"/>
      <c r="C21" s="3"/>
      <c r="D21" s="3"/>
      <c r="E21" s="3"/>
      <c r="F21" s="3"/>
    </row>
    <row r="22" spans="1:50" x14ac:dyDescent="0.25">
      <c r="B22" s="3"/>
      <c r="C22" s="3"/>
      <c r="D22" s="3"/>
      <c r="E22" s="3"/>
      <c r="F22" s="3"/>
    </row>
    <row r="23" spans="1:50" x14ac:dyDescent="0.25">
      <c r="B23" s="3"/>
      <c r="C23" s="3"/>
      <c r="D23" s="3"/>
      <c r="E23" s="3"/>
      <c r="F23" s="3"/>
    </row>
    <row r="24" spans="1:50" x14ac:dyDescent="0.25">
      <c r="A24" s="3" t="s">
        <v>321</v>
      </c>
      <c r="B24" s="3" t="s">
        <v>328</v>
      </c>
      <c r="C24" s="3" t="s">
        <v>331</v>
      </c>
      <c r="D24" s="3" t="s">
        <v>333</v>
      </c>
      <c r="E24" s="3" t="s">
        <v>335</v>
      </c>
      <c r="F24" s="3" t="s">
        <v>338</v>
      </c>
      <c r="G24" s="3" t="s">
        <v>340</v>
      </c>
      <c r="H24" s="3" t="s">
        <v>305</v>
      </c>
      <c r="I24" s="3" t="s">
        <v>306</v>
      </c>
      <c r="J24" s="3" t="s">
        <v>307</v>
      </c>
      <c r="K24" s="3" t="s">
        <v>345</v>
      </c>
      <c r="L24" s="3" t="s">
        <v>347</v>
      </c>
      <c r="M24" s="3" t="s">
        <v>349</v>
      </c>
      <c r="N24" s="3" t="s">
        <v>350</v>
      </c>
      <c r="O24" s="3" t="s">
        <v>308</v>
      </c>
      <c r="P24" s="3" t="s">
        <v>352</v>
      </c>
      <c r="Q24" s="3" t="s">
        <v>354</v>
      </c>
      <c r="R24" s="3" t="s">
        <v>356</v>
      </c>
      <c r="S24" s="3" t="s">
        <v>358</v>
      </c>
      <c r="T24" s="3" t="s">
        <v>309</v>
      </c>
      <c r="U24" s="3" t="s">
        <v>360</v>
      </c>
      <c r="V24" s="3" t="s">
        <v>310</v>
      </c>
      <c r="W24" s="3" t="s">
        <v>363</v>
      </c>
      <c r="X24" s="3" t="s">
        <v>311</v>
      </c>
      <c r="Y24" s="3" t="s">
        <v>366</v>
      </c>
      <c r="Z24" s="3" t="s">
        <v>369</v>
      </c>
      <c r="AA24" s="3" t="s">
        <v>371</v>
      </c>
      <c r="AB24" s="3" t="s">
        <v>312</v>
      </c>
      <c r="AC24" s="3" t="s">
        <v>374</v>
      </c>
      <c r="AD24" s="3" t="s">
        <v>376</v>
      </c>
      <c r="AE24" s="3" t="s">
        <v>378</v>
      </c>
      <c r="AF24" s="3" t="s">
        <v>313</v>
      </c>
      <c r="AG24" s="3" t="s">
        <v>379</v>
      </c>
      <c r="AH24" s="3" t="s">
        <v>380</v>
      </c>
      <c r="AI24" s="3" t="s">
        <v>382</v>
      </c>
      <c r="AJ24" s="3" t="s">
        <v>384</v>
      </c>
      <c r="AK24" s="3" t="s">
        <v>386</v>
      </c>
      <c r="AL24" s="3" t="s">
        <v>388</v>
      </c>
      <c r="AM24" s="3" t="s">
        <v>389</v>
      </c>
      <c r="AN24" s="3" t="s">
        <v>391</v>
      </c>
      <c r="AO24" s="3" t="s">
        <v>393</v>
      </c>
      <c r="AP24" s="3" t="s">
        <v>395</v>
      </c>
      <c r="AQ24" s="3" t="s">
        <v>396</v>
      </c>
      <c r="AR24" s="3" t="s">
        <v>398</v>
      </c>
      <c r="AS24" s="3" t="s">
        <v>400</v>
      </c>
      <c r="AT24" s="3" t="s">
        <v>402</v>
      </c>
      <c r="AU24" s="3" t="s">
        <v>314</v>
      </c>
      <c r="AV24" s="3" t="s">
        <v>405</v>
      </c>
      <c r="AW24" s="3" t="s">
        <v>315</v>
      </c>
      <c r="AX24" s="3" t="s">
        <v>482</v>
      </c>
    </row>
    <row r="25" spans="1:50" x14ac:dyDescent="0.25">
      <c r="A25" s="3" t="s">
        <v>322</v>
      </c>
      <c r="B25" s="3" t="s">
        <v>51</v>
      </c>
      <c r="C25" s="3" t="s">
        <v>47</v>
      </c>
      <c r="D25" s="3" t="s">
        <v>48</v>
      </c>
      <c r="E25" s="3" t="s">
        <v>44</v>
      </c>
      <c r="F25" s="3" t="s">
        <v>51</v>
      </c>
      <c r="G25" s="3" t="s">
        <v>44</v>
      </c>
      <c r="H25" s="3" t="s">
        <v>44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51</v>
      </c>
      <c r="P25" s="3" t="s">
        <v>44</v>
      </c>
      <c r="Q25" s="3" t="s">
        <v>44</v>
      </c>
      <c r="R25" s="3" t="s">
        <v>47</v>
      </c>
      <c r="S25" s="3" t="s">
        <v>44</v>
      </c>
      <c r="T25" s="3" t="s">
        <v>44</v>
      </c>
      <c r="U25" s="3" t="s">
        <v>46</v>
      </c>
      <c r="V25" s="3" t="s">
        <v>48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47</v>
      </c>
      <c r="AO25" s="3" t="s">
        <v>48</v>
      </c>
      <c r="AP25" s="3" t="s">
        <v>48</v>
      </c>
      <c r="AQ25" s="3" t="s">
        <v>48</v>
      </c>
      <c r="AR25" s="3" t="s">
        <v>47</v>
      </c>
      <c r="AS25" s="3" t="s">
        <v>48</v>
      </c>
      <c r="AT25" s="3" t="s">
        <v>48</v>
      </c>
      <c r="AU25" s="3" t="s">
        <v>48</v>
      </c>
      <c r="AV25" s="3" t="s">
        <v>48</v>
      </c>
      <c r="AW25" s="3" t="s">
        <v>48</v>
      </c>
      <c r="AX25" s="3" t="s">
        <v>48</v>
      </c>
    </row>
    <row r="26" spans="1:50" x14ac:dyDescent="0.25">
      <c r="A26" s="3" t="s">
        <v>323</v>
      </c>
      <c r="B26" s="3" t="s">
        <v>49</v>
      </c>
      <c r="C26" s="3" t="s">
        <v>49</v>
      </c>
      <c r="D26" s="3" t="s">
        <v>49</v>
      </c>
      <c r="E26" s="3" t="s">
        <v>49</v>
      </c>
      <c r="F26" s="3" t="s">
        <v>50</v>
      </c>
      <c r="G26" s="3" t="s">
        <v>46</v>
      </c>
      <c r="H26" s="3" t="s">
        <v>50</v>
      </c>
      <c r="I26" s="3" t="s">
        <v>49</v>
      </c>
      <c r="J26" s="3" t="s">
        <v>50</v>
      </c>
      <c r="K26" s="3" t="s">
        <v>46</v>
      </c>
      <c r="L26" s="3" t="s">
        <v>50</v>
      </c>
      <c r="M26" s="3" t="s">
        <v>50</v>
      </c>
      <c r="N26" s="3" t="s">
        <v>50</v>
      </c>
      <c r="O26" s="3" t="s">
        <v>49</v>
      </c>
      <c r="P26" s="3" t="s">
        <v>50</v>
      </c>
      <c r="Q26" s="3" t="s">
        <v>49</v>
      </c>
      <c r="R26" s="3" t="s">
        <v>49</v>
      </c>
      <c r="S26" s="3" t="s">
        <v>49</v>
      </c>
      <c r="T26" s="3" t="s">
        <v>50</v>
      </c>
      <c r="U26" s="3" t="s">
        <v>49</v>
      </c>
      <c r="V26" s="3" t="s">
        <v>49</v>
      </c>
      <c r="W26" s="3" t="s">
        <v>49</v>
      </c>
      <c r="X26" s="3" t="s">
        <v>50</v>
      </c>
      <c r="Y26" s="3" t="s">
        <v>49</v>
      </c>
      <c r="Z26" s="3" t="s">
        <v>46</v>
      </c>
      <c r="AA26" s="3" t="s">
        <v>49</v>
      </c>
      <c r="AB26" s="3" t="s">
        <v>49</v>
      </c>
      <c r="AC26" s="3" t="s">
        <v>50</v>
      </c>
      <c r="AD26" s="3" t="s">
        <v>50</v>
      </c>
      <c r="AE26" s="3" t="s">
        <v>50</v>
      </c>
      <c r="AF26" s="3" t="s">
        <v>49</v>
      </c>
      <c r="AG26" s="3" t="s">
        <v>49</v>
      </c>
      <c r="AH26" s="3" t="s">
        <v>49</v>
      </c>
      <c r="AI26" s="3" t="s">
        <v>50</v>
      </c>
      <c r="AJ26" s="3" t="s">
        <v>49</v>
      </c>
      <c r="AK26" s="3" t="s">
        <v>46</v>
      </c>
      <c r="AL26" s="3" t="s">
        <v>50</v>
      </c>
      <c r="AM26" s="3" t="s">
        <v>50</v>
      </c>
      <c r="AN26" s="3" t="s">
        <v>46</v>
      </c>
      <c r="AO26" s="3" t="s">
        <v>49</v>
      </c>
      <c r="AP26" s="3" t="s">
        <v>50</v>
      </c>
      <c r="AQ26" s="3" t="s">
        <v>49</v>
      </c>
      <c r="AR26" s="3" t="s">
        <v>49</v>
      </c>
      <c r="AS26" s="3" t="s">
        <v>46</v>
      </c>
      <c r="AT26" s="3" t="s">
        <v>46</v>
      </c>
      <c r="AU26" s="3" t="s">
        <v>46</v>
      </c>
      <c r="AV26" s="3" t="s">
        <v>46</v>
      </c>
      <c r="AW26" s="3" t="s">
        <v>49</v>
      </c>
      <c r="AX26" s="3" t="s">
        <v>49</v>
      </c>
    </row>
    <row r="27" spans="1:50" x14ac:dyDescent="0.25">
      <c r="A27" s="3" t="s">
        <v>324</v>
      </c>
      <c r="B27" s="3" t="s">
        <v>457</v>
      </c>
      <c r="C27" s="3" t="s">
        <v>412</v>
      </c>
      <c r="D27" s="3" t="s">
        <v>417</v>
      </c>
      <c r="E27" s="3" t="s">
        <v>457</v>
      </c>
      <c r="F27" s="3" t="s">
        <v>420</v>
      </c>
      <c r="G27" s="3" t="s">
        <v>462</v>
      </c>
      <c r="H27" s="3" t="s">
        <v>529</v>
      </c>
      <c r="I27" s="3" t="s">
        <v>417</v>
      </c>
      <c r="J27" s="3" t="s">
        <v>419</v>
      </c>
      <c r="K27" s="3" t="s">
        <v>434</v>
      </c>
      <c r="L27" s="3" t="s">
        <v>434</v>
      </c>
      <c r="M27" s="3" t="s">
        <v>449</v>
      </c>
      <c r="N27" s="3" t="s">
        <v>419</v>
      </c>
      <c r="O27" s="3" t="s">
        <v>481</v>
      </c>
      <c r="P27" s="3" t="s">
        <v>419</v>
      </c>
      <c r="Q27" s="3" t="s">
        <v>432</v>
      </c>
      <c r="R27" s="3" t="s">
        <v>479</v>
      </c>
      <c r="S27" s="3" t="s">
        <v>432</v>
      </c>
      <c r="T27" s="3" t="s">
        <v>547</v>
      </c>
      <c r="U27" s="3" t="s">
        <v>430</v>
      </c>
      <c r="V27" s="3" t="s">
        <v>432</v>
      </c>
      <c r="W27" s="3" t="s">
        <v>412</v>
      </c>
      <c r="X27" s="3" t="s">
        <v>440</v>
      </c>
      <c r="Y27" s="3" t="s">
        <v>457</v>
      </c>
      <c r="Z27" s="3" t="s">
        <v>457</v>
      </c>
      <c r="AA27" s="3" t="s">
        <v>431</v>
      </c>
      <c r="AB27" s="3" t="s">
        <v>479</v>
      </c>
      <c r="AC27" s="3" t="s">
        <v>430</v>
      </c>
      <c r="AD27" s="3" t="s">
        <v>447</v>
      </c>
      <c r="AE27" s="3" t="s">
        <v>434</v>
      </c>
      <c r="AF27" s="3" t="s">
        <v>457</v>
      </c>
      <c r="AG27" s="3" t="s">
        <v>432</v>
      </c>
      <c r="AH27" s="3" t="s">
        <v>412</v>
      </c>
      <c r="AI27" s="3" t="s">
        <v>430</v>
      </c>
      <c r="AJ27" s="3" t="s">
        <v>431</v>
      </c>
      <c r="AK27" s="3" t="s">
        <v>457</v>
      </c>
      <c r="AL27" s="3" t="s">
        <v>457</v>
      </c>
      <c r="AM27" s="3" t="s">
        <v>430</v>
      </c>
      <c r="AN27" s="3" t="s">
        <v>462</v>
      </c>
      <c r="AO27" s="3" t="s">
        <v>412</v>
      </c>
      <c r="AP27" s="3" t="s">
        <v>430</v>
      </c>
      <c r="AQ27" s="3" t="s">
        <v>419</v>
      </c>
      <c r="AR27" s="3" t="s">
        <v>430</v>
      </c>
      <c r="AS27" s="3" t="s">
        <v>447</v>
      </c>
      <c r="AT27" s="3" t="s">
        <v>449</v>
      </c>
      <c r="AU27" s="3" t="s">
        <v>419</v>
      </c>
      <c r="AV27" s="3" t="s">
        <v>434</v>
      </c>
      <c r="AW27" s="3" t="s">
        <v>412</v>
      </c>
      <c r="AX27" s="3" t="s">
        <v>412</v>
      </c>
    </row>
    <row r="28" spans="1:50" x14ac:dyDescent="0.25">
      <c r="A28" s="3" t="s">
        <v>325</v>
      </c>
      <c r="B28" s="3" t="s">
        <v>342</v>
      </c>
      <c r="C28" s="3" t="s">
        <v>433</v>
      </c>
      <c r="D28" s="3" t="s">
        <v>433</v>
      </c>
      <c r="E28" s="3" t="s">
        <v>433</v>
      </c>
      <c r="F28" s="3" t="s">
        <v>342</v>
      </c>
      <c r="G28" s="3" t="s">
        <v>342</v>
      </c>
      <c r="H28" s="3" t="s">
        <v>342</v>
      </c>
      <c r="I28" s="3" t="s">
        <v>353</v>
      </c>
      <c r="J28" s="3" t="s">
        <v>336</v>
      </c>
      <c r="K28" s="3" t="s">
        <v>336</v>
      </c>
      <c r="L28" s="3" t="s">
        <v>336</v>
      </c>
      <c r="M28" s="3" t="s">
        <v>433</v>
      </c>
      <c r="N28" s="3" t="s">
        <v>433</v>
      </c>
      <c r="O28" s="3" t="s">
        <v>367</v>
      </c>
      <c r="P28" s="3" t="s">
        <v>329</v>
      </c>
      <c r="Q28" s="3" t="s">
        <v>451</v>
      </c>
      <c r="R28" s="3" t="s">
        <v>451</v>
      </c>
      <c r="S28" s="3" t="s">
        <v>451</v>
      </c>
      <c r="T28" s="3" t="s">
        <v>451</v>
      </c>
      <c r="U28" s="3" t="s">
        <v>336</v>
      </c>
      <c r="V28" s="3" t="s">
        <v>336</v>
      </c>
      <c r="W28" s="3" t="s">
        <v>353</v>
      </c>
      <c r="X28" s="3" t="s">
        <v>353</v>
      </c>
      <c r="Y28" s="3" t="s">
        <v>433</v>
      </c>
      <c r="Z28" s="3" t="s">
        <v>336</v>
      </c>
      <c r="AA28" s="3" t="s">
        <v>329</v>
      </c>
      <c r="AB28" s="3" t="s">
        <v>336</v>
      </c>
      <c r="AC28" s="3" t="s">
        <v>433</v>
      </c>
      <c r="AD28" s="3" t="s">
        <v>329</v>
      </c>
      <c r="AE28" s="3" t="s">
        <v>329</v>
      </c>
      <c r="AF28" s="3" t="s">
        <v>329</v>
      </c>
      <c r="AG28" s="3" t="s">
        <v>329</v>
      </c>
      <c r="AH28" s="3" t="s">
        <v>329</v>
      </c>
      <c r="AI28" s="3" t="s">
        <v>367</v>
      </c>
      <c r="AJ28" s="3" t="s">
        <v>367</v>
      </c>
      <c r="AK28" s="3" t="s">
        <v>329</v>
      </c>
      <c r="AL28" s="3" t="s">
        <v>329</v>
      </c>
      <c r="AM28" s="3" t="s">
        <v>367</v>
      </c>
      <c r="AN28" s="3" t="s">
        <v>433</v>
      </c>
      <c r="AO28" s="3" t="s">
        <v>336</v>
      </c>
      <c r="AP28" s="3" t="s">
        <v>433</v>
      </c>
      <c r="AQ28" s="3" t="s">
        <v>336</v>
      </c>
      <c r="AR28" s="3" t="s">
        <v>336</v>
      </c>
      <c r="AS28" s="3" t="s">
        <v>433</v>
      </c>
      <c r="AT28" s="3" t="s">
        <v>336</v>
      </c>
      <c r="AU28" s="3" t="s">
        <v>336</v>
      </c>
      <c r="AV28" s="3" t="s">
        <v>336</v>
      </c>
      <c r="AW28" s="3" t="s">
        <v>433</v>
      </c>
      <c r="AX28" s="3" t="s">
        <v>336</v>
      </c>
    </row>
    <row r="29" spans="1:50" x14ac:dyDescent="0.25">
      <c r="A29" t="s">
        <v>326</v>
      </c>
      <c r="B29">
        <v>0.11799999999999999</v>
      </c>
      <c r="C29">
        <v>2.1899999999999999E-2</v>
      </c>
      <c r="D29">
        <v>2.63E-2</v>
      </c>
      <c r="E29">
        <v>3.1099999999999999E-2</v>
      </c>
      <c r="F29" t="s">
        <v>538</v>
      </c>
      <c r="G29">
        <v>5.0599999999999999E-2</v>
      </c>
      <c r="H29" t="s">
        <v>540</v>
      </c>
      <c r="I29">
        <v>-1.0200000000000001E-2</v>
      </c>
      <c r="J29" t="s">
        <v>392</v>
      </c>
      <c r="K29" t="s">
        <v>541</v>
      </c>
      <c r="L29">
        <v>-5.2600000000000001E-2</v>
      </c>
      <c r="M29" t="s">
        <v>544</v>
      </c>
      <c r="N29" t="s">
        <v>545</v>
      </c>
      <c r="O29">
        <v>2.6599999999999999E-2</v>
      </c>
      <c r="P29" t="s">
        <v>546</v>
      </c>
      <c r="Q29">
        <v>7.3899999999999993E-2</v>
      </c>
      <c r="R29">
        <v>5.5300000000000002E-2</v>
      </c>
      <c r="S29">
        <v>8.1699999999999995E-2</v>
      </c>
      <c r="T29" t="s">
        <v>548</v>
      </c>
      <c r="U29">
        <v>-6.4799999999999996E-2</v>
      </c>
      <c r="V29">
        <v>-6.3600000000000004E-2</v>
      </c>
      <c r="W29">
        <v>-9.5600000000000004E-2</v>
      </c>
      <c r="X29" t="s">
        <v>549</v>
      </c>
      <c r="Y29">
        <v>-1.24E-2</v>
      </c>
      <c r="Z29" t="s">
        <v>550</v>
      </c>
      <c r="AA29">
        <v>-1.0999999999999999E-2</v>
      </c>
      <c r="AB29">
        <v>-9.1000000000000004E-3</v>
      </c>
      <c r="AC29" t="s">
        <v>551</v>
      </c>
      <c r="AD29" t="s">
        <v>552</v>
      </c>
      <c r="AE29" t="s">
        <v>553</v>
      </c>
      <c r="AF29">
        <v>-1.2200000000000001E-2</v>
      </c>
      <c r="AG29">
        <v>-1.14E-2</v>
      </c>
      <c r="AH29">
        <v>-1.0500000000000001E-2</v>
      </c>
      <c r="AI29" t="s">
        <v>554</v>
      </c>
      <c r="AJ29">
        <v>-0.01</v>
      </c>
      <c r="AK29" t="s">
        <v>555</v>
      </c>
      <c r="AL29" t="s">
        <v>276</v>
      </c>
      <c r="AM29" t="s">
        <v>556</v>
      </c>
      <c r="AN29" t="s">
        <v>557</v>
      </c>
      <c r="AO29">
        <v>-3.0800000000000001E-2</v>
      </c>
      <c r="AP29" t="s">
        <v>110</v>
      </c>
      <c r="AQ29">
        <v>-4.3299999999999998E-2</v>
      </c>
      <c r="AR29">
        <v>-3.7400000000000003E-2</v>
      </c>
      <c r="AS29" t="s">
        <v>558</v>
      </c>
      <c r="AT29" t="s">
        <v>559</v>
      </c>
      <c r="AU29" t="s">
        <v>287</v>
      </c>
      <c r="AV29" t="s">
        <v>562</v>
      </c>
      <c r="AW29">
        <v>4.4999999999999998E-2</v>
      </c>
      <c r="AX29">
        <v>5.8400000000000001E-2</v>
      </c>
    </row>
    <row r="30" spans="1:50" x14ac:dyDescent="0.25">
      <c r="A30" t="s">
        <v>327</v>
      </c>
      <c r="B30">
        <v>4.7800000000000002E-2</v>
      </c>
      <c r="C30">
        <v>2.1899999999999999E-2</v>
      </c>
      <c r="D30">
        <v>2.63E-2</v>
      </c>
      <c r="E30">
        <v>3.1099999999999999E-2</v>
      </c>
      <c r="F30">
        <v>2.52E-2</v>
      </c>
      <c r="G30" t="s">
        <v>539</v>
      </c>
      <c r="H30">
        <v>2.3099999999999999E-2</v>
      </c>
      <c r="I30">
        <v>-9.1600000000000004E-4</v>
      </c>
      <c r="J30">
        <v>-3.1099999999999999E-2</v>
      </c>
      <c r="K30" t="s">
        <v>542</v>
      </c>
      <c r="L30" t="s">
        <v>543</v>
      </c>
      <c r="M30" t="s">
        <v>544</v>
      </c>
      <c r="N30" t="s">
        <v>545</v>
      </c>
      <c r="O30">
        <v>1.29E-2</v>
      </c>
      <c r="P30">
        <v>8.3499999999999998E-3</v>
      </c>
      <c r="Q30">
        <v>6.3600000000000002E-3</v>
      </c>
      <c r="R30">
        <v>-1.35E-2</v>
      </c>
      <c r="S30">
        <v>3.2199999999999999E-2</v>
      </c>
      <c r="T30">
        <v>6.5500000000000003E-3</v>
      </c>
      <c r="U30">
        <v>-3.0700000000000002E-2</v>
      </c>
      <c r="V30">
        <v>-2.4299999999999999E-2</v>
      </c>
      <c r="W30">
        <v>-2.18E-2</v>
      </c>
      <c r="X30">
        <v>-1.56E-3</v>
      </c>
      <c r="Y30">
        <v>-1.24E-2</v>
      </c>
      <c r="Z30">
        <v>-1.0200000000000001E-2</v>
      </c>
      <c r="AA30">
        <v>-4.0499999999999998E-3</v>
      </c>
      <c r="AB30">
        <v>-6.5700000000000003E-3</v>
      </c>
      <c r="AC30" t="s">
        <v>551</v>
      </c>
      <c r="AD30">
        <v>-1.16E-3</v>
      </c>
      <c r="AE30">
        <v>-2.5799999999999998E-3</v>
      </c>
      <c r="AF30">
        <v>-3.9899999999999996E-3</v>
      </c>
      <c r="AG30">
        <v>-2.3E-3</v>
      </c>
      <c r="AH30">
        <v>-8.9800000000000004E-4</v>
      </c>
      <c r="AI30">
        <v>-1.0300000000000001E-3</v>
      </c>
      <c r="AJ30">
        <v>-8.52E-4</v>
      </c>
      <c r="AK30">
        <v>-2.4199999999999998E-3</v>
      </c>
      <c r="AL30">
        <v>-2.0699999999999998E-3</v>
      </c>
      <c r="AM30">
        <v>-2.3900000000000002E-3</v>
      </c>
      <c r="AN30" t="s">
        <v>557</v>
      </c>
      <c r="AO30">
        <v>-2.4899999999999999E-2</v>
      </c>
      <c r="AP30" t="s">
        <v>110</v>
      </c>
      <c r="AQ30">
        <v>-2.3199999999999998E-2</v>
      </c>
      <c r="AR30">
        <v>-1.34E-2</v>
      </c>
      <c r="AS30" t="s">
        <v>558</v>
      </c>
      <c r="AT30" t="s">
        <v>560</v>
      </c>
      <c r="AU30" t="s">
        <v>561</v>
      </c>
      <c r="AV30" t="s">
        <v>563</v>
      </c>
      <c r="AW30">
        <v>4.4999999999999998E-2</v>
      </c>
      <c r="AX30">
        <v>4.9099999999999998E-2</v>
      </c>
    </row>
    <row r="31" spans="1:50" x14ac:dyDescent="0.25">
      <c r="B31" s="3"/>
      <c r="C31" s="3"/>
      <c r="D31" s="3"/>
      <c r="E31" s="3"/>
      <c r="F31" s="3"/>
    </row>
    <row r="32" spans="1:50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  <row r="46" spans="2:6" x14ac:dyDescent="0.25">
      <c r="B46" s="3"/>
      <c r="C46" s="3"/>
      <c r="D46" s="3"/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/>
      <c r="C48" s="3"/>
      <c r="D48" s="3"/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</sheetData>
  <mergeCells count="6">
    <mergeCell ref="C1:D1"/>
    <mergeCell ref="K1:L1"/>
    <mergeCell ref="P1:Q1"/>
    <mergeCell ref="R1:S1"/>
    <mergeCell ref="T1:U1"/>
    <mergeCell ref="Y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pane ySplit="1" topLeftCell="A53" activePane="bottomLeft" state="frozen"/>
      <selection pane="bottomLeft" activeCell="K101" sqref="K101"/>
    </sheetView>
  </sheetViews>
  <sheetFormatPr defaultRowHeight="15" x14ac:dyDescent="0.25"/>
  <sheetData>
    <row r="1" spans="1:17" x14ac:dyDescent="0.25">
      <c r="B1" t="s">
        <v>233</v>
      </c>
      <c r="C1" t="s">
        <v>293</v>
      </c>
      <c r="D1" t="s">
        <v>295</v>
      </c>
      <c r="E1" t="s">
        <v>296</v>
      </c>
      <c r="F1" t="s">
        <v>297</v>
      </c>
      <c r="G1" t="s">
        <v>298</v>
      </c>
      <c r="H1" t="s">
        <v>234</v>
      </c>
      <c r="I1" t="s">
        <v>235</v>
      </c>
    </row>
    <row r="2" spans="1:17" x14ac:dyDescent="0.25">
      <c r="A2" t="s">
        <v>60</v>
      </c>
      <c r="B2">
        <v>9.3500000000000007E-3</v>
      </c>
      <c r="C2" t="s">
        <v>61</v>
      </c>
      <c r="D2" t="s">
        <v>62</v>
      </c>
      <c r="E2">
        <v>3.5299999999999998E-2</v>
      </c>
      <c r="F2">
        <v>-4.4200000000000003E-2</v>
      </c>
      <c r="G2">
        <v>8.4400000000000003E-2</v>
      </c>
      <c r="H2" t="s">
        <v>63</v>
      </c>
      <c r="I2">
        <v>4.5699999999999998E-2</v>
      </c>
    </row>
    <row r="3" spans="1:17" x14ac:dyDescent="0.25">
      <c r="A3" t="s">
        <v>64</v>
      </c>
      <c r="B3">
        <v>0</v>
      </c>
      <c r="C3">
        <v>1.7999999999999999E-2</v>
      </c>
      <c r="D3">
        <v>2.3E-2</v>
      </c>
      <c r="E3">
        <v>2E-3</v>
      </c>
      <c r="F3">
        <v>2E-3</v>
      </c>
      <c r="G3">
        <v>8.0000000000000002E-3</v>
      </c>
      <c r="H3">
        <v>1.2999999999999999E-2</v>
      </c>
      <c r="I3">
        <v>8.0000000000000002E-3</v>
      </c>
      <c r="J3">
        <f>(B3+B5+B7+B9+B11+B13+B15)/7</f>
        <v>5.7142857142857134E-3</v>
      </c>
      <c r="K3">
        <f t="shared" ref="K3:Q3" si="0">(C3+C5+C7+C9+C11+C13+C15)/7</f>
        <v>1.3857142857142858E-2</v>
      </c>
      <c r="L3">
        <f t="shared" si="0"/>
        <v>8.9999999999999993E-3</v>
      </c>
      <c r="M3">
        <f t="shared" si="0"/>
        <v>2.9857142857142856E-2</v>
      </c>
      <c r="N3">
        <f t="shared" si="0"/>
        <v>3.5714285714285713E-3</v>
      </c>
      <c r="O3">
        <f t="shared" si="0"/>
        <v>8.2857142857142851E-3</v>
      </c>
      <c r="P3">
        <f t="shared" si="0"/>
        <v>8.1428571428571427E-3</v>
      </c>
      <c r="Q3">
        <f t="shared" si="0"/>
        <v>2.4714285714285716E-2</v>
      </c>
    </row>
    <row r="4" spans="1:17" x14ac:dyDescent="0.25">
      <c r="A4" t="s">
        <v>65</v>
      </c>
      <c r="B4" t="s">
        <v>66</v>
      </c>
      <c r="C4">
        <v>1.9599999999999999E-2</v>
      </c>
      <c r="D4" t="s">
        <v>67</v>
      </c>
      <c r="E4">
        <v>1.9699999999999999E-2</v>
      </c>
      <c r="F4">
        <v>2.5499999999999998E-2</v>
      </c>
      <c r="G4">
        <v>-1.11E-2</v>
      </c>
      <c r="H4" t="s">
        <v>68</v>
      </c>
      <c r="I4" t="s">
        <v>69</v>
      </c>
    </row>
    <row r="5" spans="1:17" x14ac:dyDescent="0.25">
      <c r="A5" t="s">
        <v>64</v>
      </c>
      <c r="B5">
        <v>1.2999999999999999E-2</v>
      </c>
      <c r="C5">
        <v>2E-3</v>
      </c>
      <c r="D5">
        <v>2.7E-2</v>
      </c>
      <c r="E5">
        <v>5.0000000000000001E-3</v>
      </c>
      <c r="F5">
        <v>8.0000000000000002E-3</v>
      </c>
      <c r="G5">
        <v>2E-3</v>
      </c>
      <c r="H5">
        <v>1.4E-2</v>
      </c>
      <c r="I5">
        <v>0.02</v>
      </c>
    </row>
    <row r="6" spans="1:17" x14ac:dyDescent="0.25">
      <c r="A6" t="s">
        <v>70</v>
      </c>
      <c r="B6">
        <v>2.2700000000000001E-2</v>
      </c>
      <c r="C6" t="s">
        <v>71</v>
      </c>
      <c r="D6" t="s">
        <v>72</v>
      </c>
      <c r="E6" t="s">
        <v>73</v>
      </c>
      <c r="F6">
        <v>-1.2E-2</v>
      </c>
      <c r="G6" t="s">
        <v>74</v>
      </c>
      <c r="H6" t="s">
        <v>75</v>
      </c>
      <c r="I6" t="s">
        <v>76</v>
      </c>
    </row>
    <row r="7" spans="1:17" x14ac:dyDescent="0.25">
      <c r="A7" t="s">
        <v>64</v>
      </c>
      <c r="B7">
        <v>1E-3</v>
      </c>
      <c r="C7">
        <v>0.04</v>
      </c>
      <c r="D7">
        <v>0.01</v>
      </c>
      <c r="E7">
        <v>4.2000000000000003E-2</v>
      </c>
      <c r="F7">
        <v>1E-3</v>
      </c>
      <c r="G7">
        <v>3.5999999999999997E-2</v>
      </c>
      <c r="H7">
        <v>1.4E-2</v>
      </c>
      <c r="I7">
        <v>0.01</v>
      </c>
    </row>
    <row r="8" spans="1:17" x14ac:dyDescent="0.25">
      <c r="A8" t="s">
        <v>77</v>
      </c>
      <c r="B8">
        <v>4.7899999999999998E-2</v>
      </c>
      <c r="C8" t="s">
        <v>78</v>
      </c>
      <c r="D8">
        <v>-7.8799999999999996E-4</v>
      </c>
      <c r="E8" t="s">
        <v>79</v>
      </c>
      <c r="F8">
        <v>-2.5100000000000001E-3</v>
      </c>
      <c r="G8">
        <v>2.4299999999999999E-2</v>
      </c>
      <c r="H8">
        <v>1.5599999999999999E-2</v>
      </c>
      <c r="I8" t="s">
        <v>80</v>
      </c>
    </row>
    <row r="9" spans="1:17" x14ac:dyDescent="0.25">
      <c r="A9" t="s">
        <v>64</v>
      </c>
      <c r="B9">
        <v>6.0000000000000001E-3</v>
      </c>
      <c r="C9">
        <v>1.0999999999999999E-2</v>
      </c>
      <c r="D9">
        <v>0</v>
      </c>
      <c r="E9">
        <v>4.5999999999999999E-2</v>
      </c>
      <c r="F9">
        <v>0</v>
      </c>
      <c r="G9">
        <v>7.0000000000000001E-3</v>
      </c>
      <c r="H9">
        <v>5.0000000000000001E-3</v>
      </c>
      <c r="I9">
        <v>2.8000000000000001E-2</v>
      </c>
    </row>
    <row r="10" spans="1:17" x14ac:dyDescent="0.25">
      <c r="A10" t="s">
        <v>81</v>
      </c>
      <c r="B10">
        <v>3.1099999999999999E-2</v>
      </c>
      <c r="C10">
        <v>2.8500000000000001E-2</v>
      </c>
      <c r="D10">
        <v>-5.3200000000000001E-3</v>
      </c>
      <c r="E10" t="s">
        <v>82</v>
      </c>
      <c r="F10">
        <v>-9.2599999999999996E-4</v>
      </c>
      <c r="G10">
        <v>3.0599999999999998E-3</v>
      </c>
      <c r="H10">
        <v>8.7299999999999999E-3</v>
      </c>
      <c r="I10" t="s">
        <v>80</v>
      </c>
    </row>
    <row r="11" spans="1:17" x14ac:dyDescent="0.25">
      <c r="A11" t="s">
        <v>64</v>
      </c>
      <c r="B11">
        <v>4.0000000000000001E-3</v>
      </c>
      <c r="C11">
        <v>5.0000000000000001E-3</v>
      </c>
      <c r="D11">
        <v>1E-3</v>
      </c>
      <c r="E11">
        <v>3.5000000000000003E-2</v>
      </c>
      <c r="F11">
        <v>0</v>
      </c>
      <c r="G11">
        <v>0</v>
      </c>
      <c r="H11">
        <v>3.0000000000000001E-3</v>
      </c>
      <c r="I11">
        <v>3.4000000000000002E-2</v>
      </c>
    </row>
    <row r="12" spans="1:17" x14ac:dyDescent="0.25">
      <c r="A12" t="s">
        <v>83</v>
      </c>
      <c r="B12" t="s">
        <v>84</v>
      </c>
      <c r="C12">
        <v>1.6400000000000001E-2</v>
      </c>
      <c r="D12">
        <v>1.0999999999999999E-2</v>
      </c>
      <c r="E12" t="s">
        <v>85</v>
      </c>
      <c r="F12">
        <v>2.8000000000000001E-2</v>
      </c>
      <c r="G12">
        <v>-3.7000000000000002E-3</v>
      </c>
      <c r="H12">
        <v>9.0600000000000003E-3</v>
      </c>
      <c r="I12" t="s">
        <v>86</v>
      </c>
    </row>
    <row r="13" spans="1:17" x14ac:dyDescent="0.25">
      <c r="A13" t="s">
        <v>64</v>
      </c>
      <c r="B13">
        <v>1.6E-2</v>
      </c>
      <c r="C13">
        <v>2E-3</v>
      </c>
      <c r="D13">
        <v>2E-3</v>
      </c>
      <c r="E13">
        <v>2.1000000000000001E-2</v>
      </c>
      <c r="F13">
        <v>8.9999999999999993E-3</v>
      </c>
      <c r="G13">
        <v>0</v>
      </c>
      <c r="H13">
        <v>3.0000000000000001E-3</v>
      </c>
      <c r="I13">
        <v>3.2000000000000001E-2</v>
      </c>
    </row>
    <row r="14" spans="1:17" x14ac:dyDescent="0.25">
      <c r="A14" t="s">
        <v>87</v>
      </c>
      <c r="B14">
        <v>-1.01E-2</v>
      </c>
      <c r="C14" t="s">
        <v>88</v>
      </c>
      <c r="D14">
        <v>-4.3800000000000002E-3</v>
      </c>
      <c r="E14" t="s">
        <v>89</v>
      </c>
      <c r="F14">
        <v>-2.1100000000000001E-2</v>
      </c>
      <c r="G14">
        <v>1.8499999999999999E-2</v>
      </c>
      <c r="H14">
        <v>1.2699999999999999E-2</v>
      </c>
      <c r="I14" t="s">
        <v>90</v>
      </c>
    </row>
    <row r="15" spans="1:17" x14ac:dyDescent="0.25">
      <c r="A15" t="s">
        <v>64</v>
      </c>
      <c r="B15">
        <v>0</v>
      </c>
      <c r="C15">
        <v>1.9E-2</v>
      </c>
      <c r="D15">
        <v>0</v>
      </c>
      <c r="E15">
        <v>5.8000000000000003E-2</v>
      </c>
      <c r="F15">
        <v>5.0000000000000001E-3</v>
      </c>
      <c r="G15">
        <v>5.0000000000000001E-3</v>
      </c>
      <c r="H15">
        <v>5.0000000000000001E-3</v>
      </c>
      <c r="I15">
        <v>4.1000000000000002E-2</v>
      </c>
    </row>
    <row r="16" spans="1:17" x14ac:dyDescent="0.25">
      <c r="A16" t="s">
        <v>91</v>
      </c>
      <c r="B16">
        <v>-2.5100000000000001E-2</v>
      </c>
      <c r="C16">
        <v>1.4999999999999999E-2</v>
      </c>
      <c r="D16">
        <v>-1.0200000000000001E-2</v>
      </c>
      <c r="E16">
        <v>-3.81E-3</v>
      </c>
      <c r="F16" t="s">
        <v>92</v>
      </c>
      <c r="G16">
        <v>1.5900000000000001E-2</v>
      </c>
      <c r="H16">
        <v>-2.3700000000000001E-3</v>
      </c>
      <c r="I16">
        <v>-3.3700000000000002E-3</v>
      </c>
    </row>
    <row r="17" spans="1:17" x14ac:dyDescent="0.25">
      <c r="A17" t="s">
        <v>64</v>
      </c>
      <c r="B17">
        <v>1.9E-2</v>
      </c>
      <c r="C17">
        <v>5.0000000000000001E-3</v>
      </c>
      <c r="D17">
        <v>0.01</v>
      </c>
      <c r="E17">
        <v>1E-3</v>
      </c>
      <c r="F17">
        <v>2.9000000000000001E-2</v>
      </c>
      <c r="G17">
        <v>1.2999999999999999E-2</v>
      </c>
      <c r="H17">
        <v>1E-3</v>
      </c>
      <c r="I17">
        <v>2E-3</v>
      </c>
      <c r="J17">
        <f>B17</f>
        <v>1.9E-2</v>
      </c>
      <c r="K17">
        <f t="shared" ref="K17:Q17" si="1">C17</f>
        <v>5.0000000000000001E-3</v>
      </c>
      <c r="L17">
        <f t="shared" si="1"/>
        <v>0.01</v>
      </c>
      <c r="M17">
        <f t="shared" si="1"/>
        <v>1E-3</v>
      </c>
      <c r="N17">
        <f t="shared" si="1"/>
        <v>2.9000000000000001E-2</v>
      </c>
      <c r="O17">
        <f t="shared" si="1"/>
        <v>1.2999999999999999E-2</v>
      </c>
      <c r="P17">
        <f t="shared" si="1"/>
        <v>1E-3</v>
      </c>
      <c r="Q17">
        <f t="shared" si="1"/>
        <v>2E-3</v>
      </c>
    </row>
    <row r="18" spans="1:17" x14ac:dyDescent="0.25">
      <c r="A18" t="s">
        <v>93</v>
      </c>
      <c r="B18">
        <v>2.76E-2</v>
      </c>
      <c r="C18" t="s">
        <v>94</v>
      </c>
      <c r="D18">
        <v>-2.3599999999999999E-2</v>
      </c>
      <c r="E18" t="s">
        <v>95</v>
      </c>
      <c r="F18">
        <v>1.0800000000000001E-2</v>
      </c>
      <c r="G18" t="s">
        <v>96</v>
      </c>
      <c r="H18">
        <v>-2.3800000000000002E-2</v>
      </c>
      <c r="I18" t="s">
        <v>97</v>
      </c>
    </row>
    <row r="19" spans="1:17" x14ac:dyDescent="0.25">
      <c r="A19" t="s">
        <v>64</v>
      </c>
      <c r="B19">
        <v>2E-3</v>
      </c>
      <c r="C19">
        <v>2.3E-2</v>
      </c>
      <c r="D19">
        <v>4.0000000000000001E-3</v>
      </c>
      <c r="E19">
        <v>2.3E-2</v>
      </c>
      <c r="F19">
        <v>1E-3</v>
      </c>
      <c r="G19">
        <v>1.0999999999999999E-2</v>
      </c>
      <c r="H19">
        <v>7.0000000000000001E-3</v>
      </c>
      <c r="I19">
        <v>1.7000000000000001E-2</v>
      </c>
      <c r="J19">
        <f>(B19+B21+B23+B25+B27)/5</f>
        <v>5.2000000000000006E-3</v>
      </c>
      <c r="K19">
        <f t="shared" ref="K19:O19" si="2">(C19+C21+C23+C25+C27)/5</f>
        <v>5.4000000000000003E-3</v>
      </c>
      <c r="L19">
        <f t="shared" si="2"/>
        <v>5.4000000000000003E-3</v>
      </c>
      <c r="M19">
        <f t="shared" si="2"/>
        <v>2.7400000000000001E-2</v>
      </c>
      <c r="N19">
        <f t="shared" si="2"/>
        <v>3.9999999999999992E-3</v>
      </c>
      <c r="O19">
        <f t="shared" si="2"/>
        <v>6.6E-3</v>
      </c>
      <c r="P19">
        <f>(H19+H21+H23+H25+H27)/5</f>
        <v>7.4000000000000012E-3</v>
      </c>
      <c r="Q19">
        <f>(I19+I21+I23+I25+I27)/5</f>
        <v>3.3000000000000002E-2</v>
      </c>
    </row>
    <row r="20" spans="1:17" x14ac:dyDescent="0.25">
      <c r="A20" t="s">
        <v>98</v>
      </c>
      <c r="B20">
        <v>-6.8199999999999997E-3</v>
      </c>
      <c r="C20">
        <v>3.15E-2</v>
      </c>
      <c r="D20">
        <v>-1.12E-2</v>
      </c>
      <c r="E20" t="s">
        <v>99</v>
      </c>
      <c r="F20">
        <v>7.9000000000000008E-3</v>
      </c>
      <c r="G20">
        <v>1.7100000000000001E-2</v>
      </c>
      <c r="H20">
        <v>-2.2599999999999999E-2</v>
      </c>
      <c r="I20" t="s">
        <v>100</v>
      </c>
    </row>
    <row r="21" spans="1:17" x14ac:dyDescent="0.25">
      <c r="A21" t="s">
        <v>64</v>
      </c>
      <c r="B21">
        <v>0</v>
      </c>
      <c r="C21">
        <v>3.0000000000000001E-3</v>
      </c>
      <c r="D21">
        <v>1E-3</v>
      </c>
      <c r="E21">
        <v>3.4000000000000002E-2</v>
      </c>
      <c r="F21">
        <v>0</v>
      </c>
      <c r="G21">
        <v>2E-3</v>
      </c>
      <c r="H21">
        <v>6.0000000000000001E-3</v>
      </c>
      <c r="I21">
        <v>0.03</v>
      </c>
    </row>
    <row r="22" spans="1:17" x14ac:dyDescent="0.25">
      <c r="A22" t="s">
        <v>101</v>
      </c>
      <c r="B22">
        <v>4.2799999999999998E-2</v>
      </c>
      <c r="C22">
        <v>-1.32E-2</v>
      </c>
      <c r="D22">
        <v>-2.5799999999999998E-3</v>
      </c>
      <c r="E22" t="s">
        <v>102</v>
      </c>
      <c r="F22">
        <v>2.75E-2</v>
      </c>
      <c r="G22">
        <v>-7.7000000000000002E-3</v>
      </c>
      <c r="H22">
        <v>-1.8800000000000001E-2</v>
      </c>
      <c r="I22" t="s">
        <v>103</v>
      </c>
    </row>
    <row r="23" spans="1:17" x14ac:dyDescent="0.25">
      <c r="A23" t="s">
        <v>64</v>
      </c>
      <c r="B23">
        <v>6.0000000000000001E-3</v>
      </c>
      <c r="C23">
        <v>1E-3</v>
      </c>
      <c r="D23">
        <v>0</v>
      </c>
      <c r="E23">
        <v>5.2999999999999999E-2</v>
      </c>
      <c r="F23">
        <v>8.9999999999999993E-3</v>
      </c>
      <c r="G23">
        <v>1E-3</v>
      </c>
      <c r="H23">
        <v>6.0000000000000001E-3</v>
      </c>
      <c r="I23">
        <v>3.5999999999999997E-2</v>
      </c>
    </row>
    <row r="24" spans="1:17" x14ac:dyDescent="0.25">
      <c r="A24" t="s">
        <v>104</v>
      </c>
      <c r="B24">
        <v>5.2499999999999998E-2</v>
      </c>
      <c r="C24">
        <v>-9.6500000000000006E-3</v>
      </c>
      <c r="D24">
        <v>-2.18E-2</v>
      </c>
      <c r="E24" t="s">
        <v>105</v>
      </c>
      <c r="F24">
        <v>2.7099999999999999E-2</v>
      </c>
      <c r="G24">
        <v>8.9800000000000001E-3</v>
      </c>
      <c r="H24">
        <v>-1.9400000000000001E-2</v>
      </c>
      <c r="I24" t="s">
        <v>106</v>
      </c>
    </row>
    <row r="25" spans="1:17" x14ac:dyDescent="0.25">
      <c r="A25" t="s">
        <v>64</v>
      </c>
      <c r="B25">
        <v>0.01</v>
      </c>
      <c r="C25">
        <v>0</v>
      </c>
      <c r="D25">
        <v>5.0000000000000001E-3</v>
      </c>
      <c r="E25">
        <v>2.7E-2</v>
      </c>
      <c r="F25">
        <v>7.0000000000000001E-3</v>
      </c>
      <c r="G25">
        <v>1E-3</v>
      </c>
      <c r="H25">
        <v>7.0000000000000001E-3</v>
      </c>
      <c r="I25">
        <v>0.04</v>
      </c>
    </row>
    <row r="26" spans="1:17" x14ac:dyDescent="0.25">
      <c r="A26" t="s">
        <v>107</v>
      </c>
      <c r="B26">
        <v>4.9599999999999998E-2</v>
      </c>
      <c r="C26">
        <v>-3.6800000000000001E-3</v>
      </c>
      <c r="D26" t="s">
        <v>108</v>
      </c>
      <c r="E26">
        <v>-2.6900000000000001E-3</v>
      </c>
      <c r="F26">
        <v>1.9199999999999998E-2</v>
      </c>
      <c r="G26" t="s">
        <v>109</v>
      </c>
      <c r="H26" t="s">
        <v>110</v>
      </c>
      <c r="I26" t="s">
        <v>111</v>
      </c>
    </row>
    <row r="27" spans="1:17" x14ac:dyDescent="0.25">
      <c r="A27" t="s">
        <v>64</v>
      </c>
      <c r="B27">
        <v>8.0000000000000002E-3</v>
      </c>
      <c r="C27">
        <v>0</v>
      </c>
      <c r="D27">
        <v>1.7000000000000001E-2</v>
      </c>
      <c r="E27">
        <v>0</v>
      </c>
      <c r="F27">
        <v>3.0000000000000001E-3</v>
      </c>
      <c r="G27">
        <v>1.7999999999999999E-2</v>
      </c>
      <c r="H27">
        <v>1.0999999999999999E-2</v>
      </c>
      <c r="I27">
        <v>4.2000000000000003E-2</v>
      </c>
    </row>
    <row r="28" spans="1:17" x14ac:dyDescent="0.25">
      <c r="A28" t="s">
        <v>112</v>
      </c>
      <c r="B28" t="s">
        <v>113</v>
      </c>
      <c r="C28">
        <v>1.6199999999999999E-2</v>
      </c>
      <c r="D28">
        <v>2.63E-2</v>
      </c>
      <c r="E28">
        <v>-1.31E-3</v>
      </c>
      <c r="F28" t="s">
        <v>114</v>
      </c>
      <c r="G28">
        <v>4.9700000000000005E-4</v>
      </c>
      <c r="H28">
        <v>7.45E-3</v>
      </c>
      <c r="I28">
        <v>6.1199999999999996E-3</v>
      </c>
    </row>
    <row r="29" spans="1:17" x14ac:dyDescent="0.25">
      <c r="A29" t="s">
        <v>64</v>
      </c>
      <c r="B29">
        <v>2.4E-2</v>
      </c>
      <c r="C29">
        <v>1E-3</v>
      </c>
      <c r="D29">
        <v>7.0000000000000001E-3</v>
      </c>
      <c r="E29">
        <v>0</v>
      </c>
      <c r="F29">
        <v>2.1999999999999999E-2</v>
      </c>
      <c r="G29">
        <v>0</v>
      </c>
      <c r="H29">
        <v>1E-3</v>
      </c>
      <c r="I29">
        <v>1E-3</v>
      </c>
      <c r="J29">
        <f>(B29+B31)/2</f>
        <v>1.6500000000000001E-2</v>
      </c>
      <c r="K29">
        <f t="shared" ref="K29:Q29" si="3">(C29+C31)/2</f>
        <v>3.5000000000000001E-3</v>
      </c>
      <c r="L29">
        <f t="shared" si="3"/>
        <v>3.5000000000000001E-3</v>
      </c>
      <c r="M29">
        <f t="shared" si="3"/>
        <v>4.4999999999999997E-3</v>
      </c>
      <c r="N29">
        <f t="shared" si="3"/>
        <v>1.2499999999999999E-2</v>
      </c>
      <c r="O29">
        <f t="shared" si="3"/>
        <v>4.4999999999999997E-3</v>
      </c>
      <c r="P29">
        <f t="shared" si="3"/>
        <v>2E-3</v>
      </c>
      <c r="Q29">
        <f t="shared" si="3"/>
        <v>1.5E-3</v>
      </c>
    </row>
    <row r="30" spans="1:17" x14ac:dyDescent="0.25">
      <c r="A30" t="s">
        <v>115</v>
      </c>
      <c r="B30" t="s">
        <v>116</v>
      </c>
      <c r="C30">
        <v>-4.87E-2</v>
      </c>
      <c r="D30">
        <v>4.5599999999999998E-3</v>
      </c>
      <c r="E30">
        <v>-3.9399999999999998E-2</v>
      </c>
      <c r="F30">
        <v>2.18E-2</v>
      </c>
      <c r="G30">
        <v>-3.8899999999999997E-2</v>
      </c>
      <c r="H30">
        <v>1.8100000000000002E-2</v>
      </c>
      <c r="I30">
        <v>-1.5299999999999999E-2</v>
      </c>
    </row>
    <row r="31" spans="1:17" x14ac:dyDescent="0.25">
      <c r="A31" t="s">
        <v>64</v>
      </c>
      <c r="B31">
        <v>8.9999999999999993E-3</v>
      </c>
      <c r="C31">
        <v>6.0000000000000001E-3</v>
      </c>
      <c r="D31">
        <v>0</v>
      </c>
      <c r="E31">
        <v>8.9999999999999993E-3</v>
      </c>
      <c r="F31">
        <v>3.0000000000000001E-3</v>
      </c>
      <c r="G31">
        <v>8.9999999999999993E-3</v>
      </c>
      <c r="H31">
        <v>3.0000000000000001E-3</v>
      </c>
      <c r="I31">
        <v>2E-3</v>
      </c>
    </row>
    <row r="32" spans="1:17" x14ac:dyDescent="0.25">
      <c r="A32" t="s">
        <v>117</v>
      </c>
      <c r="B32">
        <v>5.04E-2</v>
      </c>
      <c r="C32">
        <v>1.7500000000000002E-2</v>
      </c>
      <c r="D32" t="s">
        <v>118</v>
      </c>
      <c r="E32">
        <v>-1.15E-2</v>
      </c>
      <c r="F32" t="s">
        <v>119</v>
      </c>
      <c r="G32">
        <v>5.0899999999999999E-3</v>
      </c>
      <c r="H32">
        <v>1.2500000000000001E-2</v>
      </c>
      <c r="I32">
        <v>-1.25E-3</v>
      </c>
    </row>
    <row r="33" spans="1:17" x14ac:dyDescent="0.25">
      <c r="A33" t="s">
        <v>64</v>
      </c>
      <c r="B33">
        <v>4.0000000000000001E-3</v>
      </c>
      <c r="C33">
        <v>1E-3</v>
      </c>
      <c r="D33">
        <v>2.8000000000000001E-2</v>
      </c>
      <c r="E33">
        <v>1E-3</v>
      </c>
      <c r="F33">
        <v>0.01</v>
      </c>
      <c r="G33">
        <v>0</v>
      </c>
      <c r="H33">
        <v>1E-3</v>
      </c>
      <c r="I33">
        <v>0</v>
      </c>
      <c r="J33">
        <f t="shared" ref="J33:P33" si="4">(B33+B35+B37+B39)/4</f>
        <v>4.7499999999999999E-3</v>
      </c>
      <c r="K33">
        <f t="shared" si="4"/>
        <v>1.25E-3</v>
      </c>
      <c r="L33">
        <f t="shared" si="4"/>
        <v>1.15E-2</v>
      </c>
      <c r="M33">
        <f t="shared" si="4"/>
        <v>1.25E-3</v>
      </c>
      <c r="N33">
        <f t="shared" si="4"/>
        <v>5.0000000000000001E-3</v>
      </c>
      <c r="O33">
        <f t="shared" si="4"/>
        <v>2.4999999999999996E-3</v>
      </c>
      <c r="P33">
        <f t="shared" si="4"/>
        <v>1.75E-3</v>
      </c>
      <c r="Q33">
        <f>(I33+I35+I37+I39)/4</f>
        <v>1.5E-3</v>
      </c>
    </row>
    <row r="34" spans="1:17" x14ac:dyDescent="0.25">
      <c r="A34" t="s">
        <v>120</v>
      </c>
      <c r="B34" t="s">
        <v>121</v>
      </c>
      <c r="C34">
        <v>-1.66E-2</v>
      </c>
      <c r="D34">
        <v>2.9499999999999998E-2</v>
      </c>
      <c r="E34">
        <v>-1.32E-2</v>
      </c>
      <c r="F34">
        <v>3.4700000000000002E-2</v>
      </c>
      <c r="G34">
        <v>-1.6800000000000001E-3</v>
      </c>
      <c r="H34">
        <v>1.6500000000000001E-2</v>
      </c>
      <c r="I34">
        <v>-1.3899999999999999E-2</v>
      </c>
    </row>
    <row r="35" spans="1:17" x14ac:dyDescent="0.25">
      <c r="A35" t="s">
        <v>64</v>
      </c>
      <c r="B35">
        <v>1.0999999999999999E-2</v>
      </c>
      <c r="C35">
        <v>1E-3</v>
      </c>
      <c r="D35">
        <v>5.0000000000000001E-3</v>
      </c>
      <c r="E35">
        <v>1E-3</v>
      </c>
      <c r="F35">
        <v>7.0000000000000001E-3</v>
      </c>
      <c r="G35">
        <v>0</v>
      </c>
      <c r="H35">
        <v>3.0000000000000001E-3</v>
      </c>
      <c r="I35">
        <v>2E-3</v>
      </c>
    </row>
    <row r="36" spans="1:17" x14ac:dyDescent="0.25">
      <c r="A36" t="s">
        <v>122</v>
      </c>
      <c r="B36">
        <v>4.7800000000000002E-2</v>
      </c>
      <c r="C36">
        <v>-2.4299999999999999E-2</v>
      </c>
      <c r="D36">
        <v>4.5499999999999999E-2</v>
      </c>
      <c r="E36">
        <v>-7.1700000000000002E-3</v>
      </c>
      <c r="F36">
        <v>2.7300000000000001E-2</v>
      </c>
      <c r="G36">
        <v>-1.06E-2</v>
      </c>
      <c r="H36">
        <v>2.0299999999999999E-2</v>
      </c>
      <c r="I36">
        <v>-4.3200000000000001E-3</v>
      </c>
    </row>
    <row r="37" spans="1:17" x14ac:dyDescent="0.25">
      <c r="A37" t="s">
        <v>64</v>
      </c>
      <c r="B37">
        <v>4.0000000000000001E-3</v>
      </c>
      <c r="C37">
        <v>1E-3</v>
      </c>
      <c r="D37">
        <v>1.0999999999999999E-2</v>
      </c>
      <c r="E37">
        <v>0</v>
      </c>
      <c r="F37">
        <v>3.0000000000000001E-3</v>
      </c>
      <c r="G37">
        <v>1E-3</v>
      </c>
      <c r="H37">
        <v>3.0000000000000001E-3</v>
      </c>
      <c r="I37">
        <v>0</v>
      </c>
    </row>
    <row r="38" spans="1:17" x14ac:dyDescent="0.25">
      <c r="A38" t="s">
        <v>123</v>
      </c>
      <c r="B38">
        <v>1.34E-2</v>
      </c>
      <c r="C38">
        <v>2.8799999999999999E-2</v>
      </c>
      <c r="D38">
        <v>-1.77E-2</v>
      </c>
      <c r="E38">
        <v>2.2700000000000001E-2</v>
      </c>
      <c r="F38">
        <v>-3.9899999999999996E-3</v>
      </c>
      <c r="G38" t="s">
        <v>124</v>
      </c>
      <c r="H38">
        <v>1.89E-3</v>
      </c>
      <c r="I38">
        <v>-1.8499999999999999E-2</v>
      </c>
    </row>
    <row r="39" spans="1:17" x14ac:dyDescent="0.25">
      <c r="A39" t="s">
        <v>64</v>
      </c>
      <c r="B39">
        <v>0</v>
      </c>
      <c r="C39">
        <v>2E-3</v>
      </c>
      <c r="D39">
        <v>2E-3</v>
      </c>
      <c r="E39">
        <v>3.0000000000000001E-3</v>
      </c>
      <c r="F39">
        <v>0</v>
      </c>
      <c r="G39">
        <v>8.9999999999999993E-3</v>
      </c>
      <c r="H39">
        <v>0</v>
      </c>
      <c r="I39">
        <v>4.0000000000000001E-3</v>
      </c>
    </row>
    <row r="40" spans="1:17" x14ac:dyDescent="0.25">
      <c r="A40" t="s">
        <v>125</v>
      </c>
      <c r="B40">
        <v>-2.32E-3</v>
      </c>
      <c r="C40">
        <v>7.3499999999999998E-3</v>
      </c>
      <c r="D40">
        <v>-3.0300000000000001E-2</v>
      </c>
      <c r="E40">
        <v>1.03E-2</v>
      </c>
      <c r="F40">
        <v>2.4899999999999999E-2</v>
      </c>
      <c r="G40">
        <v>5.9200000000000003E-2</v>
      </c>
      <c r="H40" t="s">
        <v>126</v>
      </c>
      <c r="I40" t="s">
        <v>127</v>
      </c>
    </row>
    <row r="41" spans="1:17" x14ac:dyDescent="0.25">
      <c r="A41" t="s">
        <v>64</v>
      </c>
      <c r="B41">
        <v>0</v>
      </c>
      <c r="C41">
        <v>0</v>
      </c>
      <c r="D41">
        <v>6.0000000000000001E-3</v>
      </c>
      <c r="E41">
        <v>1E-3</v>
      </c>
      <c r="F41">
        <v>4.0000000000000001E-3</v>
      </c>
      <c r="G41">
        <v>1.7999999999999999E-2</v>
      </c>
      <c r="H41">
        <v>1.7000000000000001E-2</v>
      </c>
      <c r="I41">
        <v>0.02</v>
      </c>
      <c r="J41">
        <f>(B41+B43)/2</f>
        <v>0</v>
      </c>
      <c r="K41">
        <f t="shared" ref="K41:Q41" si="5">(C41+C43)/2</f>
        <v>1.5E-3</v>
      </c>
      <c r="L41">
        <f t="shared" si="5"/>
        <v>0.01</v>
      </c>
      <c r="M41">
        <f t="shared" si="5"/>
        <v>1.5E-3</v>
      </c>
      <c r="N41">
        <f t="shared" si="5"/>
        <v>2.5000000000000001E-3</v>
      </c>
      <c r="O41">
        <f t="shared" si="5"/>
        <v>2.5000000000000001E-2</v>
      </c>
      <c r="P41">
        <f t="shared" si="5"/>
        <v>2.0500000000000001E-2</v>
      </c>
      <c r="Q41">
        <f t="shared" si="5"/>
        <v>2.2499999999999999E-2</v>
      </c>
    </row>
    <row r="42" spans="1:17" x14ac:dyDescent="0.25">
      <c r="A42" t="s">
        <v>128</v>
      </c>
      <c r="B42">
        <v>-1.3299999999999999E-2</v>
      </c>
      <c r="C42">
        <v>3.6200000000000003E-2</v>
      </c>
      <c r="D42">
        <v>-4.8300000000000003E-2</v>
      </c>
      <c r="E42">
        <v>1.7500000000000002E-2</v>
      </c>
      <c r="F42">
        <v>1.4999999999999999E-2</v>
      </c>
      <c r="G42" t="s">
        <v>129</v>
      </c>
      <c r="H42" t="s">
        <v>130</v>
      </c>
      <c r="I42" t="s">
        <v>131</v>
      </c>
    </row>
    <row r="43" spans="1:17" x14ac:dyDescent="0.25">
      <c r="A43" t="s">
        <v>64</v>
      </c>
      <c r="B43">
        <v>0</v>
      </c>
      <c r="C43">
        <v>3.0000000000000001E-3</v>
      </c>
      <c r="D43">
        <v>1.4E-2</v>
      </c>
      <c r="E43">
        <v>2E-3</v>
      </c>
      <c r="F43">
        <v>1E-3</v>
      </c>
      <c r="G43">
        <v>3.2000000000000001E-2</v>
      </c>
      <c r="H43">
        <v>2.4E-2</v>
      </c>
      <c r="I43">
        <v>2.5000000000000001E-2</v>
      </c>
    </row>
    <row r="44" spans="1:17" x14ac:dyDescent="0.25">
      <c r="A44" t="s">
        <v>132</v>
      </c>
      <c r="B44">
        <v>-8.2600000000000007E-2</v>
      </c>
      <c r="C44">
        <v>7.6999999999999999E-2</v>
      </c>
      <c r="D44" t="s">
        <v>133</v>
      </c>
      <c r="E44">
        <v>-2.3699999999999999E-2</v>
      </c>
      <c r="F44">
        <v>1.0699999999999999E-2</v>
      </c>
      <c r="G44">
        <v>4.9799999999999997E-2</v>
      </c>
      <c r="H44" t="s">
        <v>134</v>
      </c>
      <c r="I44">
        <v>-4.0599999999999997E-2</v>
      </c>
    </row>
    <row r="45" spans="1:17" x14ac:dyDescent="0.25">
      <c r="A45" t="s">
        <v>64</v>
      </c>
      <c r="B45">
        <v>7.0000000000000001E-3</v>
      </c>
      <c r="C45">
        <v>6.0000000000000001E-3</v>
      </c>
      <c r="D45">
        <v>0.02</v>
      </c>
      <c r="E45">
        <v>2E-3</v>
      </c>
      <c r="F45">
        <v>0</v>
      </c>
      <c r="G45">
        <v>7.0000000000000001E-3</v>
      </c>
      <c r="H45">
        <v>3.2000000000000001E-2</v>
      </c>
      <c r="I45">
        <v>7.0000000000000001E-3</v>
      </c>
      <c r="J45">
        <f>(B45+B47)/2</f>
        <v>6.0000000000000001E-3</v>
      </c>
      <c r="K45">
        <f t="shared" ref="K45:P45" si="6">(C45+C47)/2</f>
        <v>3.0000000000000001E-3</v>
      </c>
      <c r="L45">
        <f t="shared" si="6"/>
        <v>1.15E-2</v>
      </c>
      <c r="M45">
        <f t="shared" si="6"/>
        <v>3.0000000000000001E-3</v>
      </c>
      <c r="N45">
        <f t="shared" si="6"/>
        <v>5.0000000000000001E-4</v>
      </c>
      <c r="O45">
        <f t="shared" si="6"/>
        <v>6.0000000000000001E-3</v>
      </c>
      <c r="P45">
        <f t="shared" si="6"/>
        <v>1.6500000000000001E-2</v>
      </c>
      <c r="Q45">
        <f>(I45+I47)/2</f>
        <v>5.0000000000000001E-3</v>
      </c>
    </row>
    <row r="46" spans="1:17" x14ac:dyDescent="0.25">
      <c r="A46" t="s">
        <v>135</v>
      </c>
      <c r="B46">
        <v>4.9500000000000002E-2</v>
      </c>
      <c r="C46">
        <v>1.11E-2</v>
      </c>
      <c r="D46">
        <v>-2.1600000000000001E-2</v>
      </c>
      <c r="E46">
        <v>2.63E-2</v>
      </c>
      <c r="F46">
        <v>1.5800000000000002E-2</v>
      </c>
      <c r="G46">
        <v>3.4000000000000002E-2</v>
      </c>
      <c r="H46">
        <v>-1.03E-2</v>
      </c>
      <c r="I46">
        <v>-1.6400000000000001E-2</v>
      </c>
    </row>
    <row r="47" spans="1:17" x14ac:dyDescent="0.25">
      <c r="A47" t="s">
        <v>64</v>
      </c>
      <c r="B47">
        <v>5.0000000000000001E-3</v>
      </c>
      <c r="C47">
        <v>0</v>
      </c>
      <c r="D47">
        <v>3.0000000000000001E-3</v>
      </c>
      <c r="E47">
        <v>4.0000000000000001E-3</v>
      </c>
      <c r="F47">
        <v>1E-3</v>
      </c>
      <c r="G47">
        <v>5.0000000000000001E-3</v>
      </c>
      <c r="H47">
        <v>1E-3</v>
      </c>
      <c r="I47">
        <v>3.0000000000000001E-3</v>
      </c>
    </row>
    <row r="48" spans="1:17" x14ac:dyDescent="0.25">
      <c r="A48" t="s">
        <v>136</v>
      </c>
      <c r="B48">
        <v>7.3200000000000001E-3</v>
      </c>
      <c r="C48" t="s">
        <v>137</v>
      </c>
      <c r="D48">
        <v>6.0899999999999999E-3</v>
      </c>
      <c r="E48" t="s">
        <v>138</v>
      </c>
      <c r="F48">
        <v>-2.96E-3</v>
      </c>
      <c r="G48" t="s">
        <v>139</v>
      </c>
      <c r="H48">
        <v>5.9699999999999996E-3</v>
      </c>
      <c r="I48">
        <v>4.1900000000000001E-3</v>
      </c>
    </row>
    <row r="49" spans="1:17" x14ac:dyDescent="0.25">
      <c r="A49" t="s">
        <v>64</v>
      </c>
      <c r="B49">
        <v>1E-3</v>
      </c>
      <c r="C49">
        <v>2.5000000000000001E-2</v>
      </c>
      <c r="D49">
        <v>3.0000000000000001E-3</v>
      </c>
      <c r="E49">
        <v>1.6E-2</v>
      </c>
      <c r="F49">
        <v>1E-3</v>
      </c>
      <c r="G49">
        <v>3.3000000000000002E-2</v>
      </c>
      <c r="H49">
        <v>6.0000000000000001E-3</v>
      </c>
      <c r="I49">
        <v>3.0000000000000001E-3</v>
      </c>
      <c r="J49">
        <f t="shared" ref="J49:Q49" si="7">(B49+B51+B53+B55+B57)/5</f>
        <v>1.0600000000000002E-2</v>
      </c>
      <c r="K49">
        <f t="shared" si="7"/>
        <v>2.6200000000000001E-2</v>
      </c>
      <c r="L49">
        <f t="shared" si="7"/>
        <v>1.44E-2</v>
      </c>
      <c r="M49">
        <f t="shared" si="7"/>
        <v>2.1999999999999999E-2</v>
      </c>
      <c r="N49">
        <f t="shared" si="7"/>
        <v>1.5800000000000002E-2</v>
      </c>
      <c r="O49">
        <f t="shared" si="7"/>
        <v>1.84E-2</v>
      </c>
      <c r="P49">
        <f t="shared" si="7"/>
        <v>5.6000000000000008E-3</v>
      </c>
      <c r="Q49">
        <f t="shared" si="7"/>
        <v>1.9200000000000002E-2</v>
      </c>
    </row>
    <row r="50" spans="1:17" x14ac:dyDescent="0.25">
      <c r="A50" t="s">
        <v>140</v>
      </c>
      <c r="B50">
        <v>5.9100000000000003E-3</v>
      </c>
      <c r="C50">
        <v>1.4500000000000001E-2</v>
      </c>
      <c r="D50">
        <v>8.9999999999999993E-3</v>
      </c>
      <c r="E50">
        <v>6.5199999999999998E-3</v>
      </c>
      <c r="F50">
        <v>6.0899999999999999E-3</v>
      </c>
      <c r="G50">
        <v>5.6499999999999996E-3</v>
      </c>
      <c r="H50">
        <v>4.3E-3</v>
      </c>
      <c r="I50">
        <v>6.6600000000000001E-3</v>
      </c>
    </row>
    <row r="51" spans="1:17" x14ac:dyDescent="0.25">
      <c r="A51" t="s">
        <v>64</v>
      </c>
      <c r="B51">
        <v>1E-3</v>
      </c>
      <c r="C51">
        <v>7.0000000000000001E-3</v>
      </c>
      <c r="D51">
        <v>5.0000000000000001E-3</v>
      </c>
      <c r="E51">
        <v>4.0000000000000001E-3</v>
      </c>
      <c r="F51">
        <v>3.0000000000000001E-3</v>
      </c>
      <c r="G51">
        <v>3.0000000000000001E-3</v>
      </c>
      <c r="H51">
        <v>3.0000000000000001E-3</v>
      </c>
      <c r="I51">
        <v>7.0000000000000001E-3</v>
      </c>
    </row>
    <row r="52" spans="1:17" x14ac:dyDescent="0.25">
      <c r="A52" t="s">
        <v>141</v>
      </c>
      <c r="B52" t="s">
        <v>142</v>
      </c>
      <c r="C52" t="s">
        <v>143</v>
      </c>
      <c r="D52" t="s">
        <v>144</v>
      </c>
      <c r="E52" t="s">
        <v>145</v>
      </c>
      <c r="F52" t="s">
        <v>146</v>
      </c>
      <c r="G52" t="s">
        <v>147</v>
      </c>
      <c r="H52">
        <v>5.94E-3</v>
      </c>
      <c r="I52" t="s">
        <v>148</v>
      </c>
    </row>
    <row r="53" spans="1:17" x14ac:dyDescent="0.25">
      <c r="A53" t="s">
        <v>64</v>
      </c>
      <c r="B53">
        <v>1.2E-2</v>
      </c>
      <c r="C53">
        <v>4.2999999999999997E-2</v>
      </c>
      <c r="D53">
        <v>2.4E-2</v>
      </c>
      <c r="E53">
        <v>2.5000000000000001E-2</v>
      </c>
      <c r="F53">
        <v>0.02</v>
      </c>
      <c r="G53">
        <v>0.03</v>
      </c>
      <c r="H53">
        <v>5.0000000000000001E-3</v>
      </c>
      <c r="I53">
        <v>2.1999999999999999E-2</v>
      </c>
    </row>
    <row r="54" spans="1:17" x14ac:dyDescent="0.25">
      <c r="A54" t="s">
        <v>149</v>
      </c>
      <c r="B54" t="s">
        <v>150</v>
      </c>
      <c r="C54" t="s">
        <v>151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157</v>
      </c>
    </row>
    <row r="55" spans="1:17" x14ac:dyDescent="0.25">
      <c r="A55" t="s">
        <v>64</v>
      </c>
      <c r="B55">
        <v>0.01</v>
      </c>
      <c r="C55">
        <v>5.2999999999999999E-2</v>
      </c>
      <c r="D55">
        <v>0.03</v>
      </c>
      <c r="E55">
        <v>0.04</v>
      </c>
      <c r="F55">
        <v>1.2999999999999999E-2</v>
      </c>
      <c r="G55">
        <v>2.5999999999999999E-2</v>
      </c>
      <c r="H55">
        <v>1.2999999999999999E-2</v>
      </c>
      <c r="I55">
        <v>3.5999999999999997E-2</v>
      </c>
    </row>
    <row r="56" spans="1:17" x14ac:dyDescent="0.25">
      <c r="A56" t="s">
        <v>158</v>
      </c>
      <c r="B56" t="s">
        <v>159</v>
      </c>
      <c r="C56">
        <v>7.9399999999999991E-3</v>
      </c>
      <c r="D56" t="s">
        <v>160</v>
      </c>
      <c r="E56" t="s">
        <v>161</v>
      </c>
      <c r="F56" t="s">
        <v>162</v>
      </c>
      <c r="G56">
        <v>4.46E-4</v>
      </c>
      <c r="H56">
        <v>1.6999999999999999E-3</v>
      </c>
      <c r="I56" t="s">
        <v>163</v>
      </c>
    </row>
    <row r="57" spans="1:17" x14ac:dyDescent="0.25">
      <c r="A57" t="s">
        <v>64</v>
      </c>
      <c r="B57">
        <v>2.9000000000000001E-2</v>
      </c>
      <c r="C57">
        <v>3.0000000000000001E-3</v>
      </c>
      <c r="D57">
        <v>0.01</v>
      </c>
      <c r="E57">
        <v>2.5000000000000001E-2</v>
      </c>
      <c r="F57">
        <v>4.2000000000000003E-2</v>
      </c>
      <c r="G57">
        <v>0</v>
      </c>
      <c r="H57">
        <v>1E-3</v>
      </c>
      <c r="I57">
        <v>2.8000000000000001E-2</v>
      </c>
    </row>
    <row r="58" spans="1:17" x14ac:dyDescent="0.25">
      <c r="A58" t="s">
        <v>164</v>
      </c>
      <c r="B58">
        <v>-9.7199999999999995E-3</v>
      </c>
      <c r="C58">
        <v>1.49E-2</v>
      </c>
      <c r="D58">
        <v>-2.2799999999999999E-3</v>
      </c>
      <c r="E58">
        <v>8.9599999999999992E-3</v>
      </c>
      <c r="F58" t="s">
        <v>165</v>
      </c>
      <c r="G58">
        <v>1.14E-2</v>
      </c>
      <c r="H58">
        <v>6.96E-3</v>
      </c>
      <c r="I58">
        <v>1.4499999999999999E-3</v>
      </c>
    </row>
    <row r="59" spans="1:17" x14ac:dyDescent="0.25">
      <c r="A59" t="s">
        <v>64</v>
      </c>
      <c r="B59">
        <v>2E-3</v>
      </c>
      <c r="C59">
        <v>8.0000000000000002E-3</v>
      </c>
      <c r="D59">
        <v>0</v>
      </c>
      <c r="E59">
        <v>6.0000000000000001E-3</v>
      </c>
      <c r="F59">
        <v>1.6E-2</v>
      </c>
      <c r="G59">
        <v>1.2E-2</v>
      </c>
      <c r="H59">
        <v>7.0000000000000001E-3</v>
      </c>
      <c r="I59">
        <v>0</v>
      </c>
      <c r="J59">
        <f>(B59+B61+B63+B65+B67+B69+B71+B73+B75+B77)/10</f>
        <v>6.7000000000000002E-3</v>
      </c>
      <c r="K59">
        <f t="shared" ref="K59:Q59" si="8">(C59+C61+C63+C65+C67+C69+C71+C73+C75+C77)/10</f>
        <v>1.67E-2</v>
      </c>
      <c r="L59">
        <f t="shared" si="8"/>
        <v>3.0000000000000001E-3</v>
      </c>
      <c r="M59">
        <f t="shared" si="8"/>
        <v>4.7000000000000002E-3</v>
      </c>
      <c r="N59">
        <f>(F59+F61+F63+F65+F67+F69+F71+F73+F75+F77)/10</f>
        <v>1.0200000000000001E-2</v>
      </c>
      <c r="O59">
        <f t="shared" si="8"/>
        <v>1.4100000000000001E-2</v>
      </c>
      <c r="P59">
        <f t="shared" si="8"/>
        <v>1.7000000000000001E-3</v>
      </c>
      <c r="Q59">
        <f t="shared" si="8"/>
        <v>1.2000000000000001E-3</v>
      </c>
    </row>
    <row r="60" spans="1:17" x14ac:dyDescent="0.25">
      <c r="A60" t="s">
        <v>166</v>
      </c>
      <c r="B60">
        <v>2.0500000000000002E-3</v>
      </c>
      <c r="C60">
        <v>1.9300000000000001E-2</v>
      </c>
      <c r="D60">
        <v>1.41E-3</v>
      </c>
      <c r="E60">
        <v>-2.0800000000000001E-5</v>
      </c>
      <c r="F60">
        <v>1.06E-3</v>
      </c>
      <c r="G60" t="s">
        <v>167</v>
      </c>
      <c r="H60">
        <v>1.66E-3</v>
      </c>
      <c r="I60">
        <v>-1.42E-3</v>
      </c>
    </row>
    <row r="61" spans="1:17" x14ac:dyDescent="0.25">
      <c r="A61" t="s">
        <v>64</v>
      </c>
      <c r="B61">
        <v>0</v>
      </c>
      <c r="C61">
        <v>1.9E-2</v>
      </c>
      <c r="D61">
        <v>0</v>
      </c>
      <c r="E61">
        <v>0</v>
      </c>
      <c r="F61">
        <v>0</v>
      </c>
      <c r="G61">
        <v>1.7000000000000001E-2</v>
      </c>
      <c r="H61">
        <v>1E-3</v>
      </c>
      <c r="I61">
        <v>0</v>
      </c>
    </row>
    <row r="62" spans="1:17" x14ac:dyDescent="0.25">
      <c r="A62" t="s">
        <v>168</v>
      </c>
      <c r="B62">
        <v>9.0499999999999999E-4</v>
      </c>
      <c r="C62" t="s">
        <v>169</v>
      </c>
      <c r="D62">
        <v>9.7899999999999994E-5</v>
      </c>
      <c r="E62">
        <v>1.7600000000000001E-3</v>
      </c>
      <c r="F62">
        <v>7.0500000000000001E-4</v>
      </c>
      <c r="G62" t="s">
        <v>170</v>
      </c>
      <c r="H62">
        <v>-6.3299999999999999E-4</v>
      </c>
      <c r="I62">
        <v>-4.6700000000000002E-4</v>
      </c>
    </row>
    <row r="63" spans="1:17" x14ac:dyDescent="0.25">
      <c r="A63" t="s">
        <v>64</v>
      </c>
      <c r="B63">
        <v>0</v>
      </c>
      <c r="C63">
        <v>0.03</v>
      </c>
      <c r="D63">
        <v>0</v>
      </c>
      <c r="E63">
        <v>0</v>
      </c>
      <c r="F63">
        <v>0</v>
      </c>
      <c r="G63">
        <v>3.5999999999999997E-2</v>
      </c>
      <c r="H63">
        <v>0</v>
      </c>
      <c r="I63">
        <v>0</v>
      </c>
    </row>
    <row r="64" spans="1:17" x14ac:dyDescent="0.25">
      <c r="A64" t="s">
        <v>171</v>
      </c>
      <c r="B64">
        <v>6.7000000000000002E-4</v>
      </c>
      <c r="C64">
        <v>1.4500000000000001E-2</v>
      </c>
      <c r="D64">
        <v>2.81E-3</v>
      </c>
      <c r="E64">
        <v>-5.2599999999999999E-3</v>
      </c>
      <c r="F64">
        <v>3.6900000000000002E-4</v>
      </c>
      <c r="G64">
        <v>5.77E-3</v>
      </c>
      <c r="H64">
        <v>1.2999999999999999E-3</v>
      </c>
      <c r="I64">
        <v>-1.8799999999999999E-3</v>
      </c>
    </row>
    <row r="65" spans="1:17" x14ac:dyDescent="0.25">
      <c r="A65" t="s">
        <v>64</v>
      </c>
      <c r="B65">
        <v>0</v>
      </c>
      <c r="C65">
        <v>8.0000000000000002E-3</v>
      </c>
      <c r="D65">
        <v>1E-3</v>
      </c>
      <c r="E65">
        <v>3.0000000000000001E-3</v>
      </c>
      <c r="F65">
        <v>0</v>
      </c>
      <c r="G65">
        <v>4.0000000000000001E-3</v>
      </c>
      <c r="H65">
        <v>0</v>
      </c>
      <c r="I65">
        <v>1E-3</v>
      </c>
    </row>
    <row r="66" spans="1:17" x14ac:dyDescent="0.25">
      <c r="A66" t="s">
        <v>172</v>
      </c>
      <c r="B66">
        <v>9.75E-3</v>
      </c>
      <c r="C66">
        <v>-7.5700000000000003E-3</v>
      </c>
      <c r="D66">
        <v>3.9399999999999999E-3</v>
      </c>
      <c r="E66">
        <v>-7.2100000000000003E-3</v>
      </c>
      <c r="F66">
        <v>8.8500000000000002E-3</v>
      </c>
      <c r="G66">
        <v>-3.0999999999999999E-3</v>
      </c>
      <c r="H66">
        <v>-1.07E-3</v>
      </c>
      <c r="I66">
        <v>-3.3800000000000002E-3</v>
      </c>
    </row>
    <row r="67" spans="1:17" x14ac:dyDescent="0.25">
      <c r="A67" t="s">
        <v>64</v>
      </c>
      <c r="B67">
        <v>4.0000000000000001E-3</v>
      </c>
      <c r="C67">
        <v>2E-3</v>
      </c>
      <c r="D67">
        <v>2E-3</v>
      </c>
      <c r="E67">
        <v>6.0000000000000001E-3</v>
      </c>
      <c r="F67">
        <v>0.01</v>
      </c>
      <c r="G67">
        <v>1E-3</v>
      </c>
      <c r="H67">
        <v>0</v>
      </c>
      <c r="I67">
        <v>3.0000000000000001E-3</v>
      </c>
    </row>
    <row r="68" spans="1:17" x14ac:dyDescent="0.25">
      <c r="A68" t="s">
        <v>173</v>
      </c>
      <c r="B68">
        <v>1.35E-2</v>
      </c>
      <c r="C68">
        <v>1.39E-3</v>
      </c>
      <c r="D68">
        <v>7.2899999999999996E-3</v>
      </c>
      <c r="E68">
        <v>-6.2899999999999996E-3</v>
      </c>
      <c r="F68" t="s">
        <v>174</v>
      </c>
      <c r="G68">
        <v>-1.11E-4</v>
      </c>
      <c r="H68">
        <v>4.5399999999999998E-4</v>
      </c>
      <c r="I68">
        <v>-1.0200000000000001E-3</v>
      </c>
    </row>
    <row r="69" spans="1:17" x14ac:dyDescent="0.25">
      <c r="A69" t="s">
        <v>64</v>
      </c>
      <c r="B69">
        <v>1.0999999999999999E-2</v>
      </c>
      <c r="C69">
        <v>0</v>
      </c>
      <c r="D69">
        <v>7.0000000000000001E-3</v>
      </c>
      <c r="E69">
        <v>5.0000000000000001E-3</v>
      </c>
      <c r="F69">
        <v>2.4E-2</v>
      </c>
      <c r="G69">
        <v>0</v>
      </c>
      <c r="H69">
        <v>0</v>
      </c>
      <c r="I69">
        <v>0</v>
      </c>
    </row>
    <row r="70" spans="1:17" x14ac:dyDescent="0.25">
      <c r="A70" t="s">
        <v>175</v>
      </c>
      <c r="B70">
        <v>1.7999999999999999E-2</v>
      </c>
      <c r="C70" t="s">
        <v>176</v>
      </c>
      <c r="D70">
        <v>-5.2700000000000002E-4</v>
      </c>
      <c r="E70">
        <v>-5.3800000000000002E-3</v>
      </c>
      <c r="F70">
        <v>8.5100000000000002E-3</v>
      </c>
      <c r="G70">
        <v>-7.6099999999999996E-3</v>
      </c>
      <c r="H70">
        <v>2.4899999999999998E-4</v>
      </c>
      <c r="I70">
        <v>-1.1100000000000001E-3</v>
      </c>
    </row>
    <row r="71" spans="1:17" x14ac:dyDescent="0.25">
      <c r="A71" t="s">
        <v>64</v>
      </c>
      <c r="B71">
        <v>1.6E-2</v>
      </c>
      <c r="C71">
        <v>1.4999999999999999E-2</v>
      </c>
      <c r="D71">
        <v>0</v>
      </c>
      <c r="E71">
        <v>4.0000000000000001E-3</v>
      </c>
      <c r="F71">
        <v>1.0999999999999999E-2</v>
      </c>
      <c r="G71">
        <v>8.9999999999999993E-3</v>
      </c>
      <c r="H71">
        <v>0</v>
      </c>
      <c r="I71">
        <v>0</v>
      </c>
    </row>
    <row r="72" spans="1:17" x14ac:dyDescent="0.25">
      <c r="A72" t="s">
        <v>177</v>
      </c>
      <c r="B72">
        <v>2.4199999999999999E-2</v>
      </c>
      <c r="C72" t="s">
        <v>178</v>
      </c>
      <c r="D72">
        <v>-1.1299999999999999E-3</v>
      </c>
      <c r="E72">
        <v>-7.3600000000000002E-3</v>
      </c>
      <c r="F72" t="s">
        <v>179</v>
      </c>
      <c r="G72" t="s">
        <v>180</v>
      </c>
      <c r="H72">
        <v>-1.0399999999999999E-3</v>
      </c>
      <c r="I72">
        <v>-2.1299999999999999E-3</v>
      </c>
    </row>
    <row r="73" spans="1:17" x14ac:dyDescent="0.25">
      <c r="A73" t="s">
        <v>64</v>
      </c>
      <c r="B73">
        <v>2.7E-2</v>
      </c>
      <c r="C73">
        <v>3.6999999999999998E-2</v>
      </c>
      <c r="D73">
        <v>0</v>
      </c>
      <c r="E73">
        <v>7.0000000000000001E-3</v>
      </c>
      <c r="F73">
        <v>3.5999999999999997E-2</v>
      </c>
      <c r="G73">
        <v>3.4000000000000002E-2</v>
      </c>
      <c r="H73">
        <v>0</v>
      </c>
      <c r="I73">
        <v>1E-3</v>
      </c>
    </row>
    <row r="74" spans="1:17" x14ac:dyDescent="0.25">
      <c r="A74" t="s">
        <v>181</v>
      </c>
      <c r="B74">
        <v>9.8200000000000006E-3</v>
      </c>
      <c r="C74" t="s">
        <v>182</v>
      </c>
      <c r="D74">
        <v>-6.0499999999999998E-3</v>
      </c>
      <c r="E74">
        <v>-5.9199999999999999E-3</v>
      </c>
      <c r="F74">
        <v>4.7400000000000003E-3</v>
      </c>
      <c r="G74" t="s">
        <v>183</v>
      </c>
      <c r="H74">
        <v>-2.6199999999999999E-3</v>
      </c>
      <c r="I74">
        <v>-3.81E-3</v>
      </c>
    </row>
    <row r="75" spans="1:17" x14ac:dyDescent="0.25">
      <c r="A75" t="s">
        <v>64</v>
      </c>
      <c r="B75">
        <v>4.0000000000000001E-3</v>
      </c>
      <c r="C75">
        <v>3.4000000000000002E-2</v>
      </c>
      <c r="D75">
        <v>5.0000000000000001E-3</v>
      </c>
      <c r="E75">
        <v>5.0000000000000001E-3</v>
      </c>
      <c r="F75">
        <v>4.0000000000000001E-3</v>
      </c>
      <c r="G75">
        <v>1.4E-2</v>
      </c>
      <c r="H75">
        <v>2E-3</v>
      </c>
      <c r="I75">
        <v>4.0000000000000001E-3</v>
      </c>
    </row>
    <row r="76" spans="1:17" x14ac:dyDescent="0.25">
      <c r="A76" t="s">
        <v>184</v>
      </c>
      <c r="B76">
        <v>-8.3099999999999997E-3</v>
      </c>
      <c r="C76" t="s">
        <v>185</v>
      </c>
      <c r="D76" t="s">
        <v>186</v>
      </c>
      <c r="E76">
        <v>-8.7500000000000008E-3</v>
      </c>
      <c r="F76">
        <v>-2.7799999999999999E-3</v>
      </c>
      <c r="G76" t="s">
        <v>187</v>
      </c>
      <c r="H76">
        <v>-5.2199999999999998E-3</v>
      </c>
      <c r="I76">
        <v>-3.7299999999999998E-3</v>
      </c>
    </row>
    <row r="77" spans="1:17" x14ac:dyDescent="0.25">
      <c r="A77" t="s">
        <v>64</v>
      </c>
      <c r="B77">
        <v>3.0000000000000001E-3</v>
      </c>
      <c r="C77">
        <v>1.4E-2</v>
      </c>
      <c r="D77">
        <v>1.4999999999999999E-2</v>
      </c>
      <c r="E77">
        <v>1.0999999999999999E-2</v>
      </c>
      <c r="F77">
        <v>1E-3</v>
      </c>
      <c r="G77">
        <v>1.4E-2</v>
      </c>
      <c r="H77">
        <v>7.0000000000000001E-3</v>
      </c>
      <c r="I77">
        <v>3.0000000000000001E-3</v>
      </c>
    </row>
    <row r="78" spans="1:17" x14ac:dyDescent="0.25">
      <c r="A78" t="s">
        <v>188</v>
      </c>
      <c r="B78" t="s">
        <v>189</v>
      </c>
      <c r="C78">
        <v>-0.108</v>
      </c>
      <c r="D78" t="s">
        <v>190</v>
      </c>
      <c r="E78">
        <v>-4.8800000000000003E-2</v>
      </c>
      <c r="F78">
        <v>-3.7499999999999999E-2</v>
      </c>
      <c r="G78">
        <v>-5.3800000000000001E-2</v>
      </c>
      <c r="H78" t="s">
        <v>191</v>
      </c>
      <c r="I78">
        <v>-2.9399999999999999E-2</v>
      </c>
    </row>
    <row r="79" spans="1:17" x14ac:dyDescent="0.25">
      <c r="A79" t="s">
        <v>64</v>
      </c>
      <c r="B79">
        <v>1.2E-2</v>
      </c>
      <c r="C79">
        <v>1.9E-2</v>
      </c>
      <c r="D79">
        <v>1.6E-2</v>
      </c>
      <c r="E79">
        <v>0.01</v>
      </c>
      <c r="F79">
        <v>5.0000000000000001E-3</v>
      </c>
      <c r="G79">
        <v>1.4E-2</v>
      </c>
      <c r="H79">
        <v>1.7999999999999999E-2</v>
      </c>
      <c r="I79">
        <v>6.0000000000000001E-3</v>
      </c>
      <c r="J79">
        <f>(B79+B81+B83+B85+B87+B89+B91+B93+B95)/9</f>
        <v>1.7666666666666667E-2</v>
      </c>
      <c r="K79">
        <f t="shared" ref="K79:Q79" si="9">(C79+C81+C83+C85+C87+C89+C91+C93+C95)/9</f>
        <v>1.0333333333333337E-2</v>
      </c>
      <c r="L79">
        <f t="shared" si="9"/>
        <v>2.3555555555555562E-2</v>
      </c>
      <c r="M79">
        <f t="shared" si="9"/>
        <v>8.1111111111111123E-3</v>
      </c>
      <c r="N79">
        <f t="shared" si="9"/>
        <v>1.2666666666666666E-2</v>
      </c>
      <c r="O79">
        <f t="shared" si="9"/>
        <v>7.6666666666666671E-3</v>
      </c>
      <c r="P79">
        <f t="shared" si="9"/>
        <v>1.7333333333333329E-2</v>
      </c>
      <c r="Q79">
        <f t="shared" si="9"/>
        <v>1.2333333333333333E-2</v>
      </c>
    </row>
    <row r="80" spans="1:17" x14ac:dyDescent="0.25">
      <c r="A80" t="s">
        <v>192</v>
      </c>
      <c r="B80">
        <v>-1.9300000000000001E-2</v>
      </c>
      <c r="C80">
        <v>-5.2299999999999999E-2</v>
      </c>
      <c r="D80" t="s">
        <v>193</v>
      </c>
      <c r="E80" t="s">
        <v>194</v>
      </c>
      <c r="F80">
        <v>-1.24E-2</v>
      </c>
      <c r="G80">
        <v>-2.2499999999999999E-2</v>
      </c>
      <c r="H80" t="s">
        <v>195</v>
      </c>
      <c r="I80" t="s">
        <v>196</v>
      </c>
    </row>
    <row r="81" spans="1:9" x14ac:dyDescent="0.25">
      <c r="A81" t="s">
        <v>64</v>
      </c>
      <c r="B81">
        <v>2E-3</v>
      </c>
      <c r="C81">
        <v>1.7000000000000001E-2</v>
      </c>
      <c r="D81">
        <v>4.8000000000000001E-2</v>
      </c>
      <c r="E81">
        <v>1.4999999999999999E-2</v>
      </c>
      <c r="F81">
        <v>3.0000000000000001E-3</v>
      </c>
      <c r="G81">
        <v>8.9999999999999993E-3</v>
      </c>
      <c r="H81">
        <v>1.7999999999999999E-2</v>
      </c>
      <c r="I81">
        <v>1.6E-2</v>
      </c>
    </row>
    <row r="82" spans="1:9" x14ac:dyDescent="0.25">
      <c r="A82" t="s">
        <v>197</v>
      </c>
      <c r="B82">
        <v>-4.8000000000000001E-2</v>
      </c>
      <c r="C82" t="s">
        <v>198</v>
      </c>
      <c r="D82" t="s">
        <v>199</v>
      </c>
      <c r="E82" t="s">
        <v>200</v>
      </c>
      <c r="F82">
        <v>-2.5999999999999999E-2</v>
      </c>
      <c r="G82" t="s">
        <v>201</v>
      </c>
      <c r="H82" t="s">
        <v>202</v>
      </c>
      <c r="I82" t="s">
        <v>203</v>
      </c>
    </row>
    <row r="83" spans="1:9" x14ac:dyDescent="0.25">
      <c r="A83" t="s">
        <v>64</v>
      </c>
      <c r="B83">
        <v>1.0999999999999999E-2</v>
      </c>
      <c r="C83">
        <v>0.04</v>
      </c>
      <c r="D83">
        <v>3.9E-2</v>
      </c>
      <c r="E83">
        <v>2.1000000000000001E-2</v>
      </c>
      <c r="F83">
        <v>0.01</v>
      </c>
      <c r="G83">
        <v>2.7E-2</v>
      </c>
      <c r="H83">
        <v>1.9E-2</v>
      </c>
      <c r="I83">
        <v>2.3E-2</v>
      </c>
    </row>
    <row r="84" spans="1:9" x14ac:dyDescent="0.25">
      <c r="A84" t="s">
        <v>204</v>
      </c>
      <c r="B84" t="s">
        <v>205</v>
      </c>
      <c r="C84">
        <v>-6.0299999999999998E-3</v>
      </c>
      <c r="D84" t="s">
        <v>206</v>
      </c>
      <c r="E84" t="s">
        <v>207</v>
      </c>
      <c r="F84">
        <v>-2.7400000000000001E-2</v>
      </c>
      <c r="G84">
        <v>1.8799999999999999E-3</v>
      </c>
      <c r="H84" t="s">
        <v>208</v>
      </c>
      <c r="I84" t="s">
        <v>209</v>
      </c>
    </row>
    <row r="85" spans="1:9" x14ac:dyDescent="0.25">
      <c r="A85" t="s">
        <v>64</v>
      </c>
      <c r="B85">
        <v>0.02</v>
      </c>
      <c r="C85">
        <v>0</v>
      </c>
      <c r="D85">
        <v>3.6999999999999998E-2</v>
      </c>
      <c r="E85">
        <v>1.6E-2</v>
      </c>
      <c r="F85">
        <v>1.0999999999999999E-2</v>
      </c>
      <c r="G85">
        <v>0</v>
      </c>
      <c r="H85">
        <v>2.4E-2</v>
      </c>
      <c r="I85">
        <v>2.4E-2</v>
      </c>
    </row>
    <row r="86" spans="1:9" x14ac:dyDescent="0.25">
      <c r="A86" t="s">
        <v>210</v>
      </c>
      <c r="B86" t="s">
        <v>211</v>
      </c>
      <c r="C86">
        <v>-3.1300000000000001E-2</v>
      </c>
      <c r="D86" t="s">
        <v>212</v>
      </c>
      <c r="E86">
        <v>-1.4200000000000001E-2</v>
      </c>
      <c r="F86" t="s">
        <v>213</v>
      </c>
      <c r="G86">
        <v>9.1200000000000005E-4</v>
      </c>
      <c r="H86" t="s">
        <v>214</v>
      </c>
      <c r="I86" t="s">
        <v>215</v>
      </c>
    </row>
    <row r="87" spans="1:9" x14ac:dyDescent="0.25">
      <c r="A87" t="s">
        <v>64</v>
      </c>
      <c r="B87">
        <v>4.2999999999999997E-2</v>
      </c>
      <c r="C87">
        <v>5.0000000000000001E-3</v>
      </c>
      <c r="D87">
        <v>3.5000000000000003E-2</v>
      </c>
      <c r="E87">
        <v>3.0000000000000001E-3</v>
      </c>
      <c r="F87">
        <v>2.1999999999999999E-2</v>
      </c>
      <c r="G87">
        <v>0</v>
      </c>
      <c r="H87">
        <v>2.5999999999999999E-2</v>
      </c>
      <c r="I87">
        <v>1.2999999999999999E-2</v>
      </c>
    </row>
    <row r="88" spans="1:9" x14ac:dyDescent="0.25">
      <c r="A88" t="s">
        <v>216</v>
      </c>
      <c r="B88">
        <v>-4.7E-2</v>
      </c>
      <c r="C88">
        <v>-7.3099999999999997E-3</v>
      </c>
      <c r="D88">
        <v>-3.5799999999999998E-2</v>
      </c>
      <c r="E88">
        <v>-2.6800000000000001E-2</v>
      </c>
      <c r="F88">
        <v>-1.84E-2</v>
      </c>
      <c r="G88">
        <v>5.0000000000000001E-3</v>
      </c>
      <c r="H88" t="s">
        <v>217</v>
      </c>
      <c r="I88">
        <v>-2.8899999999999999E-2</v>
      </c>
    </row>
    <row r="89" spans="1:9" x14ac:dyDescent="0.25">
      <c r="A89" t="s">
        <v>64</v>
      </c>
      <c r="B89">
        <v>6.0000000000000001E-3</v>
      </c>
      <c r="C89">
        <v>0</v>
      </c>
      <c r="D89">
        <v>8.9999999999999993E-3</v>
      </c>
      <c r="E89">
        <v>5.0000000000000001E-3</v>
      </c>
      <c r="F89">
        <v>3.0000000000000001E-3</v>
      </c>
      <c r="G89">
        <v>0</v>
      </c>
      <c r="H89">
        <v>1.4999999999999999E-2</v>
      </c>
      <c r="I89">
        <v>0.01</v>
      </c>
    </row>
    <row r="90" spans="1:9" x14ac:dyDescent="0.25">
      <c r="A90" t="s">
        <v>218</v>
      </c>
      <c r="B90">
        <v>-0.109</v>
      </c>
      <c r="C90">
        <v>-2.58E-2</v>
      </c>
      <c r="D90">
        <v>-3.9E-2</v>
      </c>
      <c r="E90">
        <v>-1.9699999999999999E-2</v>
      </c>
      <c r="F90">
        <v>-6.5799999999999997E-2</v>
      </c>
      <c r="G90">
        <v>2.1900000000000001E-3</v>
      </c>
      <c r="H90">
        <v>-2.1899999999999999E-2</v>
      </c>
      <c r="I90" t="s">
        <v>219</v>
      </c>
    </row>
    <row r="91" spans="1:9" x14ac:dyDescent="0.25">
      <c r="A91" t="s">
        <v>64</v>
      </c>
      <c r="B91">
        <v>3.1E-2</v>
      </c>
      <c r="C91">
        <v>2E-3</v>
      </c>
      <c r="D91">
        <v>1.0999999999999999E-2</v>
      </c>
      <c r="E91">
        <v>3.0000000000000001E-3</v>
      </c>
      <c r="F91">
        <v>3.3000000000000002E-2</v>
      </c>
      <c r="G91">
        <v>0</v>
      </c>
      <c r="H91">
        <v>6.0000000000000001E-3</v>
      </c>
      <c r="I91">
        <v>1.0999999999999999E-2</v>
      </c>
    </row>
    <row r="92" spans="1:9" x14ac:dyDescent="0.25">
      <c r="A92" t="s">
        <v>220</v>
      </c>
      <c r="B92" t="s">
        <v>221</v>
      </c>
      <c r="C92" t="s">
        <v>222</v>
      </c>
      <c r="D92">
        <v>-3.6900000000000002E-2</v>
      </c>
      <c r="E92">
        <v>-9.1799999999999998E-4</v>
      </c>
      <c r="F92" t="s">
        <v>223</v>
      </c>
      <c r="G92" t="s">
        <v>224</v>
      </c>
      <c r="H92">
        <v>-2.8500000000000001E-2</v>
      </c>
      <c r="I92">
        <v>-1.7899999999999999E-2</v>
      </c>
    </row>
    <row r="93" spans="1:9" x14ac:dyDescent="0.25">
      <c r="A93" t="s">
        <v>64</v>
      </c>
      <c r="B93">
        <v>3.2000000000000001E-2</v>
      </c>
      <c r="C93">
        <v>8.0000000000000002E-3</v>
      </c>
      <c r="D93">
        <v>0.01</v>
      </c>
      <c r="E93">
        <v>0</v>
      </c>
      <c r="F93">
        <v>2.5999999999999999E-2</v>
      </c>
      <c r="G93">
        <v>0.01</v>
      </c>
      <c r="H93">
        <v>1.2E-2</v>
      </c>
      <c r="I93">
        <v>4.0000000000000001E-3</v>
      </c>
    </row>
    <row r="94" spans="1:9" x14ac:dyDescent="0.25">
      <c r="A94" t="s">
        <v>225</v>
      </c>
      <c r="B94">
        <v>-3.1099999999999999E-2</v>
      </c>
      <c r="C94">
        <v>2.6800000000000001E-2</v>
      </c>
      <c r="D94">
        <v>-3.1399999999999997E-2</v>
      </c>
      <c r="E94">
        <v>3.0599999999999998E-3</v>
      </c>
      <c r="F94">
        <v>-8.3000000000000001E-3</v>
      </c>
      <c r="G94">
        <v>3.2399999999999998E-2</v>
      </c>
      <c r="H94" t="s">
        <v>226</v>
      </c>
      <c r="I94">
        <v>-1.77E-2</v>
      </c>
    </row>
    <row r="95" spans="1:9" x14ac:dyDescent="0.25">
      <c r="A95" t="s">
        <v>64</v>
      </c>
      <c r="B95">
        <v>2E-3</v>
      </c>
      <c r="C95">
        <v>2E-3</v>
      </c>
      <c r="D95">
        <v>7.0000000000000001E-3</v>
      </c>
      <c r="E95">
        <v>0</v>
      </c>
      <c r="F95">
        <v>1E-3</v>
      </c>
      <c r="G95">
        <v>8.9999999999999993E-3</v>
      </c>
      <c r="H95">
        <v>1.7999999999999999E-2</v>
      </c>
      <c r="I95">
        <v>4.0000000000000001E-3</v>
      </c>
    </row>
    <row r="96" spans="1:9" x14ac:dyDescent="0.25">
      <c r="A96" t="s">
        <v>227</v>
      </c>
      <c r="B96">
        <v>-3.2500000000000001E-2</v>
      </c>
      <c r="C96">
        <v>-2.93E-2</v>
      </c>
      <c r="D96">
        <v>4.0399999999999998E-2</v>
      </c>
      <c r="E96">
        <v>2.3300000000000001E-2</v>
      </c>
      <c r="F96">
        <v>-1.7500000000000002E-2</v>
      </c>
      <c r="G96" t="s">
        <v>228</v>
      </c>
      <c r="H96">
        <v>2.7900000000000001E-2</v>
      </c>
      <c r="I96" t="s">
        <v>229</v>
      </c>
    </row>
    <row r="97" spans="1:17" x14ac:dyDescent="0.25">
      <c r="A97" t="s">
        <v>64</v>
      </c>
      <c r="B97">
        <v>2E-3</v>
      </c>
      <c r="C97">
        <v>2E-3</v>
      </c>
      <c r="D97">
        <v>0.01</v>
      </c>
      <c r="E97">
        <v>3.0000000000000001E-3</v>
      </c>
      <c r="F97">
        <v>2E-3</v>
      </c>
      <c r="G97">
        <v>1.0999999999999999E-2</v>
      </c>
      <c r="H97">
        <v>7.0000000000000001E-3</v>
      </c>
      <c r="I97">
        <v>1.7999999999999999E-2</v>
      </c>
      <c r="J97">
        <f>(B97+B99)/2</f>
        <v>3.0000000000000001E-3</v>
      </c>
      <c r="K97">
        <f t="shared" ref="K97:Q97" si="10">(C97+C99)/2</f>
        <v>6.4999999999999997E-3</v>
      </c>
      <c r="L97">
        <f t="shared" si="10"/>
        <v>1.0999999999999999E-2</v>
      </c>
      <c r="M97">
        <f t="shared" si="10"/>
        <v>3.5000000000000001E-3</v>
      </c>
      <c r="N97">
        <f t="shared" si="10"/>
        <v>2.5000000000000001E-3</v>
      </c>
      <c r="O97">
        <f t="shared" si="10"/>
        <v>3.2000000000000001E-2</v>
      </c>
      <c r="P97">
        <f t="shared" si="10"/>
        <v>8.0000000000000002E-3</v>
      </c>
      <c r="Q97">
        <f t="shared" si="10"/>
        <v>2.1499999999999998E-2</v>
      </c>
    </row>
    <row r="98" spans="1:17" x14ac:dyDescent="0.25">
      <c r="A98" t="s">
        <v>230</v>
      </c>
      <c r="B98">
        <v>-4.5699999999999998E-2</v>
      </c>
      <c r="C98">
        <v>-7.6499999999999999E-2</v>
      </c>
      <c r="D98">
        <v>4.3799999999999999E-2</v>
      </c>
      <c r="E98">
        <v>-2.6100000000000002E-2</v>
      </c>
      <c r="F98">
        <v>-2.2800000000000001E-2</v>
      </c>
      <c r="G98" t="s">
        <v>231</v>
      </c>
      <c r="H98">
        <v>3.3000000000000002E-2</v>
      </c>
      <c r="I98" t="s">
        <v>232</v>
      </c>
    </row>
    <row r="99" spans="1:17" x14ac:dyDescent="0.25">
      <c r="A99" t="s">
        <v>64</v>
      </c>
      <c r="B99">
        <v>4.0000000000000001E-3</v>
      </c>
      <c r="C99">
        <v>1.0999999999999999E-2</v>
      </c>
      <c r="D99">
        <v>1.2E-2</v>
      </c>
      <c r="E99">
        <v>4.0000000000000001E-3</v>
      </c>
      <c r="F99">
        <v>3.0000000000000001E-3</v>
      </c>
      <c r="G99">
        <v>5.2999999999999999E-2</v>
      </c>
      <c r="H99">
        <v>8.9999999999999993E-3</v>
      </c>
      <c r="I99">
        <v>2.5000000000000001E-2</v>
      </c>
    </row>
  </sheetData>
  <autoFilter ref="A1:I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 and Pop</vt:lpstr>
      <vt:lpstr>Employment and Productivity</vt:lpstr>
      <vt:lpstr>Best Performance Prediction</vt:lpstr>
      <vt:lpstr>Out of Sample</vt:lpstr>
      <vt:lpstr>Non-Farm_Time</vt:lpstr>
      <vt:lpstr>Output_per_Worker_Time</vt:lpstr>
      <vt:lpstr>Population_Time</vt:lpstr>
      <vt:lpstr>Wage_Employment_Time</vt:lpstr>
      <vt:lpstr>Result_1</vt:lpstr>
      <vt:lpstr>Result_2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 Department</dc:creator>
  <cp:lastModifiedBy>Duncan, Kevin D</cp:lastModifiedBy>
  <dcterms:created xsi:type="dcterms:W3CDTF">2013-08-01T10:22:38Z</dcterms:created>
  <dcterms:modified xsi:type="dcterms:W3CDTF">2013-09-10T18:15:32Z</dcterms:modified>
</cp:coreProperties>
</file>