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35" windowWidth="11280" windowHeight="5895"/>
  </bookViews>
  <sheets>
    <sheet name="Income and Pop" sheetId="2" r:id="rId1"/>
    <sheet name="Result_1" sheetId="8" r:id="rId2"/>
    <sheet name="Employment and Productivity" sheetId="3" r:id="rId3"/>
    <sheet name="Result_2" sheetId="9" r:id="rId4"/>
  </sheets>
  <definedNames>
    <definedName name="_xlnm._FilterDatabase" localSheetId="1" hidden="1">Result_1!$A$1:$I$99</definedName>
    <definedName name="_xlnm._FilterDatabase" localSheetId="3" hidden="1">Result_2!$A$1:$I$99</definedName>
  </definedNames>
  <calcPr calcId="145621"/>
</workbook>
</file>

<file path=xl/calcChain.xml><?xml version="1.0" encoding="utf-8"?>
<calcChain xmlns="http://schemas.openxmlformats.org/spreadsheetml/2006/main">
  <c r="AD29" i="2" l="1"/>
  <c r="AC29" i="2"/>
  <c r="AD22" i="2"/>
  <c r="AC22" i="2"/>
  <c r="AD15" i="2"/>
  <c r="AC15" i="2"/>
  <c r="AD8" i="2"/>
  <c r="AC8" i="2"/>
  <c r="AD29" i="3"/>
  <c r="AC29" i="3"/>
  <c r="AD22" i="3"/>
  <c r="AC22" i="3"/>
  <c r="AD15" i="3"/>
  <c r="AC15" i="3"/>
  <c r="AD8" i="3"/>
  <c r="AC8" i="3"/>
  <c r="J3" i="9" l="1"/>
  <c r="Q97" i="9"/>
  <c r="P97" i="9"/>
  <c r="O97" i="9"/>
  <c r="N97" i="9"/>
  <c r="M97" i="9"/>
  <c r="L97" i="9"/>
  <c r="K97" i="9"/>
  <c r="J97" i="9"/>
  <c r="Q79" i="9"/>
  <c r="P79" i="9"/>
  <c r="O79" i="9"/>
  <c r="N79" i="9"/>
  <c r="M79" i="9"/>
  <c r="L79" i="9"/>
  <c r="K79" i="9"/>
  <c r="J79" i="9"/>
  <c r="Q59" i="9"/>
  <c r="P59" i="9"/>
  <c r="O59" i="9"/>
  <c r="N59" i="9"/>
  <c r="M59" i="9"/>
  <c r="L59" i="9"/>
  <c r="K59" i="9"/>
  <c r="J59" i="9"/>
  <c r="Q49" i="9"/>
  <c r="P49" i="9"/>
  <c r="O49" i="9"/>
  <c r="N49" i="9"/>
  <c r="M49" i="9"/>
  <c r="L49" i="9"/>
  <c r="K49" i="9"/>
  <c r="J49" i="9"/>
  <c r="Q45" i="9"/>
  <c r="P45" i="9"/>
  <c r="O45" i="9"/>
  <c r="N45" i="9"/>
  <c r="M45" i="9"/>
  <c r="L45" i="9"/>
  <c r="K45" i="9"/>
  <c r="J45" i="9"/>
  <c r="Q41" i="9"/>
  <c r="P41" i="9"/>
  <c r="O41" i="9"/>
  <c r="N41" i="9"/>
  <c r="M41" i="9"/>
  <c r="L41" i="9"/>
  <c r="K41" i="9"/>
  <c r="J41" i="9"/>
  <c r="Q33" i="9"/>
  <c r="P33" i="9"/>
  <c r="O33" i="9"/>
  <c r="N33" i="9"/>
  <c r="M33" i="9"/>
  <c r="L33" i="9"/>
  <c r="K33" i="9"/>
  <c r="J33" i="9"/>
  <c r="Q29" i="9"/>
  <c r="P29" i="9"/>
  <c r="O29" i="9"/>
  <c r="N29" i="9"/>
  <c r="M29" i="9"/>
  <c r="L29" i="9"/>
  <c r="K29" i="9"/>
  <c r="J29" i="9"/>
  <c r="Q19" i="9"/>
  <c r="P19" i="9"/>
  <c r="O19" i="9"/>
  <c r="N19" i="9"/>
  <c r="M19" i="9"/>
  <c r="L19" i="9"/>
  <c r="K19" i="9"/>
  <c r="J19" i="9"/>
  <c r="Q17" i="9"/>
  <c r="P17" i="9"/>
  <c r="O17" i="9"/>
  <c r="N17" i="9"/>
  <c r="M17" i="9"/>
  <c r="L17" i="9"/>
  <c r="K17" i="9"/>
  <c r="J17" i="9"/>
  <c r="Q3" i="9"/>
  <c r="P3" i="9"/>
  <c r="O3" i="9"/>
  <c r="N3" i="9"/>
  <c r="M3" i="9"/>
  <c r="L3" i="9"/>
  <c r="K3" i="9"/>
  <c r="Q45" i="8"/>
  <c r="K45" i="8"/>
  <c r="L45" i="8"/>
  <c r="M45" i="8"/>
  <c r="N45" i="8"/>
  <c r="O45" i="8"/>
  <c r="P45" i="8"/>
  <c r="J45" i="8"/>
  <c r="J49" i="8"/>
  <c r="AD30" i="2"/>
  <c r="AC30" i="2"/>
  <c r="Q19" i="8"/>
  <c r="P19" i="8"/>
  <c r="K19" i="8"/>
  <c r="L19" i="8"/>
  <c r="M19" i="8"/>
  <c r="N19" i="8"/>
  <c r="O19" i="8"/>
  <c r="J19" i="8"/>
  <c r="K41" i="8"/>
  <c r="L41" i="8"/>
  <c r="M41" i="8"/>
  <c r="N41" i="8"/>
  <c r="O41" i="8"/>
  <c r="P41" i="8"/>
  <c r="Q41" i="8"/>
  <c r="J41" i="8"/>
  <c r="P33" i="8"/>
  <c r="J33" i="8"/>
  <c r="K33" i="8"/>
  <c r="L33" i="8"/>
  <c r="M33" i="8"/>
  <c r="N33" i="8"/>
  <c r="O33" i="8"/>
  <c r="Q33" i="8"/>
  <c r="K29" i="8"/>
  <c r="L29" i="8"/>
  <c r="M29" i="8"/>
  <c r="N29" i="8"/>
  <c r="O29" i="8"/>
  <c r="P29" i="8"/>
  <c r="Q29" i="8"/>
  <c r="J29" i="8"/>
  <c r="K17" i="8"/>
  <c r="L17" i="8"/>
  <c r="M17" i="8"/>
  <c r="N17" i="8"/>
  <c r="O17" i="8"/>
  <c r="P17" i="8"/>
  <c r="Q17" i="8"/>
  <c r="J17" i="8"/>
  <c r="K3" i="8"/>
  <c r="L3" i="8"/>
  <c r="M3" i="8"/>
  <c r="N3" i="8"/>
  <c r="O3" i="8"/>
  <c r="P3" i="8"/>
  <c r="Q3" i="8"/>
  <c r="J3" i="8"/>
  <c r="K97" i="8"/>
  <c r="L97" i="8"/>
  <c r="M97" i="8"/>
  <c r="N97" i="8"/>
  <c r="O97" i="8"/>
  <c r="P97" i="8"/>
  <c r="Q97" i="8"/>
  <c r="J97" i="8"/>
  <c r="K79" i="8"/>
  <c r="L79" i="8"/>
  <c r="M79" i="8"/>
  <c r="N79" i="8"/>
  <c r="O79" i="8"/>
  <c r="P79" i="8"/>
  <c r="Q79" i="8"/>
  <c r="J79" i="8"/>
  <c r="N59" i="8"/>
  <c r="K59" i="8"/>
  <c r="L59" i="8"/>
  <c r="M59" i="8"/>
  <c r="O59" i="8"/>
  <c r="P59" i="8"/>
  <c r="Q59" i="8"/>
  <c r="J59" i="8"/>
  <c r="Q49" i="8"/>
  <c r="P49" i="8"/>
  <c r="O49" i="8"/>
  <c r="N49" i="8"/>
  <c r="M49" i="8"/>
  <c r="L49" i="8"/>
  <c r="K49" i="8"/>
  <c r="AG29" i="3"/>
  <c r="AF29" i="3"/>
  <c r="AG22" i="3"/>
  <c r="AF22" i="3"/>
  <c r="AG15" i="3"/>
  <c r="AF15" i="3"/>
  <c r="AG8" i="3"/>
  <c r="AF8" i="3"/>
  <c r="AA29" i="3"/>
  <c r="Z29" i="3"/>
  <c r="AA22" i="3"/>
  <c r="Z22" i="3"/>
  <c r="AA15" i="3"/>
  <c r="Z15" i="3"/>
  <c r="AA8" i="3"/>
  <c r="Z8" i="3"/>
  <c r="X29" i="3"/>
  <c r="W29" i="3"/>
  <c r="X22" i="3"/>
  <c r="W22" i="3"/>
  <c r="X15" i="3"/>
  <c r="W15" i="3"/>
  <c r="X8" i="3"/>
  <c r="W8" i="3"/>
  <c r="U29" i="3"/>
  <c r="T29" i="3"/>
  <c r="U22" i="3"/>
  <c r="T22" i="3"/>
  <c r="U15" i="3"/>
  <c r="T15" i="3"/>
  <c r="U8" i="3"/>
  <c r="T8" i="3"/>
  <c r="R29" i="3"/>
  <c r="Q29" i="3"/>
  <c r="Q22" i="3"/>
  <c r="R22" i="3"/>
  <c r="R15" i="3"/>
  <c r="Q15" i="3"/>
  <c r="R8" i="3"/>
  <c r="Q8" i="3"/>
  <c r="I15" i="3"/>
  <c r="H15" i="3"/>
  <c r="I22" i="3"/>
  <c r="H22" i="3"/>
  <c r="I29" i="3"/>
  <c r="H29" i="3"/>
  <c r="I8" i="3"/>
  <c r="H8" i="3"/>
  <c r="F22" i="3"/>
  <c r="E22" i="3"/>
  <c r="F15" i="3"/>
  <c r="E15" i="3"/>
  <c r="F8" i="3"/>
  <c r="E8" i="3"/>
  <c r="C29" i="3"/>
  <c r="B29" i="3"/>
  <c r="C22" i="3"/>
  <c r="B22" i="3"/>
  <c r="C15" i="3"/>
  <c r="B15" i="3"/>
  <c r="C8" i="3"/>
  <c r="B8" i="3"/>
  <c r="F29" i="3"/>
  <c r="E29" i="3"/>
  <c r="AG29" i="2"/>
  <c r="AF29" i="2"/>
  <c r="AG22" i="2"/>
  <c r="AF22" i="2"/>
  <c r="AG15" i="2"/>
  <c r="AF15" i="2"/>
  <c r="AG8" i="2"/>
  <c r="AF8" i="2"/>
  <c r="AA29" i="2"/>
  <c r="Z29" i="2"/>
  <c r="AA22" i="2"/>
  <c r="Z22" i="2"/>
  <c r="AA15" i="2"/>
  <c r="Z15" i="2"/>
  <c r="AA8" i="2"/>
  <c r="Z8" i="2"/>
  <c r="X29" i="2"/>
  <c r="W29" i="2"/>
  <c r="X22" i="2"/>
  <c r="W22" i="2"/>
  <c r="X15" i="2"/>
  <c r="W15" i="2"/>
  <c r="X8" i="2"/>
  <c r="W8" i="2"/>
  <c r="U29" i="2"/>
  <c r="T29" i="2"/>
  <c r="U22" i="2"/>
  <c r="T22" i="2"/>
  <c r="U15" i="2"/>
  <c r="T15" i="2"/>
  <c r="U8" i="2"/>
  <c r="T8" i="2"/>
  <c r="R29" i="2"/>
  <c r="Q29" i="2"/>
  <c r="R22" i="2"/>
  <c r="Q22" i="2"/>
  <c r="R15" i="2"/>
  <c r="Q15" i="2"/>
  <c r="R8" i="2"/>
  <c r="Q8" i="2"/>
  <c r="I29" i="2"/>
  <c r="H29" i="2"/>
  <c r="I22" i="2"/>
  <c r="H22" i="2"/>
  <c r="I15" i="2"/>
  <c r="H15" i="2"/>
  <c r="I8" i="2"/>
  <c r="H8" i="2"/>
  <c r="F22" i="2"/>
  <c r="E22" i="2"/>
  <c r="F15" i="2"/>
  <c r="E15" i="2"/>
  <c r="F8" i="2"/>
  <c r="E8" i="2"/>
  <c r="F29" i="2"/>
  <c r="E29" i="2"/>
  <c r="B29" i="2"/>
  <c r="C29" i="2"/>
  <c r="C22" i="2"/>
  <c r="B22" i="2"/>
  <c r="C15" i="2"/>
  <c r="B15" i="2"/>
  <c r="C8" i="2"/>
  <c r="B8" i="2"/>
</calcChain>
</file>

<file path=xl/sharedStrings.xml><?xml version="1.0" encoding="utf-8"?>
<sst xmlns="http://schemas.openxmlformats.org/spreadsheetml/2006/main" count="1004" uniqueCount="311">
  <si>
    <t>Metrics</t>
  </si>
  <si>
    <t>Backcast</t>
  </si>
  <si>
    <t>Forecast</t>
  </si>
  <si>
    <t>Aggregate Income</t>
  </si>
  <si>
    <t>Nonfarm Income</t>
  </si>
  <si>
    <t>Per capita Income</t>
  </si>
  <si>
    <t>Population</t>
  </si>
  <si>
    <r>
      <t>R</t>
    </r>
    <r>
      <rPr>
        <vertAlign val="superscript"/>
        <sz val="12"/>
        <color theme="1"/>
        <rFont val="Times New Roman"/>
        <family val="1"/>
      </rPr>
      <t>2</t>
    </r>
  </si>
  <si>
    <t>Beacon Hill</t>
  </si>
  <si>
    <t>CED Policy</t>
  </si>
  <si>
    <t>CED Capacity</t>
  </si>
  <si>
    <t>CED Fiscal Policy</t>
  </si>
  <si>
    <t>Fantus</t>
  </si>
  <si>
    <t>Grant Thornton</t>
  </si>
  <si>
    <t>New Economy</t>
  </si>
  <si>
    <t>Fraser</t>
  </si>
  <si>
    <t>Small Business</t>
  </si>
  <si>
    <t>Pacific Institute</t>
  </si>
  <si>
    <t>Tax Foundation</t>
  </si>
  <si>
    <t>4/4</t>
  </si>
  <si>
    <t>2/4</t>
  </si>
  <si>
    <t>1/4</t>
  </si>
  <si>
    <t>0/4</t>
  </si>
  <si>
    <t>3/4</t>
  </si>
  <si>
    <t>0/5</t>
  </si>
  <si>
    <t>3/5</t>
  </si>
  <si>
    <t>4/5</t>
  </si>
  <si>
    <t>1/5</t>
  </si>
  <si>
    <t>2/10</t>
  </si>
  <si>
    <t>5/10</t>
  </si>
  <si>
    <t>0/10</t>
  </si>
  <si>
    <t>4/10</t>
  </si>
  <si>
    <t>1/10</t>
  </si>
  <si>
    <t>8/10</t>
  </si>
  <si>
    <t>6/10</t>
  </si>
  <si>
    <t>3/10</t>
  </si>
  <si>
    <t>9/10</t>
  </si>
  <si>
    <t>5/5</t>
  </si>
  <si>
    <t>2/5</t>
  </si>
  <si>
    <t>0/1</t>
  </si>
  <si>
    <t>1/1</t>
  </si>
  <si>
    <t>0/2</t>
  </si>
  <si>
    <t>2/2</t>
  </si>
  <si>
    <t>1/2</t>
  </si>
  <si>
    <t>6/7</t>
  </si>
  <si>
    <t>7/7</t>
  </si>
  <si>
    <t>2/7</t>
  </si>
  <si>
    <t>3/7</t>
  </si>
  <si>
    <t>4/7</t>
  </si>
  <si>
    <t>0/7</t>
  </si>
  <si>
    <t>1/7</t>
  </si>
  <si>
    <t>5/7</t>
  </si>
  <si>
    <t>Table x:  Performance of Business Climate Indexes in Predicting Relative Income or Population Growth at State Borders Over the Next 5 Years</t>
  </si>
  <si>
    <t>Table y:  Performance of Business Climate Indexes in Predicting Relative Employment, Wage or Productivity Growth at State Borders Over the Next 5 Years</t>
  </si>
  <si>
    <t>Average Wage</t>
  </si>
  <si>
    <t>Productivity</t>
  </si>
  <si>
    <t>Wage Bill</t>
  </si>
  <si>
    <t>Employment</t>
  </si>
  <si>
    <t>10/10</t>
  </si>
  <si>
    <t>7/10</t>
  </si>
  <si>
    <t>lngt80diff~e</t>
  </si>
  <si>
    <t>0.224*</t>
  </si>
  <si>
    <t>0.119**</t>
  </si>
  <si>
    <t>0.0662**</t>
  </si>
  <si>
    <t>R-sq</t>
  </si>
  <si>
    <t>lngt81diff~e</t>
  </si>
  <si>
    <t>0.0584**</t>
  </si>
  <si>
    <t>0.0437***</t>
  </si>
  <si>
    <t>0.0229**</t>
  </si>
  <si>
    <t>0.0242***</t>
  </si>
  <si>
    <t>lngt82diff~e</t>
  </si>
  <si>
    <t>0.118***</t>
  </si>
  <si>
    <t>0.0349*</t>
  </si>
  <si>
    <t>0.0735***</t>
  </si>
  <si>
    <t>0.0675**</t>
  </si>
  <si>
    <t>0.0316*</t>
  </si>
  <si>
    <t>0.0232*</t>
  </si>
  <si>
    <t>lngt83diff~e</t>
  </si>
  <si>
    <t>0.0542*</t>
  </si>
  <si>
    <t>0.0650***</t>
  </si>
  <si>
    <t>0.0335***</t>
  </si>
  <si>
    <t>lngt84diff~e</t>
  </si>
  <si>
    <t>0.0484***</t>
  </si>
  <si>
    <t>lngt85diff~e</t>
  </si>
  <si>
    <t>0.0658*</t>
  </si>
  <si>
    <t>0.0375**</t>
  </si>
  <si>
    <t>0.0325***</t>
  </si>
  <si>
    <t>lngt86diff~e</t>
  </si>
  <si>
    <t>0.0608*</t>
  </si>
  <si>
    <t>0.0654***</t>
  </si>
  <si>
    <t>0.0415***</t>
  </si>
  <si>
    <t>lnft75diff~e</t>
  </si>
  <si>
    <t>-0.0207*</t>
  </si>
  <si>
    <t>lnsb00diff~e</t>
  </si>
  <si>
    <t>0.0780**</t>
  </si>
  <si>
    <t>-0.0523*</t>
  </si>
  <si>
    <t>0.0358*</t>
  </si>
  <si>
    <t>-0.0345**</t>
  </si>
  <si>
    <t>lnsb01diff~e</t>
  </si>
  <si>
    <t>-0.0687**</t>
  </si>
  <si>
    <t>-0.0484***</t>
  </si>
  <si>
    <t>lnsb02diff~e</t>
  </si>
  <si>
    <t>-0.0715***</t>
  </si>
  <si>
    <t>-0.0440***</t>
  </si>
  <si>
    <t>lnsb03diff~e</t>
  </si>
  <si>
    <t>-0.0551**</t>
  </si>
  <si>
    <t>-0.0460***</t>
  </si>
  <si>
    <t>lnsb04diff~e</t>
  </si>
  <si>
    <t>-0.0418*</t>
  </si>
  <si>
    <t>0.0513*</t>
  </si>
  <si>
    <t>-0.0287*</t>
  </si>
  <si>
    <t>-0.0506***</t>
  </si>
  <si>
    <t>lnne99diff~e</t>
  </si>
  <si>
    <t>0.0719**</t>
  </si>
  <si>
    <t>0.0395**</t>
  </si>
  <si>
    <t>lnne02diff~e</t>
  </si>
  <si>
    <t>0.0712*</t>
  </si>
  <si>
    <t>lnbh01diff~e</t>
  </si>
  <si>
    <t>0.0720**</t>
  </si>
  <si>
    <t>0.0450*</t>
  </si>
  <si>
    <t>lnbh02diff~e</t>
  </si>
  <si>
    <t>0.0826*</t>
  </si>
  <si>
    <t>lnbh03diff~e</t>
  </si>
  <si>
    <t>lnbh04diff~e</t>
  </si>
  <si>
    <t>0.0460*</t>
  </si>
  <si>
    <t>lnfrng04di~e</t>
  </si>
  <si>
    <t>-0.0416**</t>
  </si>
  <si>
    <t>-0.0403**</t>
  </si>
  <si>
    <t>lnfrsg04di~e</t>
  </si>
  <si>
    <t>0.0848**</t>
  </si>
  <si>
    <t>-0.0521***</t>
  </si>
  <si>
    <t>-0.0488***</t>
  </si>
  <si>
    <t>lnpri99dif~e</t>
  </si>
  <si>
    <t>-0.0914**</t>
  </si>
  <si>
    <t>-0.0898***</t>
  </si>
  <si>
    <t>lnpri04dif~e</t>
  </si>
  <si>
    <t>lncedp87di~e</t>
  </si>
  <si>
    <t>0.0243*</t>
  </si>
  <si>
    <t>0.0135**</t>
  </si>
  <si>
    <t>0.0171**</t>
  </si>
  <si>
    <t>lncedp88di~e</t>
  </si>
  <si>
    <t>lncedp89di~e</t>
  </si>
  <si>
    <t>0.0206*</t>
  </si>
  <si>
    <t>0.0360**</t>
  </si>
  <si>
    <t>0.0192***</t>
  </si>
  <si>
    <t>0.0168**</t>
  </si>
  <si>
    <t>0.0150*</t>
  </si>
  <si>
    <t>0.0175*</t>
  </si>
  <si>
    <t>0.0115***</t>
  </si>
  <si>
    <t>lncedp90di~e</t>
  </si>
  <si>
    <t>0.0182*</t>
  </si>
  <si>
    <t>0.0411***</t>
  </si>
  <si>
    <t>0.0213***</t>
  </si>
  <si>
    <t>0.0211***</t>
  </si>
  <si>
    <t>0.0120*</t>
  </si>
  <si>
    <t>0.0153**</t>
  </si>
  <si>
    <t>0.00992*</t>
  </si>
  <si>
    <t>0.0143***</t>
  </si>
  <si>
    <t>lncedp91di~e</t>
  </si>
  <si>
    <t>0.0272**</t>
  </si>
  <si>
    <t>0.00965*</t>
  </si>
  <si>
    <t>0.0149**</t>
  </si>
  <si>
    <t>0.0186***</t>
  </si>
  <si>
    <t>0.0109***</t>
  </si>
  <si>
    <t>lncedc87di~e</t>
  </si>
  <si>
    <t>-0.0166*</t>
  </si>
  <si>
    <t>lncedc88di~e</t>
  </si>
  <si>
    <t>0.0105*</t>
  </si>
  <si>
    <t>lncedc89di~e</t>
  </si>
  <si>
    <t>0.0257*</t>
  </si>
  <si>
    <t>0.0164**</t>
  </si>
  <si>
    <t>lncedc90di~e</t>
  </si>
  <si>
    <t>lncedc91di~e</t>
  </si>
  <si>
    <t>lncedc92di~e</t>
  </si>
  <si>
    <t>0.0118*</t>
  </si>
  <si>
    <t>lncedc93di~e</t>
  </si>
  <si>
    <t>-0.0174*</t>
  </si>
  <si>
    <t>lncedc94di~e</t>
  </si>
  <si>
    <t>-0.0248**</t>
  </si>
  <si>
    <t>0.0163*</t>
  </si>
  <si>
    <t>-0.0136**</t>
  </si>
  <si>
    <t>lncedc95di~e</t>
  </si>
  <si>
    <t>-0.0249**</t>
  </si>
  <si>
    <t>-0.00921*</t>
  </si>
  <si>
    <t>lncedc96di~e</t>
  </si>
  <si>
    <t>-0.0181*</t>
  </si>
  <si>
    <t>-0.0113*</t>
  </si>
  <si>
    <t>-0.0102**</t>
  </si>
  <si>
    <t>lncedpi88d~e</t>
  </si>
  <si>
    <t>-0.108*</t>
  </si>
  <si>
    <t>-0.0713**</t>
  </si>
  <si>
    <t>-0.0512**</t>
  </si>
  <si>
    <t>lncedpi89d~e</t>
  </si>
  <si>
    <t>-0.0635***</t>
  </si>
  <si>
    <t>-0.0302*</t>
  </si>
  <si>
    <t>-0.0272**</t>
  </si>
  <si>
    <t>-0.0231**</t>
  </si>
  <si>
    <t>lncedpi90d~e</t>
  </si>
  <si>
    <t>-0.0904**</t>
  </si>
  <si>
    <t>-0.0616***</t>
  </si>
  <si>
    <t>-0.0387*</t>
  </si>
  <si>
    <t>-0.0391*</t>
  </si>
  <si>
    <t>-0.0301**</t>
  </si>
  <si>
    <t>-0.0288***</t>
  </si>
  <si>
    <t>lncedpi91d~e</t>
  </si>
  <si>
    <t>-0.0663*</t>
  </si>
  <si>
    <t>-0.0554***</t>
  </si>
  <si>
    <t>-0.0347*</t>
  </si>
  <si>
    <t>-0.0342**</t>
  </si>
  <si>
    <t>-0.0294***</t>
  </si>
  <si>
    <t>lncedpi92d~e</t>
  </si>
  <si>
    <t>-0.0800**</t>
  </si>
  <si>
    <t>-0.0493**</t>
  </si>
  <si>
    <t>-0.0345*</t>
  </si>
  <si>
    <t>-0.0335***</t>
  </si>
  <si>
    <t>-0.0232*</t>
  </si>
  <si>
    <t>lncedpi93d~e</t>
  </si>
  <si>
    <t>-0.0343*</t>
  </si>
  <si>
    <t>lncedpi94d~e</t>
  </si>
  <si>
    <t>-0.0288*</t>
  </si>
  <si>
    <t>lncedpi95d~e</t>
  </si>
  <si>
    <t>-0.113*</t>
  </si>
  <si>
    <t>0.0522*</t>
  </si>
  <si>
    <t>-0.0541*</t>
  </si>
  <si>
    <t>0.0333*</t>
  </si>
  <si>
    <t>lncedpi96d~e</t>
  </si>
  <si>
    <t>-0.0349**</t>
  </si>
  <si>
    <t>lntf03diff~e</t>
  </si>
  <si>
    <t>-0.0453**</t>
  </si>
  <si>
    <t>0.0431*</t>
  </si>
  <si>
    <t>lntf04diff~e</t>
  </si>
  <si>
    <t>-0.109***</t>
  </si>
  <si>
    <t>0.0491***</t>
  </si>
  <si>
    <t>aginc_back~d</t>
  </si>
  <si>
    <t>pop_backward</t>
  </si>
  <si>
    <t>pop_predict</t>
  </si>
  <si>
    <t>avwage_bac~d</t>
  </si>
  <si>
    <t>avwage_pre~t</t>
  </si>
  <si>
    <t>output_bac~d</t>
  </si>
  <si>
    <t>output_pre~t</t>
  </si>
  <si>
    <t>wagebill_b~d</t>
  </si>
  <si>
    <t>wagebill_p~t</t>
  </si>
  <si>
    <t>wageemp_ba~d</t>
  </si>
  <si>
    <t>wageemp_pr~t</t>
  </si>
  <si>
    <t>0.0270*</t>
  </si>
  <si>
    <t>0.0607*</t>
  </si>
  <si>
    <t>0.0395*</t>
  </si>
  <si>
    <t>0.0207*</t>
  </si>
  <si>
    <t>0.0263**</t>
  </si>
  <si>
    <t>0.0419***</t>
  </si>
  <si>
    <t>0.0789**</t>
  </si>
  <si>
    <t>0.0581*</t>
  </si>
  <si>
    <t>-0.0619*</t>
  </si>
  <si>
    <t>-0.0948***</t>
  </si>
  <si>
    <t>-0.0571**</t>
  </si>
  <si>
    <t>-0.0493*</t>
  </si>
  <si>
    <t>0.0846*</t>
  </si>
  <si>
    <t>0.0788**</t>
  </si>
  <si>
    <t>0.0478**</t>
  </si>
  <si>
    <t>0.0506*</t>
  </si>
  <si>
    <t>0.0990**</t>
  </si>
  <si>
    <t>-0.0478*</t>
  </si>
  <si>
    <t>0.0515*</t>
  </si>
  <si>
    <t>-0.0762**</t>
  </si>
  <si>
    <t>0.0434*</t>
  </si>
  <si>
    <t>-0.00821*</t>
  </si>
  <si>
    <t>-0.00885*</t>
  </si>
  <si>
    <t>0.0146*</t>
  </si>
  <si>
    <t>0.00952**</t>
  </si>
  <si>
    <t>0.0101**</t>
  </si>
  <si>
    <t>0.0110*</t>
  </si>
  <si>
    <t>0.00729*</t>
  </si>
  <si>
    <t>0.00909**</t>
  </si>
  <si>
    <t>-0.0134*</t>
  </si>
  <si>
    <t>-0.0114*</t>
  </si>
  <si>
    <t>-0.0120*</t>
  </si>
  <si>
    <t>-0.0116*</t>
  </si>
  <si>
    <t>-0.0124*</t>
  </si>
  <si>
    <t>-0.0900*</t>
  </si>
  <si>
    <t>-0.0522*</t>
  </si>
  <si>
    <t>-0.0414*</t>
  </si>
  <si>
    <t>-0.0258*</t>
  </si>
  <si>
    <t>-0.0299*</t>
  </si>
  <si>
    <t>-0.0416*</t>
  </si>
  <si>
    <t>-0.0544**</t>
  </si>
  <si>
    <t>-0.0650**</t>
  </si>
  <si>
    <t>-0.0729**</t>
  </si>
  <si>
    <t>-0.0589*</t>
  </si>
  <si>
    <t>-0.0407*</t>
  </si>
  <si>
    <t>0.103*</t>
  </si>
  <si>
    <t>0.0717*</t>
  </si>
  <si>
    <t>-0.0608*</t>
  </si>
  <si>
    <t>-0.0689*</t>
  </si>
  <si>
    <t>aginc_pred~t    n</t>
  </si>
  <si>
    <t xml:space="preserve">             </t>
  </si>
  <si>
    <t>nfincome_b~d    n</t>
  </si>
  <si>
    <t>nfincome_p~t    p</t>
  </si>
  <si>
    <t>percapinc_~d    p</t>
  </si>
  <si>
    <t>percapinc_~t    p</t>
  </si>
  <si>
    <t>//see results_1, there are 9 years here</t>
  </si>
  <si>
    <t>0.005</t>
  </si>
  <si>
    <t>0.003</t>
  </si>
  <si>
    <t>2/9</t>
  </si>
  <si>
    <t>0/9</t>
  </si>
  <si>
    <t>3/9</t>
  </si>
  <si>
    <t>1/9</t>
  </si>
  <si>
    <t>5/9</t>
  </si>
  <si>
    <t>6/9</t>
  </si>
  <si>
    <t>4/9</t>
  </si>
  <si>
    <t>8/9</t>
  </si>
  <si>
    <t>7/9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</si>
</sst>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0" applyFont="1"/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0</xdr:col>
      <xdr:colOff>419100</xdr:colOff>
      <xdr:row>5</xdr:row>
      <xdr:rowOff>19050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381000"/>
          <a:ext cx="41910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438150</xdr:colOff>
      <xdr:row>6</xdr:row>
      <xdr:rowOff>19050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571500"/>
          <a:ext cx="43815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438150</xdr:colOff>
      <xdr:row>7</xdr:row>
      <xdr:rowOff>19050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762000"/>
          <a:ext cx="43815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0</xdr:col>
      <xdr:colOff>114300</xdr:colOff>
      <xdr:row>8</xdr:row>
      <xdr:rowOff>19050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952500"/>
          <a:ext cx="11430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419100</xdr:colOff>
      <xdr:row>12</xdr:row>
      <xdr:rowOff>19050</xdr:rowOff>
    </xdr:to>
    <xdr:pic>
      <xdr:nvPicPr>
        <xdr:cNvPr id="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143125"/>
          <a:ext cx="41910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438150</xdr:colOff>
      <xdr:row>13</xdr:row>
      <xdr:rowOff>19050</xdr:rowOff>
    </xdr:to>
    <xdr:pic>
      <xdr:nvPicPr>
        <xdr:cNvPr id="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952500"/>
          <a:ext cx="43815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438150</xdr:colOff>
      <xdr:row>14</xdr:row>
      <xdr:rowOff>19050</xdr:rowOff>
    </xdr:to>
    <xdr:pic>
      <xdr:nvPicPr>
        <xdr:cNvPr id="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143000"/>
          <a:ext cx="43815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14</xdr:row>
      <xdr:rowOff>0</xdr:rowOff>
    </xdr:from>
    <xdr:to>
      <xdr:col>0</xdr:col>
      <xdr:colOff>114300</xdr:colOff>
      <xdr:row>15</xdr:row>
      <xdr:rowOff>19050</xdr:rowOff>
    </xdr:to>
    <xdr:pic>
      <xdr:nvPicPr>
        <xdr:cNvPr id="1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333500"/>
          <a:ext cx="11430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18</xdr:row>
      <xdr:rowOff>0</xdr:rowOff>
    </xdr:from>
    <xdr:to>
      <xdr:col>0</xdr:col>
      <xdr:colOff>419100</xdr:colOff>
      <xdr:row>19</xdr:row>
      <xdr:rowOff>19050</xdr:rowOff>
    </xdr:to>
    <xdr:pic>
      <xdr:nvPicPr>
        <xdr:cNvPr id="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143125"/>
          <a:ext cx="41910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19</xdr:row>
      <xdr:rowOff>0</xdr:rowOff>
    </xdr:from>
    <xdr:to>
      <xdr:col>0</xdr:col>
      <xdr:colOff>438150</xdr:colOff>
      <xdr:row>20</xdr:row>
      <xdr:rowOff>19050</xdr:rowOff>
    </xdr:to>
    <xdr:pic>
      <xdr:nvPicPr>
        <xdr:cNvPr id="1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333625"/>
          <a:ext cx="43815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20</xdr:row>
      <xdr:rowOff>0</xdr:rowOff>
    </xdr:from>
    <xdr:to>
      <xdr:col>0</xdr:col>
      <xdr:colOff>438150</xdr:colOff>
      <xdr:row>21</xdr:row>
      <xdr:rowOff>19050</xdr:rowOff>
    </xdr:to>
    <xdr:pic>
      <xdr:nvPicPr>
        <xdr:cNvPr id="1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524125"/>
          <a:ext cx="43815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21</xdr:row>
      <xdr:rowOff>0</xdr:rowOff>
    </xdr:from>
    <xdr:to>
      <xdr:col>0</xdr:col>
      <xdr:colOff>114300</xdr:colOff>
      <xdr:row>22</xdr:row>
      <xdr:rowOff>19050</xdr:rowOff>
    </xdr:to>
    <xdr:pic>
      <xdr:nvPicPr>
        <xdr:cNvPr id="1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714625"/>
          <a:ext cx="11430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25</xdr:row>
      <xdr:rowOff>0</xdr:rowOff>
    </xdr:from>
    <xdr:to>
      <xdr:col>0</xdr:col>
      <xdr:colOff>419100</xdr:colOff>
      <xdr:row>26</xdr:row>
      <xdr:rowOff>19050</xdr:rowOff>
    </xdr:to>
    <xdr:pic>
      <xdr:nvPicPr>
        <xdr:cNvPr id="1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3524250"/>
          <a:ext cx="41910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26</xdr:row>
      <xdr:rowOff>0</xdr:rowOff>
    </xdr:from>
    <xdr:to>
      <xdr:col>0</xdr:col>
      <xdr:colOff>438150</xdr:colOff>
      <xdr:row>27</xdr:row>
      <xdr:rowOff>19050</xdr:rowOff>
    </xdr:to>
    <xdr:pic>
      <xdr:nvPicPr>
        <xdr:cNvPr id="1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3714750"/>
          <a:ext cx="43815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27</xdr:row>
      <xdr:rowOff>0</xdr:rowOff>
    </xdr:from>
    <xdr:to>
      <xdr:col>0</xdr:col>
      <xdr:colOff>438150</xdr:colOff>
      <xdr:row>28</xdr:row>
      <xdr:rowOff>19050</xdr:rowOff>
    </xdr:to>
    <xdr:pic>
      <xdr:nvPicPr>
        <xdr:cNvPr id="1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3905250"/>
          <a:ext cx="438150" cy="2095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28</xdr:row>
      <xdr:rowOff>0</xdr:rowOff>
    </xdr:from>
    <xdr:to>
      <xdr:col>0</xdr:col>
      <xdr:colOff>114300</xdr:colOff>
      <xdr:row>29</xdr:row>
      <xdr:rowOff>19050</xdr:rowOff>
    </xdr:to>
    <xdr:pic>
      <xdr:nvPicPr>
        <xdr:cNvPr id="1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4095750"/>
          <a:ext cx="114300" cy="2095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0</xdr:col>
      <xdr:colOff>419100</xdr:colOff>
      <xdr:row>5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800100"/>
          <a:ext cx="4191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438150</xdr:colOff>
      <xdr:row>6</xdr:row>
      <xdr:rowOff>19050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000125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438150</xdr:colOff>
      <xdr:row>7</xdr:row>
      <xdr:rowOff>19050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200150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0</xdr:col>
      <xdr:colOff>114300</xdr:colOff>
      <xdr:row>8</xdr:row>
      <xdr:rowOff>19050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400175"/>
          <a:ext cx="1143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419100</xdr:colOff>
      <xdr:row>12</xdr:row>
      <xdr:rowOff>19050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238375"/>
          <a:ext cx="4191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438150</xdr:colOff>
      <xdr:row>13</xdr:row>
      <xdr:rowOff>19050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438400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438150</xdr:colOff>
      <xdr:row>14</xdr:row>
      <xdr:rowOff>19050</xdr:rowOff>
    </xdr:to>
    <xdr:pic>
      <xdr:nvPicPr>
        <xdr:cNvPr id="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638425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14</xdr:row>
      <xdr:rowOff>0</xdr:rowOff>
    </xdr:from>
    <xdr:to>
      <xdr:col>0</xdr:col>
      <xdr:colOff>114300</xdr:colOff>
      <xdr:row>15</xdr:row>
      <xdr:rowOff>19050</xdr:rowOff>
    </xdr:to>
    <xdr:pic>
      <xdr:nvPicPr>
        <xdr:cNvPr id="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2838450"/>
          <a:ext cx="1143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18</xdr:row>
      <xdr:rowOff>0</xdr:rowOff>
    </xdr:from>
    <xdr:to>
      <xdr:col>0</xdr:col>
      <xdr:colOff>419100</xdr:colOff>
      <xdr:row>19</xdr:row>
      <xdr:rowOff>19050</xdr:rowOff>
    </xdr:to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3676650"/>
          <a:ext cx="4191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19</xdr:row>
      <xdr:rowOff>0</xdr:rowOff>
    </xdr:from>
    <xdr:to>
      <xdr:col>0</xdr:col>
      <xdr:colOff>438150</xdr:colOff>
      <xdr:row>20</xdr:row>
      <xdr:rowOff>19050</xdr:rowOff>
    </xdr:to>
    <xdr:pic>
      <xdr:nvPicPr>
        <xdr:cNvPr id="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3876675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20</xdr:row>
      <xdr:rowOff>0</xdr:rowOff>
    </xdr:from>
    <xdr:to>
      <xdr:col>0</xdr:col>
      <xdr:colOff>438150</xdr:colOff>
      <xdr:row>21</xdr:row>
      <xdr:rowOff>19050</xdr:rowOff>
    </xdr:to>
    <xdr:pic>
      <xdr:nvPicPr>
        <xdr:cNvPr id="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4076700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21</xdr:row>
      <xdr:rowOff>0</xdr:rowOff>
    </xdr:from>
    <xdr:to>
      <xdr:col>0</xdr:col>
      <xdr:colOff>114300</xdr:colOff>
      <xdr:row>22</xdr:row>
      <xdr:rowOff>19050</xdr:rowOff>
    </xdr:to>
    <xdr:pic>
      <xdr:nvPicPr>
        <xdr:cNvPr id="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4276725"/>
          <a:ext cx="1143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25</xdr:row>
      <xdr:rowOff>0</xdr:rowOff>
    </xdr:from>
    <xdr:to>
      <xdr:col>0</xdr:col>
      <xdr:colOff>419100</xdr:colOff>
      <xdr:row>26</xdr:row>
      <xdr:rowOff>19050</xdr:rowOff>
    </xdr:to>
    <xdr:pic>
      <xdr:nvPicPr>
        <xdr:cNvPr id="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5114925"/>
          <a:ext cx="4191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26</xdr:row>
      <xdr:rowOff>0</xdr:rowOff>
    </xdr:from>
    <xdr:to>
      <xdr:col>0</xdr:col>
      <xdr:colOff>438150</xdr:colOff>
      <xdr:row>27</xdr:row>
      <xdr:rowOff>19050</xdr:rowOff>
    </xdr:to>
    <xdr:pic>
      <xdr:nvPicPr>
        <xdr:cNvPr id="1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5314950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27</xdr:row>
      <xdr:rowOff>0</xdr:rowOff>
    </xdr:from>
    <xdr:to>
      <xdr:col>0</xdr:col>
      <xdr:colOff>438150</xdr:colOff>
      <xdr:row>28</xdr:row>
      <xdr:rowOff>19050</xdr:rowOff>
    </xdr:to>
    <xdr:pic>
      <xdr:nvPicPr>
        <xdr:cNvPr id="1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5514975"/>
          <a:ext cx="43815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28</xdr:row>
      <xdr:rowOff>0</xdr:rowOff>
    </xdr:from>
    <xdr:to>
      <xdr:col>0</xdr:col>
      <xdr:colOff>114300</xdr:colOff>
      <xdr:row>29</xdr:row>
      <xdr:rowOff>19050</xdr:rowOff>
    </xdr:to>
    <xdr:pic>
      <xdr:nvPicPr>
        <xdr:cNvPr id="1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5715000"/>
          <a:ext cx="114300" cy="2190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28</xdr:row>
      <xdr:rowOff>0</xdr:rowOff>
    </xdr:from>
    <xdr:to>
      <xdr:col>0</xdr:col>
      <xdr:colOff>114300</xdr:colOff>
      <xdr:row>29</xdr:row>
      <xdr:rowOff>19050</xdr:rowOff>
    </xdr:to>
    <xdr:pic>
      <xdr:nvPicPr>
        <xdr:cNvPr id="1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4276725"/>
          <a:ext cx="114300" cy="2190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"/>
  <sheetViews>
    <sheetView tabSelected="1" workbookViewId="0">
      <selection activeCell="N33" sqref="N33"/>
    </sheetView>
  </sheetViews>
  <sheetFormatPr defaultRowHeight="15" x14ac:dyDescent="0.25"/>
  <cols>
    <col min="1" max="1" width="20" customWidth="1"/>
    <col min="4" max="4" width="3" customWidth="1"/>
    <col min="7" max="7" width="3" customWidth="1"/>
    <col min="10" max="10" width="3.7109375" customWidth="1"/>
    <col min="13" max="13" width="2.85546875" customWidth="1"/>
    <col min="16" max="16" width="2.42578125" customWidth="1"/>
    <col min="18" max="18" width="9.7109375" customWidth="1"/>
    <col min="19" max="19" width="2.140625" customWidth="1"/>
    <col min="22" max="22" width="2.5703125" customWidth="1"/>
    <col min="25" max="25" width="2.85546875" customWidth="1"/>
    <col min="28" max="28" width="3.85546875" customWidth="1"/>
    <col min="31" max="31" width="3" customWidth="1"/>
  </cols>
  <sheetData>
    <row r="1" spans="1:33" ht="15.75" x14ac:dyDescent="0.25">
      <c r="A1" s="1" t="s">
        <v>52</v>
      </c>
    </row>
    <row r="2" spans="1:33" s="6" customFormat="1" ht="15.75" x14ac:dyDescent="0.25">
      <c r="B2" s="8" t="s">
        <v>8</v>
      </c>
      <c r="C2" s="8"/>
      <c r="D2" s="3"/>
      <c r="E2" s="8" t="s">
        <v>9</v>
      </c>
      <c r="F2" s="8"/>
      <c r="G2" s="3"/>
      <c r="H2" s="8" t="s">
        <v>10</v>
      </c>
      <c r="I2" s="8"/>
      <c r="K2" s="8" t="s">
        <v>11</v>
      </c>
      <c r="L2" s="8"/>
      <c r="M2" s="3"/>
      <c r="N2" s="8" t="s">
        <v>12</v>
      </c>
      <c r="O2" s="8"/>
      <c r="P2" s="3"/>
      <c r="Q2" s="8" t="s">
        <v>15</v>
      </c>
      <c r="R2" s="8"/>
      <c r="T2" s="8" t="s">
        <v>13</v>
      </c>
      <c r="U2" s="8"/>
      <c r="W2" s="8" t="s">
        <v>14</v>
      </c>
      <c r="X2" s="8"/>
      <c r="Z2" s="9" t="s">
        <v>17</v>
      </c>
      <c r="AA2" s="9"/>
      <c r="AC2" s="9" t="s">
        <v>16</v>
      </c>
      <c r="AD2" s="9"/>
      <c r="AF2" s="8" t="s">
        <v>18</v>
      </c>
      <c r="AG2" s="8"/>
    </row>
    <row r="3" spans="1:33" ht="15.75" x14ac:dyDescent="0.25">
      <c r="A3" s="1" t="s">
        <v>0</v>
      </c>
      <c r="B3" s="3" t="s">
        <v>1</v>
      </c>
      <c r="C3" s="3" t="s">
        <v>2</v>
      </c>
      <c r="D3" s="1"/>
      <c r="E3" s="1" t="s">
        <v>1</v>
      </c>
      <c r="F3" s="1" t="s">
        <v>2</v>
      </c>
      <c r="G3" s="1"/>
      <c r="H3" s="1" t="s">
        <v>1</v>
      </c>
      <c r="I3" s="1" t="s">
        <v>2</v>
      </c>
      <c r="K3" s="1" t="s">
        <v>1</v>
      </c>
      <c r="L3" s="1" t="s">
        <v>2</v>
      </c>
      <c r="M3" s="1"/>
      <c r="N3" s="1" t="s">
        <v>1</v>
      </c>
      <c r="O3" s="1" t="s">
        <v>2</v>
      </c>
      <c r="P3" s="1"/>
      <c r="Q3" s="1" t="s">
        <v>1</v>
      </c>
      <c r="R3" s="1" t="s">
        <v>2</v>
      </c>
      <c r="T3" s="1" t="s">
        <v>1</v>
      </c>
      <c r="U3" s="1" t="s">
        <v>2</v>
      </c>
      <c r="W3" s="1" t="s">
        <v>1</v>
      </c>
      <c r="X3" s="1" t="s">
        <v>2</v>
      </c>
      <c r="Z3" s="1" t="s">
        <v>1</v>
      </c>
      <c r="AA3" s="1" t="s">
        <v>2</v>
      </c>
      <c r="AC3" s="1" t="s">
        <v>1</v>
      </c>
      <c r="AD3" s="1" t="s">
        <v>2</v>
      </c>
      <c r="AF3" s="1" t="s">
        <v>1</v>
      </c>
      <c r="AG3" s="1" t="s">
        <v>2</v>
      </c>
    </row>
    <row r="4" spans="1:33" ht="15.75" x14ac:dyDescent="0.25">
      <c r="A4" s="1" t="s">
        <v>3</v>
      </c>
      <c r="B4" s="3"/>
      <c r="C4" s="3"/>
      <c r="D4" s="1"/>
      <c r="E4" s="1"/>
      <c r="F4" s="1"/>
      <c r="G4" s="1"/>
      <c r="H4" s="1"/>
      <c r="I4" s="1"/>
      <c r="K4" t="s">
        <v>299</v>
      </c>
    </row>
    <row r="5" spans="1:33" ht="15.75" x14ac:dyDescent="0.25">
      <c r="A5" s="1"/>
      <c r="B5" s="4" t="s">
        <v>19</v>
      </c>
      <c r="C5" s="4" t="s">
        <v>20</v>
      </c>
      <c r="D5" s="15"/>
      <c r="E5" s="4" t="s">
        <v>24</v>
      </c>
      <c r="F5" s="4" t="s">
        <v>24</v>
      </c>
      <c r="G5" s="15"/>
      <c r="H5" s="4" t="s">
        <v>28</v>
      </c>
      <c r="I5" s="4" t="s">
        <v>29</v>
      </c>
      <c r="J5" s="15"/>
      <c r="K5" s="4" t="s">
        <v>303</v>
      </c>
      <c r="L5" s="4" t="s">
        <v>302</v>
      </c>
      <c r="M5" s="15"/>
      <c r="N5" s="4" t="s">
        <v>40</v>
      </c>
      <c r="O5" s="4" t="s">
        <v>39</v>
      </c>
      <c r="P5" s="15"/>
      <c r="Q5" s="4" t="s">
        <v>41</v>
      </c>
      <c r="R5" s="4" t="s">
        <v>42</v>
      </c>
      <c r="S5" s="15"/>
      <c r="T5" s="4" t="s">
        <v>44</v>
      </c>
      <c r="U5" s="4" t="s">
        <v>45</v>
      </c>
      <c r="V5" s="15"/>
      <c r="W5" s="4" t="s">
        <v>42</v>
      </c>
      <c r="X5" s="4" t="s">
        <v>43</v>
      </c>
      <c r="Y5" s="15"/>
      <c r="Z5" s="4" t="s">
        <v>43</v>
      </c>
      <c r="AA5" s="4" t="s">
        <v>41</v>
      </c>
      <c r="AB5" s="15"/>
      <c r="AC5" s="4" t="s">
        <v>27</v>
      </c>
      <c r="AD5" s="4" t="s">
        <v>25</v>
      </c>
      <c r="AE5" s="15"/>
      <c r="AF5" s="4" t="s">
        <v>41</v>
      </c>
      <c r="AG5" s="4" t="s">
        <v>41</v>
      </c>
    </row>
    <row r="6" spans="1:33" ht="15.75" x14ac:dyDescent="0.25">
      <c r="A6" s="1"/>
      <c r="B6" s="4" t="s">
        <v>21</v>
      </c>
      <c r="C6" s="4" t="s">
        <v>22</v>
      </c>
      <c r="D6" s="15"/>
      <c r="E6" s="4" t="s">
        <v>24</v>
      </c>
      <c r="F6" s="4" t="s">
        <v>24</v>
      </c>
      <c r="G6" s="15"/>
      <c r="H6" s="4" t="s">
        <v>30</v>
      </c>
      <c r="I6" s="4" t="s">
        <v>31</v>
      </c>
      <c r="J6" s="15"/>
      <c r="K6" s="4" t="s">
        <v>303</v>
      </c>
      <c r="L6" s="4" t="s">
        <v>305</v>
      </c>
      <c r="M6" s="15"/>
      <c r="N6" s="4" t="s">
        <v>40</v>
      </c>
      <c r="O6" s="4" t="s">
        <v>39</v>
      </c>
      <c r="P6" s="15"/>
      <c r="Q6" s="4" t="s">
        <v>41</v>
      </c>
      <c r="R6" s="4" t="s">
        <v>41</v>
      </c>
      <c r="S6" s="15"/>
      <c r="T6" s="4" t="s">
        <v>47</v>
      </c>
      <c r="U6" s="4" t="s">
        <v>48</v>
      </c>
      <c r="V6" s="15"/>
      <c r="W6" s="4" t="s">
        <v>42</v>
      </c>
      <c r="X6" s="4" t="s">
        <v>41</v>
      </c>
      <c r="Y6" s="15"/>
      <c r="Z6" s="4" t="s">
        <v>41</v>
      </c>
      <c r="AA6" s="4" t="s">
        <v>41</v>
      </c>
      <c r="AB6" s="15"/>
      <c r="AC6" s="4" t="s">
        <v>24</v>
      </c>
      <c r="AD6" s="4" t="s">
        <v>24</v>
      </c>
      <c r="AE6" s="15"/>
      <c r="AF6" s="4" t="s">
        <v>41</v>
      </c>
      <c r="AG6" s="4" t="s">
        <v>41</v>
      </c>
    </row>
    <row r="7" spans="1:33" ht="15.75" x14ac:dyDescent="0.25">
      <c r="A7" s="1"/>
      <c r="B7" s="4" t="s">
        <v>22</v>
      </c>
      <c r="C7" s="4" t="s">
        <v>22</v>
      </c>
      <c r="D7" s="15"/>
      <c r="E7" s="4" t="s">
        <v>25</v>
      </c>
      <c r="F7" s="4" t="s">
        <v>25</v>
      </c>
      <c r="G7" s="15"/>
      <c r="H7" s="4" t="s">
        <v>30</v>
      </c>
      <c r="I7" s="4" t="s">
        <v>32</v>
      </c>
      <c r="J7" s="15"/>
      <c r="K7" s="4" t="s">
        <v>307</v>
      </c>
      <c r="L7" s="4" t="s">
        <v>302</v>
      </c>
      <c r="M7" s="15"/>
      <c r="N7" s="4" t="s">
        <v>39</v>
      </c>
      <c r="O7" s="4" t="s">
        <v>39</v>
      </c>
      <c r="P7" s="15"/>
      <c r="Q7" s="4" t="s">
        <v>41</v>
      </c>
      <c r="R7" s="4" t="s">
        <v>41</v>
      </c>
      <c r="S7" s="15"/>
      <c r="T7" s="4" t="s">
        <v>49</v>
      </c>
      <c r="U7" s="4" t="s">
        <v>49</v>
      </c>
      <c r="V7" s="15"/>
      <c r="W7" s="4" t="s">
        <v>41</v>
      </c>
      <c r="X7" s="4" t="s">
        <v>43</v>
      </c>
      <c r="Y7" s="15"/>
      <c r="Z7" s="4" t="s">
        <v>41</v>
      </c>
      <c r="AA7" s="4" t="s">
        <v>41</v>
      </c>
      <c r="AB7" s="15"/>
      <c r="AC7" s="4" t="s">
        <v>24</v>
      </c>
      <c r="AD7" s="4" t="s">
        <v>27</v>
      </c>
      <c r="AE7" s="15"/>
      <c r="AF7" s="4" t="s">
        <v>41</v>
      </c>
      <c r="AG7" s="4" t="s">
        <v>41</v>
      </c>
    </row>
    <row r="8" spans="1:33" ht="15.75" x14ac:dyDescent="0.25">
      <c r="A8" s="1"/>
      <c r="B8" s="5">
        <f>(0.0504+0.0826+0.0478+0.0134)/4</f>
        <v>4.8550000000000003E-2</v>
      </c>
      <c r="C8" s="5">
        <f>(0.0175-0.0166-0.01243+0.0288)/4</f>
        <v>4.3175000000000002E-3</v>
      </c>
      <c r="D8" s="15"/>
      <c r="E8" s="5">
        <f>(-0.00732-0.00591-0.0206-0.0182-0.0272)/5</f>
        <v>-1.5845999999999999E-2</v>
      </c>
      <c r="F8" s="5">
        <f>(-0.0243-0.0145-0.036-0.0411-0.00794)/5</f>
        <v>-2.4768000000000002E-2</v>
      </c>
      <c r="G8" s="15"/>
      <c r="H8" s="5">
        <f>(0.00972-0.00205-0.000905-0.00067-0.00975-0.0135-0.018-0.0242-0.00982+0.00831)/10</f>
        <v>-6.0864999999999999E-3</v>
      </c>
      <c r="I8" s="5">
        <f>(-0.0149-0.0193-0.0257-0.0145+0.00757-0.00139+0.0174+0.0248+0.0249+0.0181)/10</f>
        <v>1.6979999999999994E-3</v>
      </c>
      <c r="J8" s="15"/>
      <c r="K8" s="5">
        <v>-5.0880000000000002E-2</v>
      </c>
      <c r="L8" s="5">
        <v>-2.9134285714285717E-2</v>
      </c>
      <c r="M8" s="15"/>
      <c r="N8" s="5">
        <v>2.5100000000000001E-2</v>
      </c>
      <c r="O8" s="5">
        <v>-1.4999999999999999E-2</v>
      </c>
      <c r="P8" s="15"/>
      <c r="Q8" s="5">
        <f>(-0.00232-0.0133)/2</f>
        <v>-7.8099999999999992E-3</v>
      </c>
      <c r="R8" s="5">
        <f>(0.00735+0.0362)/2</f>
        <v>2.1775000000000003E-2</v>
      </c>
      <c r="S8" s="15"/>
      <c r="T8" s="5">
        <f>(0.00935+0.0584+0.0227+0.0479+0.0311+0.0658-0.0101)/7</f>
        <v>3.2164285714285715E-2</v>
      </c>
      <c r="U8" s="5">
        <f>(0.224+0.0196+0.118+0.0542+0.0285+0.0164+0.0608)/7</f>
        <v>7.4500000000000011E-2</v>
      </c>
      <c r="V8" s="15"/>
      <c r="W8" s="5">
        <f>(0.0719+0.0712)/2</f>
        <v>7.1550000000000002E-2</v>
      </c>
      <c r="X8" s="5">
        <f>(0.0162-0.0487)/2</f>
        <v>-1.6250000000000001E-2</v>
      </c>
      <c r="Y8" s="15"/>
      <c r="Z8" s="5">
        <f>(0.0826-0.0495)/2</f>
        <v>1.6550000000000002E-2</v>
      </c>
      <c r="AA8" s="5">
        <f>(-0.077-0.011)/2</f>
        <v>-4.3999999999999997E-2</v>
      </c>
      <c r="AB8" s="15"/>
      <c r="AC8" s="5">
        <f>-(0.0276-0.00682+0.0428+0.0525+0.0496)/5</f>
        <v>-3.3135999999999999E-2</v>
      </c>
      <c r="AD8" s="5">
        <f>-(0.078+0.0315-0.0132-0.00965-0.00368)/5</f>
        <v>-1.6593999999999998E-2</v>
      </c>
      <c r="AE8" s="15"/>
      <c r="AF8" s="5">
        <f>(-0.0325-0.0457)/2</f>
        <v>-3.9099999999999996E-2</v>
      </c>
      <c r="AG8" s="5">
        <f>(-0.0293-0.0765)/2</f>
        <v>-5.2900000000000003E-2</v>
      </c>
    </row>
    <row r="9" spans="1:33" ht="18.75" x14ac:dyDescent="0.25">
      <c r="A9" s="1" t="s">
        <v>7</v>
      </c>
      <c r="B9" s="5">
        <v>4.7499999999999999E-3</v>
      </c>
      <c r="C9" s="5">
        <v>1.25E-3</v>
      </c>
      <c r="D9" s="13"/>
      <c r="E9" s="5">
        <v>1.0600000000000002E-2</v>
      </c>
      <c r="F9" s="13">
        <v>2.6200000000000001E-2</v>
      </c>
      <c r="G9" s="13"/>
      <c r="H9" s="5">
        <v>6.7000000000000002E-3</v>
      </c>
      <c r="I9" s="5">
        <v>1.67E-2</v>
      </c>
      <c r="J9" s="13"/>
      <c r="K9" s="5">
        <v>1.7666666666666667E-2</v>
      </c>
      <c r="L9" s="5">
        <v>1.0333333333333337E-2</v>
      </c>
      <c r="M9" s="13"/>
      <c r="N9" s="5">
        <v>1.9E-2</v>
      </c>
      <c r="O9" s="5">
        <v>5.0000000000000001E-3</v>
      </c>
      <c r="P9" s="13"/>
      <c r="Q9" s="5">
        <v>0</v>
      </c>
      <c r="R9" s="5">
        <v>1.5E-3</v>
      </c>
      <c r="S9" s="13"/>
      <c r="T9" s="5">
        <v>5.7142857142857134E-3</v>
      </c>
      <c r="U9" s="5">
        <v>1.3857142857142858E-2</v>
      </c>
      <c r="V9" s="13"/>
      <c r="W9" s="5">
        <v>1.6500000000000001E-2</v>
      </c>
      <c r="X9" s="5">
        <v>3.5000000000000001E-3</v>
      </c>
      <c r="Y9" s="13"/>
      <c r="Z9" s="5">
        <v>6.0000000000000001E-3</v>
      </c>
      <c r="AA9" s="5">
        <v>3.0000000000000001E-3</v>
      </c>
      <c r="AB9" s="13"/>
      <c r="AC9" s="5">
        <v>5.2000000000000006E-3</v>
      </c>
      <c r="AD9" s="5">
        <v>5.4000000000000003E-3</v>
      </c>
      <c r="AE9" s="13"/>
      <c r="AF9" s="13">
        <v>3.0000000000000001E-3</v>
      </c>
      <c r="AG9" s="13">
        <v>6.4999999999999997E-3</v>
      </c>
    </row>
    <row r="10" spans="1:33" ht="15.75" x14ac:dyDescent="0.25">
      <c r="A10" s="1"/>
      <c r="B10" s="4"/>
      <c r="C10" s="4"/>
      <c r="D10" s="15"/>
      <c r="E10" s="4"/>
      <c r="F10" s="4"/>
      <c r="G10" s="15"/>
      <c r="H10" s="4"/>
      <c r="I10" s="4"/>
      <c r="J10" s="15"/>
      <c r="K10" s="4"/>
      <c r="L10" s="4"/>
      <c r="M10" s="15"/>
      <c r="N10" s="4"/>
      <c r="O10" s="4"/>
      <c r="P10" s="15"/>
      <c r="Q10" s="4"/>
      <c r="R10" s="4"/>
      <c r="S10" s="15"/>
      <c r="T10" s="4"/>
      <c r="U10" s="4"/>
      <c r="V10" s="15"/>
      <c r="W10" s="4"/>
      <c r="X10" s="4"/>
      <c r="Y10" s="15"/>
      <c r="Z10" s="4"/>
      <c r="AA10" s="4"/>
      <c r="AB10" s="15"/>
      <c r="AC10" s="4"/>
      <c r="AD10" s="4"/>
      <c r="AE10" s="15"/>
      <c r="AF10" s="4"/>
      <c r="AG10" s="4"/>
    </row>
    <row r="11" spans="1:33" ht="15.75" x14ac:dyDescent="0.25">
      <c r="A11" s="1" t="s">
        <v>4</v>
      </c>
      <c r="B11" s="4"/>
      <c r="C11" s="4"/>
      <c r="D11" s="15"/>
      <c r="E11" s="4"/>
      <c r="F11" s="4"/>
      <c r="G11" s="15"/>
      <c r="H11" s="4"/>
      <c r="I11" s="4"/>
      <c r="J11" s="15"/>
      <c r="K11" s="4"/>
      <c r="L11" s="4"/>
      <c r="M11" s="15"/>
      <c r="N11" s="4"/>
      <c r="O11" s="4"/>
      <c r="P11" s="15"/>
      <c r="Q11" s="4"/>
      <c r="R11" s="4"/>
      <c r="S11" s="15"/>
      <c r="T11" s="4"/>
      <c r="U11" s="4"/>
      <c r="V11" s="15"/>
      <c r="W11" s="4"/>
      <c r="X11" s="4"/>
      <c r="Y11" s="15"/>
      <c r="Z11" s="4"/>
      <c r="AA11" s="4"/>
      <c r="AB11" s="15"/>
      <c r="AC11" s="4"/>
      <c r="AD11" s="4"/>
      <c r="AE11" s="15"/>
      <c r="AF11" s="4"/>
      <c r="AG11" s="4"/>
    </row>
    <row r="12" spans="1:33" ht="15.75" x14ac:dyDescent="0.25">
      <c r="A12" s="1"/>
      <c r="B12" s="4" t="s">
        <v>23</v>
      </c>
      <c r="C12" s="4" t="s">
        <v>21</v>
      </c>
      <c r="D12" s="15"/>
      <c r="E12" s="4" t="s">
        <v>24</v>
      </c>
      <c r="F12" s="4" t="s">
        <v>24</v>
      </c>
      <c r="G12" s="15"/>
      <c r="H12" s="4" t="s">
        <v>29</v>
      </c>
      <c r="I12" s="4" t="s">
        <v>33</v>
      </c>
      <c r="J12" s="15"/>
      <c r="K12" s="4" t="s">
        <v>303</v>
      </c>
      <c r="L12" s="4" t="s">
        <v>305</v>
      </c>
      <c r="M12" s="15"/>
      <c r="N12" s="4" t="s">
        <v>40</v>
      </c>
      <c r="O12" s="4" t="s">
        <v>40</v>
      </c>
      <c r="P12" s="15"/>
      <c r="Q12" s="4" t="s">
        <v>41</v>
      </c>
      <c r="R12" s="4" t="s">
        <v>42</v>
      </c>
      <c r="S12" s="15"/>
      <c r="T12" s="4" t="s">
        <v>48</v>
      </c>
      <c r="U12" s="4" t="s">
        <v>45</v>
      </c>
      <c r="V12" s="15"/>
      <c r="W12" s="4" t="s">
        <v>42</v>
      </c>
      <c r="X12" s="4" t="s">
        <v>41</v>
      </c>
      <c r="Y12" s="15"/>
      <c r="Z12" s="4" t="s">
        <v>42</v>
      </c>
      <c r="AA12" s="4" t="s">
        <v>43</v>
      </c>
      <c r="AB12" s="15"/>
      <c r="AC12" s="4" t="s">
        <v>37</v>
      </c>
      <c r="AD12" s="4" t="s">
        <v>37</v>
      </c>
      <c r="AE12" s="15"/>
      <c r="AF12" s="4" t="s">
        <v>42</v>
      </c>
      <c r="AG12" s="4" t="s">
        <v>43</v>
      </c>
    </row>
    <row r="13" spans="1:33" ht="15.75" x14ac:dyDescent="0.25">
      <c r="A13" s="1"/>
      <c r="B13" s="4" t="s">
        <v>21</v>
      </c>
      <c r="C13" s="4" t="s">
        <v>22</v>
      </c>
      <c r="D13" s="15"/>
      <c r="E13" s="4" t="s">
        <v>24</v>
      </c>
      <c r="F13" s="4" t="s">
        <v>24</v>
      </c>
      <c r="G13" s="15"/>
      <c r="H13" s="4" t="s">
        <v>32</v>
      </c>
      <c r="I13" s="4" t="s">
        <v>32</v>
      </c>
      <c r="J13" s="15"/>
      <c r="K13" s="4" t="s">
        <v>303</v>
      </c>
      <c r="L13" s="4" t="s">
        <v>303</v>
      </c>
      <c r="M13" s="15"/>
      <c r="N13" s="4" t="s">
        <v>40</v>
      </c>
      <c r="O13" s="4" t="s">
        <v>39</v>
      </c>
      <c r="P13" s="15"/>
      <c r="Q13" s="4" t="s">
        <v>41</v>
      </c>
      <c r="R13" s="4" t="s">
        <v>41</v>
      </c>
      <c r="S13" s="15"/>
      <c r="T13" s="4" t="s">
        <v>47</v>
      </c>
      <c r="U13" s="4" t="s">
        <v>44</v>
      </c>
      <c r="V13" s="15"/>
      <c r="W13" s="4" t="s">
        <v>43</v>
      </c>
      <c r="X13" s="4" t="s">
        <v>41</v>
      </c>
      <c r="Y13" s="15"/>
      <c r="Z13" s="4" t="s">
        <v>43</v>
      </c>
      <c r="AA13" s="4" t="s">
        <v>41</v>
      </c>
      <c r="AB13" s="15"/>
      <c r="AC13" s="4" t="s">
        <v>27</v>
      </c>
      <c r="AD13" s="4" t="s">
        <v>26</v>
      </c>
      <c r="AE13" s="15"/>
      <c r="AF13" s="4" t="s">
        <v>41</v>
      </c>
      <c r="AG13" s="4" t="s">
        <v>41</v>
      </c>
    </row>
    <row r="14" spans="1:33" ht="15.75" x14ac:dyDescent="0.25">
      <c r="A14" s="1"/>
      <c r="B14" s="4" t="s">
        <v>22</v>
      </c>
      <c r="C14" s="4" t="s">
        <v>22</v>
      </c>
      <c r="D14" s="15"/>
      <c r="E14" s="4" t="s">
        <v>25</v>
      </c>
      <c r="F14" s="4" t="s">
        <v>26</v>
      </c>
      <c r="G14" s="15"/>
      <c r="H14" s="4" t="s">
        <v>30</v>
      </c>
      <c r="I14" s="4" t="s">
        <v>30</v>
      </c>
      <c r="J14" s="15"/>
      <c r="K14" s="4" t="s">
        <v>306</v>
      </c>
      <c r="L14" s="4" t="s">
        <v>308</v>
      </c>
      <c r="M14" s="15"/>
      <c r="N14" s="4" t="s">
        <v>39</v>
      </c>
      <c r="O14" s="4" t="s">
        <v>39</v>
      </c>
      <c r="P14" s="15"/>
      <c r="Q14" s="4" t="s">
        <v>43</v>
      </c>
      <c r="R14" s="4" t="s">
        <v>41</v>
      </c>
      <c r="S14" s="15"/>
      <c r="T14" s="4" t="s">
        <v>49</v>
      </c>
      <c r="U14" s="4" t="s">
        <v>49</v>
      </c>
      <c r="V14" s="15"/>
      <c r="W14" s="4" t="s">
        <v>41</v>
      </c>
      <c r="X14" s="4" t="s">
        <v>43</v>
      </c>
      <c r="Y14" s="15"/>
      <c r="Z14" s="4" t="s">
        <v>41</v>
      </c>
      <c r="AA14" s="4" t="s">
        <v>41</v>
      </c>
      <c r="AB14" s="15"/>
      <c r="AC14" s="4" t="s">
        <v>24</v>
      </c>
      <c r="AD14" s="4" t="s">
        <v>24</v>
      </c>
      <c r="AE14" s="15"/>
      <c r="AF14" s="4" t="s">
        <v>41</v>
      </c>
      <c r="AG14" s="4" t="s">
        <v>41</v>
      </c>
    </row>
    <row r="15" spans="1:33" ht="15.75" x14ac:dyDescent="0.25">
      <c r="A15" s="1"/>
      <c r="B15" s="5">
        <f>(0.072+0.0295+0.0455-0.0177)/4</f>
        <v>3.2325E-2</v>
      </c>
      <c r="C15" s="5">
        <f>(-0.0115-0.0132-0.00717+0.0227)/4</f>
        <v>-2.2925000000000003E-3</v>
      </c>
      <c r="D15" s="15"/>
      <c r="E15" s="5">
        <f>(-0.00609-0.009-0.0192-0.0213-0.00965)/5</f>
        <v>-1.3048000000000001E-2</v>
      </c>
      <c r="F15" s="5">
        <f>(-0.0135-0.00652-0.0168-0.0211-0.0149)/5</f>
        <v>-1.4563999999999999E-2</v>
      </c>
      <c r="G15" s="15"/>
      <c r="H15" s="5">
        <f>(0.00228-0.00141-0.0000979-0.00281-0.00394-0.00729+0.000527+0.00113+0.00605+0.0113)/10</f>
        <v>5.7390999999999985E-4</v>
      </c>
      <c r="I15" s="5">
        <f>(-0.00896+0.0000208-0.00176+0.00526+0.00721+0.00629+0.00538+0.00736+0.00592+0.00875)/10</f>
        <v>3.5470800000000002E-3</v>
      </c>
      <c r="J15" s="15"/>
      <c r="K15" s="5">
        <v>-3.5775000000000001E-2</v>
      </c>
      <c r="L15" s="5">
        <v>-1.7893000000000003E-2</v>
      </c>
      <c r="M15" s="15"/>
      <c r="N15" s="5">
        <v>1.0200000000000001E-2</v>
      </c>
      <c r="O15" s="5">
        <v>-3.81E-3</v>
      </c>
      <c r="P15" s="15"/>
      <c r="Q15" s="5">
        <f>(-0.0303-0.0483)/2</f>
        <v>-3.9300000000000002E-2</v>
      </c>
      <c r="R15" s="5">
        <f>(0.0103+0.0175)/2</f>
        <v>1.3900000000000001E-2</v>
      </c>
      <c r="S15" s="15"/>
      <c r="T15" s="5">
        <f>(0.119+0.0437+0.0349-0.000788-0.00532+0.011-0.00438)/7</f>
        <v>2.8301714285714288E-2</v>
      </c>
      <c r="U15" s="5">
        <f>(0.0353+0.0197+0.0735+0.065+0.0484+0.0375+0.0654)/7</f>
        <v>4.9257142857142854E-2</v>
      </c>
      <c r="V15" s="15"/>
      <c r="W15" s="5">
        <f>(0.0263+0.072)/2</f>
        <v>4.9149999999999999E-2</v>
      </c>
      <c r="X15" s="5">
        <f>(-0.00131-0.0394)/2</f>
        <v>-2.0354999999999998E-2</v>
      </c>
      <c r="Y15" s="15"/>
      <c r="Z15" s="5">
        <f>(0.0914+0.0216)/2</f>
        <v>5.6499999999999995E-2</v>
      </c>
      <c r="AA15" s="5">
        <f>(0.0237-0.0158)/2</f>
        <v>3.9499999999999987E-3</v>
      </c>
      <c r="AB15" s="15"/>
      <c r="AC15" s="5">
        <f>-(-0.0236-0.0112-0.00258-0.0218-0.0418)/5</f>
        <v>2.0195999999999999E-2</v>
      </c>
      <c r="AD15" s="5">
        <f>-(-0.0523-0.0687-0.0715-0.0551-0.00269)/5</f>
        <v>5.0058000000000005E-2</v>
      </c>
      <c r="AE15" s="15"/>
      <c r="AF15" s="5">
        <f>(0.0404+0.0438)/2</f>
        <v>4.2099999999999999E-2</v>
      </c>
      <c r="AG15" s="5">
        <f>(0.0233-0.0261)/2</f>
        <v>-1.4000000000000002E-3</v>
      </c>
    </row>
    <row r="16" spans="1:33" ht="18.75" x14ac:dyDescent="0.25">
      <c r="A16" s="1" t="s">
        <v>7</v>
      </c>
      <c r="B16" s="5">
        <v>1.15E-2</v>
      </c>
      <c r="C16" s="5">
        <v>1.25E-3</v>
      </c>
      <c r="D16" s="13"/>
      <c r="E16" s="5">
        <v>1.44E-2</v>
      </c>
      <c r="F16" s="5">
        <v>2.1999999999999999E-2</v>
      </c>
      <c r="G16" s="13"/>
      <c r="H16" s="5">
        <v>3.0000000000000001E-3</v>
      </c>
      <c r="I16" s="5">
        <v>4.7000000000000002E-3</v>
      </c>
      <c r="J16" s="13"/>
      <c r="K16" s="5">
        <v>2.3555555555555562E-2</v>
      </c>
      <c r="L16" s="5">
        <v>8.1111111111111123E-3</v>
      </c>
      <c r="M16" s="13"/>
      <c r="N16" s="5">
        <v>0.01</v>
      </c>
      <c r="O16" s="5">
        <v>1E-3</v>
      </c>
      <c r="P16" s="13"/>
      <c r="Q16" s="5">
        <v>0.01</v>
      </c>
      <c r="R16" s="5">
        <v>1.5E-3</v>
      </c>
      <c r="S16" s="13"/>
      <c r="T16" s="5">
        <v>8.9999999999999993E-3</v>
      </c>
      <c r="U16" s="5">
        <v>2.9857142857142856E-2</v>
      </c>
      <c r="V16" s="13"/>
      <c r="W16" s="5">
        <v>3.5000000000000001E-3</v>
      </c>
      <c r="X16" s="5">
        <v>4.4999999999999997E-3</v>
      </c>
      <c r="Y16" s="13"/>
      <c r="Z16" s="5">
        <v>1.15E-2</v>
      </c>
      <c r="AA16" s="5">
        <v>3.0000000000000001E-3</v>
      </c>
      <c r="AB16" s="13"/>
      <c r="AC16" s="5">
        <v>5.4000000000000003E-3</v>
      </c>
      <c r="AD16" s="5">
        <v>2.7400000000000001E-2</v>
      </c>
      <c r="AE16" s="13"/>
      <c r="AF16" s="5">
        <v>1.0999999999999999E-2</v>
      </c>
      <c r="AG16" s="5">
        <v>3.5000000000000001E-3</v>
      </c>
    </row>
    <row r="17" spans="1:33" ht="15.75" x14ac:dyDescent="0.25">
      <c r="A17" s="1"/>
      <c r="B17" s="4"/>
      <c r="C17" s="4"/>
      <c r="D17" s="15"/>
      <c r="E17" s="4"/>
      <c r="F17" s="4"/>
      <c r="G17" s="15"/>
      <c r="H17" s="4"/>
      <c r="I17" s="4"/>
      <c r="J17" s="15"/>
      <c r="K17" s="4"/>
      <c r="L17" s="4"/>
      <c r="M17" s="15"/>
      <c r="N17" s="4"/>
      <c r="O17" s="4"/>
      <c r="P17" s="15"/>
      <c r="Q17" s="4"/>
      <c r="R17" s="4"/>
      <c r="S17" s="15"/>
      <c r="T17" s="4"/>
      <c r="U17" s="4"/>
      <c r="V17" s="15"/>
      <c r="W17" s="4"/>
      <c r="X17" s="4"/>
      <c r="Y17" s="15"/>
      <c r="Z17" s="4"/>
      <c r="AA17" s="4"/>
      <c r="AB17" s="15"/>
      <c r="AC17" s="4"/>
      <c r="AD17" s="4"/>
      <c r="AE17" s="15"/>
      <c r="AF17" s="4"/>
      <c r="AG17" s="4"/>
    </row>
    <row r="18" spans="1:33" ht="15.75" x14ac:dyDescent="0.25">
      <c r="A18" s="1" t="s">
        <v>5</v>
      </c>
      <c r="B18" s="4"/>
      <c r="C18" s="4"/>
      <c r="D18" s="15"/>
      <c r="E18" s="4"/>
      <c r="F18" s="4"/>
      <c r="G18" s="15"/>
      <c r="H18" s="4"/>
      <c r="I18" s="4"/>
      <c r="J18" s="15"/>
      <c r="K18" s="4"/>
      <c r="L18" s="4"/>
      <c r="M18" s="15"/>
      <c r="N18" s="4"/>
      <c r="O18" s="4"/>
      <c r="P18" s="15"/>
      <c r="Q18" s="4"/>
      <c r="R18" s="4"/>
      <c r="S18" s="15"/>
      <c r="T18" s="4"/>
      <c r="U18" s="4"/>
      <c r="V18" s="15"/>
      <c r="W18" s="4"/>
      <c r="X18" s="4"/>
      <c r="Y18" s="15"/>
      <c r="Z18" s="4"/>
      <c r="AA18" s="4"/>
      <c r="AB18" s="15"/>
      <c r="AC18" s="4"/>
      <c r="AD18" s="4"/>
      <c r="AE18" s="15"/>
      <c r="AF18" s="4"/>
      <c r="AG18" s="4"/>
    </row>
    <row r="19" spans="1:33" ht="15.75" x14ac:dyDescent="0.25">
      <c r="A19" s="1"/>
      <c r="B19" s="4" t="s">
        <v>23</v>
      </c>
      <c r="C19" s="4" t="s">
        <v>20</v>
      </c>
      <c r="D19" s="15"/>
      <c r="E19" s="4" t="s">
        <v>27</v>
      </c>
      <c r="F19" s="4" t="s">
        <v>24</v>
      </c>
      <c r="G19" s="15"/>
      <c r="H19" s="4" t="s">
        <v>28</v>
      </c>
      <c r="I19" s="4" t="s">
        <v>34</v>
      </c>
      <c r="J19" s="15"/>
      <c r="K19" s="4" t="s">
        <v>303</v>
      </c>
      <c r="L19" s="4" t="s">
        <v>307</v>
      </c>
      <c r="M19" s="15"/>
      <c r="N19" s="4" t="s">
        <v>40</v>
      </c>
      <c r="O19" s="4" t="s">
        <v>39</v>
      </c>
      <c r="P19" s="15"/>
      <c r="Q19" s="4" t="s">
        <v>42</v>
      </c>
      <c r="R19" s="4" t="s">
        <v>42</v>
      </c>
      <c r="S19" s="15"/>
      <c r="T19" s="4" t="s">
        <v>46</v>
      </c>
      <c r="U19" s="4" t="s">
        <v>51</v>
      </c>
      <c r="V19" s="15"/>
      <c r="W19" s="4" t="s">
        <v>42</v>
      </c>
      <c r="X19" s="4" t="s">
        <v>43</v>
      </c>
      <c r="Y19" s="15"/>
      <c r="Z19" s="4" t="s">
        <v>41</v>
      </c>
      <c r="AA19" s="4" t="s">
        <v>41</v>
      </c>
      <c r="AB19" s="15"/>
      <c r="AC19" s="4" t="s">
        <v>24</v>
      </c>
      <c r="AD19" s="4" t="s">
        <v>27</v>
      </c>
      <c r="AE19" s="15"/>
      <c r="AF19" s="4" t="s">
        <v>41</v>
      </c>
      <c r="AG19" s="4" t="s">
        <v>41</v>
      </c>
    </row>
    <row r="20" spans="1:33" ht="15.75" x14ac:dyDescent="0.25">
      <c r="A20" s="1"/>
      <c r="B20" s="4" t="s">
        <v>21</v>
      </c>
      <c r="C20" s="4" t="s">
        <v>21</v>
      </c>
      <c r="D20" s="15"/>
      <c r="E20" s="4" t="s">
        <v>24</v>
      </c>
      <c r="F20" s="4" t="s">
        <v>24</v>
      </c>
      <c r="G20" s="15"/>
      <c r="H20" s="4" t="s">
        <v>32</v>
      </c>
      <c r="I20" s="4" t="s">
        <v>35</v>
      </c>
      <c r="J20" s="15"/>
      <c r="K20" s="4" t="s">
        <v>303</v>
      </c>
      <c r="L20" s="4" t="s">
        <v>302</v>
      </c>
      <c r="M20" s="15"/>
      <c r="N20" s="4" t="s">
        <v>40</v>
      </c>
      <c r="O20" s="4" t="s">
        <v>39</v>
      </c>
      <c r="P20" s="15"/>
      <c r="Q20" s="4" t="s">
        <v>41</v>
      </c>
      <c r="R20" s="4" t="s">
        <v>42</v>
      </c>
      <c r="S20" s="15"/>
      <c r="T20" s="4" t="s">
        <v>50</v>
      </c>
      <c r="U20" s="4" t="s">
        <v>46</v>
      </c>
      <c r="V20" s="15"/>
      <c r="W20" s="4" t="s">
        <v>43</v>
      </c>
      <c r="X20" s="4" t="s">
        <v>41</v>
      </c>
      <c r="Y20" s="15"/>
      <c r="Z20" s="4" t="s">
        <v>41</v>
      </c>
      <c r="AA20" s="4" t="s">
        <v>41</v>
      </c>
      <c r="AB20" s="15"/>
      <c r="AC20" s="4" t="s">
        <v>24</v>
      </c>
      <c r="AD20" s="4" t="s">
        <v>24</v>
      </c>
      <c r="AE20" s="15"/>
      <c r="AF20" s="4" t="s">
        <v>41</v>
      </c>
      <c r="AG20" s="4" t="s">
        <v>41</v>
      </c>
    </row>
    <row r="21" spans="1:33" ht="15.75" x14ac:dyDescent="0.25">
      <c r="A21" s="1"/>
      <c r="B21" s="4" t="s">
        <v>22</v>
      </c>
      <c r="C21" s="4" t="s">
        <v>22</v>
      </c>
      <c r="D21" s="15"/>
      <c r="E21" s="4" t="s">
        <v>25</v>
      </c>
      <c r="F21" s="4" t="s">
        <v>25</v>
      </c>
      <c r="G21" s="15"/>
      <c r="H21" s="4" t="s">
        <v>28</v>
      </c>
      <c r="I21" s="4" t="s">
        <v>28</v>
      </c>
      <c r="J21" s="15"/>
      <c r="K21" s="4" t="s">
        <v>306</v>
      </c>
      <c r="L21" s="4" t="s">
        <v>302</v>
      </c>
      <c r="M21" s="15"/>
      <c r="N21" s="4" t="s">
        <v>39</v>
      </c>
      <c r="O21" s="4" t="s">
        <v>40</v>
      </c>
      <c r="P21" s="15"/>
      <c r="Q21" s="4" t="s">
        <v>41</v>
      </c>
      <c r="R21" s="4" t="s">
        <v>41</v>
      </c>
      <c r="S21" s="15"/>
      <c r="T21" s="4" t="s">
        <v>49</v>
      </c>
      <c r="U21" s="4" t="s">
        <v>49</v>
      </c>
      <c r="V21" s="15"/>
      <c r="W21" s="4" t="s">
        <v>41</v>
      </c>
      <c r="X21" s="4" t="s">
        <v>43</v>
      </c>
      <c r="Y21" s="15"/>
      <c r="Z21" s="4" t="s">
        <v>41</v>
      </c>
      <c r="AA21" s="4" t="s">
        <v>43</v>
      </c>
      <c r="AB21" s="15"/>
      <c r="AC21" s="4" t="s">
        <v>27</v>
      </c>
      <c r="AD21" s="4" t="s">
        <v>38</v>
      </c>
      <c r="AE21" s="15"/>
      <c r="AF21" s="4" t="s">
        <v>41</v>
      </c>
      <c r="AG21" s="4" t="s">
        <v>42</v>
      </c>
    </row>
    <row r="22" spans="1:33" ht="15.75" x14ac:dyDescent="0.25">
      <c r="A22" s="1"/>
      <c r="B22" s="5">
        <f>(0.045+0.0347+0.0273-0.00399)/4</f>
        <v>2.5752500000000001E-2</v>
      </c>
      <c r="C22" s="5">
        <f>(0.00509-0.00168-0.0106+0.046)/4</f>
        <v>9.7024999999999993E-3</v>
      </c>
      <c r="D22" s="15"/>
      <c r="E22" s="5">
        <f>(0.00296-0.00609-0.015-0.012-0.0186)/5</f>
        <v>-9.7459999999999995E-3</v>
      </c>
      <c r="F22" s="5">
        <f>(-0.0171-0.00565-0.0175-0.0153-0.000446)/5</f>
        <v>-1.1199200000000001E-2</v>
      </c>
      <c r="G22" s="15"/>
      <c r="H22" s="5">
        <f>(0.0166-0.00106-0.000705-0.000369-0.00885-0.0118-0.00851-0.0163-0.00474+0.00278)/10</f>
        <v>-3.2954000000000004E-3</v>
      </c>
      <c r="I22" s="5">
        <f>(-0.0114-0.0105-0.0164-0.00577+0.0031+0.000111+0.00761+0.0136+0.00921+0.0102)/10</f>
        <v>-2.3899999999999964E-5</v>
      </c>
      <c r="J22" s="15"/>
      <c r="K22" s="5">
        <v>-2.7971428571428571E-2</v>
      </c>
      <c r="L22" s="5">
        <v>-4.8454285714285717E-3</v>
      </c>
      <c r="M22" s="15"/>
      <c r="N22" s="5">
        <v>2.07E-2</v>
      </c>
      <c r="O22" s="5">
        <v>-1.5900000000000001E-2</v>
      </c>
      <c r="P22" s="15"/>
      <c r="Q22" s="5">
        <f>(0.0249+0.015)/2</f>
        <v>1.9949999999999999E-2</v>
      </c>
      <c r="R22" s="5">
        <f>(0.0592+0.0848)/2</f>
        <v>7.2000000000000008E-2</v>
      </c>
      <c r="S22" s="15"/>
      <c r="T22" s="5">
        <f>(-0.0442+0.0255-0.012-0.00251-0.000926+0.028-0.0211)/7</f>
        <v>-3.8908571428571438E-3</v>
      </c>
      <c r="U22" s="5">
        <f>(0.0844-0.0111+0.0675+0.0243+0.00306-0.0037+0.0185)/7</f>
        <v>2.6137142857142855E-2</v>
      </c>
      <c r="V22" s="15"/>
      <c r="W22" s="5">
        <f>(0.0395+0.0218)/2</f>
        <v>3.065E-2</v>
      </c>
      <c r="X22" s="5">
        <f>(0.000497-0.0389)/2</f>
        <v>-1.92015E-2</v>
      </c>
      <c r="Y22" s="15"/>
      <c r="Z22" s="5">
        <f>(-0.0107-0.0158)/2</f>
        <v>-1.3250000000000001E-2</v>
      </c>
      <c r="AA22" s="5">
        <f>(-0.0498-0.034)/2</f>
        <v>-4.19E-2</v>
      </c>
      <c r="AB22" s="15"/>
      <c r="AC22" s="5">
        <f>-(0.0108+0.0079+0.0275+0.0271+0.0192)/5</f>
        <v>-1.8499999999999999E-2</v>
      </c>
      <c r="AD22" s="5">
        <f>-(0.0358+0.0171-0.0077+0.00898+0.0513)/5</f>
        <v>-2.1096E-2</v>
      </c>
      <c r="AE22" s="15"/>
      <c r="AF22" s="5">
        <f>(-0.0175-0.0228)/2</f>
        <v>-2.0150000000000001E-2</v>
      </c>
      <c r="AG22" s="5">
        <f>(-0.0453-0.109)/2</f>
        <v>-7.7149999999999996E-2</v>
      </c>
    </row>
    <row r="23" spans="1:33" ht="18.75" x14ac:dyDescent="0.25">
      <c r="A23" s="1" t="s">
        <v>7</v>
      </c>
      <c r="B23" s="5">
        <v>5.0000000000000001E-3</v>
      </c>
      <c r="C23" s="5">
        <v>2.4999999999999996E-3</v>
      </c>
      <c r="D23" s="13"/>
      <c r="E23" s="5">
        <v>1.5800000000000002E-2</v>
      </c>
      <c r="F23" s="5">
        <v>1.84E-2</v>
      </c>
      <c r="G23" s="13"/>
      <c r="H23" s="5">
        <v>1.0200000000000001E-2</v>
      </c>
      <c r="I23" s="5">
        <v>1.4100000000000001E-2</v>
      </c>
      <c r="J23" s="13"/>
      <c r="K23" s="5">
        <v>1.2666666666666666E-2</v>
      </c>
      <c r="L23" s="5">
        <v>7.6666666666666671E-3</v>
      </c>
      <c r="M23" s="13"/>
      <c r="N23" s="5">
        <v>2.9000000000000001E-2</v>
      </c>
      <c r="O23" s="5">
        <v>1.2999999999999999E-2</v>
      </c>
      <c r="P23" s="13"/>
      <c r="Q23" s="5">
        <v>2.5000000000000001E-3</v>
      </c>
      <c r="R23" s="5">
        <v>2.5000000000000001E-2</v>
      </c>
      <c r="S23" s="13"/>
      <c r="T23" s="5">
        <v>3.5714285714285713E-3</v>
      </c>
      <c r="U23" s="5">
        <v>8.2857142857142851E-3</v>
      </c>
      <c r="V23" s="13"/>
      <c r="W23" s="5">
        <v>1.2499999999999999E-2</v>
      </c>
      <c r="X23" s="5">
        <v>4.4999999999999997E-3</v>
      </c>
      <c r="Y23" s="13"/>
      <c r="Z23" s="5">
        <v>5.0000000000000001E-4</v>
      </c>
      <c r="AA23" s="5">
        <v>6.0000000000000001E-3</v>
      </c>
      <c r="AB23" s="13"/>
      <c r="AC23" s="5">
        <v>3.9999999999999992E-3</v>
      </c>
      <c r="AD23" s="5">
        <v>6.6E-3</v>
      </c>
      <c r="AE23" s="13"/>
      <c r="AF23" s="5">
        <v>2.5000000000000001E-3</v>
      </c>
      <c r="AG23" s="5">
        <v>3.2000000000000001E-2</v>
      </c>
    </row>
    <row r="24" spans="1:33" ht="15.75" x14ac:dyDescent="0.25">
      <c r="A24" s="1"/>
      <c r="B24" s="4"/>
      <c r="C24" s="4"/>
      <c r="D24" s="15"/>
      <c r="E24" s="4"/>
      <c r="F24" s="4"/>
      <c r="G24" s="15"/>
      <c r="H24" s="4"/>
      <c r="I24" s="4"/>
      <c r="J24" s="15"/>
      <c r="K24" s="4"/>
      <c r="L24" s="4"/>
      <c r="M24" s="15"/>
      <c r="N24" s="4"/>
      <c r="O24" s="4"/>
      <c r="P24" s="15"/>
      <c r="Q24" s="4"/>
      <c r="R24" s="4"/>
      <c r="S24" s="15"/>
      <c r="T24" s="4"/>
      <c r="U24" s="4"/>
      <c r="V24" s="15"/>
      <c r="W24" s="4"/>
      <c r="X24" s="4"/>
      <c r="Y24" s="15"/>
      <c r="Z24" s="4"/>
      <c r="AA24" s="4"/>
      <c r="AB24" s="15"/>
      <c r="AC24" s="4"/>
      <c r="AD24" s="4"/>
      <c r="AE24" s="15"/>
      <c r="AF24" s="4"/>
      <c r="AG24" s="4"/>
    </row>
    <row r="25" spans="1:33" ht="15.75" x14ac:dyDescent="0.25">
      <c r="A25" s="1" t="s">
        <v>6</v>
      </c>
      <c r="B25" s="4"/>
      <c r="C25" s="4"/>
      <c r="D25" s="15"/>
      <c r="E25" s="4"/>
      <c r="F25" s="4"/>
      <c r="G25" s="15"/>
      <c r="H25" s="4"/>
      <c r="I25" s="4"/>
      <c r="J25" s="15"/>
      <c r="K25" s="4"/>
      <c r="L25" s="4"/>
      <c r="M25" s="15"/>
      <c r="N25" s="4"/>
      <c r="O25" s="4"/>
      <c r="P25" s="15"/>
      <c r="Q25" s="4"/>
      <c r="R25" s="4"/>
      <c r="S25" s="15"/>
      <c r="T25" s="4"/>
      <c r="U25" s="4"/>
      <c r="V25" s="15"/>
      <c r="W25" s="4"/>
      <c r="X25" s="4"/>
      <c r="Y25" s="15"/>
      <c r="Z25" s="4"/>
      <c r="AA25" s="4"/>
      <c r="AB25" s="15"/>
      <c r="AC25" s="4"/>
      <c r="AD25" s="4"/>
      <c r="AE25" s="15"/>
      <c r="AF25" s="4"/>
      <c r="AG25" s="4"/>
    </row>
    <row r="26" spans="1:33" ht="15.75" x14ac:dyDescent="0.25">
      <c r="A26" s="1"/>
      <c r="B26" s="4" t="s">
        <v>19</v>
      </c>
      <c r="C26" s="4" t="s">
        <v>22</v>
      </c>
      <c r="D26" s="15"/>
      <c r="E26" s="4" t="s">
        <v>19</v>
      </c>
      <c r="F26" s="4" t="s">
        <v>22</v>
      </c>
      <c r="G26" s="15"/>
      <c r="H26" s="4" t="s">
        <v>29</v>
      </c>
      <c r="I26" s="4" t="s">
        <v>36</v>
      </c>
      <c r="J26" s="15"/>
      <c r="K26" s="4" t="s">
        <v>303</v>
      </c>
      <c r="L26" s="4" t="s">
        <v>303</v>
      </c>
      <c r="M26" s="15"/>
      <c r="N26" s="4" t="s">
        <v>40</v>
      </c>
      <c r="O26" s="4" t="s">
        <v>40</v>
      </c>
      <c r="P26" s="15"/>
      <c r="Q26" s="4" t="s">
        <v>41</v>
      </c>
      <c r="R26" s="4" t="s">
        <v>41</v>
      </c>
      <c r="S26" s="15"/>
      <c r="T26" s="4" t="s">
        <v>45</v>
      </c>
      <c r="U26" s="4" t="s">
        <v>45</v>
      </c>
      <c r="V26" s="15"/>
      <c r="W26" s="4" t="s">
        <v>42</v>
      </c>
      <c r="X26" s="4" t="s">
        <v>43</v>
      </c>
      <c r="Y26" s="15"/>
      <c r="Z26" s="4" t="s">
        <v>42</v>
      </c>
      <c r="AA26" s="4" t="s">
        <v>42</v>
      </c>
      <c r="AB26" s="15"/>
      <c r="AC26" s="4" t="s">
        <v>37</v>
      </c>
      <c r="AD26" s="4" t="s">
        <v>37</v>
      </c>
      <c r="AE26" s="15"/>
      <c r="AF26" s="4" t="s">
        <v>42</v>
      </c>
      <c r="AG26" s="4" t="s">
        <v>42</v>
      </c>
    </row>
    <row r="27" spans="1:33" ht="15.75" x14ac:dyDescent="0.25">
      <c r="A27" s="1"/>
      <c r="B27" s="4" t="s">
        <v>22</v>
      </c>
      <c r="C27" s="4" t="s">
        <v>22</v>
      </c>
      <c r="D27" s="15"/>
      <c r="E27" s="4" t="s">
        <v>22</v>
      </c>
      <c r="F27" s="4" t="s">
        <v>22</v>
      </c>
      <c r="G27" s="15"/>
      <c r="H27" s="4" t="s">
        <v>30</v>
      </c>
      <c r="I27" s="4" t="s">
        <v>31</v>
      </c>
      <c r="J27" s="15"/>
      <c r="K27" s="4" t="s">
        <v>303</v>
      </c>
      <c r="L27" s="4" t="s">
        <v>303</v>
      </c>
      <c r="M27" s="15"/>
      <c r="N27" s="4" t="s">
        <v>39</v>
      </c>
      <c r="O27" s="4" t="s">
        <v>39</v>
      </c>
      <c r="P27" s="15"/>
      <c r="Q27" s="4" t="s">
        <v>41</v>
      </c>
      <c r="R27" s="4" t="s">
        <v>41</v>
      </c>
      <c r="S27" s="15"/>
      <c r="T27" s="4" t="s">
        <v>47</v>
      </c>
      <c r="U27" s="4" t="s">
        <v>45</v>
      </c>
      <c r="V27" s="15"/>
      <c r="W27" s="4" t="s">
        <v>41</v>
      </c>
      <c r="X27" s="4" t="s">
        <v>41</v>
      </c>
      <c r="Y27" s="15"/>
      <c r="Z27" s="4" t="s">
        <v>43</v>
      </c>
      <c r="AA27" s="4" t="s">
        <v>43</v>
      </c>
      <c r="AB27" s="15"/>
      <c r="AC27" s="4" t="s">
        <v>27</v>
      </c>
      <c r="AD27" s="4" t="s">
        <v>37</v>
      </c>
      <c r="AE27" s="15"/>
      <c r="AF27" s="4" t="s">
        <v>43</v>
      </c>
      <c r="AG27" s="4" t="s">
        <v>42</v>
      </c>
    </row>
    <row r="28" spans="1:33" ht="15.75" x14ac:dyDescent="0.25">
      <c r="A28" s="1"/>
      <c r="B28" s="4" t="s">
        <v>22</v>
      </c>
      <c r="C28" s="4" t="s">
        <v>22</v>
      </c>
      <c r="D28" s="15"/>
      <c r="E28" s="4" t="s">
        <v>22</v>
      </c>
      <c r="F28" s="4" t="s">
        <v>22</v>
      </c>
      <c r="G28" s="15"/>
      <c r="H28" s="4" t="s">
        <v>30</v>
      </c>
      <c r="I28" s="4" t="s">
        <v>30</v>
      </c>
      <c r="J28" s="15"/>
      <c r="K28" s="4" t="s">
        <v>309</v>
      </c>
      <c r="L28" s="4" t="s">
        <v>310</v>
      </c>
      <c r="M28" s="15"/>
      <c r="N28" s="4" t="s">
        <v>39</v>
      </c>
      <c r="O28" s="4" t="s">
        <v>39</v>
      </c>
      <c r="P28" s="15"/>
      <c r="Q28" s="4" t="s">
        <v>42</v>
      </c>
      <c r="R28" s="4" t="s">
        <v>42</v>
      </c>
      <c r="S28" s="15"/>
      <c r="T28" s="4" t="s">
        <v>49</v>
      </c>
      <c r="U28" s="4" t="s">
        <v>49</v>
      </c>
      <c r="V28" s="15"/>
      <c r="W28" s="4" t="s">
        <v>41</v>
      </c>
      <c r="X28" s="4" t="s">
        <v>41</v>
      </c>
      <c r="Y28" s="15"/>
      <c r="Z28" s="4" t="s">
        <v>41</v>
      </c>
      <c r="AA28" s="4" t="s">
        <v>41</v>
      </c>
      <c r="AB28" s="15"/>
      <c r="AC28" s="4" t="s">
        <v>24</v>
      </c>
      <c r="AD28" s="4" t="s">
        <v>24</v>
      </c>
      <c r="AE28" s="15"/>
      <c r="AF28" s="4" t="s">
        <v>41</v>
      </c>
      <c r="AG28" s="4" t="s">
        <v>41</v>
      </c>
    </row>
    <row r="29" spans="1:33" ht="15.75" x14ac:dyDescent="0.25">
      <c r="A29" s="1"/>
      <c r="B29" s="5">
        <f>(0.0125+0.0165+0.0203+0.00189)/4</f>
        <v>1.27975E-2</v>
      </c>
      <c r="C29" s="5">
        <f>(-0.00125-0.0139-0.00432-0.0185)/4</f>
        <v>-9.4924999999999992E-3</v>
      </c>
      <c r="D29" s="15"/>
      <c r="E29" s="5">
        <f>(0.0125+0.0165+0.0203+0.00189)/4</f>
        <v>1.27975E-2</v>
      </c>
      <c r="F29" s="5">
        <f>(-0.00125-0.0139-0.00432-0.0185)/4</f>
        <v>-9.4924999999999992E-3</v>
      </c>
      <c r="G29" s="15"/>
      <c r="H29" s="5">
        <f>(-0.00696-0.00166+0.000633-0.0013+0.00107-0.000454-0.000249+0.00104+0.00262+0.00522)/10</f>
        <v>-4.0000000000000108E-6</v>
      </c>
      <c r="I29" s="5">
        <f>(-0.00145+0.00142+0.000467+0.00188+0.00338+0.00102+0.00111+0.00213+0.00381+0.00373)/10</f>
        <v>1.7497000000000003E-3</v>
      </c>
      <c r="J29" s="15"/>
      <c r="K29" s="5">
        <v>-2.52E-2</v>
      </c>
      <c r="L29" s="5">
        <v>-2.3474999999999996E-2</v>
      </c>
      <c r="M29" s="15"/>
      <c r="N29" s="5">
        <v>-2.3700000000000001E-3</v>
      </c>
      <c r="O29" s="5">
        <v>-3.3700000000000002E-3</v>
      </c>
      <c r="P29" s="15"/>
      <c r="Q29" s="5">
        <f>(-0.0416-0.0521)/2</f>
        <v>-4.6850000000000003E-2</v>
      </c>
      <c r="R29" s="5">
        <f>(-0.0403-0.0488)/2</f>
        <v>-4.4550000000000006E-2</v>
      </c>
      <c r="S29" s="15"/>
      <c r="T29" s="5">
        <f>(0.0662+0.0229+0.0316+0.0156+0.00873+0.00906+0.0127)/7</f>
        <v>2.3827142857142856E-2</v>
      </c>
      <c r="U29" s="5">
        <f>(0.0457+0.0242+0.0232+0.0335+0.0335+0.0325+0.0415)/7</f>
        <v>3.3442857142857142E-2</v>
      </c>
      <c r="V29" s="15"/>
      <c r="W29" s="5">
        <f>(0.00745+0.0125)/2</f>
        <v>9.9750000000000012E-3</v>
      </c>
      <c r="X29" s="5">
        <f>(0.00612-0.0153)/2</f>
        <v>-4.5900000000000003E-3</v>
      </c>
      <c r="Y29" s="15"/>
      <c r="Z29" s="5">
        <f>(0.0898+0.0103)/2</f>
        <v>5.0050000000000004E-2</v>
      </c>
      <c r="AA29" s="5">
        <f>(0.0406+0.0164)/2</f>
        <v>2.8499999999999998E-2</v>
      </c>
      <c r="AB29" s="15"/>
      <c r="AC29" s="5">
        <f>-(-0.0238-0.0226-0.0188-0.0194-0.0287)/5</f>
        <v>2.266E-2</v>
      </c>
      <c r="AD29" s="5">
        <f>-(-0.0345-0.0484-0.044-0.046-0.0506)/5</f>
        <v>4.4700000000000004E-2</v>
      </c>
      <c r="AE29" s="15"/>
      <c r="AF29" s="5">
        <f>(0.0279+0.033)/2</f>
        <v>3.0450000000000001E-2</v>
      </c>
      <c r="AG29" s="5">
        <f>(0.0431+0.0491)/2</f>
        <v>4.6100000000000002E-2</v>
      </c>
    </row>
    <row r="30" spans="1:33" ht="18.75" x14ac:dyDescent="0.25">
      <c r="A30" s="1" t="s">
        <v>7</v>
      </c>
      <c r="B30" s="5">
        <v>1.75E-3</v>
      </c>
      <c r="C30" s="13">
        <v>1.5E-3</v>
      </c>
      <c r="D30" s="13"/>
      <c r="E30" s="5">
        <v>5.6000000000000008E-3</v>
      </c>
      <c r="F30" s="5">
        <v>1.9200000000000002E-2</v>
      </c>
      <c r="G30" s="13"/>
      <c r="H30" s="5">
        <v>1.7000000000000001E-3</v>
      </c>
      <c r="I30" s="5">
        <v>1.2000000000000001E-3</v>
      </c>
      <c r="J30" s="13"/>
      <c r="K30" s="5">
        <v>1.7333333333333329E-2</v>
      </c>
      <c r="L30" s="5">
        <v>1.2333333333333333E-2</v>
      </c>
      <c r="M30" s="13"/>
      <c r="N30" s="5">
        <v>1E-3</v>
      </c>
      <c r="O30" s="5">
        <v>2E-3</v>
      </c>
      <c r="P30" s="13"/>
      <c r="Q30" s="13">
        <v>2.0500000000000001E-2</v>
      </c>
      <c r="R30" s="13">
        <v>2.2499999999999999E-2</v>
      </c>
      <c r="S30" s="13"/>
      <c r="T30" s="5">
        <v>8.1428571428571427E-3</v>
      </c>
      <c r="U30" s="5">
        <v>2.4714285714285716E-2</v>
      </c>
      <c r="V30" s="13"/>
      <c r="W30" s="5">
        <v>2E-3</v>
      </c>
      <c r="X30" s="5">
        <v>1.5E-3</v>
      </c>
      <c r="Y30" s="13"/>
      <c r="Z30" s="5">
        <v>1.6500000000000001E-2</v>
      </c>
      <c r="AA30" s="5">
        <v>5.0000000000000001E-3</v>
      </c>
      <c r="AB30" s="13"/>
      <c r="AC30" s="13">
        <f>(U30+U32+U34+U36+U38)/5</f>
        <v>4.9428571428571429E-3</v>
      </c>
      <c r="AD30" s="13">
        <f>(V30+V32+V34+V36+V38)/5</f>
        <v>0</v>
      </c>
      <c r="AE30" s="13"/>
      <c r="AF30" s="13">
        <v>8.0000000000000002E-3</v>
      </c>
      <c r="AG30" s="13">
        <v>2.1499999999999998E-2</v>
      </c>
    </row>
    <row r="31" spans="1:33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</sheetData>
  <mergeCells count="11">
    <mergeCell ref="Z2:AA2"/>
    <mergeCell ref="AC2:AD2"/>
    <mergeCell ref="AF2:AG2"/>
    <mergeCell ref="T2:U2"/>
    <mergeCell ref="W2:X2"/>
    <mergeCell ref="Q2:R2"/>
    <mergeCell ref="B2:C2"/>
    <mergeCell ref="E2:F2"/>
    <mergeCell ref="H2:I2"/>
    <mergeCell ref="K2:L2"/>
    <mergeCell ref="N2:O2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"/>
  <sheetViews>
    <sheetView workbookViewId="0">
      <pane ySplit="1" topLeftCell="A17" activePane="bottomLeft" state="frozen"/>
      <selection pane="bottomLeft" activeCell="B16" sqref="B16"/>
    </sheetView>
  </sheetViews>
  <sheetFormatPr defaultRowHeight="15" x14ac:dyDescent="0.25"/>
  <sheetData>
    <row r="1" spans="1:17" x14ac:dyDescent="0.25">
      <c r="B1" t="s">
        <v>233</v>
      </c>
      <c r="C1" t="s">
        <v>293</v>
      </c>
      <c r="D1" t="s">
        <v>295</v>
      </c>
      <c r="E1" t="s">
        <v>296</v>
      </c>
      <c r="F1" t="s">
        <v>297</v>
      </c>
      <c r="G1" t="s">
        <v>298</v>
      </c>
      <c r="H1" t="s">
        <v>234</v>
      </c>
      <c r="I1" t="s">
        <v>235</v>
      </c>
    </row>
    <row r="2" spans="1:17" x14ac:dyDescent="0.25">
      <c r="A2" t="s">
        <v>60</v>
      </c>
      <c r="B2">
        <v>9.3500000000000007E-3</v>
      </c>
      <c r="C2" t="s">
        <v>61</v>
      </c>
      <c r="D2" t="s">
        <v>62</v>
      </c>
      <c r="E2">
        <v>3.5299999999999998E-2</v>
      </c>
      <c r="F2">
        <v>-4.4200000000000003E-2</v>
      </c>
      <c r="G2">
        <v>8.4400000000000003E-2</v>
      </c>
      <c r="H2" t="s">
        <v>63</v>
      </c>
      <c r="I2">
        <v>4.5699999999999998E-2</v>
      </c>
    </row>
    <row r="3" spans="1:17" x14ac:dyDescent="0.25">
      <c r="A3" t="s">
        <v>64</v>
      </c>
      <c r="B3">
        <v>0</v>
      </c>
      <c r="C3">
        <v>1.7999999999999999E-2</v>
      </c>
      <c r="D3">
        <v>2.3E-2</v>
      </c>
      <c r="E3">
        <v>2E-3</v>
      </c>
      <c r="F3">
        <v>2E-3</v>
      </c>
      <c r="G3">
        <v>8.0000000000000002E-3</v>
      </c>
      <c r="H3">
        <v>1.2999999999999999E-2</v>
      </c>
      <c r="I3">
        <v>8.0000000000000002E-3</v>
      </c>
      <c r="J3">
        <f>(B3+B5+B7+B9+B11+B13+B15)/7</f>
        <v>5.7142857142857134E-3</v>
      </c>
      <c r="K3">
        <f t="shared" ref="K3:Q3" si="0">(C3+C5+C7+C9+C11+C13+C15)/7</f>
        <v>1.3857142857142858E-2</v>
      </c>
      <c r="L3">
        <f t="shared" si="0"/>
        <v>8.9999999999999993E-3</v>
      </c>
      <c r="M3">
        <f t="shared" si="0"/>
        <v>2.9857142857142856E-2</v>
      </c>
      <c r="N3">
        <f t="shared" si="0"/>
        <v>3.5714285714285713E-3</v>
      </c>
      <c r="O3">
        <f t="shared" si="0"/>
        <v>8.2857142857142851E-3</v>
      </c>
      <c r="P3">
        <f t="shared" si="0"/>
        <v>8.1428571428571427E-3</v>
      </c>
      <c r="Q3">
        <f t="shared" si="0"/>
        <v>2.4714285714285716E-2</v>
      </c>
    </row>
    <row r="4" spans="1:17" x14ac:dyDescent="0.25">
      <c r="A4" t="s">
        <v>65</v>
      </c>
      <c r="B4" t="s">
        <v>66</v>
      </c>
      <c r="C4">
        <v>1.9599999999999999E-2</v>
      </c>
      <c r="D4" t="s">
        <v>67</v>
      </c>
      <c r="E4">
        <v>1.9699999999999999E-2</v>
      </c>
      <c r="F4">
        <v>2.5499999999999998E-2</v>
      </c>
      <c r="G4">
        <v>-1.11E-2</v>
      </c>
      <c r="H4" t="s">
        <v>68</v>
      </c>
      <c r="I4" t="s">
        <v>69</v>
      </c>
    </row>
    <row r="5" spans="1:17" x14ac:dyDescent="0.25">
      <c r="A5" t="s">
        <v>64</v>
      </c>
      <c r="B5">
        <v>1.2999999999999999E-2</v>
      </c>
      <c r="C5">
        <v>2E-3</v>
      </c>
      <c r="D5">
        <v>2.7E-2</v>
      </c>
      <c r="E5">
        <v>5.0000000000000001E-3</v>
      </c>
      <c r="F5">
        <v>8.0000000000000002E-3</v>
      </c>
      <c r="G5">
        <v>2E-3</v>
      </c>
      <c r="H5">
        <v>1.4E-2</v>
      </c>
      <c r="I5">
        <v>0.02</v>
      </c>
    </row>
    <row r="6" spans="1:17" x14ac:dyDescent="0.25">
      <c r="A6" t="s">
        <v>70</v>
      </c>
      <c r="B6">
        <v>2.2700000000000001E-2</v>
      </c>
      <c r="C6" t="s">
        <v>71</v>
      </c>
      <c r="D6" t="s">
        <v>72</v>
      </c>
      <c r="E6" t="s">
        <v>73</v>
      </c>
      <c r="F6">
        <v>-1.2E-2</v>
      </c>
      <c r="G6" t="s">
        <v>74</v>
      </c>
      <c r="H6" t="s">
        <v>75</v>
      </c>
      <c r="I6" t="s">
        <v>76</v>
      </c>
    </row>
    <row r="7" spans="1:17" x14ac:dyDescent="0.25">
      <c r="A7" t="s">
        <v>64</v>
      </c>
      <c r="B7">
        <v>1E-3</v>
      </c>
      <c r="C7">
        <v>0.04</v>
      </c>
      <c r="D7">
        <v>0.01</v>
      </c>
      <c r="E7">
        <v>4.2000000000000003E-2</v>
      </c>
      <c r="F7">
        <v>1E-3</v>
      </c>
      <c r="G7">
        <v>3.5999999999999997E-2</v>
      </c>
      <c r="H7">
        <v>1.4E-2</v>
      </c>
      <c r="I7">
        <v>0.01</v>
      </c>
    </row>
    <row r="8" spans="1:17" x14ac:dyDescent="0.25">
      <c r="A8" t="s">
        <v>77</v>
      </c>
      <c r="B8">
        <v>4.7899999999999998E-2</v>
      </c>
      <c r="C8" t="s">
        <v>78</v>
      </c>
      <c r="D8">
        <v>-7.8799999999999996E-4</v>
      </c>
      <c r="E8" t="s">
        <v>79</v>
      </c>
      <c r="F8">
        <v>-2.5100000000000001E-3</v>
      </c>
      <c r="G8">
        <v>2.4299999999999999E-2</v>
      </c>
      <c r="H8">
        <v>1.5599999999999999E-2</v>
      </c>
      <c r="I8" t="s">
        <v>80</v>
      </c>
    </row>
    <row r="9" spans="1:17" x14ac:dyDescent="0.25">
      <c r="A9" t="s">
        <v>64</v>
      </c>
      <c r="B9">
        <v>6.0000000000000001E-3</v>
      </c>
      <c r="C9">
        <v>1.0999999999999999E-2</v>
      </c>
      <c r="D9">
        <v>0</v>
      </c>
      <c r="E9">
        <v>4.5999999999999999E-2</v>
      </c>
      <c r="F9">
        <v>0</v>
      </c>
      <c r="G9">
        <v>7.0000000000000001E-3</v>
      </c>
      <c r="H9">
        <v>5.0000000000000001E-3</v>
      </c>
      <c r="I9">
        <v>2.8000000000000001E-2</v>
      </c>
    </row>
    <row r="10" spans="1:17" x14ac:dyDescent="0.25">
      <c r="A10" t="s">
        <v>81</v>
      </c>
      <c r="B10">
        <v>3.1099999999999999E-2</v>
      </c>
      <c r="C10">
        <v>2.8500000000000001E-2</v>
      </c>
      <c r="D10">
        <v>-5.3200000000000001E-3</v>
      </c>
      <c r="E10" t="s">
        <v>82</v>
      </c>
      <c r="F10">
        <v>-9.2599999999999996E-4</v>
      </c>
      <c r="G10">
        <v>3.0599999999999998E-3</v>
      </c>
      <c r="H10">
        <v>8.7299999999999999E-3</v>
      </c>
      <c r="I10" t="s">
        <v>80</v>
      </c>
    </row>
    <row r="11" spans="1:17" x14ac:dyDescent="0.25">
      <c r="A11" t="s">
        <v>64</v>
      </c>
      <c r="B11">
        <v>4.0000000000000001E-3</v>
      </c>
      <c r="C11">
        <v>5.0000000000000001E-3</v>
      </c>
      <c r="D11">
        <v>1E-3</v>
      </c>
      <c r="E11">
        <v>3.5000000000000003E-2</v>
      </c>
      <c r="F11">
        <v>0</v>
      </c>
      <c r="G11">
        <v>0</v>
      </c>
      <c r="H11">
        <v>3.0000000000000001E-3</v>
      </c>
      <c r="I11">
        <v>3.4000000000000002E-2</v>
      </c>
    </row>
    <row r="12" spans="1:17" x14ac:dyDescent="0.25">
      <c r="A12" t="s">
        <v>83</v>
      </c>
      <c r="B12" t="s">
        <v>84</v>
      </c>
      <c r="C12">
        <v>1.6400000000000001E-2</v>
      </c>
      <c r="D12">
        <v>1.0999999999999999E-2</v>
      </c>
      <c r="E12" t="s">
        <v>85</v>
      </c>
      <c r="F12">
        <v>2.8000000000000001E-2</v>
      </c>
      <c r="G12">
        <v>-3.7000000000000002E-3</v>
      </c>
      <c r="H12">
        <v>9.0600000000000003E-3</v>
      </c>
      <c r="I12" t="s">
        <v>86</v>
      </c>
    </row>
    <row r="13" spans="1:17" x14ac:dyDescent="0.25">
      <c r="A13" t="s">
        <v>64</v>
      </c>
      <c r="B13">
        <v>1.6E-2</v>
      </c>
      <c r="C13">
        <v>2E-3</v>
      </c>
      <c r="D13">
        <v>2E-3</v>
      </c>
      <c r="E13">
        <v>2.1000000000000001E-2</v>
      </c>
      <c r="F13">
        <v>8.9999999999999993E-3</v>
      </c>
      <c r="G13">
        <v>0</v>
      </c>
      <c r="H13">
        <v>3.0000000000000001E-3</v>
      </c>
      <c r="I13">
        <v>3.2000000000000001E-2</v>
      </c>
    </row>
    <row r="14" spans="1:17" x14ac:dyDescent="0.25">
      <c r="A14" t="s">
        <v>87</v>
      </c>
      <c r="B14">
        <v>-1.01E-2</v>
      </c>
      <c r="C14" t="s">
        <v>88</v>
      </c>
      <c r="D14">
        <v>-4.3800000000000002E-3</v>
      </c>
      <c r="E14" t="s">
        <v>89</v>
      </c>
      <c r="F14">
        <v>-2.1100000000000001E-2</v>
      </c>
      <c r="G14">
        <v>1.8499999999999999E-2</v>
      </c>
      <c r="H14">
        <v>1.2699999999999999E-2</v>
      </c>
      <c r="I14" t="s">
        <v>90</v>
      </c>
    </row>
    <row r="15" spans="1:17" x14ac:dyDescent="0.25">
      <c r="A15" t="s">
        <v>64</v>
      </c>
      <c r="B15">
        <v>0</v>
      </c>
      <c r="C15">
        <v>1.9E-2</v>
      </c>
      <c r="D15">
        <v>0</v>
      </c>
      <c r="E15">
        <v>5.8000000000000003E-2</v>
      </c>
      <c r="F15">
        <v>5.0000000000000001E-3</v>
      </c>
      <c r="G15">
        <v>5.0000000000000001E-3</v>
      </c>
      <c r="H15">
        <v>5.0000000000000001E-3</v>
      </c>
      <c r="I15">
        <v>4.1000000000000002E-2</v>
      </c>
    </row>
    <row r="16" spans="1:17" x14ac:dyDescent="0.25">
      <c r="A16" t="s">
        <v>91</v>
      </c>
      <c r="B16">
        <v>-2.5100000000000001E-2</v>
      </c>
      <c r="C16">
        <v>1.4999999999999999E-2</v>
      </c>
      <c r="D16">
        <v>-1.0200000000000001E-2</v>
      </c>
      <c r="E16">
        <v>-3.81E-3</v>
      </c>
      <c r="F16" t="s">
        <v>92</v>
      </c>
      <c r="G16">
        <v>1.5900000000000001E-2</v>
      </c>
      <c r="H16">
        <v>-2.3700000000000001E-3</v>
      </c>
      <c r="I16">
        <v>-3.3700000000000002E-3</v>
      </c>
    </row>
    <row r="17" spans="1:17" x14ac:dyDescent="0.25">
      <c r="A17" t="s">
        <v>64</v>
      </c>
      <c r="B17">
        <v>1.9E-2</v>
      </c>
      <c r="C17">
        <v>5.0000000000000001E-3</v>
      </c>
      <c r="D17">
        <v>0.01</v>
      </c>
      <c r="E17">
        <v>1E-3</v>
      </c>
      <c r="F17">
        <v>2.9000000000000001E-2</v>
      </c>
      <c r="G17">
        <v>1.2999999999999999E-2</v>
      </c>
      <c r="H17">
        <v>1E-3</v>
      </c>
      <c r="I17">
        <v>2E-3</v>
      </c>
      <c r="J17">
        <f>B17</f>
        <v>1.9E-2</v>
      </c>
      <c r="K17">
        <f t="shared" ref="K17:Q17" si="1">C17</f>
        <v>5.0000000000000001E-3</v>
      </c>
      <c r="L17">
        <f t="shared" si="1"/>
        <v>0.01</v>
      </c>
      <c r="M17">
        <f t="shared" si="1"/>
        <v>1E-3</v>
      </c>
      <c r="N17">
        <f t="shared" si="1"/>
        <v>2.9000000000000001E-2</v>
      </c>
      <c r="O17">
        <f t="shared" si="1"/>
        <v>1.2999999999999999E-2</v>
      </c>
      <c r="P17">
        <f t="shared" si="1"/>
        <v>1E-3</v>
      </c>
      <c r="Q17">
        <f t="shared" si="1"/>
        <v>2E-3</v>
      </c>
    </row>
    <row r="18" spans="1:17" x14ac:dyDescent="0.25">
      <c r="A18" t="s">
        <v>93</v>
      </c>
      <c r="B18">
        <v>2.76E-2</v>
      </c>
      <c r="C18" t="s">
        <v>94</v>
      </c>
      <c r="D18">
        <v>-2.3599999999999999E-2</v>
      </c>
      <c r="E18" t="s">
        <v>95</v>
      </c>
      <c r="F18">
        <v>1.0800000000000001E-2</v>
      </c>
      <c r="G18" t="s">
        <v>96</v>
      </c>
      <c r="H18">
        <v>-2.3800000000000002E-2</v>
      </c>
      <c r="I18" t="s">
        <v>97</v>
      </c>
    </row>
    <row r="19" spans="1:17" x14ac:dyDescent="0.25">
      <c r="A19" t="s">
        <v>64</v>
      </c>
      <c r="B19">
        <v>2E-3</v>
      </c>
      <c r="C19">
        <v>2.3E-2</v>
      </c>
      <c r="D19">
        <v>4.0000000000000001E-3</v>
      </c>
      <c r="E19">
        <v>2.3E-2</v>
      </c>
      <c r="F19">
        <v>1E-3</v>
      </c>
      <c r="G19">
        <v>1.0999999999999999E-2</v>
      </c>
      <c r="H19">
        <v>7.0000000000000001E-3</v>
      </c>
      <c r="I19">
        <v>1.7000000000000001E-2</v>
      </c>
      <c r="J19">
        <f>(B19+B21+B23+B25+B27)/5</f>
        <v>5.2000000000000006E-3</v>
      </c>
      <c r="K19">
        <f t="shared" ref="K19:O19" si="2">(C19+C21+C23+C25+C27)/5</f>
        <v>5.4000000000000003E-3</v>
      </c>
      <c r="L19">
        <f t="shared" si="2"/>
        <v>5.4000000000000003E-3</v>
      </c>
      <c r="M19">
        <f t="shared" si="2"/>
        <v>2.7400000000000001E-2</v>
      </c>
      <c r="N19">
        <f t="shared" si="2"/>
        <v>3.9999999999999992E-3</v>
      </c>
      <c r="O19">
        <f t="shared" si="2"/>
        <v>6.6E-3</v>
      </c>
      <c r="P19">
        <f>(H19+H21+H23+H25+H27)/5</f>
        <v>7.4000000000000012E-3</v>
      </c>
      <c r="Q19">
        <f>(I19+I21+I23+I25+I27)/5</f>
        <v>3.3000000000000002E-2</v>
      </c>
    </row>
    <row r="20" spans="1:17" x14ac:dyDescent="0.25">
      <c r="A20" t="s">
        <v>98</v>
      </c>
      <c r="B20">
        <v>-6.8199999999999997E-3</v>
      </c>
      <c r="C20">
        <v>3.15E-2</v>
      </c>
      <c r="D20">
        <v>-1.12E-2</v>
      </c>
      <c r="E20" t="s">
        <v>99</v>
      </c>
      <c r="F20">
        <v>7.9000000000000008E-3</v>
      </c>
      <c r="G20">
        <v>1.7100000000000001E-2</v>
      </c>
      <c r="H20">
        <v>-2.2599999999999999E-2</v>
      </c>
      <c r="I20" t="s">
        <v>100</v>
      </c>
    </row>
    <row r="21" spans="1:17" x14ac:dyDescent="0.25">
      <c r="A21" t="s">
        <v>64</v>
      </c>
      <c r="B21">
        <v>0</v>
      </c>
      <c r="C21">
        <v>3.0000000000000001E-3</v>
      </c>
      <c r="D21">
        <v>1E-3</v>
      </c>
      <c r="E21">
        <v>3.4000000000000002E-2</v>
      </c>
      <c r="F21">
        <v>0</v>
      </c>
      <c r="G21">
        <v>2E-3</v>
      </c>
      <c r="H21">
        <v>6.0000000000000001E-3</v>
      </c>
      <c r="I21">
        <v>0.03</v>
      </c>
    </row>
    <row r="22" spans="1:17" x14ac:dyDescent="0.25">
      <c r="A22" t="s">
        <v>101</v>
      </c>
      <c r="B22">
        <v>4.2799999999999998E-2</v>
      </c>
      <c r="C22">
        <v>-1.32E-2</v>
      </c>
      <c r="D22">
        <v>-2.5799999999999998E-3</v>
      </c>
      <c r="E22" t="s">
        <v>102</v>
      </c>
      <c r="F22">
        <v>2.75E-2</v>
      </c>
      <c r="G22">
        <v>-7.7000000000000002E-3</v>
      </c>
      <c r="H22">
        <v>-1.8800000000000001E-2</v>
      </c>
      <c r="I22" t="s">
        <v>103</v>
      </c>
    </row>
    <row r="23" spans="1:17" x14ac:dyDescent="0.25">
      <c r="A23" t="s">
        <v>64</v>
      </c>
      <c r="B23">
        <v>6.0000000000000001E-3</v>
      </c>
      <c r="C23">
        <v>1E-3</v>
      </c>
      <c r="D23">
        <v>0</v>
      </c>
      <c r="E23">
        <v>5.2999999999999999E-2</v>
      </c>
      <c r="F23">
        <v>8.9999999999999993E-3</v>
      </c>
      <c r="G23">
        <v>1E-3</v>
      </c>
      <c r="H23">
        <v>6.0000000000000001E-3</v>
      </c>
      <c r="I23">
        <v>3.5999999999999997E-2</v>
      </c>
    </row>
    <row r="24" spans="1:17" x14ac:dyDescent="0.25">
      <c r="A24" t="s">
        <v>104</v>
      </c>
      <c r="B24">
        <v>5.2499999999999998E-2</v>
      </c>
      <c r="C24">
        <v>-9.6500000000000006E-3</v>
      </c>
      <c r="D24">
        <v>-2.18E-2</v>
      </c>
      <c r="E24" t="s">
        <v>105</v>
      </c>
      <c r="F24">
        <v>2.7099999999999999E-2</v>
      </c>
      <c r="G24">
        <v>8.9800000000000001E-3</v>
      </c>
      <c r="H24">
        <v>-1.9400000000000001E-2</v>
      </c>
      <c r="I24" t="s">
        <v>106</v>
      </c>
    </row>
    <row r="25" spans="1:17" x14ac:dyDescent="0.25">
      <c r="A25" t="s">
        <v>64</v>
      </c>
      <c r="B25">
        <v>0.01</v>
      </c>
      <c r="C25">
        <v>0</v>
      </c>
      <c r="D25">
        <v>5.0000000000000001E-3</v>
      </c>
      <c r="E25">
        <v>2.7E-2</v>
      </c>
      <c r="F25">
        <v>7.0000000000000001E-3</v>
      </c>
      <c r="G25">
        <v>1E-3</v>
      </c>
      <c r="H25">
        <v>7.0000000000000001E-3</v>
      </c>
      <c r="I25">
        <v>0.04</v>
      </c>
    </row>
    <row r="26" spans="1:17" x14ac:dyDescent="0.25">
      <c r="A26" t="s">
        <v>107</v>
      </c>
      <c r="B26">
        <v>4.9599999999999998E-2</v>
      </c>
      <c r="C26">
        <v>-3.6800000000000001E-3</v>
      </c>
      <c r="D26" t="s">
        <v>108</v>
      </c>
      <c r="E26">
        <v>-2.6900000000000001E-3</v>
      </c>
      <c r="F26">
        <v>1.9199999999999998E-2</v>
      </c>
      <c r="G26" t="s">
        <v>109</v>
      </c>
      <c r="H26" t="s">
        <v>110</v>
      </c>
      <c r="I26" t="s">
        <v>111</v>
      </c>
    </row>
    <row r="27" spans="1:17" x14ac:dyDescent="0.25">
      <c r="A27" t="s">
        <v>64</v>
      </c>
      <c r="B27">
        <v>8.0000000000000002E-3</v>
      </c>
      <c r="C27">
        <v>0</v>
      </c>
      <c r="D27">
        <v>1.7000000000000001E-2</v>
      </c>
      <c r="E27">
        <v>0</v>
      </c>
      <c r="F27">
        <v>3.0000000000000001E-3</v>
      </c>
      <c r="G27">
        <v>1.7999999999999999E-2</v>
      </c>
      <c r="H27">
        <v>1.0999999999999999E-2</v>
      </c>
      <c r="I27">
        <v>4.2000000000000003E-2</v>
      </c>
    </row>
    <row r="28" spans="1:17" x14ac:dyDescent="0.25">
      <c r="A28" t="s">
        <v>112</v>
      </c>
      <c r="B28" t="s">
        <v>113</v>
      </c>
      <c r="C28">
        <v>1.6199999999999999E-2</v>
      </c>
      <c r="D28">
        <v>2.63E-2</v>
      </c>
      <c r="E28">
        <v>-1.31E-3</v>
      </c>
      <c r="F28" t="s">
        <v>114</v>
      </c>
      <c r="G28">
        <v>4.9700000000000005E-4</v>
      </c>
      <c r="H28">
        <v>7.45E-3</v>
      </c>
      <c r="I28">
        <v>6.1199999999999996E-3</v>
      </c>
    </row>
    <row r="29" spans="1:17" x14ac:dyDescent="0.25">
      <c r="A29" t="s">
        <v>64</v>
      </c>
      <c r="B29">
        <v>2.4E-2</v>
      </c>
      <c r="C29">
        <v>1E-3</v>
      </c>
      <c r="D29">
        <v>7.0000000000000001E-3</v>
      </c>
      <c r="E29">
        <v>0</v>
      </c>
      <c r="F29">
        <v>2.1999999999999999E-2</v>
      </c>
      <c r="G29">
        <v>0</v>
      </c>
      <c r="H29">
        <v>1E-3</v>
      </c>
      <c r="I29">
        <v>1E-3</v>
      </c>
      <c r="J29">
        <f>(B29+B31)/2</f>
        <v>1.6500000000000001E-2</v>
      </c>
      <c r="K29">
        <f t="shared" ref="K29:Q29" si="3">(C29+C31)/2</f>
        <v>3.5000000000000001E-3</v>
      </c>
      <c r="L29">
        <f t="shared" si="3"/>
        <v>3.5000000000000001E-3</v>
      </c>
      <c r="M29">
        <f t="shared" si="3"/>
        <v>4.4999999999999997E-3</v>
      </c>
      <c r="N29">
        <f t="shared" si="3"/>
        <v>1.2499999999999999E-2</v>
      </c>
      <c r="O29">
        <f t="shared" si="3"/>
        <v>4.4999999999999997E-3</v>
      </c>
      <c r="P29">
        <f t="shared" si="3"/>
        <v>2E-3</v>
      </c>
      <c r="Q29">
        <f t="shared" si="3"/>
        <v>1.5E-3</v>
      </c>
    </row>
    <row r="30" spans="1:17" x14ac:dyDescent="0.25">
      <c r="A30" t="s">
        <v>115</v>
      </c>
      <c r="B30" t="s">
        <v>116</v>
      </c>
      <c r="C30">
        <v>-4.87E-2</v>
      </c>
      <c r="D30">
        <v>4.5599999999999998E-3</v>
      </c>
      <c r="E30">
        <v>-3.9399999999999998E-2</v>
      </c>
      <c r="F30">
        <v>2.18E-2</v>
      </c>
      <c r="G30">
        <v>-3.8899999999999997E-2</v>
      </c>
      <c r="H30">
        <v>1.8100000000000002E-2</v>
      </c>
      <c r="I30">
        <v>-1.5299999999999999E-2</v>
      </c>
    </row>
    <row r="31" spans="1:17" x14ac:dyDescent="0.25">
      <c r="A31" t="s">
        <v>64</v>
      </c>
      <c r="B31">
        <v>8.9999999999999993E-3</v>
      </c>
      <c r="C31">
        <v>6.0000000000000001E-3</v>
      </c>
      <c r="D31">
        <v>0</v>
      </c>
      <c r="E31">
        <v>8.9999999999999993E-3</v>
      </c>
      <c r="F31">
        <v>3.0000000000000001E-3</v>
      </c>
      <c r="G31">
        <v>8.9999999999999993E-3</v>
      </c>
      <c r="H31">
        <v>3.0000000000000001E-3</v>
      </c>
      <c r="I31">
        <v>2E-3</v>
      </c>
    </row>
    <row r="32" spans="1:17" x14ac:dyDescent="0.25">
      <c r="A32" t="s">
        <v>117</v>
      </c>
      <c r="B32">
        <v>5.04E-2</v>
      </c>
      <c r="C32">
        <v>1.7500000000000002E-2</v>
      </c>
      <c r="D32" t="s">
        <v>118</v>
      </c>
      <c r="E32">
        <v>-1.15E-2</v>
      </c>
      <c r="F32" t="s">
        <v>119</v>
      </c>
      <c r="G32">
        <v>5.0899999999999999E-3</v>
      </c>
      <c r="H32">
        <v>1.2500000000000001E-2</v>
      </c>
      <c r="I32">
        <v>-1.25E-3</v>
      </c>
    </row>
    <row r="33" spans="1:17" x14ac:dyDescent="0.25">
      <c r="A33" t="s">
        <v>64</v>
      </c>
      <c r="B33">
        <v>4.0000000000000001E-3</v>
      </c>
      <c r="C33">
        <v>1E-3</v>
      </c>
      <c r="D33">
        <v>2.8000000000000001E-2</v>
      </c>
      <c r="E33">
        <v>1E-3</v>
      </c>
      <c r="F33">
        <v>0.01</v>
      </c>
      <c r="G33">
        <v>0</v>
      </c>
      <c r="H33">
        <v>1E-3</v>
      </c>
      <c r="I33">
        <v>0</v>
      </c>
      <c r="J33">
        <f t="shared" ref="J33:P33" si="4">(B33+B35+B37+B39)/4</f>
        <v>4.7499999999999999E-3</v>
      </c>
      <c r="K33">
        <f t="shared" si="4"/>
        <v>1.25E-3</v>
      </c>
      <c r="L33">
        <f t="shared" si="4"/>
        <v>1.15E-2</v>
      </c>
      <c r="M33">
        <f t="shared" si="4"/>
        <v>1.25E-3</v>
      </c>
      <c r="N33">
        <f t="shared" si="4"/>
        <v>5.0000000000000001E-3</v>
      </c>
      <c r="O33">
        <f t="shared" si="4"/>
        <v>2.4999999999999996E-3</v>
      </c>
      <c r="P33">
        <f t="shared" si="4"/>
        <v>1.75E-3</v>
      </c>
      <c r="Q33">
        <f>(I33+I35+I37+I39)/4</f>
        <v>1.5E-3</v>
      </c>
    </row>
    <row r="34" spans="1:17" x14ac:dyDescent="0.25">
      <c r="A34" t="s">
        <v>120</v>
      </c>
      <c r="B34" t="s">
        <v>121</v>
      </c>
      <c r="C34">
        <v>-1.66E-2</v>
      </c>
      <c r="D34">
        <v>2.9499999999999998E-2</v>
      </c>
      <c r="E34">
        <v>-1.32E-2</v>
      </c>
      <c r="F34">
        <v>3.4700000000000002E-2</v>
      </c>
      <c r="G34">
        <v>-1.6800000000000001E-3</v>
      </c>
      <c r="H34">
        <v>1.6500000000000001E-2</v>
      </c>
      <c r="I34">
        <v>-1.3899999999999999E-2</v>
      </c>
    </row>
    <row r="35" spans="1:17" x14ac:dyDescent="0.25">
      <c r="A35" t="s">
        <v>64</v>
      </c>
      <c r="B35">
        <v>1.0999999999999999E-2</v>
      </c>
      <c r="C35">
        <v>1E-3</v>
      </c>
      <c r="D35">
        <v>5.0000000000000001E-3</v>
      </c>
      <c r="E35">
        <v>1E-3</v>
      </c>
      <c r="F35">
        <v>7.0000000000000001E-3</v>
      </c>
      <c r="G35">
        <v>0</v>
      </c>
      <c r="H35">
        <v>3.0000000000000001E-3</v>
      </c>
      <c r="I35">
        <v>2E-3</v>
      </c>
    </row>
    <row r="36" spans="1:17" x14ac:dyDescent="0.25">
      <c r="A36" t="s">
        <v>122</v>
      </c>
      <c r="B36">
        <v>4.7800000000000002E-2</v>
      </c>
      <c r="C36">
        <v>-2.4299999999999999E-2</v>
      </c>
      <c r="D36">
        <v>4.5499999999999999E-2</v>
      </c>
      <c r="E36">
        <v>-7.1700000000000002E-3</v>
      </c>
      <c r="F36">
        <v>2.7300000000000001E-2</v>
      </c>
      <c r="G36">
        <v>-1.06E-2</v>
      </c>
      <c r="H36">
        <v>2.0299999999999999E-2</v>
      </c>
      <c r="I36">
        <v>-4.3200000000000001E-3</v>
      </c>
    </row>
    <row r="37" spans="1:17" x14ac:dyDescent="0.25">
      <c r="A37" t="s">
        <v>64</v>
      </c>
      <c r="B37">
        <v>4.0000000000000001E-3</v>
      </c>
      <c r="C37">
        <v>1E-3</v>
      </c>
      <c r="D37">
        <v>1.0999999999999999E-2</v>
      </c>
      <c r="E37">
        <v>0</v>
      </c>
      <c r="F37">
        <v>3.0000000000000001E-3</v>
      </c>
      <c r="G37">
        <v>1E-3</v>
      </c>
      <c r="H37">
        <v>3.0000000000000001E-3</v>
      </c>
      <c r="I37">
        <v>0</v>
      </c>
    </row>
    <row r="38" spans="1:17" x14ac:dyDescent="0.25">
      <c r="A38" t="s">
        <v>123</v>
      </c>
      <c r="B38">
        <v>1.34E-2</v>
      </c>
      <c r="C38">
        <v>2.8799999999999999E-2</v>
      </c>
      <c r="D38">
        <v>-1.77E-2</v>
      </c>
      <c r="E38">
        <v>2.2700000000000001E-2</v>
      </c>
      <c r="F38">
        <v>-3.9899999999999996E-3</v>
      </c>
      <c r="G38" t="s">
        <v>124</v>
      </c>
      <c r="H38">
        <v>1.89E-3</v>
      </c>
      <c r="I38">
        <v>-1.8499999999999999E-2</v>
      </c>
    </row>
    <row r="39" spans="1:17" x14ac:dyDescent="0.25">
      <c r="A39" t="s">
        <v>64</v>
      </c>
      <c r="B39">
        <v>0</v>
      </c>
      <c r="C39">
        <v>2E-3</v>
      </c>
      <c r="D39">
        <v>2E-3</v>
      </c>
      <c r="E39">
        <v>3.0000000000000001E-3</v>
      </c>
      <c r="F39">
        <v>0</v>
      </c>
      <c r="G39">
        <v>8.9999999999999993E-3</v>
      </c>
      <c r="H39">
        <v>0</v>
      </c>
      <c r="I39">
        <v>4.0000000000000001E-3</v>
      </c>
    </row>
    <row r="40" spans="1:17" x14ac:dyDescent="0.25">
      <c r="A40" t="s">
        <v>125</v>
      </c>
      <c r="B40">
        <v>-2.32E-3</v>
      </c>
      <c r="C40">
        <v>7.3499999999999998E-3</v>
      </c>
      <c r="D40">
        <v>-3.0300000000000001E-2</v>
      </c>
      <c r="E40">
        <v>1.03E-2</v>
      </c>
      <c r="F40">
        <v>2.4899999999999999E-2</v>
      </c>
      <c r="G40">
        <v>5.9200000000000003E-2</v>
      </c>
      <c r="H40" t="s">
        <v>126</v>
      </c>
      <c r="I40" t="s">
        <v>127</v>
      </c>
    </row>
    <row r="41" spans="1:17" x14ac:dyDescent="0.25">
      <c r="A41" t="s">
        <v>64</v>
      </c>
      <c r="B41">
        <v>0</v>
      </c>
      <c r="C41">
        <v>0</v>
      </c>
      <c r="D41">
        <v>6.0000000000000001E-3</v>
      </c>
      <c r="E41">
        <v>1E-3</v>
      </c>
      <c r="F41">
        <v>4.0000000000000001E-3</v>
      </c>
      <c r="G41">
        <v>1.7999999999999999E-2</v>
      </c>
      <c r="H41">
        <v>1.7000000000000001E-2</v>
      </c>
      <c r="I41">
        <v>0.02</v>
      </c>
      <c r="J41">
        <f>(B41+B43)/2</f>
        <v>0</v>
      </c>
      <c r="K41">
        <f t="shared" ref="K41:Q41" si="5">(C41+C43)/2</f>
        <v>1.5E-3</v>
      </c>
      <c r="L41">
        <f t="shared" si="5"/>
        <v>0.01</v>
      </c>
      <c r="M41">
        <f t="shared" si="5"/>
        <v>1.5E-3</v>
      </c>
      <c r="N41">
        <f t="shared" si="5"/>
        <v>2.5000000000000001E-3</v>
      </c>
      <c r="O41">
        <f t="shared" si="5"/>
        <v>2.5000000000000001E-2</v>
      </c>
      <c r="P41">
        <f t="shared" si="5"/>
        <v>2.0500000000000001E-2</v>
      </c>
      <c r="Q41">
        <f t="shared" si="5"/>
        <v>2.2499999999999999E-2</v>
      </c>
    </row>
    <row r="42" spans="1:17" x14ac:dyDescent="0.25">
      <c r="A42" t="s">
        <v>128</v>
      </c>
      <c r="B42">
        <v>-1.3299999999999999E-2</v>
      </c>
      <c r="C42">
        <v>3.6200000000000003E-2</v>
      </c>
      <c r="D42">
        <v>-4.8300000000000003E-2</v>
      </c>
      <c r="E42">
        <v>1.7500000000000002E-2</v>
      </c>
      <c r="F42">
        <v>1.4999999999999999E-2</v>
      </c>
      <c r="G42" t="s">
        <v>129</v>
      </c>
      <c r="H42" t="s">
        <v>130</v>
      </c>
      <c r="I42" t="s">
        <v>131</v>
      </c>
    </row>
    <row r="43" spans="1:17" x14ac:dyDescent="0.25">
      <c r="A43" t="s">
        <v>64</v>
      </c>
      <c r="B43">
        <v>0</v>
      </c>
      <c r="C43">
        <v>3.0000000000000001E-3</v>
      </c>
      <c r="D43">
        <v>1.4E-2</v>
      </c>
      <c r="E43">
        <v>2E-3</v>
      </c>
      <c r="F43">
        <v>1E-3</v>
      </c>
      <c r="G43">
        <v>3.2000000000000001E-2</v>
      </c>
      <c r="H43">
        <v>2.4E-2</v>
      </c>
      <c r="I43">
        <v>2.5000000000000001E-2</v>
      </c>
    </row>
    <row r="44" spans="1:17" x14ac:dyDescent="0.25">
      <c r="A44" t="s">
        <v>132</v>
      </c>
      <c r="B44">
        <v>-8.2600000000000007E-2</v>
      </c>
      <c r="C44">
        <v>7.6999999999999999E-2</v>
      </c>
      <c r="D44" t="s">
        <v>133</v>
      </c>
      <c r="E44">
        <v>-2.3699999999999999E-2</v>
      </c>
      <c r="F44">
        <v>1.0699999999999999E-2</v>
      </c>
      <c r="G44">
        <v>4.9799999999999997E-2</v>
      </c>
      <c r="H44" t="s">
        <v>134</v>
      </c>
      <c r="I44">
        <v>-4.0599999999999997E-2</v>
      </c>
    </row>
    <row r="45" spans="1:17" x14ac:dyDescent="0.25">
      <c r="A45" t="s">
        <v>64</v>
      </c>
      <c r="B45">
        <v>7.0000000000000001E-3</v>
      </c>
      <c r="C45">
        <v>6.0000000000000001E-3</v>
      </c>
      <c r="D45">
        <v>0.02</v>
      </c>
      <c r="E45">
        <v>2E-3</v>
      </c>
      <c r="F45">
        <v>0</v>
      </c>
      <c r="G45">
        <v>7.0000000000000001E-3</v>
      </c>
      <c r="H45">
        <v>3.2000000000000001E-2</v>
      </c>
      <c r="I45">
        <v>7.0000000000000001E-3</v>
      </c>
      <c r="J45">
        <f>(B45+B47)/2</f>
        <v>6.0000000000000001E-3</v>
      </c>
      <c r="K45">
        <f t="shared" ref="K45:P45" si="6">(C45+C47)/2</f>
        <v>3.0000000000000001E-3</v>
      </c>
      <c r="L45">
        <f t="shared" si="6"/>
        <v>1.15E-2</v>
      </c>
      <c r="M45">
        <f t="shared" si="6"/>
        <v>3.0000000000000001E-3</v>
      </c>
      <c r="N45">
        <f t="shared" si="6"/>
        <v>5.0000000000000001E-4</v>
      </c>
      <c r="O45">
        <f t="shared" si="6"/>
        <v>6.0000000000000001E-3</v>
      </c>
      <c r="P45">
        <f t="shared" si="6"/>
        <v>1.6500000000000001E-2</v>
      </c>
      <c r="Q45">
        <f>(I45+I47)/2</f>
        <v>5.0000000000000001E-3</v>
      </c>
    </row>
    <row r="46" spans="1:17" x14ac:dyDescent="0.25">
      <c r="A46" t="s">
        <v>135</v>
      </c>
      <c r="B46">
        <v>4.9500000000000002E-2</v>
      </c>
      <c r="C46">
        <v>1.11E-2</v>
      </c>
      <c r="D46">
        <v>-2.1600000000000001E-2</v>
      </c>
      <c r="E46">
        <v>2.63E-2</v>
      </c>
      <c r="F46">
        <v>1.5800000000000002E-2</v>
      </c>
      <c r="G46">
        <v>3.4000000000000002E-2</v>
      </c>
      <c r="H46">
        <v>-1.03E-2</v>
      </c>
      <c r="I46">
        <v>-1.6400000000000001E-2</v>
      </c>
    </row>
    <row r="47" spans="1:17" x14ac:dyDescent="0.25">
      <c r="A47" t="s">
        <v>64</v>
      </c>
      <c r="B47">
        <v>5.0000000000000001E-3</v>
      </c>
      <c r="C47">
        <v>0</v>
      </c>
      <c r="D47">
        <v>3.0000000000000001E-3</v>
      </c>
      <c r="E47">
        <v>4.0000000000000001E-3</v>
      </c>
      <c r="F47">
        <v>1E-3</v>
      </c>
      <c r="G47">
        <v>5.0000000000000001E-3</v>
      </c>
      <c r="H47">
        <v>1E-3</v>
      </c>
      <c r="I47">
        <v>3.0000000000000001E-3</v>
      </c>
    </row>
    <row r="48" spans="1:17" x14ac:dyDescent="0.25">
      <c r="A48" t="s">
        <v>136</v>
      </c>
      <c r="B48">
        <v>7.3200000000000001E-3</v>
      </c>
      <c r="C48" t="s">
        <v>137</v>
      </c>
      <c r="D48">
        <v>6.0899999999999999E-3</v>
      </c>
      <c r="E48" t="s">
        <v>138</v>
      </c>
      <c r="F48">
        <v>-2.96E-3</v>
      </c>
      <c r="G48" t="s">
        <v>139</v>
      </c>
      <c r="H48">
        <v>5.9699999999999996E-3</v>
      </c>
      <c r="I48">
        <v>4.1900000000000001E-3</v>
      </c>
    </row>
    <row r="49" spans="1:17" x14ac:dyDescent="0.25">
      <c r="A49" t="s">
        <v>64</v>
      </c>
      <c r="B49">
        <v>1E-3</v>
      </c>
      <c r="C49">
        <v>2.5000000000000001E-2</v>
      </c>
      <c r="D49">
        <v>3.0000000000000001E-3</v>
      </c>
      <c r="E49">
        <v>1.6E-2</v>
      </c>
      <c r="F49">
        <v>1E-3</v>
      </c>
      <c r="G49">
        <v>3.3000000000000002E-2</v>
      </c>
      <c r="H49">
        <v>6.0000000000000001E-3</v>
      </c>
      <c r="I49">
        <v>3.0000000000000001E-3</v>
      </c>
      <c r="J49">
        <f t="shared" ref="J49:Q49" si="7">(B49+B51+B53+B55+B57)/5</f>
        <v>1.0600000000000002E-2</v>
      </c>
      <c r="K49">
        <f t="shared" si="7"/>
        <v>2.6200000000000001E-2</v>
      </c>
      <c r="L49">
        <f t="shared" si="7"/>
        <v>1.44E-2</v>
      </c>
      <c r="M49">
        <f t="shared" si="7"/>
        <v>2.1999999999999999E-2</v>
      </c>
      <c r="N49">
        <f t="shared" si="7"/>
        <v>1.5800000000000002E-2</v>
      </c>
      <c r="O49">
        <f t="shared" si="7"/>
        <v>1.84E-2</v>
      </c>
      <c r="P49">
        <f t="shared" si="7"/>
        <v>5.6000000000000008E-3</v>
      </c>
      <c r="Q49">
        <f t="shared" si="7"/>
        <v>1.9200000000000002E-2</v>
      </c>
    </row>
    <row r="50" spans="1:17" x14ac:dyDescent="0.25">
      <c r="A50" t="s">
        <v>140</v>
      </c>
      <c r="B50">
        <v>5.9100000000000003E-3</v>
      </c>
      <c r="C50">
        <v>1.4500000000000001E-2</v>
      </c>
      <c r="D50">
        <v>8.9999999999999993E-3</v>
      </c>
      <c r="E50">
        <v>6.5199999999999998E-3</v>
      </c>
      <c r="F50">
        <v>6.0899999999999999E-3</v>
      </c>
      <c r="G50">
        <v>5.6499999999999996E-3</v>
      </c>
      <c r="H50">
        <v>4.3E-3</v>
      </c>
      <c r="I50">
        <v>6.6600000000000001E-3</v>
      </c>
    </row>
    <row r="51" spans="1:17" x14ac:dyDescent="0.25">
      <c r="A51" t="s">
        <v>64</v>
      </c>
      <c r="B51">
        <v>1E-3</v>
      </c>
      <c r="C51">
        <v>7.0000000000000001E-3</v>
      </c>
      <c r="D51">
        <v>5.0000000000000001E-3</v>
      </c>
      <c r="E51">
        <v>4.0000000000000001E-3</v>
      </c>
      <c r="F51">
        <v>3.0000000000000001E-3</v>
      </c>
      <c r="G51">
        <v>3.0000000000000001E-3</v>
      </c>
      <c r="H51">
        <v>3.0000000000000001E-3</v>
      </c>
      <c r="I51">
        <v>7.0000000000000001E-3</v>
      </c>
    </row>
    <row r="52" spans="1:17" x14ac:dyDescent="0.25">
      <c r="A52" t="s">
        <v>141</v>
      </c>
      <c r="B52" t="s">
        <v>142</v>
      </c>
      <c r="C52" t="s">
        <v>143</v>
      </c>
      <c r="D52" t="s">
        <v>144</v>
      </c>
      <c r="E52" t="s">
        <v>145</v>
      </c>
      <c r="F52" t="s">
        <v>146</v>
      </c>
      <c r="G52" t="s">
        <v>147</v>
      </c>
      <c r="H52">
        <v>5.94E-3</v>
      </c>
      <c r="I52" t="s">
        <v>148</v>
      </c>
    </row>
    <row r="53" spans="1:17" x14ac:dyDescent="0.25">
      <c r="A53" t="s">
        <v>64</v>
      </c>
      <c r="B53">
        <v>1.2E-2</v>
      </c>
      <c r="C53">
        <v>4.2999999999999997E-2</v>
      </c>
      <c r="D53">
        <v>2.4E-2</v>
      </c>
      <c r="E53">
        <v>2.5000000000000001E-2</v>
      </c>
      <c r="F53">
        <v>0.02</v>
      </c>
      <c r="G53">
        <v>0.03</v>
      </c>
      <c r="H53">
        <v>5.0000000000000001E-3</v>
      </c>
      <c r="I53">
        <v>2.1999999999999999E-2</v>
      </c>
    </row>
    <row r="54" spans="1:17" x14ac:dyDescent="0.25">
      <c r="A54" t="s">
        <v>149</v>
      </c>
      <c r="B54" t="s">
        <v>150</v>
      </c>
      <c r="C54" t="s">
        <v>151</v>
      </c>
      <c r="D54" t="s">
        <v>152</v>
      </c>
      <c r="E54" t="s">
        <v>153</v>
      </c>
      <c r="F54" t="s">
        <v>154</v>
      </c>
      <c r="G54" t="s">
        <v>155</v>
      </c>
      <c r="H54" t="s">
        <v>156</v>
      </c>
      <c r="I54" t="s">
        <v>157</v>
      </c>
    </row>
    <row r="55" spans="1:17" x14ac:dyDescent="0.25">
      <c r="A55" t="s">
        <v>64</v>
      </c>
      <c r="B55">
        <v>0.01</v>
      </c>
      <c r="C55">
        <v>5.2999999999999999E-2</v>
      </c>
      <c r="D55">
        <v>0.03</v>
      </c>
      <c r="E55">
        <v>0.04</v>
      </c>
      <c r="F55">
        <v>1.2999999999999999E-2</v>
      </c>
      <c r="G55">
        <v>2.5999999999999999E-2</v>
      </c>
      <c r="H55">
        <v>1.2999999999999999E-2</v>
      </c>
      <c r="I55">
        <v>3.5999999999999997E-2</v>
      </c>
    </row>
    <row r="56" spans="1:17" x14ac:dyDescent="0.25">
      <c r="A56" t="s">
        <v>158</v>
      </c>
      <c r="B56" t="s">
        <v>159</v>
      </c>
      <c r="C56">
        <v>7.9399999999999991E-3</v>
      </c>
      <c r="D56" t="s">
        <v>160</v>
      </c>
      <c r="E56" t="s">
        <v>161</v>
      </c>
      <c r="F56" t="s">
        <v>162</v>
      </c>
      <c r="G56">
        <v>4.46E-4</v>
      </c>
      <c r="H56">
        <v>1.6999999999999999E-3</v>
      </c>
      <c r="I56" t="s">
        <v>163</v>
      </c>
    </row>
    <row r="57" spans="1:17" x14ac:dyDescent="0.25">
      <c r="A57" t="s">
        <v>64</v>
      </c>
      <c r="B57">
        <v>2.9000000000000001E-2</v>
      </c>
      <c r="C57">
        <v>3.0000000000000001E-3</v>
      </c>
      <c r="D57">
        <v>0.01</v>
      </c>
      <c r="E57">
        <v>2.5000000000000001E-2</v>
      </c>
      <c r="F57">
        <v>4.2000000000000003E-2</v>
      </c>
      <c r="G57">
        <v>0</v>
      </c>
      <c r="H57">
        <v>1E-3</v>
      </c>
      <c r="I57">
        <v>2.8000000000000001E-2</v>
      </c>
    </row>
    <row r="58" spans="1:17" x14ac:dyDescent="0.25">
      <c r="A58" t="s">
        <v>164</v>
      </c>
      <c r="B58">
        <v>-9.7199999999999995E-3</v>
      </c>
      <c r="C58">
        <v>1.49E-2</v>
      </c>
      <c r="D58">
        <v>-2.2799999999999999E-3</v>
      </c>
      <c r="E58">
        <v>8.9599999999999992E-3</v>
      </c>
      <c r="F58" t="s">
        <v>165</v>
      </c>
      <c r="G58">
        <v>1.14E-2</v>
      </c>
      <c r="H58">
        <v>6.96E-3</v>
      </c>
      <c r="I58">
        <v>1.4499999999999999E-3</v>
      </c>
    </row>
    <row r="59" spans="1:17" x14ac:dyDescent="0.25">
      <c r="A59" t="s">
        <v>64</v>
      </c>
      <c r="B59">
        <v>2E-3</v>
      </c>
      <c r="C59">
        <v>8.0000000000000002E-3</v>
      </c>
      <c r="D59">
        <v>0</v>
      </c>
      <c r="E59">
        <v>6.0000000000000001E-3</v>
      </c>
      <c r="F59">
        <v>1.6E-2</v>
      </c>
      <c r="G59">
        <v>1.2E-2</v>
      </c>
      <c r="H59">
        <v>7.0000000000000001E-3</v>
      </c>
      <c r="I59">
        <v>0</v>
      </c>
      <c r="J59">
        <f>(B59+B61+B63+B65+B67+B69+B71+B73+B75+B77)/10</f>
        <v>6.7000000000000002E-3</v>
      </c>
      <c r="K59">
        <f t="shared" ref="K59:Q59" si="8">(C59+C61+C63+C65+C67+C69+C71+C73+C75+C77)/10</f>
        <v>1.67E-2</v>
      </c>
      <c r="L59">
        <f t="shared" si="8"/>
        <v>3.0000000000000001E-3</v>
      </c>
      <c r="M59">
        <f t="shared" si="8"/>
        <v>4.7000000000000002E-3</v>
      </c>
      <c r="N59">
        <f>(F59+F61+F63+F65+F67+F69+F71+F73+F75+F77)/10</f>
        <v>1.0200000000000001E-2</v>
      </c>
      <c r="O59">
        <f t="shared" si="8"/>
        <v>1.4100000000000001E-2</v>
      </c>
      <c r="P59">
        <f t="shared" si="8"/>
        <v>1.7000000000000001E-3</v>
      </c>
      <c r="Q59">
        <f t="shared" si="8"/>
        <v>1.2000000000000001E-3</v>
      </c>
    </row>
    <row r="60" spans="1:17" x14ac:dyDescent="0.25">
      <c r="A60" t="s">
        <v>166</v>
      </c>
      <c r="B60">
        <v>2.0500000000000002E-3</v>
      </c>
      <c r="C60">
        <v>1.9300000000000001E-2</v>
      </c>
      <c r="D60">
        <v>1.41E-3</v>
      </c>
      <c r="E60">
        <v>-2.0800000000000001E-5</v>
      </c>
      <c r="F60">
        <v>1.06E-3</v>
      </c>
      <c r="G60" t="s">
        <v>167</v>
      </c>
      <c r="H60">
        <v>1.66E-3</v>
      </c>
      <c r="I60">
        <v>-1.42E-3</v>
      </c>
    </row>
    <row r="61" spans="1:17" x14ac:dyDescent="0.25">
      <c r="A61" t="s">
        <v>64</v>
      </c>
      <c r="B61">
        <v>0</v>
      </c>
      <c r="C61">
        <v>1.9E-2</v>
      </c>
      <c r="D61">
        <v>0</v>
      </c>
      <c r="E61">
        <v>0</v>
      </c>
      <c r="F61">
        <v>0</v>
      </c>
      <c r="G61">
        <v>1.7000000000000001E-2</v>
      </c>
      <c r="H61">
        <v>1E-3</v>
      </c>
      <c r="I61">
        <v>0</v>
      </c>
    </row>
    <row r="62" spans="1:17" x14ac:dyDescent="0.25">
      <c r="A62" t="s">
        <v>168</v>
      </c>
      <c r="B62">
        <v>9.0499999999999999E-4</v>
      </c>
      <c r="C62" t="s">
        <v>169</v>
      </c>
      <c r="D62">
        <v>9.7899999999999994E-5</v>
      </c>
      <c r="E62">
        <v>1.7600000000000001E-3</v>
      </c>
      <c r="F62">
        <v>7.0500000000000001E-4</v>
      </c>
      <c r="G62" t="s">
        <v>170</v>
      </c>
      <c r="H62">
        <v>-6.3299999999999999E-4</v>
      </c>
      <c r="I62">
        <v>-4.6700000000000002E-4</v>
      </c>
    </row>
    <row r="63" spans="1:17" x14ac:dyDescent="0.25">
      <c r="A63" t="s">
        <v>64</v>
      </c>
      <c r="B63">
        <v>0</v>
      </c>
      <c r="C63">
        <v>0.03</v>
      </c>
      <c r="D63">
        <v>0</v>
      </c>
      <c r="E63">
        <v>0</v>
      </c>
      <c r="F63">
        <v>0</v>
      </c>
      <c r="G63">
        <v>3.5999999999999997E-2</v>
      </c>
      <c r="H63">
        <v>0</v>
      </c>
      <c r="I63">
        <v>0</v>
      </c>
    </row>
    <row r="64" spans="1:17" x14ac:dyDescent="0.25">
      <c r="A64" t="s">
        <v>171</v>
      </c>
      <c r="B64">
        <v>6.7000000000000002E-4</v>
      </c>
      <c r="C64">
        <v>1.4500000000000001E-2</v>
      </c>
      <c r="D64">
        <v>2.81E-3</v>
      </c>
      <c r="E64">
        <v>-5.2599999999999999E-3</v>
      </c>
      <c r="F64">
        <v>3.6900000000000002E-4</v>
      </c>
      <c r="G64">
        <v>5.77E-3</v>
      </c>
      <c r="H64">
        <v>1.2999999999999999E-3</v>
      </c>
      <c r="I64">
        <v>-1.8799999999999999E-3</v>
      </c>
    </row>
    <row r="65" spans="1:17" x14ac:dyDescent="0.25">
      <c r="A65" t="s">
        <v>64</v>
      </c>
      <c r="B65">
        <v>0</v>
      </c>
      <c r="C65">
        <v>8.0000000000000002E-3</v>
      </c>
      <c r="D65">
        <v>1E-3</v>
      </c>
      <c r="E65">
        <v>3.0000000000000001E-3</v>
      </c>
      <c r="F65">
        <v>0</v>
      </c>
      <c r="G65">
        <v>4.0000000000000001E-3</v>
      </c>
      <c r="H65">
        <v>0</v>
      </c>
      <c r="I65">
        <v>1E-3</v>
      </c>
    </row>
    <row r="66" spans="1:17" x14ac:dyDescent="0.25">
      <c r="A66" t="s">
        <v>172</v>
      </c>
      <c r="B66">
        <v>9.75E-3</v>
      </c>
      <c r="C66">
        <v>-7.5700000000000003E-3</v>
      </c>
      <c r="D66">
        <v>3.9399999999999999E-3</v>
      </c>
      <c r="E66">
        <v>-7.2100000000000003E-3</v>
      </c>
      <c r="F66">
        <v>8.8500000000000002E-3</v>
      </c>
      <c r="G66">
        <v>-3.0999999999999999E-3</v>
      </c>
      <c r="H66">
        <v>-1.07E-3</v>
      </c>
      <c r="I66">
        <v>-3.3800000000000002E-3</v>
      </c>
    </row>
    <row r="67" spans="1:17" x14ac:dyDescent="0.25">
      <c r="A67" t="s">
        <v>64</v>
      </c>
      <c r="B67">
        <v>4.0000000000000001E-3</v>
      </c>
      <c r="C67">
        <v>2E-3</v>
      </c>
      <c r="D67">
        <v>2E-3</v>
      </c>
      <c r="E67">
        <v>6.0000000000000001E-3</v>
      </c>
      <c r="F67">
        <v>0.01</v>
      </c>
      <c r="G67">
        <v>1E-3</v>
      </c>
      <c r="H67">
        <v>0</v>
      </c>
      <c r="I67">
        <v>3.0000000000000001E-3</v>
      </c>
    </row>
    <row r="68" spans="1:17" x14ac:dyDescent="0.25">
      <c r="A68" t="s">
        <v>173</v>
      </c>
      <c r="B68">
        <v>1.35E-2</v>
      </c>
      <c r="C68">
        <v>1.39E-3</v>
      </c>
      <c r="D68">
        <v>7.2899999999999996E-3</v>
      </c>
      <c r="E68">
        <v>-6.2899999999999996E-3</v>
      </c>
      <c r="F68" t="s">
        <v>174</v>
      </c>
      <c r="G68">
        <v>-1.11E-4</v>
      </c>
      <c r="H68">
        <v>4.5399999999999998E-4</v>
      </c>
      <c r="I68">
        <v>-1.0200000000000001E-3</v>
      </c>
    </row>
    <row r="69" spans="1:17" x14ac:dyDescent="0.25">
      <c r="A69" t="s">
        <v>64</v>
      </c>
      <c r="B69">
        <v>1.0999999999999999E-2</v>
      </c>
      <c r="C69">
        <v>0</v>
      </c>
      <c r="D69">
        <v>7.0000000000000001E-3</v>
      </c>
      <c r="E69">
        <v>5.0000000000000001E-3</v>
      </c>
      <c r="F69">
        <v>2.4E-2</v>
      </c>
      <c r="G69">
        <v>0</v>
      </c>
      <c r="H69">
        <v>0</v>
      </c>
      <c r="I69">
        <v>0</v>
      </c>
    </row>
    <row r="70" spans="1:17" x14ac:dyDescent="0.25">
      <c r="A70" t="s">
        <v>175</v>
      </c>
      <c r="B70">
        <v>1.7999999999999999E-2</v>
      </c>
      <c r="C70" t="s">
        <v>176</v>
      </c>
      <c r="D70">
        <v>-5.2700000000000002E-4</v>
      </c>
      <c r="E70">
        <v>-5.3800000000000002E-3</v>
      </c>
      <c r="F70">
        <v>8.5100000000000002E-3</v>
      </c>
      <c r="G70">
        <v>-7.6099999999999996E-3</v>
      </c>
      <c r="H70">
        <v>2.4899999999999998E-4</v>
      </c>
      <c r="I70">
        <v>-1.1100000000000001E-3</v>
      </c>
    </row>
    <row r="71" spans="1:17" x14ac:dyDescent="0.25">
      <c r="A71" t="s">
        <v>64</v>
      </c>
      <c r="B71">
        <v>1.6E-2</v>
      </c>
      <c r="C71">
        <v>1.4999999999999999E-2</v>
      </c>
      <c r="D71">
        <v>0</v>
      </c>
      <c r="E71">
        <v>4.0000000000000001E-3</v>
      </c>
      <c r="F71">
        <v>1.0999999999999999E-2</v>
      </c>
      <c r="G71">
        <v>8.9999999999999993E-3</v>
      </c>
      <c r="H71">
        <v>0</v>
      </c>
      <c r="I71">
        <v>0</v>
      </c>
    </row>
    <row r="72" spans="1:17" x14ac:dyDescent="0.25">
      <c r="A72" t="s">
        <v>177</v>
      </c>
      <c r="B72">
        <v>2.4199999999999999E-2</v>
      </c>
      <c r="C72" t="s">
        <v>178</v>
      </c>
      <c r="D72">
        <v>-1.1299999999999999E-3</v>
      </c>
      <c r="E72">
        <v>-7.3600000000000002E-3</v>
      </c>
      <c r="F72" t="s">
        <v>179</v>
      </c>
      <c r="G72" t="s">
        <v>180</v>
      </c>
      <c r="H72">
        <v>-1.0399999999999999E-3</v>
      </c>
      <c r="I72">
        <v>-2.1299999999999999E-3</v>
      </c>
    </row>
    <row r="73" spans="1:17" x14ac:dyDescent="0.25">
      <c r="A73" t="s">
        <v>64</v>
      </c>
      <c r="B73">
        <v>2.7E-2</v>
      </c>
      <c r="C73">
        <v>3.6999999999999998E-2</v>
      </c>
      <c r="D73">
        <v>0</v>
      </c>
      <c r="E73">
        <v>7.0000000000000001E-3</v>
      </c>
      <c r="F73">
        <v>3.5999999999999997E-2</v>
      </c>
      <c r="G73">
        <v>3.4000000000000002E-2</v>
      </c>
      <c r="H73">
        <v>0</v>
      </c>
      <c r="I73">
        <v>1E-3</v>
      </c>
    </row>
    <row r="74" spans="1:17" x14ac:dyDescent="0.25">
      <c r="A74" t="s">
        <v>181</v>
      </c>
      <c r="B74">
        <v>9.8200000000000006E-3</v>
      </c>
      <c r="C74" t="s">
        <v>182</v>
      </c>
      <c r="D74">
        <v>-6.0499999999999998E-3</v>
      </c>
      <c r="E74">
        <v>-5.9199999999999999E-3</v>
      </c>
      <c r="F74">
        <v>4.7400000000000003E-3</v>
      </c>
      <c r="G74" t="s">
        <v>183</v>
      </c>
      <c r="H74">
        <v>-2.6199999999999999E-3</v>
      </c>
      <c r="I74">
        <v>-3.81E-3</v>
      </c>
    </row>
    <row r="75" spans="1:17" x14ac:dyDescent="0.25">
      <c r="A75" t="s">
        <v>64</v>
      </c>
      <c r="B75">
        <v>4.0000000000000001E-3</v>
      </c>
      <c r="C75">
        <v>3.4000000000000002E-2</v>
      </c>
      <c r="D75">
        <v>5.0000000000000001E-3</v>
      </c>
      <c r="E75">
        <v>5.0000000000000001E-3</v>
      </c>
      <c r="F75">
        <v>4.0000000000000001E-3</v>
      </c>
      <c r="G75">
        <v>1.4E-2</v>
      </c>
      <c r="H75">
        <v>2E-3</v>
      </c>
      <c r="I75">
        <v>4.0000000000000001E-3</v>
      </c>
    </row>
    <row r="76" spans="1:17" x14ac:dyDescent="0.25">
      <c r="A76" t="s">
        <v>184</v>
      </c>
      <c r="B76">
        <v>-8.3099999999999997E-3</v>
      </c>
      <c r="C76" t="s">
        <v>185</v>
      </c>
      <c r="D76" t="s">
        <v>186</v>
      </c>
      <c r="E76">
        <v>-8.7500000000000008E-3</v>
      </c>
      <c r="F76">
        <v>-2.7799999999999999E-3</v>
      </c>
      <c r="G76" t="s">
        <v>187</v>
      </c>
      <c r="H76">
        <v>-5.2199999999999998E-3</v>
      </c>
      <c r="I76">
        <v>-3.7299999999999998E-3</v>
      </c>
    </row>
    <row r="77" spans="1:17" x14ac:dyDescent="0.25">
      <c r="A77" t="s">
        <v>64</v>
      </c>
      <c r="B77">
        <v>3.0000000000000001E-3</v>
      </c>
      <c r="C77">
        <v>1.4E-2</v>
      </c>
      <c r="D77">
        <v>1.4999999999999999E-2</v>
      </c>
      <c r="E77">
        <v>1.0999999999999999E-2</v>
      </c>
      <c r="F77">
        <v>1E-3</v>
      </c>
      <c r="G77">
        <v>1.4E-2</v>
      </c>
      <c r="H77">
        <v>7.0000000000000001E-3</v>
      </c>
      <c r="I77">
        <v>3.0000000000000001E-3</v>
      </c>
    </row>
    <row r="78" spans="1:17" x14ac:dyDescent="0.25">
      <c r="A78" t="s">
        <v>188</v>
      </c>
      <c r="B78" t="s">
        <v>189</v>
      </c>
      <c r="C78">
        <v>-0.108</v>
      </c>
      <c r="D78" t="s">
        <v>190</v>
      </c>
      <c r="E78">
        <v>-4.8800000000000003E-2</v>
      </c>
      <c r="F78">
        <v>-3.7499999999999999E-2</v>
      </c>
      <c r="G78">
        <v>-5.3800000000000001E-2</v>
      </c>
      <c r="H78" t="s">
        <v>191</v>
      </c>
      <c r="I78">
        <v>-2.9399999999999999E-2</v>
      </c>
    </row>
    <row r="79" spans="1:17" x14ac:dyDescent="0.25">
      <c r="A79" t="s">
        <v>64</v>
      </c>
      <c r="B79">
        <v>1.2E-2</v>
      </c>
      <c r="C79">
        <v>1.9E-2</v>
      </c>
      <c r="D79">
        <v>1.6E-2</v>
      </c>
      <c r="E79">
        <v>0.01</v>
      </c>
      <c r="F79">
        <v>5.0000000000000001E-3</v>
      </c>
      <c r="G79">
        <v>1.4E-2</v>
      </c>
      <c r="H79">
        <v>1.7999999999999999E-2</v>
      </c>
      <c r="I79">
        <v>6.0000000000000001E-3</v>
      </c>
      <c r="J79">
        <f>(B79+B81+B83+B85+B87+B89+B91+B93+B95)/9</f>
        <v>1.7666666666666667E-2</v>
      </c>
      <c r="K79">
        <f t="shared" ref="K79:Q79" si="9">(C79+C81+C83+C85+C87+C89+C91+C93+C95)/9</f>
        <v>1.0333333333333337E-2</v>
      </c>
      <c r="L79">
        <f t="shared" si="9"/>
        <v>2.3555555555555562E-2</v>
      </c>
      <c r="M79">
        <f t="shared" si="9"/>
        <v>8.1111111111111123E-3</v>
      </c>
      <c r="N79">
        <f t="shared" si="9"/>
        <v>1.2666666666666666E-2</v>
      </c>
      <c r="O79">
        <f t="shared" si="9"/>
        <v>7.6666666666666671E-3</v>
      </c>
      <c r="P79">
        <f t="shared" si="9"/>
        <v>1.7333333333333329E-2</v>
      </c>
      <c r="Q79">
        <f t="shared" si="9"/>
        <v>1.2333333333333333E-2</v>
      </c>
    </row>
    <row r="80" spans="1:17" x14ac:dyDescent="0.25">
      <c r="A80" t="s">
        <v>192</v>
      </c>
      <c r="B80">
        <v>-1.9300000000000001E-2</v>
      </c>
      <c r="C80">
        <v>-5.2299999999999999E-2</v>
      </c>
      <c r="D80" t="s">
        <v>193</v>
      </c>
      <c r="E80" t="s">
        <v>194</v>
      </c>
      <c r="F80">
        <v>-1.24E-2</v>
      </c>
      <c r="G80">
        <v>-2.2499999999999999E-2</v>
      </c>
      <c r="H80" t="s">
        <v>195</v>
      </c>
      <c r="I80" t="s">
        <v>196</v>
      </c>
    </row>
    <row r="81" spans="1:9" x14ac:dyDescent="0.25">
      <c r="A81" t="s">
        <v>64</v>
      </c>
      <c r="B81">
        <v>2E-3</v>
      </c>
      <c r="C81">
        <v>1.7000000000000001E-2</v>
      </c>
      <c r="D81">
        <v>4.8000000000000001E-2</v>
      </c>
      <c r="E81">
        <v>1.4999999999999999E-2</v>
      </c>
      <c r="F81">
        <v>3.0000000000000001E-3</v>
      </c>
      <c r="G81">
        <v>8.9999999999999993E-3</v>
      </c>
      <c r="H81">
        <v>1.7999999999999999E-2</v>
      </c>
      <c r="I81">
        <v>1.6E-2</v>
      </c>
    </row>
    <row r="82" spans="1:9" x14ac:dyDescent="0.25">
      <c r="A82" t="s">
        <v>197</v>
      </c>
      <c r="B82">
        <v>-4.8000000000000001E-2</v>
      </c>
      <c r="C82" t="s">
        <v>198</v>
      </c>
      <c r="D82" t="s">
        <v>199</v>
      </c>
      <c r="E82" t="s">
        <v>200</v>
      </c>
      <c r="F82">
        <v>-2.5999999999999999E-2</v>
      </c>
      <c r="G82" t="s">
        <v>201</v>
      </c>
      <c r="H82" t="s">
        <v>202</v>
      </c>
      <c r="I82" t="s">
        <v>203</v>
      </c>
    </row>
    <row r="83" spans="1:9" x14ac:dyDescent="0.25">
      <c r="A83" t="s">
        <v>64</v>
      </c>
      <c r="B83">
        <v>1.0999999999999999E-2</v>
      </c>
      <c r="C83">
        <v>0.04</v>
      </c>
      <c r="D83">
        <v>3.9E-2</v>
      </c>
      <c r="E83">
        <v>2.1000000000000001E-2</v>
      </c>
      <c r="F83">
        <v>0.01</v>
      </c>
      <c r="G83">
        <v>2.7E-2</v>
      </c>
      <c r="H83">
        <v>1.9E-2</v>
      </c>
      <c r="I83">
        <v>2.3E-2</v>
      </c>
    </row>
    <row r="84" spans="1:9" x14ac:dyDescent="0.25">
      <c r="A84" t="s">
        <v>204</v>
      </c>
      <c r="B84" t="s">
        <v>205</v>
      </c>
      <c r="C84">
        <v>-6.0299999999999998E-3</v>
      </c>
      <c r="D84" t="s">
        <v>206</v>
      </c>
      <c r="E84" t="s">
        <v>207</v>
      </c>
      <c r="F84">
        <v>-2.7400000000000001E-2</v>
      </c>
      <c r="G84">
        <v>1.8799999999999999E-3</v>
      </c>
      <c r="H84" t="s">
        <v>208</v>
      </c>
      <c r="I84" t="s">
        <v>209</v>
      </c>
    </row>
    <row r="85" spans="1:9" x14ac:dyDescent="0.25">
      <c r="A85" t="s">
        <v>64</v>
      </c>
      <c r="B85">
        <v>0.02</v>
      </c>
      <c r="C85">
        <v>0</v>
      </c>
      <c r="D85">
        <v>3.6999999999999998E-2</v>
      </c>
      <c r="E85">
        <v>1.6E-2</v>
      </c>
      <c r="F85">
        <v>1.0999999999999999E-2</v>
      </c>
      <c r="G85">
        <v>0</v>
      </c>
      <c r="H85">
        <v>2.4E-2</v>
      </c>
      <c r="I85">
        <v>2.4E-2</v>
      </c>
    </row>
    <row r="86" spans="1:9" x14ac:dyDescent="0.25">
      <c r="A86" t="s">
        <v>210</v>
      </c>
      <c r="B86" t="s">
        <v>211</v>
      </c>
      <c r="C86">
        <v>-3.1300000000000001E-2</v>
      </c>
      <c r="D86" t="s">
        <v>212</v>
      </c>
      <c r="E86">
        <v>-1.4200000000000001E-2</v>
      </c>
      <c r="F86" t="s">
        <v>213</v>
      </c>
      <c r="G86">
        <v>9.1200000000000005E-4</v>
      </c>
      <c r="H86" t="s">
        <v>214</v>
      </c>
      <c r="I86" t="s">
        <v>215</v>
      </c>
    </row>
    <row r="87" spans="1:9" x14ac:dyDescent="0.25">
      <c r="A87" t="s">
        <v>64</v>
      </c>
      <c r="B87">
        <v>4.2999999999999997E-2</v>
      </c>
      <c r="C87">
        <v>5.0000000000000001E-3</v>
      </c>
      <c r="D87">
        <v>3.5000000000000003E-2</v>
      </c>
      <c r="E87">
        <v>3.0000000000000001E-3</v>
      </c>
      <c r="F87">
        <v>2.1999999999999999E-2</v>
      </c>
      <c r="G87">
        <v>0</v>
      </c>
      <c r="H87">
        <v>2.5999999999999999E-2</v>
      </c>
      <c r="I87">
        <v>1.2999999999999999E-2</v>
      </c>
    </row>
    <row r="88" spans="1:9" x14ac:dyDescent="0.25">
      <c r="A88" t="s">
        <v>216</v>
      </c>
      <c r="B88">
        <v>-4.7E-2</v>
      </c>
      <c r="C88">
        <v>-7.3099999999999997E-3</v>
      </c>
      <c r="D88">
        <v>-3.5799999999999998E-2</v>
      </c>
      <c r="E88">
        <v>-2.6800000000000001E-2</v>
      </c>
      <c r="F88">
        <v>-1.84E-2</v>
      </c>
      <c r="G88">
        <v>5.0000000000000001E-3</v>
      </c>
      <c r="H88" t="s">
        <v>217</v>
      </c>
      <c r="I88">
        <v>-2.8899999999999999E-2</v>
      </c>
    </row>
    <row r="89" spans="1:9" x14ac:dyDescent="0.25">
      <c r="A89" t="s">
        <v>64</v>
      </c>
      <c r="B89">
        <v>6.0000000000000001E-3</v>
      </c>
      <c r="C89">
        <v>0</v>
      </c>
      <c r="D89">
        <v>8.9999999999999993E-3</v>
      </c>
      <c r="E89">
        <v>5.0000000000000001E-3</v>
      </c>
      <c r="F89">
        <v>3.0000000000000001E-3</v>
      </c>
      <c r="G89">
        <v>0</v>
      </c>
      <c r="H89">
        <v>1.4999999999999999E-2</v>
      </c>
      <c r="I89">
        <v>0.01</v>
      </c>
    </row>
    <row r="90" spans="1:9" x14ac:dyDescent="0.25">
      <c r="A90" t="s">
        <v>218</v>
      </c>
      <c r="B90">
        <v>-0.109</v>
      </c>
      <c r="C90">
        <v>-2.58E-2</v>
      </c>
      <c r="D90">
        <v>-3.9E-2</v>
      </c>
      <c r="E90">
        <v>-1.9699999999999999E-2</v>
      </c>
      <c r="F90">
        <v>-6.5799999999999997E-2</v>
      </c>
      <c r="G90">
        <v>2.1900000000000001E-3</v>
      </c>
      <c r="H90">
        <v>-2.1899999999999999E-2</v>
      </c>
      <c r="I90" t="s">
        <v>219</v>
      </c>
    </row>
    <row r="91" spans="1:9" x14ac:dyDescent="0.25">
      <c r="A91" t="s">
        <v>64</v>
      </c>
      <c r="B91">
        <v>3.1E-2</v>
      </c>
      <c r="C91">
        <v>2E-3</v>
      </c>
      <c r="D91">
        <v>1.0999999999999999E-2</v>
      </c>
      <c r="E91">
        <v>3.0000000000000001E-3</v>
      </c>
      <c r="F91">
        <v>3.3000000000000002E-2</v>
      </c>
      <c r="G91">
        <v>0</v>
      </c>
      <c r="H91">
        <v>6.0000000000000001E-3</v>
      </c>
      <c r="I91">
        <v>1.0999999999999999E-2</v>
      </c>
    </row>
    <row r="92" spans="1:9" x14ac:dyDescent="0.25">
      <c r="A92" t="s">
        <v>220</v>
      </c>
      <c r="B92" t="s">
        <v>221</v>
      </c>
      <c r="C92" t="s">
        <v>222</v>
      </c>
      <c r="D92">
        <v>-3.6900000000000002E-2</v>
      </c>
      <c r="E92">
        <v>-9.1799999999999998E-4</v>
      </c>
      <c r="F92" t="s">
        <v>223</v>
      </c>
      <c r="G92" t="s">
        <v>224</v>
      </c>
      <c r="H92">
        <v>-2.8500000000000001E-2</v>
      </c>
      <c r="I92">
        <v>-1.7899999999999999E-2</v>
      </c>
    </row>
    <row r="93" spans="1:9" x14ac:dyDescent="0.25">
      <c r="A93" t="s">
        <v>64</v>
      </c>
      <c r="B93">
        <v>3.2000000000000001E-2</v>
      </c>
      <c r="C93">
        <v>8.0000000000000002E-3</v>
      </c>
      <c r="D93">
        <v>0.01</v>
      </c>
      <c r="E93">
        <v>0</v>
      </c>
      <c r="F93">
        <v>2.5999999999999999E-2</v>
      </c>
      <c r="G93">
        <v>0.01</v>
      </c>
      <c r="H93">
        <v>1.2E-2</v>
      </c>
      <c r="I93">
        <v>4.0000000000000001E-3</v>
      </c>
    </row>
    <row r="94" spans="1:9" x14ac:dyDescent="0.25">
      <c r="A94" t="s">
        <v>225</v>
      </c>
      <c r="B94">
        <v>-3.1099999999999999E-2</v>
      </c>
      <c r="C94">
        <v>2.6800000000000001E-2</v>
      </c>
      <c r="D94">
        <v>-3.1399999999999997E-2</v>
      </c>
      <c r="E94">
        <v>3.0599999999999998E-3</v>
      </c>
      <c r="F94">
        <v>-8.3000000000000001E-3</v>
      </c>
      <c r="G94">
        <v>3.2399999999999998E-2</v>
      </c>
      <c r="H94" t="s">
        <v>226</v>
      </c>
      <c r="I94">
        <v>-1.77E-2</v>
      </c>
    </row>
    <row r="95" spans="1:9" x14ac:dyDescent="0.25">
      <c r="A95" t="s">
        <v>64</v>
      </c>
      <c r="B95">
        <v>2E-3</v>
      </c>
      <c r="C95">
        <v>2E-3</v>
      </c>
      <c r="D95">
        <v>7.0000000000000001E-3</v>
      </c>
      <c r="E95">
        <v>0</v>
      </c>
      <c r="F95">
        <v>1E-3</v>
      </c>
      <c r="G95">
        <v>8.9999999999999993E-3</v>
      </c>
      <c r="H95">
        <v>1.7999999999999999E-2</v>
      </c>
      <c r="I95">
        <v>4.0000000000000001E-3</v>
      </c>
    </row>
    <row r="96" spans="1:9" x14ac:dyDescent="0.25">
      <c r="A96" t="s">
        <v>227</v>
      </c>
      <c r="B96">
        <v>-3.2500000000000001E-2</v>
      </c>
      <c r="C96">
        <v>-2.93E-2</v>
      </c>
      <c r="D96">
        <v>4.0399999999999998E-2</v>
      </c>
      <c r="E96">
        <v>2.3300000000000001E-2</v>
      </c>
      <c r="F96">
        <v>-1.7500000000000002E-2</v>
      </c>
      <c r="G96" t="s">
        <v>228</v>
      </c>
      <c r="H96">
        <v>2.7900000000000001E-2</v>
      </c>
      <c r="I96" t="s">
        <v>229</v>
      </c>
    </row>
    <row r="97" spans="1:17" x14ac:dyDescent="0.25">
      <c r="A97" t="s">
        <v>64</v>
      </c>
      <c r="B97">
        <v>2E-3</v>
      </c>
      <c r="C97">
        <v>2E-3</v>
      </c>
      <c r="D97">
        <v>0.01</v>
      </c>
      <c r="E97">
        <v>3.0000000000000001E-3</v>
      </c>
      <c r="F97">
        <v>2E-3</v>
      </c>
      <c r="G97">
        <v>1.0999999999999999E-2</v>
      </c>
      <c r="H97">
        <v>7.0000000000000001E-3</v>
      </c>
      <c r="I97">
        <v>1.7999999999999999E-2</v>
      </c>
      <c r="J97">
        <f>(B97+B99)/2</f>
        <v>3.0000000000000001E-3</v>
      </c>
      <c r="K97">
        <f t="shared" ref="K97:Q97" si="10">(C97+C99)/2</f>
        <v>6.4999999999999997E-3</v>
      </c>
      <c r="L97">
        <f t="shared" si="10"/>
        <v>1.0999999999999999E-2</v>
      </c>
      <c r="M97">
        <f t="shared" si="10"/>
        <v>3.5000000000000001E-3</v>
      </c>
      <c r="N97">
        <f t="shared" si="10"/>
        <v>2.5000000000000001E-3</v>
      </c>
      <c r="O97">
        <f t="shared" si="10"/>
        <v>3.2000000000000001E-2</v>
      </c>
      <c r="P97">
        <f t="shared" si="10"/>
        <v>8.0000000000000002E-3</v>
      </c>
      <c r="Q97">
        <f t="shared" si="10"/>
        <v>2.1499999999999998E-2</v>
      </c>
    </row>
    <row r="98" spans="1:17" x14ac:dyDescent="0.25">
      <c r="A98" t="s">
        <v>230</v>
      </c>
      <c r="B98">
        <v>-4.5699999999999998E-2</v>
      </c>
      <c r="C98">
        <v>-7.6499999999999999E-2</v>
      </c>
      <c r="D98">
        <v>4.3799999999999999E-2</v>
      </c>
      <c r="E98">
        <v>-2.6100000000000002E-2</v>
      </c>
      <c r="F98">
        <v>-2.2800000000000001E-2</v>
      </c>
      <c r="G98" t="s">
        <v>231</v>
      </c>
      <c r="H98">
        <v>3.3000000000000002E-2</v>
      </c>
      <c r="I98" t="s">
        <v>232</v>
      </c>
    </row>
    <row r="99" spans="1:17" x14ac:dyDescent="0.25">
      <c r="A99" t="s">
        <v>64</v>
      </c>
      <c r="B99">
        <v>4.0000000000000001E-3</v>
      </c>
      <c r="C99">
        <v>1.0999999999999999E-2</v>
      </c>
      <c r="D99">
        <v>1.2E-2</v>
      </c>
      <c r="E99">
        <v>4.0000000000000001E-3</v>
      </c>
      <c r="F99">
        <v>3.0000000000000001E-3</v>
      </c>
      <c r="G99">
        <v>5.2999999999999999E-2</v>
      </c>
      <c r="H99">
        <v>8.9999999999999993E-3</v>
      </c>
      <c r="I99">
        <v>2.5000000000000001E-2</v>
      </c>
    </row>
  </sheetData>
  <autoFilter ref="A1:I9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"/>
  <sheetViews>
    <sheetView workbookViewId="0">
      <selection activeCell="F33" sqref="F33"/>
    </sheetView>
  </sheetViews>
  <sheetFormatPr defaultRowHeight="15" x14ac:dyDescent="0.25"/>
  <sheetData>
    <row r="1" spans="1:33" ht="15.75" x14ac:dyDescent="0.25">
      <c r="A1" s="1" t="s">
        <v>53</v>
      </c>
    </row>
    <row r="2" spans="1:33" ht="15.75" x14ac:dyDescent="0.25">
      <c r="A2" s="6"/>
      <c r="B2" s="8" t="s">
        <v>8</v>
      </c>
      <c r="C2" s="8"/>
      <c r="D2" s="7"/>
      <c r="E2" s="8" t="s">
        <v>9</v>
      </c>
      <c r="F2" s="8"/>
      <c r="G2" s="7"/>
      <c r="H2" s="8" t="s">
        <v>10</v>
      </c>
      <c r="I2" s="8"/>
      <c r="J2" s="6"/>
      <c r="K2" s="8" t="s">
        <v>11</v>
      </c>
      <c r="L2" s="8"/>
      <c r="M2" s="7"/>
      <c r="N2" s="8" t="s">
        <v>12</v>
      </c>
      <c r="O2" s="8"/>
      <c r="P2" s="7"/>
      <c r="Q2" s="8" t="s">
        <v>15</v>
      </c>
      <c r="R2" s="8"/>
      <c r="S2" s="6"/>
      <c r="T2" s="8" t="s">
        <v>13</v>
      </c>
      <c r="U2" s="8"/>
      <c r="V2" s="6"/>
      <c r="W2" s="8" t="s">
        <v>14</v>
      </c>
      <c r="X2" s="8"/>
      <c r="Y2" s="6"/>
      <c r="Z2" s="9" t="s">
        <v>17</v>
      </c>
      <c r="AA2" s="9"/>
      <c r="AB2" s="6"/>
      <c r="AC2" s="9" t="s">
        <v>16</v>
      </c>
      <c r="AD2" s="9"/>
      <c r="AE2" s="6"/>
      <c r="AF2" s="8" t="s">
        <v>18</v>
      </c>
      <c r="AG2" s="8"/>
    </row>
    <row r="3" spans="1:33" ht="15.75" x14ac:dyDescent="0.25">
      <c r="A3" s="1" t="s">
        <v>0</v>
      </c>
      <c r="B3" s="7" t="s">
        <v>1</v>
      </c>
      <c r="C3" s="7" t="s">
        <v>2</v>
      </c>
      <c r="D3" s="1"/>
      <c r="E3" s="1" t="s">
        <v>1</v>
      </c>
      <c r="F3" s="1" t="s">
        <v>2</v>
      </c>
      <c r="G3" s="1"/>
      <c r="H3" s="1" t="s">
        <v>1</v>
      </c>
      <c r="I3" s="1" t="s">
        <v>2</v>
      </c>
      <c r="K3" s="1" t="s">
        <v>1</v>
      </c>
      <c r="L3" s="1" t="s">
        <v>2</v>
      </c>
      <c r="M3" s="1"/>
      <c r="N3" s="1" t="s">
        <v>1</v>
      </c>
      <c r="O3" s="1" t="s">
        <v>2</v>
      </c>
      <c r="P3" s="1"/>
      <c r="Q3" s="1" t="s">
        <v>1</v>
      </c>
      <c r="R3" s="1" t="s">
        <v>2</v>
      </c>
      <c r="T3" s="1" t="s">
        <v>1</v>
      </c>
      <c r="U3" s="1" t="s">
        <v>2</v>
      </c>
      <c r="W3" s="1" t="s">
        <v>1</v>
      </c>
      <c r="X3" s="1" t="s">
        <v>2</v>
      </c>
      <c r="Z3" s="1" t="s">
        <v>1</v>
      </c>
      <c r="AA3" s="1" t="s">
        <v>2</v>
      </c>
      <c r="AC3" s="1" t="s">
        <v>1</v>
      </c>
      <c r="AD3" s="1" t="s">
        <v>2</v>
      </c>
      <c r="AF3" s="1" t="s">
        <v>1</v>
      </c>
      <c r="AG3" s="1" t="s">
        <v>2</v>
      </c>
    </row>
    <row r="4" spans="1:33" ht="15.75" x14ac:dyDescent="0.25">
      <c r="A4" s="1" t="s">
        <v>54</v>
      </c>
      <c r="B4" s="7"/>
      <c r="C4" s="7"/>
      <c r="D4" s="1"/>
      <c r="E4" s="1"/>
      <c r="F4" s="1"/>
      <c r="G4" s="1"/>
      <c r="H4" s="1"/>
      <c r="I4" s="1"/>
    </row>
    <row r="5" spans="1:33" ht="15.75" x14ac:dyDescent="0.25">
      <c r="A5" s="1"/>
      <c r="B5" s="4" t="s">
        <v>21</v>
      </c>
      <c r="C5" s="4" t="s">
        <v>22</v>
      </c>
      <c r="D5" s="11"/>
      <c r="E5" s="4" t="s">
        <v>27</v>
      </c>
      <c r="F5" s="4" t="s">
        <v>38</v>
      </c>
      <c r="G5" s="11"/>
      <c r="H5" s="4" t="s">
        <v>58</v>
      </c>
      <c r="I5" s="4" t="s">
        <v>34</v>
      </c>
      <c r="J5" s="11"/>
      <c r="K5" s="4" t="s">
        <v>302</v>
      </c>
      <c r="L5" s="4" t="s">
        <v>303</v>
      </c>
      <c r="M5" s="11"/>
      <c r="N5" s="4" t="s">
        <v>40</v>
      </c>
      <c r="O5" s="4" t="s">
        <v>40</v>
      </c>
      <c r="P5" s="11"/>
      <c r="Q5" s="4" t="s">
        <v>42</v>
      </c>
      <c r="R5" s="4" t="s">
        <v>42</v>
      </c>
      <c r="S5" s="11"/>
      <c r="T5" s="4" t="s">
        <v>46</v>
      </c>
      <c r="U5" s="4" t="s">
        <v>45</v>
      </c>
      <c r="V5" s="11"/>
      <c r="W5" s="4" t="s">
        <v>42</v>
      </c>
      <c r="X5" s="4" t="s">
        <v>43</v>
      </c>
      <c r="Y5" s="11"/>
      <c r="Z5" s="4" t="s">
        <v>43</v>
      </c>
      <c r="AA5" s="4" t="s">
        <v>41</v>
      </c>
      <c r="AB5" s="11"/>
      <c r="AC5" s="4" t="s">
        <v>27</v>
      </c>
      <c r="AD5" s="4" t="s">
        <v>27</v>
      </c>
      <c r="AE5" s="11"/>
      <c r="AF5" s="4" t="s">
        <v>41</v>
      </c>
      <c r="AG5" s="4" t="s">
        <v>41</v>
      </c>
    </row>
    <row r="6" spans="1:33" ht="15.75" x14ac:dyDescent="0.25">
      <c r="A6" s="1"/>
      <c r="B6" s="4" t="s">
        <v>21</v>
      </c>
      <c r="C6" s="4" t="s">
        <v>22</v>
      </c>
      <c r="D6" s="11"/>
      <c r="E6" s="4" t="s">
        <v>24</v>
      </c>
      <c r="F6" s="4" t="s">
        <v>27</v>
      </c>
      <c r="G6" s="11"/>
      <c r="H6" s="4" t="s">
        <v>30</v>
      </c>
      <c r="I6" s="4" t="s">
        <v>30</v>
      </c>
      <c r="J6" s="11"/>
      <c r="K6" s="4" t="s">
        <v>24</v>
      </c>
      <c r="L6" s="4" t="s">
        <v>24</v>
      </c>
      <c r="M6" s="11"/>
      <c r="N6" s="4" t="s">
        <v>39</v>
      </c>
      <c r="O6" s="4" t="s">
        <v>39</v>
      </c>
      <c r="P6" s="11"/>
      <c r="Q6" s="4" t="s">
        <v>41</v>
      </c>
      <c r="R6" s="4" t="s">
        <v>43</v>
      </c>
      <c r="S6" s="11"/>
      <c r="T6" s="4" t="s">
        <v>49</v>
      </c>
      <c r="U6" s="4" t="s">
        <v>47</v>
      </c>
      <c r="V6" s="11"/>
      <c r="W6" s="4" t="s">
        <v>41</v>
      </c>
      <c r="X6" s="4" t="s">
        <v>41</v>
      </c>
      <c r="Y6" s="11"/>
      <c r="Z6" s="4" t="s">
        <v>43</v>
      </c>
      <c r="AA6" s="4" t="s">
        <v>41</v>
      </c>
      <c r="AB6" s="11"/>
      <c r="AC6" s="4" t="s">
        <v>24</v>
      </c>
      <c r="AD6" s="4" t="s">
        <v>24</v>
      </c>
      <c r="AE6" s="11"/>
      <c r="AF6" s="4" t="s">
        <v>41</v>
      </c>
      <c r="AG6" s="4" t="s">
        <v>41</v>
      </c>
    </row>
    <row r="7" spans="1:33" ht="15.75" x14ac:dyDescent="0.25">
      <c r="A7" s="1"/>
      <c r="B7" s="4" t="s">
        <v>22</v>
      </c>
      <c r="C7" s="4" t="s">
        <v>22</v>
      </c>
      <c r="D7" s="11"/>
      <c r="E7" s="4" t="s">
        <v>24</v>
      </c>
      <c r="F7" s="4" t="s">
        <v>25</v>
      </c>
      <c r="G7" s="11"/>
      <c r="H7" s="4" t="s">
        <v>30</v>
      </c>
      <c r="I7" s="4" t="s">
        <v>30</v>
      </c>
      <c r="J7" s="11"/>
      <c r="K7" s="4" t="s">
        <v>303</v>
      </c>
      <c r="L7" s="4" t="s">
        <v>304</v>
      </c>
      <c r="M7" s="11"/>
      <c r="N7" s="4" t="s">
        <v>39</v>
      </c>
      <c r="O7" s="4" t="s">
        <v>39</v>
      </c>
      <c r="P7" s="11"/>
      <c r="Q7" s="4" t="s">
        <v>41</v>
      </c>
      <c r="R7" s="4" t="s">
        <v>41</v>
      </c>
      <c r="S7" s="11"/>
      <c r="T7" s="4" t="s">
        <v>50</v>
      </c>
      <c r="U7" s="4" t="s">
        <v>49</v>
      </c>
      <c r="V7" s="11"/>
      <c r="W7" s="4" t="s">
        <v>41</v>
      </c>
      <c r="X7" s="4" t="s">
        <v>41</v>
      </c>
      <c r="Y7" s="11"/>
      <c r="Z7" s="4" t="s">
        <v>41</v>
      </c>
      <c r="AA7" s="4" t="s">
        <v>43</v>
      </c>
      <c r="AB7" s="11"/>
      <c r="AC7" s="4" t="s">
        <v>38</v>
      </c>
      <c r="AD7" s="4" t="s">
        <v>27</v>
      </c>
      <c r="AE7" s="11"/>
      <c r="AF7" s="4" t="s">
        <v>41</v>
      </c>
      <c r="AG7" s="4" t="s">
        <v>42</v>
      </c>
    </row>
    <row r="8" spans="1:33" ht="15.75" x14ac:dyDescent="0.25">
      <c r="A8" s="1"/>
      <c r="B8" s="5">
        <f>(0.0478+0.0135+0.01+0.0156)/4</f>
        <v>2.1725000000000001E-2</v>
      </c>
      <c r="C8" s="5">
        <f>(-0.0129-0.00196)</f>
        <v>-1.486E-2</v>
      </c>
      <c r="D8" s="11"/>
      <c r="E8" s="5">
        <f>(-0.00389-0.00278+0.00246-0.00573-0.00251/5)</f>
        <v>-1.0442000000000002E-2</v>
      </c>
      <c r="F8" s="5">
        <f>(0.00618+0.00821-0.00533-0.0101-0.00595)/2</f>
        <v>-3.4949999999999998E-3</v>
      </c>
      <c r="G8" s="11"/>
      <c r="H8" s="5">
        <f>(-0.00159-0.000493+0.000862+0.00272+0.00164+0.000986-0.00195+0.000617+0.00351)/10</f>
        <v>6.3020000000000003E-4</v>
      </c>
      <c r="I8" s="5">
        <f>(0.00273+0.000865-0.00347-0.000832+0.00175-0.00118-0.00000443+0.00213-0.0000476-0.00186)/10</f>
        <v>8.0969999999999226E-6</v>
      </c>
      <c r="J8" s="11"/>
      <c r="K8" s="5">
        <v>-6.1844444444444438E-3</v>
      </c>
      <c r="L8" s="5">
        <v>-7.673571428571428E-3</v>
      </c>
      <c r="M8" s="11"/>
      <c r="N8" s="5">
        <v>6.3E-3</v>
      </c>
      <c r="O8" s="5">
        <v>4.8399999999999997E-3</v>
      </c>
      <c r="P8" s="11"/>
      <c r="Q8" s="5">
        <f>(0.0219+0.0237)/2</f>
        <v>2.2800000000000001E-2</v>
      </c>
      <c r="R8" s="5">
        <f>(0.0285+0.0404)/2</f>
        <v>3.4450000000000001E-2</v>
      </c>
      <c r="S8" s="11"/>
      <c r="T8" s="5">
        <f>(-0.0247-0.00552-0.0173-0.0223-0.0138+0.00579+0.00154)/7</f>
        <v>-1.0898571428571428E-2</v>
      </c>
      <c r="U8" s="5">
        <f>(0.0162+0.000301+0.027+0.0207+0.0137+0.0153+0.0263)/7</f>
        <v>1.7071571428571429E-2</v>
      </c>
      <c r="V8" s="11"/>
      <c r="W8" s="5">
        <f>(0.00394+0.0101)/2</f>
        <v>7.0200000000000002E-3</v>
      </c>
      <c r="X8" s="5">
        <f>(0.00576-0.0182)/2</f>
        <v>-6.2199999999999998E-3</v>
      </c>
      <c r="Y8" s="11"/>
      <c r="Z8" s="5">
        <f>(0.0762-0.0185)/2</f>
        <v>2.8850000000000001E-2</v>
      </c>
      <c r="AA8" s="5">
        <f>(-0.0383-0.0434)/2</f>
        <v>-4.0849999999999997E-2</v>
      </c>
      <c r="AB8" s="11"/>
      <c r="AC8" s="5">
        <f>-(-0.0217+0.0229+0.0225+0.0277+0.0341)/5</f>
        <v>-1.7099999999999997E-2</v>
      </c>
      <c r="AD8" s="5">
        <f>-(0.0185-0.00381+0.00179+0.00746+0.0316)/5</f>
        <v>-1.1108E-2</v>
      </c>
      <c r="AE8" s="11"/>
      <c r="AF8" s="5">
        <f>(-0.0127-0.0358)/2</f>
        <v>-2.4250000000000001E-2</v>
      </c>
      <c r="AG8" s="5">
        <f>(-0.0407-0.0608)/2</f>
        <v>-5.0750000000000003E-2</v>
      </c>
    </row>
    <row r="9" spans="1:33" ht="18.75" x14ac:dyDescent="0.25">
      <c r="A9" s="1" t="s">
        <v>7</v>
      </c>
      <c r="B9" s="5">
        <v>5.000000000000001E-3</v>
      </c>
      <c r="C9" s="5">
        <v>5.0000000000000001E-4</v>
      </c>
      <c r="D9" s="12"/>
      <c r="E9" s="5">
        <v>1.6000000000000001E-3</v>
      </c>
      <c r="F9" s="5">
        <v>8.0000000000000002E-3</v>
      </c>
      <c r="G9" s="12"/>
      <c r="H9" s="5">
        <v>2.3999999999999998E-3</v>
      </c>
      <c r="I9" s="5">
        <v>9.0000000000000008E-4</v>
      </c>
      <c r="J9" s="12"/>
      <c r="K9" s="5">
        <v>8.8888888888888893E-4</v>
      </c>
      <c r="L9" s="5">
        <v>6.5555555555555558E-3</v>
      </c>
      <c r="M9" s="12"/>
      <c r="N9" s="5" t="s">
        <v>300</v>
      </c>
      <c r="O9" s="5" t="s">
        <v>301</v>
      </c>
      <c r="P9" s="12"/>
      <c r="Q9" s="5">
        <v>4.0000000000000001E-3</v>
      </c>
      <c r="R9" s="5">
        <v>8.5000000000000006E-3</v>
      </c>
      <c r="S9" s="12"/>
      <c r="T9" s="5">
        <v>2.4285714285714288E-3</v>
      </c>
      <c r="U9" s="5">
        <v>6.1428571428571435E-3</v>
      </c>
      <c r="V9" s="12"/>
      <c r="W9" s="5">
        <v>5.0000000000000001E-4</v>
      </c>
      <c r="X9" s="5">
        <v>2E-3</v>
      </c>
      <c r="Y9" s="12"/>
      <c r="Z9" s="5">
        <v>1.15E-2</v>
      </c>
      <c r="AA9" s="5">
        <v>8.9999999999999993E-3</v>
      </c>
      <c r="AB9" s="12"/>
      <c r="AC9" s="5">
        <v>8.2000000000000007E-3</v>
      </c>
      <c r="AD9" s="5">
        <v>3.0000000000000001E-3</v>
      </c>
      <c r="AE9" s="12"/>
      <c r="AF9" s="5">
        <v>4.9999999999999992E-3</v>
      </c>
      <c r="AG9" s="5">
        <v>1.9E-2</v>
      </c>
    </row>
    <row r="10" spans="1:33" ht="15.75" x14ac:dyDescent="0.25">
      <c r="A10" s="1"/>
      <c r="B10" s="4"/>
      <c r="C10" s="4"/>
      <c r="D10" s="11"/>
      <c r="E10" s="4"/>
      <c r="F10" s="4"/>
      <c r="G10" s="11"/>
      <c r="H10" s="4"/>
      <c r="I10" s="4"/>
      <c r="J10" s="11"/>
      <c r="K10" s="4"/>
      <c r="L10" s="4"/>
      <c r="M10" s="11"/>
      <c r="N10" s="4"/>
      <c r="O10" s="4"/>
      <c r="P10" s="11"/>
      <c r="Q10" s="4"/>
      <c r="R10" s="4"/>
      <c r="S10" s="11"/>
      <c r="T10" s="4"/>
      <c r="U10" s="4"/>
      <c r="V10" s="11"/>
      <c r="W10" s="4"/>
      <c r="X10" s="4"/>
      <c r="Y10" s="11"/>
      <c r="Z10" s="4"/>
      <c r="AA10" s="4"/>
      <c r="AB10" s="11"/>
      <c r="AC10" s="4"/>
      <c r="AD10" s="4"/>
      <c r="AE10" s="11"/>
      <c r="AF10" s="4"/>
      <c r="AG10" s="4"/>
    </row>
    <row r="11" spans="1:33" ht="15.75" x14ac:dyDescent="0.25">
      <c r="A11" s="1" t="s">
        <v>55</v>
      </c>
      <c r="B11" s="4"/>
      <c r="C11" s="4"/>
      <c r="D11" s="11"/>
      <c r="E11" s="4"/>
      <c r="F11" s="4"/>
      <c r="G11" s="11"/>
      <c r="H11" s="4"/>
      <c r="I11" s="4"/>
      <c r="J11" s="11"/>
      <c r="K11" s="4"/>
      <c r="L11" s="4"/>
      <c r="M11" s="11"/>
      <c r="N11" s="4"/>
      <c r="O11" s="4"/>
      <c r="P11" s="11"/>
      <c r="Q11" s="4"/>
      <c r="R11" s="4"/>
      <c r="S11" s="11"/>
      <c r="T11" s="4"/>
      <c r="U11" s="4"/>
      <c r="V11" s="11"/>
      <c r="W11" s="4"/>
      <c r="X11" s="4"/>
      <c r="Y11" s="11"/>
      <c r="Z11" s="4"/>
      <c r="AA11" s="4"/>
      <c r="AB11" s="11"/>
      <c r="AC11" s="4"/>
      <c r="AD11" s="4"/>
      <c r="AE11" s="11"/>
      <c r="AF11" s="4"/>
      <c r="AG11" s="4"/>
    </row>
    <row r="12" spans="1:33" ht="15.75" x14ac:dyDescent="0.25">
      <c r="A12" s="1"/>
      <c r="B12" s="4" t="s">
        <v>20</v>
      </c>
      <c r="C12" s="4" t="s">
        <v>20</v>
      </c>
      <c r="D12" s="11"/>
      <c r="E12" s="4" t="s">
        <v>27</v>
      </c>
      <c r="F12" s="4" t="s">
        <v>38</v>
      </c>
      <c r="G12" s="11"/>
      <c r="H12" s="4" t="s">
        <v>59</v>
      </c>
      <c r="I12" s="4" t="s">
        <v>31</v>
      </c>
      <c r="J12" s="11"/>
      <c r="K12" s="4" t="s">
        <v>302</v>
      </c>
      <c r="L12" s="4" t="s">
        <v>305</v>
      </c>
      <c r="M12" s="11"/>
      <c r="N12" s="4" t="s">
        <v>40</v>
      </c>
      <c r="O12" s="4" t="s">
        <v>40</v>
      </c>
      <c r="P12" s="11"/>
      <c r="Q12" s="4" t="s">
        <v>42</v>
      </c>
      <c r="R12" s="4" t="s">
        <v>42</v>
      </c>
      <c r="S12" s="11"/>
      <c r="T12" s="4" t="s">
        <v>50</v>
      </c>
      <c r="U12" s="4" t="s">
        <v>48</v>
      </c>
      <c r="V12" s="11"/>
      <c r="W12" s="4" t="s">
        <v>43</v>
      </c>
      <c r="X12" s="4" t="s">
        <v>41</v>
      </c>
      <c r="Y12" s="11"/>
      <c r="Z12" s="4" t="s">
        <v>43</v>
      </c>
      <c r="AA12" s="4" t="s">
        <v>41</v>
      </c>
      <c r="AB12" s="11"/>
      <c r="AC12" s="4" t="s">
        <v>27</v>
      </c>
      <c r="AD12" s="4" t="s">
        <v>25</v>
      </c>
      <c r="AE12" s="11"/>
      <c r="AF12" s="4" t="s">
        <v>43</v>
      </c>
      <c r="AG12" s="4" t="s">
        <v>41</v>
      </c>
    </row>
    <row r="13" spans="1:33" ht="15.75" x14ac:dyDescent="0.25">
      <c r="A13" s="1"/>
      <c r="B13" s="4" t="s">
        <v>21</v>
      </c>
      <c r="C13" s="4" t="s">
        <v>22</v>
      </c>
      <c r="D13" s="11"/>
      <c r="E13" s="4" t="s">
        <v>24</v>
      </c>
      <c r="F13" s="4" t="s">
        <v>27</v>
      </c>
      <c r="G13" s="11"/>
      <c r="H13" s="4" t="s">
        <v>30</v>
      </c>
      <c r="I13" s="4" t="s">
        <v>30</v>
      </c>
      <c r="J13" s="11"/>
      <c r="K13" s="4" t="s">
        <v>303</v>
      </c>
      <c r="L13" s="4" t="s">
        <v>303</v>
      </c>
      <c r="M13" s="11"/>
      <c r="N13" s="4" t="s">
        <v>39</v>
      </c>
      <c r="O13" s="4" t="s">
        <v>39</v>
      </c>
      <c r="P13" s="11"/>
      <c r="Q13" s="4" t="s">
        <v>41</v>
      </c>
      <c r="R13" s="4" t="s">
        <v>42</v>
      </c>
      <c r="S13" s="11"/>
      <c r="T13" s="4" t="s">
        <v>49</v>
      </c>
      <c r="U13" s="4" t="s">
        <v>46</v>
      </c>
      <c r="V13" s="11"/>
      <c r="W13" s="4" t="s">
        <v>41</v>
      </c>
      <c r="X13" s="4" t="s">
        <v>41</v>
      </c>
      <c r="Y13" s="11"/>
      <c r="Z13" s="4" t="s">
        <v>43</v>
      </c>
      <c r="AA13" s="4" t="s">
        <v>41</v>
      </c>
      <c r="AB13" s="11"/>
      <c r="AC13" s="4" t="s">
        <v>24</v>
      </c>
      <c r="AD13" s="4" t="s">
        <v>24</v>
      </c>
      <c r="AE13" s="11"/>
      <c r="AF13" s="4" t="s">
        <v>41</v>
      </c>
      <c r="AG13" s="4" t="s">
        <v>41</v>
      </c>
    </row>
    <row r="14" spans="1:33" ht="15.75" x14ac:dyDescent="0.25">
      <c r="A14" s="1"/>
      <c r="B14" s="4" t="s">
        <v>22</v>
      </c>
      <c r="C14" s="4" t="s">
        <v>22</v>
      </c>
      <c r="D14" s="11"/>
      <c r="E14" s="4" t="s">
        <v>38</v>
      </c>
      <c r="F14" s="4" t="s">
        <v>25</v>
      </c>
      <c r="G14" s="11"/>
      <c r="H14" s="4" t="s">
        <v>30</v>
      </c>
      <c r="I14" s="4" t="s">
        <v>30</v>
      </c>
      <c r="J14" s="11"/>
      <c r="K14" s="4" t="s">
        <v>305</v>
      </c>
      <c r="L14" s="4" t="s">
        <v>302</v>
      </c>
      <c r="M14" s="11"/>
      <c r="N14" s="4" t="s">
        <v>39</v>
      </c>
      <c r="O14" s="4" t="s">
        <v>39</v>
      </c>
      <c r="P14" s="11"/>
      <c r="Q14" s="4" t="s">
        <v>41</v>
      </c>
      <c r="R14" s="4" t="s">
        <v>41</v>
      </c>
      <c r="S14" s="11"/>
      <c r="T14" s="4" t="s">
        <v>50</v>
      </c>
      <c r="U14" s="4" t="s">
        <v>49</v>
      </c>
      <c r="V14" s="11"/>
      <c r="W14" s="4" t="s">
        <v>41</v>
      </c>
      <c r="X14" s="4" t="s">
        <v>41</v>
      </c>
      <c r="Y14" s="11"/>
      <c r="Z14" s="4" t="s">
        <v>41</v>
      </c>
      <c r="AA14" s="4" t="s">
        <v>41</v>
      </c>
      <c r="AB14" s="11"/>
      <c r="AC14" s="4" t="s">
        <v>24</v>
      </c>
      <c r="AD14" s="4" t="s">
        <v>24</v>
      </c>
      <c r="AE14" s="11"/>
      <c r="AF14" s="4" t="s">
        <v>41</v>
      </c>
      <c r="AG14" s="4" t="s">
        <v>42</v>
      </c>
    </row>
    <row r="15" spans="1:33" ht="15.75" x14ac:dyDescent="0.25">
      <c r="A15" s="1"/>
      <c r="B15" s="5">
        <f>(0.0506+0.0229-0.00194-0.0182)/4</f>
        <v>1.3339999999999999E-2</v>
      </c>
      <c r="C15" s="5">
        <f>(-0.0114-0.00988+0.00281+0.00743)/4</f>
        <v>-2.7600000000000003E-3</v>
      </c>
      <c r="D15" s="11"/>
      <c r="E15" s="5">
        <f>(-0.00041+0.00148-0.000157-0.01194-0.000729)/5</f>
        <v>-2.3511999999999999E-3</v>
      </c>
      <c r="F15" s="5">
        <f>(0.000937+0.00885-0.00952-0.0143-0.00909)/5</f>
        <v>-4.6246000000000004E-3</v>
      </c>
      <c r="G15" s="11"/>
      <c r="H15" s="5">
        <f>(-0.00159-0.000493+0.000862+0.00272+0.00294+0.00164+0.000986-0.00195+0.000617+0.00351)/10</f>
        <v>9.2420000000000002E-4</v>
      </c>
      <c r="I15" s="5">
        <f>(0.00273+0.000865-0.00347-0.000832+0.00175-0.00118-0.0000443+0.00213-0.0000476-0.00186)/10</f>
        <v>4.1099999999999429E-6</v>
      </c>
      <c r="J15" s="11"/>
      <c r="K15" s="5">
        <v>-4.9125000000000002E-3</v>
      </c>
      <c r="L15" s="5">
        <v>-1.0385714285714285E-2</v>
      </c>
      <c r="M15" s="11"/>
      <c r="N15" s="5">
        <v>7.1900000000000002E-3</v>
      </c>
      <c r="O15" s="5">
        <v>4.5500000000000002E-3</v>
      </c>
      <c r="P15" s="11"/>
      <c r="Q15" s="5">
        <f>(0.0351+0.0308)/2</f>
        <v>3.295E-2</v>
      </c>
      <c r="R15" s="5">
        <f>(0.0367+0.0515)/2</f>
        <v>4.41E-2</v>
      </c>
      <c r="S15" s="11"/>
      <c r="T15" s="5">
        <f>(0.00386-0.00116-0.0102-0.011-0.0141-0.00779-0.02)/7</f>
        <v>-8.6271428571428575E-3</v>
      </c>
      <c r="U15" s="5">
        <f>(-0.0221-0.01-0.00339+0.0156+0.00834+0.0143+0.0419)/7</f>
        <v>6.3785714285714279E-3</v>
      </c>
      <c r="V15" s="11"/>
      <c r="W15" s="5">
        <f>(0.0133-0.0105)/2</f>
        <v>1.3999999999999993E-3</v>
      </c>
      <c r="X15" s="5">
        <f>(-0.00849-0.0249)/2</f>
        <v>-1.6694999999999998E-2</v>
      </c>
      <c r="Y15" s="11"/>
      <c r="Z15" s="5">
        <f>(0.0267-0.0186)/2</f>
        <v>4.0500000000000015E-3</v>
      </c>
      <c r="AA15" s="5">
        <f>(-0.0267-0.0186)/2</f>
        <v>-2.265E-2</v>
      </c>
      <c r="AB15" s="11"/>
      <c r="AC15" s="5">
        <f>-(-0.0274+0.0159+0.0307+0.0219+0.0258)/5</f>
        <v>-1.338E-2</v>
      </c>
      <c r="AD15" s="5">
        <f>-(0.00742-0.0105-0.0135-0.00401+0.0166)/5</f>
        <v>7.980000000000001E-4</v>
      </c>
      <c r="AE15" s="11"/>
      <c r="AF15" s="5">
        <f>(0.00506-0.0168)/2</f>
        <v>-5.8699999999999994E-3</v>
      </c>
      <c r="AG15" s="5">
        <f>(-0.0392-0.0689)/2</f>
        <v>-5.4050000000000001E-2</v>
      </c>
    </row>
    <row r="16" spans="1:33" ht="18.75" x14ac:dyDescent="0.25">
      <c r="A16" s="1" t="s">
        <v>7</v>
      </c>
      <c r="B16" s="5">
        <v>3.7499999999999999E-3</v>
      </c>
      <c r="C16" s="5">
        <v>5.0000000000000001E-4</v>
      </c>
      <c r="D16" s="12"/>
      <c r="E16" s="12">
        <v>3.5999999999999999E-3</v>
      </c>
      <c r="F16" s="12">
        <v>1.3000000000000001E-2</v>
      </c>
      <c r="G16" s="12"/>
      <c r="H16" s="5">
        <v>5.0000000000000001E-4</v>
      </c>
      <c r="I16" s="5">
        <v>5.0000000000000001E-4</v>
      </c>
      <c r="J16" s="12"/>
      <c r="K16" s="5">
        <v>1.888888888888889E-3</v>
      </c>
      <c r="L16" s="5">
        <v>6.5555555555555567E-3</v>
      </c>
      <c r="M16" s="12"/>
      <c r="N16" s="5">
        <v>6.0000000000000001E-3</v>
      </c>
      <c r="O16" s="5">
        <v>3.0000000000000001E-3</v>
      </c>
      <c r="P16" s="12"/>
      <c r="Q16" s="5">
        <v>5.4999999999999997E-3</v>
      </c>
      <c r="R16" s="5">
        <v>8.0000000000000002E-3</v>
      </c>
      <c r="S16" s="12"/>
      <c r="T16" s="5">
        <v>1.8571428571428573E-3</v>
      </c>
      <c r="U16" s="5">
        <v>5.7142857142857143E-3</v>
      </c>
      <c r="V16" s="12"/>
      <c r="W16" s="5">
        <v>1.5E-3</v>
      </c>
      <c r="X16" s="5">
        <v>3.0000000000000001E-3</v>
      </c>
      <c r="Y16" s="12"/>
      <c r="Z16" s="5">
        <v>1.5E-3</v>
      </c>
      <c r="AA16" s="5">
        <v>4.0000000000000001E-3</v>
      </c>
      <c r="AB16" s="12"/>
      <c r="AC16" s="5">
        <v>4.6000000000000008E-3</v>
      </c>
      <c r="AD16" s="5">
        <v>1.2000000000000001E-3</v>
      </c>
      <c r="AE16" s="12"/>
      <c r="AF16" s="5">
        <v>5.0000000000000001E-4</v>
      </c>
      <c r="AG16" s="5">
        <v>1.2999999999999999E-2</v>
      </c>
    </row>
    <row r="17" spans="1:33" ht="15.75" x14ac:dyDescent="0.25">
      <c r="A17" s="1"/>
      <c r="B17" s="4"/>
      <c r="C17" s="4"/>
      <c r="D17" s="11"/>
      <c r="E17" s="4"/>
      <c r="F17" s="4"/>
      <c r="G17" s="11"/>
      <c r="H17" s="4"/>
      <c r="I17" s="4"/>
      <c r="J17" s="11"/>
      <c r="K17" s="4"/>
      <c r="L17" s="4"/>
      <c r="M17" s="11"/>
      <c r="N17" s="4"/>
      <c r="O17" s="4"/>
      <c r="P17" s="11"/>
      <c r="Q17" s="4"/>
      <c r="R17" s="4"/>
      <c r="S17" s="11"/>
      <c r="T17" s="4"/>
      <c r="U17" s="4"/>
      <c r="V17" s="11"/>
      <c r="W17" s="4"/>
      <c r="X17" s="4"/>
      <c r="Y17" s="11"/>
      <c r="Z17" s="4"/>
      <c r="AA17" s="4"/>
      <c r="AB17" s="11"/>
      <c r="AC17" s="4"/>
      <c r="AD17" s="4"/>
      <c r="AE17" s="11"/>
      <c r="AF17" s="4"/>
      <c r="AG17" s="4"/>
    </row>
    <row r="18" spans="1:33" ht="15.75" x14ac:dyDescent="0.25">
      <c r="A18" s="1" t="s">
        <v>56</v>
      </c>
      <c r="B18" s="4"/>
      <c r="C18" s="4"/>
      <c r="D18" s="11"/>
      <c r="E18" s="4"/>
      <c r="F18" s="4"/>
      <c r="G18" s="11"/>
      <c r="H18" s="4"/>
      <c r="I18" s="4"/>
      <c r="J18" s="11"/>
      <c r="K18" s="4"/>
      <c r="L18" s="4"/>
      <c r="M18" s="11"/>
      <c r="N18" s="4"/>
      <c r="O18" s="4"/>
      <c r="P18" s="11"/>
      <c r="Q18" s="4"/>
      <c r="R18" s="4"/>
      <c r="S18" s="11"/>
      <c r="T18" s="4"/>
      <c r="U18" s="4"/>
      <c r="V18" s="11"/>
      <c r="W18" s="4"/>
      <c r="X18" s="4"/>
      <c r="Y18" s="11"/>
      <c r="Z18" s="4"/>
      <c r="AA18" s="4"/>
      <c r="AB18" s="11"/>
      <c r="AC18" s="4"/>
      <c r="AD18" s="4"/>
      <c r="AE18" s="11"/>
      <c r="AF18" s="4"/>
      <c r="AG18" s="4"/>
    </row>
    <row r="19" spans="1:33" ht="15.75" x14ac:dyDescent="0.25">
      <c r="A19" s="1"/>
      <c r="B19" s="4" t="s">
        <v>19</v>
      </c>
      <c r="C19" s="4" t="s">
        <v>19</v>
      </c>
      <c r="D19" s="11"/>
      <c r="E19" s="4" t="s">
        <v>27</v>
      </c>
      <c r="F19" s="4" t="s">
        <v>24</v>
      </c>
      <c r="G19" s="11"/>
      <c r="H19" s="4" t="s">
        <v>34</v>
      </c>
      <c r="I19" s="4" t="s">
        <v>33</v>
      </c>
      <c r="J19" s="11"/>
      <c r="K19" s="4" t="s">
        <v>304</v>
      </c>
      <c r="L19" s="4" t="s">
        <v>305</v>
      </c>
      <c r="M19" s="11"/>
      <c r="N19" s="4" t="s">
        <v>40</v>
      </c>
      <c r="O19" s="4" t="s">
        <v>40</v>
      </c>
      <c r="P19" s="11"/>
      <c r="Q19" s="4" t="s">
        <v>43</v>
      </c>
      <c r="R19" s="4" t="s">
        <v>41</v>
      </c>
      <c r="S19" s="11"/>
      <c r="T19" s="4" t="s">
        <v>44</v>
      </c>
      <c r="U19" s="4" t="s">
        <v>45</v>
      </c>
      <c r="V19" s="11"/>
      <c r="W19" s="4" t="s">
        <v>42</v>
      </c>
      <c r="X19" s="4" t="s">
        <v>42</v>
      </c>
      <c r="Y19" s="11"/>
      <c r="Z19" s="4" t="s">
        <v>43</v>
      </c>
      <c r="AA19" s="4" t="s">
        <v>41</v>
      </c>
      <c r="AB19" s="11"/>
      <c r="AC19" s="4" t="s">
        <v>25</v>
      </c>
      <c r="AD19" s="4" t="s">
        <v>37</v>
      </c>
      <c r="AE19" s="11"/>
      <c r="AF19" s="4" t="s">
        <v>43</v>
      </c>
      <c r="AG19" s="4" t="s">
        <v>42</v>
      </c>
    </row>
    <row r="20" spans="1:33" ht="15.75" x14ac:dyDescent="0.25">
      <c r="A20" s="1"/>
      <c r="B20" s="4" t="s">
        <v>22</v>
      </c>
      <c r="C20" s="4" t="s">
        <v>21</v>
      </c>
      <c r="D20" s="11"/>
      <c r="E20" s="4" t="s">
        <v>24</v>
      </c>
      <c r="F20" s="4" t="s">
        <v>24</v>
      </c>
      <c r="G20" s="11"/>
      <c r="H20" s="4" t="s">
        <v>30</v>
      </c>
      <c r="I20" s="4" t="s">
        <v>28</v>
      </c>
      <c r="J20" s="11"/>
      <c r="K20" s="4" t="s">
        <v>303</v>
      </c>
      <c r="L20" s="4" t="s">
        <v>303</v>
      </c>
      <c r="M20" s="11"/>
      <c r="N20" s="4" t="s">
        <v>39</v>
      </c>
      <c r="O20" s="4" t="s">
        <v>39</v>
      </c>
      <c r="P20" s="11"/>
      <c r="Q20" s="4" t="s">
        <v>41</v>
      </c>
      <c r="R20" s="4" t="s">
        <v>41</v>
      </c>
      <c r="S20" s="11"/>
      <c r="T20" s="4" t="s">
        <v>50</v>
      </c>
      <c r="U20" s="4" t="s">
        <v>50</v>
      </c>
      <c r="V20" s="11"/>
      <c r="W20" s="4" t="s">
        <v>43</v>
      </c>
      <c r="X20" s="4" t="s">
        <v>41</v>
      </c>
      <c r="Y20" s="11"/>
      <c r="Z20" s="4" t="s">
        <v>41</v>
      </c>
      <c r="AA20" s="4" t="s">
        <v>41</v>
      </c>
      <c r="AB20" s="11"/>
      <c r="AC20" s="4" t="s">
        <v>24</v>
      </c>
      <c r="AD20" s="4" t="s">
        <v>25</v>
      </c>
      <c r="AE20" s="11"/>
      <c r="AF20" s="4" t="s">
        <v>41</v>
      </c>
      <c r="AG20" s="4" t="s">
        <v>43</v>
      </c>
    </row>
    <row r="21" spans="1:33" ht="15.75" x14ac:dyDescent="0.25">
      <c r="A21" s="1"/>
      <c r="B21" s="4" t="s">
        <v>22</v>
      </c>
      <c r="C21" s="4" t="s">
        <v>22</v>
      </c>
      <c r="D21" s="11"/>
      <c r="E21" s="4" t="s">
        <v>24</v>
      </c>
      <c r="F21" s="4" t="s">
        <v>24</v>
      </c>
      <c r="G21" s="11"/>
      <c r="H21" s="4" t="s">
        <v>30</v>
      </c>
      <c r="I21" s="4" t="s">
        <v>30</v>
      </c>
      <c r="J21" s="11"/>
      <c r="K21" s="4" t="s">
        <v>302</v>
      </c>
      <c r="L21" s="4" t="s">
        <v>304</v>
      </c>
      <c r="M21" s="11"/>
      <c r="N21" s="4" t="s">
        <v>39</v>
      </c>
      <c r="O21" s="4" t="s">
        <v>39</v>
      </c>
      <c r="P21" s="11"/>
      <c r="Q21" s="4" t="s">
        <v>41</v>
      </c>
      <c r="R21" s="4" t="s">
        <v>43</v>
      </c>
      <c r="S21" s="11"/>
      <c r="T21" s="4" t="s">
        <v>49</v>
      </c>
      <c r="U21" s="4" t="s">
        <v>49</v>
      </c>
      <c r="V21" s="11"/>
      <c r="W21" s="4" t="s">
        <v>41</v>
      </c>
      <c r="X21" s="4" t="s">
        <v>41</v>
      </c>
      <c r="Y21" s="11"/>
      <c r="Z21" s="4" t="s">
        <v>41</v>
      </c>
      <c r="AA21" s="4" t="s">
        <v>41</v>
      </c>
      <c r="AB21" s="11"/>
      <c r="AC21" s="4" t="s">
        <v>24</v>
      </c>
      <c r="AD21" s="4" t="s">
        <v>24</v>
      </c>
      <c r="AE21" s="11"/>
      <c r="AF21" s="4" t="s">
        <v>41</v>
      </c>
      <c r="AG21" s="4" t="s">
        <v>41</v>
      </c>
    </row>
    <row r="22" spans="1:33" ht="15.75" x14ac:dyDescent="0.25">
      <c r="A22" s="1"/>
      <c r="B22" s="5">
        <f>(0.0228+0.0338+0.0315+0.0149)/4</f>
        <v>2.5749999999999999E-2</v>
      </c>
      <c r="C22" s="5">
        <f>(0.0383+0.0241+0.099+0.0283)/4</f>
        <v>4.7424999999999995E-2</v>
      </c>
      <c r="D22" s="11"/>
      <c r="E22" s="5">
        <f>(0.00334-0.00968-0.00422-0.0135-0.00495)/5</f>
        <v>-5.8019999999999999E-3</v>
      </c>
      <c r="F22" s="5">
        <f>(-0.00586-0.0135-0.00927-0.0165-0.00918)/5</f>
        <v>-1.0862E-2</v>
      </c>
      <c r="G22" s="11"/>
      <c r="H22" s="5">
        <f>(-0.00494-0.00156+0.00294-0.00414+0.00171+0.00277-0.00332+0.00147+0.00373+0.00758)/10</f>
        <v>6.2399999999999999E-4</v>
      </c>
      <c r="I22" s="5">
        <f>(0.00729-0.000535-0.00294+0.00531+0.00945+0.0108+0.0081+0.00832+0.012+0.00808)/10</f>
        <v>6.5875000000000005E-3</v>
      </c>
      <c r="J22" s="11"/>
      <c r="K22" s="5">
        <v>-6.8733333333333337E-3</v>
      </c>
      <c r="L22" s="5">
        <v>-2.9899249999999999E-2</v>
      </c>
      <c r="M22" s="11"/>
      <c r="N22" s="5">
        <v>2.0400000000000001E-3</v>
      </c>
      <c r="O22" s="5">
        <v>1.2400000000000001E-4</v>
      </c>
      <c r="P22" s="11"/>
      <c r="Q22" s="5">
        <f>(-0.0153+0.00438)/2</f>
        <v>-5.4599999999999996E-3</v>
      </c>
      <c r="R22" s="5">
        <f>(-0.0504-0.0407)/2</f>
        <v>-4.555E-2</v>
      </c>
      <c r="S22" s="11"/>
      <c r="T22" s="5">
        <f>(-0.0792+0.00119+0.0607+0.0164+0.00336+0.0125+0.0596)/7</f>
        <v>1.0649999999999998E-2</v>
      </c>
      <c r="U22" s="5">
        <f>(0.0261+0.0102+0.0026+0.0347+0.0561+0.0628+0.0789)/7</f>
        <v>3.8771428571428568E-2</v>
      </c>
      <c r="V22" s="11"/>
      <c r="W22" s="5">
        <f>(0.018+0.0846)/2</f>
        <v>5.1299999999999998E-2</v>
      </c>
      <c r="X22" s="5">
        <f>(0.032+0.0254)/2</f>
        <v>2.87E-2</v>
      </c>
      <c r="Y22" s="11"/>
      <c r="Z22" s="5">
        <f>(0.0548-0.0625)/2</f>
        <v>-3.8499999999999993E-3</v>
      </c>
      <c r="AA22" s="5">
        <f>(-0.04-0.0303)/2</f>
        <v>-3.5150000000000001E-2</v>
      </c>
      <c r="AB22" s="11"/>
      <c r="AC22" s="5">
        <f>-(-0.0124-0.0257+0.00313+0.00168-0.00589)/5</f>
        <v>7.8359999999999992E-3</v>
      </c>
      <c r="AD22" s="5">
        <f>-(-0.00122-0.0258-0.0619-0.0948-0.0504)/5</f>
        <v>4.6823999999999998E-2</v>
      </c>
      <c r="AE22" s="11"/>
      <c r="AF22" s="5">
        <f>(0.00281-0.00301)/2</f>
        <v>-1.0000000000000005E-4</v>
      </c>
      <c r="AG22" s="5">
        <f>(0.103+0.0662)/2</f>
        <v>8.4599999999999995E-2</v>
      </c>
    </row>
    <row r="23" spans="1:33" ht="18.75" x14ac:dyDescent="0.25">
      <c r="A23" s="1" t="s">
        <v>7</v>
      </c>
      <c r="B23" s="5">
        <v>1E-3</v>
      </c>
      <c r="C23" s="5">
        <v>4.0000000000000001E-3</v>
      </c>
      <c r="D23" s="12"/>
      <c r="E23" s="5">
        <v>1E-3</v>
      </c>
      <c r="F23" s="5">
        <v>3.4000000000000002E-3</v>
      </c>
      <c r="G23" s="12"/>
      <c r="H23" s="5">
        <v>3.0000000000000003E-4</v>
      </c>
      <c r="I23" s="5">
        <v>2.4999999999999996E-3</v>
      </c>
      <c r="J23" s="12"/>
      <c r="K23" s="5">
        <v>6.000000000000001E-3</v>
      </c>
      <c r="L23" s="5">
        <v>4.6666666666666671E-3</v>
      </c>
      <c r="M23" s="12"/>
      <c r="N23" s="5">
        <v>0</v>
      </c>
      <c r="O23" s="5">
        <v>0</v>
      </c>
      <c r="P23" s="12"/>
      <c r="Q23" s="5">
        <v>0</v>
      </c>
      <c r="R23" s="5">
        <v>3.0000000000000001E-3</v>
      </c>
      <c r="S23" s="12"/>
      <c r="T23" s="5">
        <v>2.5714285714285717E-3</v>
      </c>
      <c r="U23" s="5">
        <v>7.7142857142857143E-3</v>
      </c>
      <c r="V23" s="12"/>
      <c r="W23" s="5">
        <v>6.5000000000000006E-3</v>
      </c>
      <c r="X23" s="5">
        <v>2E-3</v>
      </c>
      <c r="Y23" s="12"/>
      <c r="Z23" s="5">
        <v>4.0000000000000001E-3</v>
      </c>
      <c r="AA23" s="5">
        <v>3.0000000000000001E-3</v>
      </c>
      <c r="AB23" s="12"/>
      <c r="AC23" s="5">
        <v>2.0000000000000001E-4</v>
      </c>
      <c r="AD23" s="5">
        <v>8.0000000000000002E-3</v>
      </c>
      <c r="AE23" s="12"/>
      <c r="AF23" s="5">
        <v>0</v>
      </c>
      <c r="AG23" s="5">
        <v>0.01</v>
      </c>
    </row>
    <row r="24" spans="1:33" ht="15.75" x14ac:dyDescent="0.25">
      <c r="A24" s="1"/>
      <c r="B24" s="4"/>
      <c r="C24" s="4"/>
      <c r="D24" s="11"/>
      <c r="E24" s="4"/>
      <c r="F24" s="4"/>
      <c r="G24" s="11"/>
      <c r="H24" s="4"/>
      <c r="I24" s="4"/>
      <c r="J24" s="11"/>
      <c r="K24" s="4"/>
      <c r="L24" s="4"/>
      <c r="M24" s="11"/>
      <c r="N24" s="4"/>
      <c r="O24" s="4"/>
      <c r="P24" s="11"/>
      <c r="Q24" s="4"/>
      <c r="R24" s="4"/>
      <c r="S24" s="11"/>
      <c r="T24" s="4"/>
      <c r="U24" s="4"/>
      <c r="V24" s="11"/>
      <c r="W24" s="4"/>
      <c r="X24" s="4"/>
      <c r="Y24" s="11"/>
      <c r="Z24" s="4"/>
      <c r="AA24" s="4"/>
      <c r="AB24" s="11"/>
      <c r="AC24" s="4"/>
      <c r="AD24" s="4"/>
      <c r="AE24" s="11"/>
      <c r="AF24" s="4"/>
      <c r="AG24" s="4"/>
    </row>
    <row r="25" spans="1:33" ht="15.75" x14ac:dyDescent="0.25">
      <c r="A25" s="1" t="s">
        <v>57</v>
      </c>
      <c r="B25" s="4"/>
      <c r="C25" s="4"/>
      <c r="D25" s="11"/>
      <c r="E25" s="4"/>
      <c r="F25" s="4"/>
      <c r="G25" s="11"/>
      <c r="H25" s="4"/>
      <c r="I25" s="4"/>
      <c r="J25" s="11"/>
      <c r="K25" s="4"/>
      <c r="L25" s="4"/>
      <c r="M25" s="11"/>
      <c r="N25" s="4"/>
      <c r="O25" s="4"/>
      <c r="P25" s="11"/>
      <c r="Q25" s="4"/>
      <c r="R25" s="4"/>
      <c r="S25" s="11"/>
      <c r="T25" s="4"/>
      <c r="U25" s="4"/>
      <c r="V25" s="11"/>
      <c r="W25" s="4"/>
      <c r="X25" s="4"/>
      <c r="Y25" s="11"/>
      <c r="Z25" s="4"/>
      <c r="AA25" s="4"/>
      <c r="AB25" s="11"/>
      <c r="AC25" s="4"/>
      <c r="AD25" s="4"/>
      <c r="AE25" s="11"/>
      <c r="AF25" s="4"/>
      <c r="AG25" s="4"/>
    </row>
    <row r="26" spans="1:33" ht="15.75" x14ac:dyDescent="0.25">
      <c r="A26" s="1"/>
      <c r="B26" s="4" t="s">
        <v>19</v>
      </c>
      <c r="C26" s="4" t="s">
        <v>19</v>
      </c>
      <c r="D26" s="11"/>
      <c r="E26" s="4" t="s">
        <v>19</v>
      </c>
      <c r="F26" s="4" t="s">
        <v>22</v>
      </c>
      <c r="G26" s="11"/>
      <c r="H26" s="4" t="s">
        <v>34</v>
      </c>
      <c r="I26" s="4" t="s">
        <v>58</v>
      </c>
      <c r="J26" s="11"/>
      <c r="K26" s="4" t="s">
        <v>304</v>
      </c>
      <c r="L26" s="4" t="s">
        <v>302</v>
      </c>
      <c r="M26" s="11"/>
      <c r="N26" s="4" t="s">
        <v>39</v>
      </c>
      <c r="O26" s="4" t="s">
        <v>39</v>
      </c>
      <c r="P26" s="11"/>
      <c r="Q26" s="4" t="s">
        <v>43</v>
      </c>
      <c r="R26" s="4" t="s">
        <v>41</v>
      </c>
      <c r="S26" s="11"/>
      <c r="T26" s="4" t="s">
        <v>51</v>
      </c>
      <c r="U26" s="4" t="s">
        <v>51</v>
      </c>
      <c r="V26" s="11"/>
      <c r="W26" s="4" t="s">
        <v>42</v>
      </c>
      <c r="X26" s="4" t="s">
        <v>42</v>
      </c>
      <c r="Y26" s="11"/>
      <c r="Z26" s="4" t="s">
        <v>41</v>
      </c>
      <c r="AA26" s="4" t="s">
        <v>43</v>
      </c>
      <c r="AB26" s="11"/>
      <c r="AC26" s="4" t="s">
        <v>26</v>
      </c>
      <c r="AD26" s="4" t="s">
        <v>37</v>
      </c>
      <c r="AE26" s="11"/>
      <c r="AF26" s="4" t="s">
        <v>43</v>
      </c>
      <c r="AG26" s="4" t="s">
        <v>42</v>
      </c>
    </row>
    <row r="27" spans="1:33" ht="15.75" x14ac:dyDescent="0.25">
      <c r="A27" s="1"/>
      <c r="B27" s="4" t="s">
        <v>22</v>
      </c>
      <c r="C27" s="4" t="s">
        <v>22</v>
      </c>
      <c r="D27" s="11"/>
      <c r="E27" s="4" t="s">
        <v>22</v>
      </c>
      <c r="F27" s="4" t="s">
        <v>22</v>
      </c>
      <c r="G27" s="11"/>
      <c r="H27" s="4" t="s">
        <v>32</v>
      </c>
      <c r="I27" s="4" t="s">
        <v>35</v>
      </c>
      <c r="J27" s="11"/>
      <c r="K27" s="4" t="s">
        <v>305</v>
      </c>
      <c r="L27" s="4" t="s">
        <v>303</v>
      </c>
      <c r="M27" s="11"/>
      <c r="N27" s="4" t="s">
        <v>39</v>
      </c>
      <c r="O27" s="4" t="s">
        <v>39</v>
      </c>
      <c r="P27" s="11"/>
      <c r="Q27" s="4" t="s">
        <v>41</v>
      </c>
      <c r="R27" s="4" t="s">
        <v>41</v>
      </c>
      <c r="S27" s="11"/>
      <c r="T27" s="4" t="s">
        <v>50</v>
      </c>
      <c r="U27" s="4" t="s">
        <v>47</v>
      </c>
      <c r="V27" s="11"/>
      <c r="W27" s="4" t="s">
        <v>43</v>
      </c>
      <c r="X27" s="4" t="s">
        <v>41</v>
      </c>
      <c r="Y27" s="11"/>
      <c r="Z27" s="4" t="s">
        <v>41</v>
      </c>
      <c r="AA27" s="4" t="s">
        <v>41</v>
      </c>
      <c r="AB27" s="11"/>
      <c r="AC27" s="4" t="s">
        <v>24</v>
      </c>
      <c r="AD27" s="4" t="s">
        <v>25</v>
      </c>
      <c r="AE27" s="11"/>
      <c r="AF27" s="4" t="s">
        <v>43</v>
      </c>
      <c r="AG27" s="4" t="s">
        <v>42</v>
      </c>
    </row>
    <row r="28" spans="1:33" ht="15.75" x14ac:dyDescent="0.25">
      <c r="A28" s="1"/>
      <c r="B28" s="4" t="s">
        <v>22</v>
      </c>
      <c r="C28" s="4" t="s">
        <v>22</v>
      </c>
      <c r="D28" s="11"/>
      <c r="E28" s="4" t="s">
        <v>22</v>
      </c>
      <c r="F28" s="4" t="s">
        <v>22</v>
      </c>
      <c r="G28" s="11"/>
      <c r="H28" s="4" t="s">
        <v>28</v>
      </c>
      <c r="I28" s="4" t="s">
        <v>28</v>
      </c>
      <c r="J28" s="11"/>
      <c r="K28" s="4" t="s">
        <v>306</v>
      </c>
      <c r="L28" s="4" t="s">
        <v>304</v>
      </c>
      <c r="M28" s="11"/>
      <c r="N28" s="4" t="s">
        <v>39</v>
      </c>
      <c r="O28" s="4" t="s">
        <v>39</v>
      </c>
      <c r="P28" s="11"/>
      <c r="Q28" s="4" t="s">
        <v>41</v>
      </c>
      <c r="R28" s="4" t="s">
        <v>42</v>
      </c>
      <c r="S28" s="11"/>
      <c r="T28" s="4" t="s">
        <v>49</v>
      </c>
      <c r="U28" s="4" t="s">
        <v>49</v>
      </c>
      <c r="V28" s="11"/>
      <c r="W28" s="4" t="s">
        <v>41</v>
      </c>
      <c r="X28" s="4" t="s">
        <v>41</v>
      </c>
      <c r="Y28" s="11"/>
      <c r="Z28" s="4" t="s">
        <v>43</v>
      </c>
      <c r="AA28" s="4" t="s">
        <v>43</v>
      </c>
      <c r="AB28" s="11"/>
      <c r="AC28" s="4" t="s">
        <v>24</v>
      </c>
      <c r="AD28" s="4" t="s">
        <v>24</v>
      </c>
      <c r="AE28" s="11"/>
      <c r="AF28" s="4" t="s">
        <v>41</v>
      </c>
      <c r="AG28" s="4" t="s">
        <v>41</v>
      </c>
    </row>
    <row r="29" spans="1:33" ht="15.75" x14ac:dyDescent="0.25">
      <c r="A29" s="1"/>
      <c r="B29" s="5">
        <f>(0.0223+0.0388+0.0401+0.0398)/4</f>
        <v>3.5250000000000004E-2</v>
      </c>
      <c r="C29" s="5">
        <f>(0.0285+0.0201+0.0426+0.0238)/4</f>
        <v>2.8750000000000001E-2</v>
      </c>
      <c r="D29" s="11"/>
      <c r="E29" s="5">
        <f>(0.0125+0.0165+0.0203+0.00189)/4</f>
        <v>1.27975E-2</v>
      </c>
      <c r="F29" s="5">
        <f>(-0.00125-0.0139-0.00432-0.0185)/4</f>
        <v>-9.4924999999999992E-3</v>
      </c>
      <c r="G29" s="11"/>
      <c r="H29" s="5">
        <f>(0.0166-0.00106-0.000705-0.000369-0.00885-0.0118-0.00851-0.0163-0.00474+0.00278)/10</f>
        <v>-3.2954000000000004E-3</v>
      </c>
      <c r="I29" s="5">
        <f>(-0.0114-0.0105-0.0164-0.00577+0.0031+0.000111+0.00761+0.0136+0.00921+0.0102)/10</f>
        <v>-2.3899999999999964E-5</v>
      </c>
      <c r="J29" s="11"/>
      <c r="K29" s="5">
        <v>8.1428571428571379E-4</v>
      </c>
      <c r="L29" s="5">
        <v>-1.0641714285714286E-2</v>
      </c>
      <c r="M29" s="11"/>
      <c r="N29" s="5">
        <v>-2.5100000000000001E-3</v>
      </c>
      <c r="O29" s="5">
        <v>-1.0200000000000001E-2</v>
      </c>
      <c r="P29" s="11"/>
      <c r="Q29" s="5">
        <f>(-0.00345+0.0109)/2</f>
        <v>3.725E-3</v>
      </c>
      <c r="R29" s="5">
        <f>(-0.0478-0.0403)/2</f>
        <v>-4.4050000000000006E-2</v>
      </c>
      <c r="S29" s="11"/>
      <c r="T29" s="5">
        <f>(-0.0521+0.0026+0.0395+0.0177-0.0102+0.000197+0.0342)/7</f>
        <v>4.5567142857142863E-3</v>
      </c>
      <c r="U29" s="5">
        <f>(0.0155-0.00536-0.0347+0.0129+0.0479+0.0506+0.0581)/7</f>
        <v>2.0705714285714289E-2</v>
      </c>
      <c r="V29" s="11"/>
      <c r="W29" s="5">
        <f>(0.0135+0.0788)/2</f>
        <v>4.6149999999999997E-2</v>
      </c>
      <c r="X29" s="5">
        <f>(0.027+0.0101)/2</f>
        <v>1.8550000000000001E-2</v>
      </c>
      <c r="Y29" s="11"/>
      <c r="Z29" s="5">
        <f>(-0.00342-0.0677)/2</f>
        <v>-3.5560000000000001E-2</v>
      </c>
      <c r="AA29" s="5">
        <f>(-0.0861+0.0003)/2</f>
        <v>-4.2900000000000001E-2</v>
      </c>
      <c r="AB29" s="11"/>
      <c r="AC29" s="5">
        <f>-(0.000132-0.0251-0.00307-0.00835-0.00985)/5</f>
        <v>9.2475999999999999E-3</v>
      </c>
      <c r="AD29" s="5">
        <f>-(-0.000712-0.0163-0.0401-0.0571-0.0493)/5</f>
        <v>3.27024E-2</v>
      </c>
      <c r="AE29" s="11"/>
      <c r="AF29" s="5">
        <f>(-0.00446+0.00196)/2</f>
        <v>-1.2500000000000002E-3</v>
      </c>
      <c r="AG29" s="5">
        <f>(0.0717+0.0581)/2</f>
        <v>6.4899999999999999E-2</v>
      </c>
    </row>
    <row r="30" spans="1:33" s="10" customFormat="1" ht="18.75" x14ac:dyDescent="0.25">
      <c r="A30" s="1" t="s">
        <v>7</v>
      </c>
      <c r="B30" s="13">
        <v>3.0000000000000001E-3</v>
      </c>
      <c r="C30" s="13">
        <v>2E-3</v>
      </c>
      <c r="D30" s="13"/>
      <c r="E30" s="13">
        <v>6.0000000000000006E-4</v>
      </c>
      <c r="F30" s="13">
        <v>3.2000000000000002E-3</v>
      </c>
      <c r="G30" s="13"/>
      <c r="H30" s="13">
        <v>1.3000000000000002E-3</v>
      </c>
      <c r="I30" s="13">
        <v>5.2000000000000006E-3</v>
      </c>
      <c r="J30" s="13"/>
      <c r="K30" s="13">
        <v>8.2222222222222228E-3</v>
      </c>
      <c r="L30" s="13">
        <v>4.6666666666666671E-3</v>
      </c>
      <c r="M30" s="14"/>
      <c r="N30" s="13">
        <v>0</v>
      </c>
      <c r="O30" s="13">
        <v>5.0000000000000001E-3</v>
      </c>
      <c r="P30" s="13"/>
      <c r="Q30" s="13">
        <v>0</v>
      </c>
      <c r="R30" s="13">
        <v>5.0000000000000001E-3</v>
      </c>
      <c r="S30" s="13"/>
      <c r="T30" s="13">
        <v>2.0000000000000005E-3</v>
      </c>
      <c r="U30" s="13">
        <v>8.4285714285714294E-3</v>
      </c>
      <c r="V30" s="13"/>
      <c r="W30" s="13">
        <v>8.5000000000000006E-3</v>
      </c>
      <c r="X30" s="13">
        <v>2E-3</v>
      </c>
      <c r="Y30" s="13"/>
      <c r="Z30" s="13">
        <v>5.4999999999999997E-3</v>
      </c>
      <c r="AA30" s="13">
        <v>4.0000000000000001E-3</v>
      </c>
      <c r="AB30" s="13"/>
      <c r="AC30" s="13">
        <v>4.0000000000000002E-4</v>
      </c>
      <c r="AD30" s="13">
        <v>6.4000000000000003E-3</v>
      </c>
      <c r="AE30" s="13"/>
      <c r="AF30" s="13">
        <v>0</v>
      </c>
      <c r="AG30" s="13">
        <v>0.01</v>
      </c>
    </row>
  </sheetData>
  <mergeCells count="11">
    <mergeCell ref="T2:U2"/>
    <mergeCell ref="W2:X2"/>
    <mergeCell ref="Z2:AA2"/>
    <mergeCell ref="AC2:AD2"/>
    <mergeCell ref="AF2:AG2"/>
    <mergeCell ref="Q2:R2"/>
    <mergeCell ref="B2:C2"/>
    <mergeCell ref="E2:F2"/>
    <mergeCell ref="H2:I2"/>
    <mergeCell ref="K2:L2"/>
    <mergeCell ref="N2:O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"/>
  <sheetViews>
    <sheetView topLeftCell="A25" workbookViewId="0">
      <selection activeCell="P97" sqref="P97:Q97"/>
    </sheetView>
  </sheetViews>
  <sheetFormatPr defaultRowHeight="15" x14ac:dyDescent="0.25"/>
  <sheetData>
    <row r="1" spans="1:17" x14ac:dyDescent="0.25">
      <c r="A1" t="s">
        <v>294</v>
      </c>
      <c r="B1" t="s">
        <v>236</v>
      </c>
      <c r="C1" t="s">
        <v>237</v>
      </c>
      <c r="D1" t="s">
        <v>238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</row>
    <row r="2" spans="1:17" x14ac:dyDescent="0.25">
      <c r="A2" t="s">
        <v>60</v>
      </c>
      <c r="B2">
        <v>-2.47E-2</v>
      </c>
      <c r="C2">
        <v>1.6199999999999999E-2</v>
      </c>
      <c r="D2">
        <v>3.8600000000000001E-3</v>
      </c>
      <c r="E2">
        <v>-2.2100000000000002E-2</v>
      </c>
      <c r="F2">
        <v>-7.9200000000000007E-2</v>
      </c>
      <c r="G2">
        <v>2.6100000000000002E-2</v>
      </c>
      <c r="H2">
        <v>-5.21E-2</v>
      </c>
      <c r="I2">
        <v>1.55E-2</v>
      </c>
    </row>
    <row r="3" spans="1:17" x14ac:dyDescent="0.25">
      <c r="A3" t="s">
        <v>64</v>
      </c>
      <c r="B3">
        <v>1E-3</v>
      </c>
      <c r="C3">
        <v>1E-3</v>
      </c>
      <c r="D3">
        <v>0</v>
      </c>
      <c r="E3">
        <v>1E-3</v>
      </c>
      <c r="F3">
        <v>3.0000000000000001E-3</v>
      </c>
      <c r="G3">
        <v>0</v>
      </c>
      <c r="H3">
        <v>2E-3</v>
      </c>
      <c r="I3">
        <v>0</v>
      </c>
      <c r="J3">
        <f>(B3+B5+B7+B9+B11+B13+B15)/7</f>
        <v>2.4285714285714288E-3</v>
      </c>
      <c r="K3">
        <f t="shared" ref="K3:Q3" si="0">(C3+C5+C7+C9+C11+C13+C15)/7</f>
        <v>6.1428571428571435E-3</v>
      </c>
      <c r="L3">
        <f t="shared" si="0"/>
        <v>1.8571428571428573E-3</v>
      </c>
      <c r="M3">
        <f t="shared" si="0"/>
        <v>5.7142857142857143E-3</v>
      </c>
      <c r="N3">
        <f t="shared" si="0"/>
        <v>2.5714285714285717E-3</v>
      </c>
      <c r="O3">
        <f t="shared" si="0"/>
        <v>7.7142857142857143E-3</v>
      </c>
      <c r="P3">
        <f t="shared" si="0"/>
        <v>2.0000000000000005E-3</v>
      </c>
      <c r="Q3">
        <f t="shared" si="0"/>
        <v>8.4285714285714294E-3</v>
      </c>
    </row>
    <row r="4" spans="1:17" x14ac:dyDescent="0.25">
      <c r="A4" t="s">
        <v>65</v>
      </c>
      <c r="B4">
        <v>-5.5199999999999997E-3</v>
      </c>
      <c r="C4">
        <v>3.01E-4</v>
      </c>
      <c r="D4">
        <v>-1.16E-3</v>
      </c>
      <c r="E4">
        <v>-0.01</v>
      </c>
      <c r="F4">
        <v>1.1900000000000001E-3</v>
      </c>
      <c r="G4">
        <v>1.0200000000000001E-2</v>
      </c>
      <c r="H4">
        <v>2.5999999999999999E-3</v>
      </c>
      <c r="I4">
        <v>-5.3600000000000002E-3</v>
      </c>
    </row>
    <row r="5" spans="1:17" x14ac:dyDescent="0.25">
      <c r="A5" t="s">
        <v>64</v>
      </c>
      <c r="B5">
        <v>1E-3</v>
      </c>
      <c r="C5">
        <v>0</v>
      </c>
      <c r="D5">
        <v>0</v>
      </c>
      <c r="E5">
        <v>2E-3</v>
      </c>
      <c r="F5">
        <v>0</v>
      </c>
      <c r="G5">
        <v>0</v>
      </c>
      <c r="H5">
        <v>0</v>
      </c>
      <c r="I5">
        <v>0</v>
      </c>
    </row>
    <row r="6" spans="1:17" x14ac:dyDescent="0.25">
      <c r="A6" t="s">
        <v>70</v>
      </c>
      <c r="B6">
        <v>-1.7299999999999999E-2</v>
      </c>
      <c r="C6" t="s">
        <v>244</v>
      </c>
      <c r="D6">
        <v>-1.0200000000000001E-2</v>
      </c>
      <c r="E6">
        <v>-3.3899999999999998E-3</v>
      </c>
      <c r="F6" t="s">
        <v>245</v>
      </c>
      <c r="G6">
        <v>2.5999999999999999E-3</v>
      </c>
      <c r="H6" t="s">
        <v>246</v>
      </c>
      <c r="I6">
        <v>-3.4700000000000002E-2</v>
      </c>
    </row>
    <row r="7" spans="1:17" x14ac:dyDescent="0.25">
      <c r="A7" t="s">
        <v>64</v>
      </c>
      <c r="B7">
        <v>3.0000000000000001E-3</v>
      </c>
      <c r="C7">
        <v>8.0000000000000002E-3</v>
      </c>
      <c r="D7">
        <v>1E-3</v>
      </c>
      <c r="E7">
        <v>0</v>
      </c>
      <c r="F7">
        <v>6.0000000000000001E-3</v>
      </c>
      <c r="G7">
        <v>0</v>
      </c>
      <c r="H7">
        <v>5.0000000000000001E-3</v>
      </c>
      <c r="I7">
        <v>3.0000000000000001E-3</v>
      </c>
    </row>
    <row r="8" spans="1:17" x14ac:dyDescent="0.25">
      <c r="A8" t="s">
        <v>77</v>
      </c>
      <c r="B8">
        <v>-2.23E-2</v>
      </c>
      <c r="C8" t="s">
        <v>247</v>
      </c>
      <c r="D8">
        <v>-1.0999999999999999E-2</v>
      </c>
      <c r="E8">
        <v>1.5599999999999999E-2</v>
      </c>
      <c r="F8">
        <v>1.6400000000000001E-2</v>
      </c>
      <c r="G8">
        <v>3.4700000000000002E-2</v>
      </c>
      <c r="H8">
        <v>1.77E-2</v>
      </c>
      <c r="I8">
        <v>1.29E-2</v>
      </c>
    </row>
    <row r="9" spans="1:17" x14ac:dyDescent="0.25">
      <c r="A9" t="s">
        <v>64</v>
      </c>
      <c r="B9">
        <v>7.0000000000000001E-3</v>
      </c>
      <c r="C9">
        <v>7.0000000000000001E-3</v>
      </c>
      <c r="D9">
        <v>2E-3</v>
      </c>
      <c r="E9">
        <v>3.0000000000000001E-3</v>
      </c>
      <c r="F9">
        <v>1E-3</v>
      </c>
      <c r="G9">
        <v>3.0000000000000001E-3</v>
      </c>
      <c r="H9">
        <v>2E-3</v>
      </c>
      <c r="I9">
        <v>1E-3</v>
      </c>
    </row>
    <row r="10" spans="1:17" x14ac:dyDescent="0.25">
      <c r="A10" t="s">
        <v>81</v>
      </c>
      <c r="B10">
        <v>-1.38E-2</v>
      </c>
      <c r="C10">
        <v>1.37E-2</v>
      </c>
      <c r="D10">
        <v>-1.41E-2</v>
      </c>
      <c r="E10">
        <v>8.3400000000000002E-3</v>
      </c>
      <c r="F10">
        <v>3.3600000000000001E-3</v>
      </c>
      <c r="G10">
        <v>5.6099999999999997E-2</v>
      </c>
      <c r="H10">
        <v>-1.0200000000000001E-2</v>
      </c>
      <c r="I10">
        <v>4.7899999999999998E-2</v>
      </c>
    </row>
    <row r="11" spans="1:17" x14ac:dyDescent="0.25">
      <c r="A11" t="s">
        <v>64</v>
      </c>
      <c r="B11">
        <v>4.0000000000000001E-3</v>
      </c>
      <c r="C11">
        <v>5.0000000000000001E-3</v>
      </c>
      <c r="D11">
        <v>4.0000000000000001E-3</v>
      </c>
      <c r="E11">
        <v>1E-3</v>
      </c>
      <c r="F11">
        <v>0</v>
      </c>
      <c r="G11">
        <v>1.0999999999999999E-2</v>
      </c>
      <c r="H11">
        <v>1E-3</v>
      </c>
      <c r="I11">
        <v>1.4E-2</v>
      </c>
    </row>
    <row r="12" spans="1:17" x14ac:dyDescent="0.25">
      <c r="A12" t="s">
        <v>83</v>
      </c>
      <c r="B12">
        <v>5.79E-3</v>
      </c>
      <c r="C12">
        <v>1.5299999999999999E-2</v>
      </c>
      <c r="D12">
        <v>-7.79E-3</v>
      </c>
      <c r="E12">
        <v>1.43E-2</v>
      </c>
      <c r="F12">
        <v>1.2500000000000001E-2</v>
      </c>
      <c r="G12">
        <v>6.2799999999999995E-2</v>
      </c>
      <c r="H12">
        <v>1.9699999999999999E-4</v>
      </c>
      <c r="I12">
        <v>5.0599999999999999E-2</v>
      </c>
    </row>
    <row r="13" spans="1:17" x14ac:dyDescent="0.25">
      <c r="A13" t="s">
        <v>64</v>
      </c>
      <c r="B13">
        <v>1E-3</v>
      </c>
      <c r="C13">
        <v>6.0000000000000001E-3</v>
      </c>
      <c r="D13">
        <v>1E-3</v>
      </c>
      <c r="E13">
        <v>4.0000000000000001E-3</v>
      </c>
      <c r="F13">
        <v>1E-3</v>
      </c>
      <c r="G13">
        <v>1.4999999999999999E-2</v>
      </c>
      <c r="H13">
        <v>0</v>
      </c>
      <c r="I13">
        <v>1.7999999999999999E-2</v>
      </c>
    </row>
    <row r="14" spans="1:17" x14ac:dyDescent="0.25">
      <c r="A14" t="s">
        <v>87</v>
      </c>
      <c r="B14">
        <v>1.5399999999999999E-3</v>
      </c>
      <c r="C14" t="s">
        <v>248</v>
      </c>
      <c r="D14">
        <v>-0.02</v>
      </c>
      <c r="E14" t="s">
        <v>249</v>
      </c>
      <c r="F14">
        <v>5.96E-2</v>
      </c>
      <c r="G14" t="s">
        <v>250</v>
      </c>
      <c r="H14">
        <v>3.4200000000000001E-2</v>
      </c>
      <c r="I14" t="s">
        <v>251</v>
      </c>
    </row>
    <row r="15" spans="1:17" x14ac:dyDescent="0.25">
      <c r="A15" t="s">
        <v>64</v>
      </c>
      <c r="B15">
        <v>0</v>
      </c>
      <c r="C15">
        <v>1.6E-2</v>
      </c>
      <c r="D15">
        <v>5.0000000000000001E-3</v>
      </c>
      <c r="E15">
        <v>2.9000000000000001E-2</v>
      </c>
      <c r="F15">
        <v>7.0000000000000001E-3</v>
      </c>
      <c r="G15">
        <v>2.5000000000000001E-2</v>
      </c>
      <c r="H15">
        <v>4.0000000000000001E-3</v>
      </c>
      <c r="I15">
        <v>2.3E-2</v>
      </c>
    </row>
    <row r="16" spans="1:17" x14ac:dyDescent="0.25">
      <c r="A16" t="s">
        <v>91</v>
      </c>
      <c r="B16">
        <v>-6.3E-3</v>
      </c>
      <c r="C16">
        <v>-4.8399999999999997E-3</v>
      </c>
      <c r="D16">
        <v>-7.1900000000000002E-3</v>
      </c>
      <c r="E16">
        <v>-4.5500000000000002E-3</v>
      </c>
      <c r="F16">
        <v>-2.8400000000000001E-3</v>
      </c>
      <c r="G16">
        <v>-1.2400000000000001E-4</v>
      </c>
      <c r="H16">
        <v>2.5100000000000001E-3</v>
      </c>
      <c r="I16">
        <v>1.0200000000000001E-2</v>
      </c>
    </row>
    <row r="17" spans="1:17" x14ac:dyDescent="0.25">
      <c r="A17" t="s">
        <v>64</v>
      </c>
      <c r="B17">
        <v>5.0000000000000001E-3</v>
      </c>
      <c r="C17">
        <v>3.0000000000000001E-3</v>
      </c>
      <c r="D17">
        <v>6.0000000000000001E-3</v>
      </c>
      <c r="E17">
        <v>3.0000000000000001E-3</v>
      </c>
      <c r="F17">
        <v>0</v>
      </c>
      <c r="G17">
        <v>0</v>
      </c>
      <c r="H17">
        <v>0</v>
      </c>
      <c r="I17">
        <v>5.0000000000000001E-3</v>
      </c>
      <c r="J17">
        <f>B17</f>
        <v>5.0000000000000001E-3</v>
      </c>
      <c r="K17">
        <f t="shared" ref="K17:Q17" si="1">C17</f>
        <v>3.0000000000000001E-3</v>
      </c>
      <c r="L17">
        <f t="shared" si="1"/>
        <v>6.0000000000000001E-3</v>
      </c>
      <c r="M17">
        <f t="shared" si="1"/>
        <v>3.0000000000000001E-3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5.0000000000000001E-3</v>
      </c>
    </row>
    <row r="18" spans="1:17" x14ac:dyDescent="0.25">
      <c r="A18" t="s">
        <v>93</v>
      </c>
      <c r="B18">
        <v>-2.1700000000000001E-2</v>
      </c>
      <c r="C18">
        <v>1.8499999999999999E-2</v>
      </c>
      <c r="D18">
        <v>-2.7400000000000001E-2</v>
      </c>
      <c r="E18">
        <v>7.4200000000000004E-3</v>
      </c>
      <c r="F18">
        <v>-1.24E-2</v>
      </c>
      <c r="G18">
        <v>-1.2199999999999999E-3</v>
      </c>
      <c r="H18">
        <v>1.3200000000000001E-4</v>
      </c>
      <c r="I18">
        <v>-7.1199999999999996E-4</v>
      </c>
    </row>
    <row r="19" spans="1:17" x14ac:dyDescent="0.25">
      <c r="A19" t="s">
        <v>64</v>
      </c>
      <c r="B19">
        <v>5.0000000000000001E-3</v>
      </c>
      <c r="C19">
        <v>3.0000000000000001E-3</v>
      </c>
      <c r="D19">
        <v>5.0000000000000001E-3</v>
      </c>
      <c r="E19">
        <v>0</v>
      </c>
      <c r="F19">
        <v>0</v>
      </c>
      <c r="G19">
        <v>0</v>
      </c>
      <c r="H19">
        <v>0</v>
      </c>
      <c r="I19">
        <v>0</v>
      </c>
      <c r="J19">
        <f>(B19+B21+B23+B25+B27)/5</f>
        <v>8.2000000000000007E-3</v>
      </c>
      <c r="K19">
        <f t="shared" ref="K19:O19" si="2">(C19+C21+C23+C25+C27)/5</f>
        <v>3.0000000000000001E-3</v>
      </c>
      <c r="L19">
        <f t="shared" si="2"/>
        <v>4.6000000000000008E-3</v>
      </c>
      <c r="M19">
        <f t="shared" si="2"/>
        <v>1.2000000000000001E-3</v>
      </c>
      <c r="N19">
        <f t="shared" si="2"/>
        <v>2.0000000000000001E-4</v>
      </c>
      <c r="O19">
        <f t="shared" si="2"/>
        <v>8.0000000000000002E-3</v>
      </c>
      <c r="P19">
        <f>(H19+H21+H23+H25+H27)/5</f>
        <v>4.0000000000000002E-4</v>
      </c>
      <c r="Q19">
        <f>(I19+I21+I23+I25+I27)/5</f>
        <v>6.4000000000000003E-3</v>
      </c>
    </row>
    <row r="20" spans="1:17" x14ac:dyDescent="0.25">
      <c r="A20" t="s">
        <v>98</v>
      </c>
      <c r="B20">
        <v>2.29E-2</v>
      </c>
      <c r="C20">
        <v>-3.81E-3</v>
      </c>
      <c r="D20">
        <v>1.5900000000000001E-2</v>
      </c>
      <c r="E20">
        <v>-1.0500000000000001E-2</v>
      </c>
      <c r="F20">
        <v>-2.5700000000000001E-2</v>
      </c>
      <c r="G20">
        <v>-2.58E-2</v>
      </c>
      <c r="H20">
        <v>-2.5100000000000001E-2</v>
      </c>
      <c r="I20">
        <v>-1.6299999999999999E-2</v>
      </c>
    </row>
    <row r="21" spans="1:17" x14ac:dyDescent="0.25">
      <c r="A21" t="s">
        <v>64</v>
      </c>
      <c r="B21">
        <v>5.0000000000000001E-3</v>
      </c>
      <c r="C21">
        <v>0</v>
      </c>
      <c r="D21">
        <v>1E-3</v>
      </c>
      <c r="E21">
        <v>1E-3</v>
      </c>
      <c r="F21">
        <v>1E-3</v>
      </c>
      <c r="G21">
        <v>1E-3</v>
      </c>
      <c r="H21">
        <v>2E-3</v>
      </c>
      <c r="I21">
        <v>1E-3</v>
      </c>
    </row>
    <row r="22" spans="1:17" x14ac:dyDescent="0.25">
      <c r="A22" t="s">
        <v>101</v>
      </c>
      <c r="B22">
        <v>2.2499999999999999E-2</v>
      </c>
      <c r="C22">
        <v>1.7899999999999999E-3</v>
      </c>
      <c r="D22">
        <v>3.0700000000000002E-2</v>
      </c>
      <c r="E22">
        <v>-1.35E-2</v>
      </c>
      <c r="F22">
        <v>3.13E-3</v>
      </c>
      <c r="G22" t="s">
        <v>252</v>
      </c>
      <c r="H22">
        <v>-3.0699999999999998E-3</v>
      </c>
      <c r="I22">
        <v>-4.0099999999999997E-2</v>
      </c>
    </row>
    <row r="23" spans="1:17" x14ac:dyDescent="0.25">
      <c r="A23" t="s">
        <v>64</v>
      </c>
      <c r="B23">
        <v>6.0000000000000001E-3</v>
      </c>
      <c r="C23">
        <v>0</v>
      </c>
      <c r="D23">
        <v>8.0000000000000002E-3</v>
      </c>
      <c r="E23">
        <v>3.0000000000000001E-3</v>
      </c>
      <c r="F23">
        <v>0</v>
      </c>
      <c r="G23">
        <v>1.0999999999999999E-2</v>
      </c>
      <c r="H23">
        <v>0</v>
      </c>
      <c r="I23">
        <v>7.0000000000000001E-3</v>
      </c>
    </row>
    <row r="24" spans="1:17" x14ac:dyDescent="0.25">
      <c r="A24" t="s">
        <v>104</v>
      </c>
      <c r="B24">
        <v>2.7699999999999999E-2</v>
      </c>
      <c r="C24">
        <v>7.4599999999999996E-3</v>
      </c>
      <c r="D24">
        <v>2.1899999999999999E-2</v>
      </c>
      <c r="E24">
        <v>-4.0099999999999997E-3</v>
      </c>
      <c r="F24">
        <v>1.6800000000000001E-3</v>
      </c>
      <c r="G24" t="s">
        <v>253</v>
      </c>
      <c r="H24">
        <v>-8.3499999999999998E-3</v>
      </c>
      <c r="I24" t="s">
        <v>254</v>
      </c>
    </row>
    <row r="25" spans="1:17" x14ac:dyDescent="0.25">
      <c r="A25" t="s">
        <v>64</v>
      </c>
      <c r="B25">
        <v>1.2E-2</v>
      </c>
      <c r="C25">
        <v>1E-3</v>
      </c>
      <c r="D25">
        <v>4.0000000000000001E-3</v>
      </c>
      <c r="E25">
        <v>0</v>
      </c>
      <c r="F25">
        <v>0</v>
      </c>
      <c r="G25">
        <v>2.3E-2</v>
      </c>
      <c r="H25">
        <v>0</v>
      </c>
      <c r="I25">
        <v>1.4999999999999999E-2</v>
      </c>
    </row>
    <row r="26" spans="1:17" x14ac:dyDescent="0.25">
      <c r="A26" t="s">
        <v>107</v>
      </c>
      <c r="B26">
        <v>3.4099999999999998E-2</v>
      </c>
      <c r="C26">
        <v>3.1600000000000003E-2</v>
      </c>
      <c r="D26">
        <v>2.58E-2</v>
      </c>
      <c r="E26">
        <v>1.66E-2</v>
      </c>
      <c r="F26">
        <v>-5.8900000000000003E-3</v>
      </c>
      <c r="G26">
        <v>-5.04E-2</v>
      </c>
      <c r="H26">
        <v>-9.8499999999999994E-3</v>
      </c>
      <c r="I26" t="s">
        <v>255</v>
      </c>
    </row>
    <row r="27" spans="1:17" x14ac:dyDescent="0.25">
      <c r="A27" t="s">
        <v>64</v>
      </c>
      <c r="B27">
        <v>1.2999999999999999E-2</v>
      </c>
      <c r="C27">
        <v>1.0999999999999999E-2</v>
      </c>
      <c r="D27">
        <v>5.0000000000000001E-3</v>
      </c>
      <c r="E27">
        <v>2E-3</v>
      </c>
      <c r="F27">
        <v>0</v>
      </c>
      <c r="G27">
        <v>5.0000000000000001E-3</v>
      </c>
      <c r="H27">
        <v>0</v>
      </c>
      <c r="I27">
        <v>8.9999999999999993E-3</v>
      </c>
    </row>
    <row r="28" spans="1:17" x14ac:dyDescent="0.25">
      <c r="A28" t="s">
        <v>112</v>
      </c>
      <c r="B28">
        <v>3.9399999999999999E-3</v>
      </c>
      <c r="C28">
        <v>5.7600000000000004E-3</v>
      </c>
      <c r="D28">
        <v>1.3299999999999999E-2</v>
      </c>
      <c r="E28">
        <v>-8.4899999999999993E-3</v>
      </c>
      <c r="F28">
        <v>1.7999999999999999E-2</v>
      </c>
      <c r="G28">
        <v>3.2099999999999997E-2</v>
      </c>
      <c r="H28">
        <v>1.35E-2</v>
      </c>
      <c r="I28">
        <v>2.7E-2</v>
      </c>
    </row>
    <row r="29" spans="1:17" x14ac:dyDescent="0.25">
      <c r="A29" t="s">
        <v>64</v>
      </c>
      <c r="B29">
        <v>0</v>
      </c>
      <c r="C29">
        <v>1E-3</v>
      </c>
      <c r="D29">
        <v>2E-3</v>
      </c>
      <c r="E29">
        <v>1E-3</v>
      </c>
      <c r="F29">
        <v>1E-3</v>
      </c>
      <c r="G29">
        <v>3.0000000000000001E-3</v>
      </c>
      <c r="H29">
        <v>1E-3</v>
      </c>
      <c r="I29">
        <v>4.0000000000000001E-3</v>
      </c>
      <c r="J29">
        <f>(B29+B31)/2</f>
        <v>5.0000000000000001E-4</v>
      </c>
      <c r="K29">
        <f t="shared" ref="K29:Q29" si="3">(C29+C31)/2</f>
        <v>2E-3</v>
      </c>
      <c r="L29">
        <f t="shared" si="3"/>
        <v>1.5E-3</v>
      </c>
      <c r="M29">
        <f t="shared" si="3"/>
        <v>3.0000000000000001E-3</v>
      </c>
      <c r="N29">
        <f t="shared" si="3"/>
        <v>6.5000000000000006E-3</v>
      </c>
      <c r="O29">
        <f t="shared" si="3"/>
        <v>2E-3</v>
      </c>
      <c r="P29">
        <f t="shared" si="3"/>
        <v>8.5000000000000006E-3</v>
      </c>
      <c r="Q29">
        <f t="shared" si="3"/>
        <v>2E-3</v>
      </c>
    </row>
    <row r="30" spans="1:17" x14ac:dyDescent="0.25">
      <c r="A30" t="s">
        <v>115</v>
      </c>
      <c r="B30">
        <v>1.01E-2</v>
      </c>
      <c r="C30">
        <v>-1.8200000000000001E-2</v>
      </c>
      <c r="D30">
        <v>-1.0500000000000001E-2</v>
      </c>
      <c r="E30">
        <v>-2.4899999999999999E-2</v>
      </c>
      <c r="F30" t="s">
        <v>256</v>
      </c>
      <c r="G30">
        <v>2.5399999999999999E-2</v>
      </c>
      <c r="H30" t="s">
        <v>257</v>
      </c>
      <c r="I30">
        <v>1.01E-2</v>
      </c>
    </row>
    <row r="31" spans="1:17" x14ac:dyDescent="0.25">
      <c r="A31" t="s">
        <v>64</v>
      </c>
      <c r="B31">
        <v>1E-3</v>
      </c>
      <c r="C31">
        <v>3.0000000000000001E-3</v>
      </c>
      <c r="D31">
        <v>1E-3</v>
      </c>
      <c r="E31">
        <v>5.0000000000000001E-3</v>
      </c>
      <c r="F31">
        <v>1.2E-2</v>
      </c>
      <c r="G31">
        <v>1E-3</v>
      </c>
      <c r="H31">
        <v>1.6E-2</v>
      </c>
      <c r="I31">
        <v>0</v>
      </c>
    </row>
    <row r="32" spans="1:17" x14ac:dyDescent="0.25">
      <c r="A32" t="s">
        <v>117</v>
      </c>
      <c r="B32" t="s">
        <v>258</v>
      </c>
      <c r="C32">
        <v>-1.29E-2</v>
      </c>
      <c r="D32" t="s">
        <v>259</v>
      </c>
      <c r="E32">
        <v>-1.14E-2</v>
      </c>
      <c r="F32">
        <v>2.2800000000000001E-2</v>
      </c>
      <c r="G32">
        <v>3.8300000000000001E-2</v>
      </c>
      <c r="H32">
        <v>2.23E-2</v>
      </c>
      <c r="I32">
        <v>2.8500000000000001E-2</v>
      </c>
    </row>
    <row r="33" spans="1:17" x14ac:dyDescent="0.25">
      <c r="A33" t="s">
        <v>64</v>
      </c>
      <c r="B33">
        <v>1.6E-2</v>
      </c>
      <c r="C33">
        <v>2E-3</v>
      </c>
      <c r="D33">
        <v>1.0999999999999999E-2</v>
      </c>
      <c r="E33">
        <v>1E-3</v>
      </c>
      <c r="F33">
        <v>1E-3</v>
      </c>
      <c r="G33">
        <v>2E-3</v>
      </c>
      <c r="H33">
        <v>1E-3</v>
      </c>
      <c r="I33">
        <v>2E-3</v>
      </c>
      <c r="J33">
        <f t="shared" ref="J33:P33" si="4">(B33+B35+B37+B39)/4</f>
        <v>5.000000000000001E-3</v>
      </c>
      <c r="K33">
        <f t="shared" si="4"/>
        <v>5.0000000000000001E-4</v>
      </c>
      <c r="L33">
        <f t="shared" si="4"/>
        <v>3.7499999999999999E-3</v>
      </c>
      <c r="M33">
        <f t="shared" si="4"/>
        <v>5.0000000000000001E-4</v>
      </c>
      <c r="N33">
        <f t="shared" si="4"/>
        <v>1E-3</v>
      </c>
      <c r="O33">
        <f t="shared" si="4"/>
        <v>4.0000000000000001E-3</v>
      </c>
      <c r="P33">
        <f t="shared" si="4"/>
        <v>3.0000000000000001E-3</v>
      </c>
      <c r="Q33">
        <f>(I33+I35+I37+I39)/4</f>
        <v>2E-3</v>
      </c>
    </row>
    <row r="34" spans="1:17" x14ac:dyDescent="0.25">
      <c r="A34" t="s">
        <v>120</v>
      </c>
      <c r="B34">
        <v>1.35E-2</v>
      </c>
      <c r="C34">
        <v>-1.9599999999999999E-3</v>
      </c>
      <c r="D34">
        <v>2.29E-2</v>
      </c>
      <c r="E34">
        <v>-9.8799999999999999E-3</v>
      </c>
      <c r="F34">
        <v>3.3799999999999997E-2</v>
      </c>
      <c r="G34">
        <v>2.41E-2</v>
      </c>
      <c r="H34">
        <v>3.8800000000000001E-2</v>
      </c>
      <c r="I34">
        <v>2.01E-2</v>
      </c>
    </row>
    <row r="35" spans="1:17" x14ac:dyDescent="0.25">
      <c r="A35" t="s">
        <v>64</v>
      </c>
      <c r="B35">
        <v>1E-3</v>
      </c>
      <c r="C35">
        <v>0</v>
      </c>
      <c r="D35">
        <v>2E-3</v>
      </c>
      <c r="E35">
        <v>1E-3</v>
      </c>
      <c r="F35">
        <v>2E-3</v>
      </c>
      <c r="G35">
        <v>1E-3</v>
      </c>
      <c r="H35">
        <v>4.0000000000000001E-3</v>
      </c>
      <c r="I35">
        <v>1E-3</v>
      </c>
    </row>
    <row r="36" spans="1:17" x14ac:dyDescent="0.25">
      <c r="A36" t="s">
        <v>122</v>
      </c>
      <c r="B36">
        <v>0.01</v>
      </c>
      <c r="C36">
        <v>-6.3200000000000001E-3</v>
      </c>
      <c r="D36">
        <v>-1.9400000000000001E-3</v>
      </c>
      <c r="E36">
        <v>2.81E-3</v>
      </c>
      <c r="F36">
        <v>3.15E-2</v>
      </c>
      <c r="G36" t="s">
        <v>260</v>
      </c>
      <c r="H36">
        <v>4.0099999999999997E-2</v>
      </c>
      <c r="I36">
        <v>4.2599999999999999E-2</v>
      </c>
    </row>
    <row r="37" spans="1:17" x14ac:dyDescent="0.25">
      <c r="A37" t="s">
        <v>64</v>
      </c>
      <c r="B37">
        <v>1E-3</v>
      </c>
      <c r="C37">
        <v>0</v>
      </c>
      <c r="D37">
        <v>0</v>
      </c>
      <c r="E37">
        <v>0</v>
      </c>
      <c r="F37">
        <v>1E-3</v>
      </c>
      <c r="G37">
        <v>1.2E-2</v>
      </c>
      <c r="H37">
        <v>3.0000000000000001E-3</v>
      </c>
      <c r="I37">
        <v>4.0000000000000001E-3</v>
      </c>
    </row>
    <row r="38" spans="1:17" x14ac:dyDescent="0.25">
      <c r="A38" t="s">
        <v>123</v>
      </c>
      <c r="B38">
        <v>1.5599999999999999E-2</v>
      </c>
      <c r="C38">
        <v>-5.0000000000000001E-3</v>
      </c>
      <c r="D38">
        <v>-1.8200000000000001E-2</v>
      </c>
      <c r="E38">
        <v>7.43E-3</v>
      </c>
      <c r="F38">
        <v>1.49E-2</v>
      </c>
      <c r="G38">
        <v>2.8299999999999999E-2</v>
      </c>
      <c r="H38">
        <v>3.9800000000000002E-2</v>
      </c>
      <c r="I38">
        <v>2.3800000000000002E-2</v>
      </c>
    </row>
    <row r="39" spans="1:17" x14ac:dyDescent="0.25">
      <c r="A39" t="s">
        <v>64</v>
      </c>
      <c r="B39">
        <v>2E-3</v>
      </c>
      <c r="C39">
        <v>0</v>
      </c>
      <c r="D39">
        <v>2E-3</v>
      </c>
      <c r="E39">
        <v>0</v>
      </c>
      <c r="F39">
        <v>0</v>
      </c>
      <c r="G39">
        <v>1E-3</v>
      </c>
      <c r="H39">
        <v>4.0000000000000001E-3</v>
      </c>
      <c r="I39">
        <v>1E-3</v>
      </c>
    </row>
    <row r="40" spans="1:17" x14ac:dyDescent="0.25">
      <c r="A40" t="s">
        <v>125</v>
      </c>
      <c r="B40">
        <v>2.1899999999999999E-2</v>
      </c>
      <c r="C40">
        <v>2.8500000000000001E-2</v>
      </c>
      <c r="D40">
        <v>3.5099999999999999E-2</v>
      </c>
      <c r="E40">
        <v>3.6700000000000003E-2</v>
      </c>
      <c r="F40">
        <v>-1.5299999999999999E-2</v>
      </c>
      <c r="G40">
        <v>-5.04E-2</v>
      </c>
      <c r="H40">
        <v>-3.4499999999999999E-3</v>
      </c>
      <c r="I40" t="s">
        <v>261</v>
      </c>
    </row>
    <row r="41" spans="1:17" x14ac:dyDescent="0.25">
      <c r="A41" t="s">
        <v>64</v>
      </c>
      <c r="B41">
        <v>4.0000000000000001E-3</v>
      </c>
      <c r="C41">
        <v>6.0000000000000001E-3</v>
      </c>
      <c r="D41">
        <v>7.0000000000000001E-3</v>
      </c>
      <c r="E41">
        <v>6.0000000000000001E-3</v>
      </c>
      <c r="F41">
        <v>0</v>
      </c>
      <c r="G41">
        <v>4.0000000000000001E-3</v>
      </c>
      <c r="H41">
        <v>0</v>
      </c>
      <c r="I41">
        <v>6.0000000000000001E-3</v>
      </c>
      <c r="J41">
        <f>(B41+B43)/2</f>
        <v>4.0000000000000001E-3</v>
      </c>
      <c r="K41">
        <f t="shared" ref="K41:Q41" si="5">(C41+C43)/2</f>
        <v>8.5000000000000006E-3</v>
      </c>
      <c r="L41">
        <f t="shared" si="5"/>
        <v>5.4999999999999997E-3</v>
      </c>
      <c r="M41">
        <f t="shared" si="5"/>
        <v>8.0000000000000002E-3</v>
      </c>
      <c r="N41">
        <f t="shared" si="5"/>
        <v>0</v>
      </c>
      <c r="O41">
        <f t="shared" si="5"/>
        <v>3.0000000000000001E-3</v>
      </c>
      <c r="P41">
        <f t="shared" si="5"/>
        <v>0</v>
      </c>
      <c r="Q41">
        <f t="shared" si="5"/>
        <v>5.0000000000000001E-3</v>
      </c>
    </row>
    <row r="42" spans="1:17" x14ac:dyDescent="0.25">
      <c r="A42" t="s">
        <v>128</v>
      </c>
      <c r="B42">
        <v>2.3699999999999999E-2</v>
      </c>
      <c r="C42">
        <v>4.0399999999999998E-2</v>
      </c>
      <c r="D42">
        <v>3.0800000000000001E-2</v>
      </c>
      <c r="E42" t="s">
        <v>262</v>
      </c>
      <c r="F42">
        <v>4.3800000000000002E-3</v>
      </c>
      <c r="G42">
        <v>-4.07E-2</v>
      </c>
      <c r="H42">
        <v>1.09E-2</v>
      </c>
      <c r="I42">
        <v>-4.0300000000000002E-2</v>
      </c>
    </row>
    <row r="43" spans="1:17" x14ac:dyDescent="0.25">
      <c r="A43" t="s">
        <v>64</v>
      </c>
      <c r="B43">
        <v>4.0000000000000001E-3</v>
      </c>
      <c r="C43">
        <v>1.0999999999999999E-2</v>
      </c>
      <c r="D43">
        <v>4.0000000000000001E-3</v>
      </c>
      <c r="E43">
        <v>0.01</v>
      </c>
      <c r="F43">
        <v>0</v>
      </c>
      <c r="G43">
        <v>2E-3</v>
      </c>
      <c r="H43">
        <v>0</v>
      </c>
      <c r="I43">
        <v>4.0000000000000001E-3</v>
      </c>
    </row>
    <row r="44" spans="1:17" x14ac:dyDescent="0.25">
      <c r="A44" t="s">
        <v>132</v>
      </c>
      <c r="B44" t="s">
        <v>263</v>
      </c>
      <c r="C44">
        <v>3.8300000000000001E-2</v>
      </c>
      <c r="D44">
        <v>-2.6700000000000002E-2</v>
      </c>
      <c r="E44">
        <v>0.04</v>
      </c>
      <c r="F44">
        <v>-5.4800000000000001E-2</v>
      </c>
      <c r="G44">
        <v>9.0899999999999995E-2</v>
      </c>
      <c r="H44">
        <v>3.4199999999999999E-3</v>
      </c>
      <c r="I44">
        <v>8.6099999999999996E-2</v>
      </c>
    </row>
    <row r="45" spans="1:17" x14ac:dyDescent="0.25">
      <c r="A45" t="s">
        <v>64</v>
      </c>
      <c r="B45">
        <v>2.1000000000000001E-2</v>
      </c>
      <c r="C45">
        <v>5.0000000000000001E-3</v>
      </c>
      <c r="D45">
        <v>1E-3</v>
      </c>
      <c r="E45">
        <v>4.0000000000000001E-3</v>
      </c>
      <c r="F45">
        <v>2E-3</v>
      </c>
      <c r="G45">
        <v>6.0000000000000001E-3</v>
      </c>
      <c r="H45">
        <v>0</v>
      </c>
      <c r="I45">
        <v>8.0000000000000002E-3</v>
      </c>
      <c r="J45">
        <f>(B45+B47)/2</f>
        <v>1.15E-2</v>
      </c>
      <c r="K45">
        <f t="shared" ref="K45:P45" si="6">(C45+C47)/2</f>
        <v>8.9999999999999993E-3</v>
      </c>
      <c r="L45">
        <f t="shared" si="6"/>
        <v>1.5E-3</v>
      </c>
      <c r="M45">
        <f t="shared" si="6"/>
        <v>4.0000000000000001E-3</v>
      </c>
      <c r="N45">
        <f t="shared" si="6"/>
        <v>4.0000000000000001E-3</v>
      </c>
      <c r="O45">
        <f t="shared" si="6"/>
        <v>3.0000000000000001E-3</v>
      </c>
      <c r="P45">
        <f t="shared" si="6"/>
        <v>5.4999999999999997E-3</v>
      </c>
      <c r="Q45">
        <f>(I45+I47)/2</f>
        <v>4.0000000000000001E-3</v>
      </c>
    </row>
    <row r="46" spans="1:17" x14ac:dyDescent="0.25">
      <c r="A46" t="s">
        <v>135</v>
      </c>
      <c r="B46">
        <v>1.8499999999999999E-2</v>
      </c>
      <c r="C46" t="s">
        <v>264</v>
      </c>
      <c r="D46">
        <v>1.8599999999999998E-2</v>
      </c>
      <c r="E46">
        <v>3.0300000000000001E-2</v>
      </c>
      <c r="F46">
        <v>6.25E-2</v>
      </c>
      <c r="G46">
        <v>1.21E-2</v>
      </c>
      <c r="H46">
        <v>6.7699999999999996E-2</v>
      </c>
      <c r="I46">
        <v>-2.9999999999999997E-4</v>
      </c>
    </row>
    <row r="47" spans="1:17" x14ac:dyDescent="0.25">
      <c r="A47" t="s">
        <v>64</v>
      </c>
      <c r="B47">
        <v>2E-3</v>
      </c>
      <c r="C47">
        <v>1.2999999999999999E-2</v>
      </c>
      <c r="D47">
        <v>2E-3</v>
      </c>
      <c r="E47">
        <v>4.0000000000000001E-3</v>
      </c>
      <c r="F47">
        <v>6.0000000000000001E-3</v>
      </c>
      <c r="G47">
        <v>0</v>
      </c>
      <c r="H47">
        <v>1.0999999999999999E-2</v>
      </c>
      <c r="I47">
        <v>0</v>
      </c>
    </row>
    <row r="48" spans="1:17" x14ac:dyDescent="0.25">
      <c r="A48" t="s">
        <v>136</v>
      </c>
      <c r="B48">
        <v>3.8899999999999998E-3</v>
      </c>
      <c r="C48">
        <v>-6.1799999999999997E-3</v>
      </c>
      <c r="D48">
        <v>4.0999999999999999E-4</v>
      </c>
      <c r="E48">
        <v>-9.3700000000000001E-4</v>
      </c>
      <c r="F48">
        <v>-3.3400000000000001E-3</v>
      </c>
      <c r="G48">
        <v>5.8599999999999998E-3</v>
      </c>
      <c r="H48">
        <v>-0.01</v>
      </c>
      <c r="I48">
        <v>8.9499999999999996E-3</v>
      </c>
    </row>
    <row r="49" spans="1:17" x14ac:dyDescent="0.25">
      <c r="A49" t="s">
        <v>64</v>
      </c>
      <c r="B49">
        <v>1E-3</v>
      </c>
      <c r="C49">
        <v>5.0000000000000001E-3</v>
      </c>
      <c r="D49">
        <v>0</v>
      </c>
      <c r="E49">
        <v>0</v>
      </c>
      <c r="F49">
        <v>0</v>
      </c>
      <c r="G49">
        <v>1E-3</v>
      </c>
      <c r="H49">
        <v>2E-3</v>
      </c>
      <c r="I49">
        <v>3.0000000000000001E-3</v>
      </c>
      <c r="J49">
        <f t="shared" ref="J49:Q49" si="7">(B49+B51+B53+B55+B57)/5</f>
        <v>1.6000000000000001E-3</v>
      </c>
      <c r="K49">
        <f t="shared" si="7"/>
        <v>8.0000000000000002E-3</v>
      </c>
      <c r="L49">
        <f t="shared" si="7"/>
        <v>3.5999999999999999E-3</v>
      </c>
      <c r="M49">
        <f t="shared" si="7"/>
        <v>1.3000000000000001E-2</v>
      </c>
      <c r="N49">
        <f t="shared" si="7"/>
        <v>1E-3</v>
      </c>
      <c r="O49">
        <f t="shared" si="7"/>
        <v>3.4000000000000002E-3</v>
      </c>
      <c r="P49">
        <f t="shared" si="7"/>
        <v>6.0000000000000006E-4</v>
      </c>
      <c r="Q49">
        <f t="shared" si="7"/>
        <v>3.2000000000000002E-3</v>
      </c>
    </row>
    <row r="50" spans="1:17" x14ac:dyDescent="0.25">
      <c r="A50" t="s">
        <v>140</v>
      </c>
      <c r="B50">
        <v>2.7799999999999999E-3</v>
      </c>
      <c r="C50" t="s">
        <v>265</v>
      </c>
      <c r="D50">
        <v>-1.48E-3</v>
      </c>
      <c r="E50" t="s">
        <v>266</v>
      </c>
      <c r="F50">
        <v>9.6799999999999994E-3</v>
      </c>
      <c r="G50">
        <v>1.35E-2</v>
      </c>
      <c r="H50">
        <v>-2.8600000000000001E-3</v>
      </c>
      <c r="I50" t="s">
        <v>267</v>
      </c>
    </row>
    <row r="51" spans="1:17" x14ac:dyDescent="0.25">
      <c r="A51" t="s">
        <v>64</v>
      </c>
      <c r="B51">
        <v>1E-3</v>
      </c>
      <c r="C51">
        <v>8.0000000000000002E-3</v>
      </c>
      <c r="D51">
        <v>0</v>
      </c>
      <c r="E51">
        <v>8.9999999999999993E-3</v>
      </c>
      <c r="F51">
        <v>1E-3</v>
      </c>
      <c r="G51">
        <v>4.0000000000000001E-3</v>
      </c>
      <c r="H51">
        <v>0</v>
      </c>
      <c r="I51">
        <v>8.0000000000000002E-3</v>
      </c>
    </row>
    <row r="52" spans="1:17" x14ac:dyDescent="0.25">
      <c r="A52" t="s">
        <v>141</v>
      </c>
      <c r="B52">
        <v>-2.4599999999999999E-3</v>
      </c>
      <c r="C52">
        <v>5.3299999999999997E-3</v>
      </c>
      <c r="D52">
        <v>1.57E-3</v>
      </c>
      <c r="E52" t="s">
        <v>268</v>
      </c>
      <c r="F52">
        <v>4.2199999999999998E-3</v>
      </c>
      <c r="G52">
        <v>9.2700000000000005E-3</v>
      </c>
      <c r="H52">
        <v>1.4400000000000001E-3</v>
      </c>
      <c r="I52">
        <v>4.0699999999999998E-3</v>
      </c>
    </row>
    <row r="53" spans="1:17" x14ac:dyDescent="0.25">
      <c r="A53" t="s">
        <v>64</v>
      </c>
      <c r="B53">
        <v>1E-3</v>
      </c>
      <c r="C53">
        <v>4.0000000000000001E-3</v>
      </c>
      <c r="D53">
        <v>0</v>
      </c>
      <c r="E53">
        <v>1.2E-2</v>
      </c>
      <c r="F53">
        <v>0</v>
      </c>
      <c r="G53">
        <v>2E-3</v>
      </c>
      <c r="H53">
        <v>0</v>
      </c>
      <c r="I53">
        <v>1E-3</v>
      </c>
    </row>
    <row r="54" spans="1:17" x14ac:dyDescent="0.25">
      <c r="A54" t="s">
        <v>149</v>
      </c>
      <c r="B54">
        <v>5.7299999999999999E-3</v>
      </c>
      <c r="C54" t="s">
        <v>269</v>
      </c>
      <c r="D54" t="s">
        <v>270</v>
      </c>
      <c r="E54" t="s">
        <v>157</v>
      </c>
      <c r="F54">
        <v>1.35E-2</v>
      </c>
      <c r="G54">
        <v>1.6500000000000001E-2</v>
      </c>
      <c r="H54">
        <v>6.3099999999999996E-3</v>
      </c>
      <c r="I54">
        <v>9.1000000000000004E-3</v>
      </c>
    </row>
    <row r="55" spans="1:17" x14ac:dyDescent="0.25">
      <c r="A55" t="s">
        <v>64</v>
      </c>
      <c r="B55">
        <v>4.0000000000000001E-3</v>
      </c>
      <c r="C55">
        <v>1.4999999999999999E-2</v>
      </c>
      <c r="D55">
        <v>1.0999999999999999E-2</v>
      </c>
      <c r="E55">
        <v>2.9000000000000001E-2</v>
      </c>
      <c r="F55">
        <v>3.0000000000000001E-3</v>
      </c>
      <c r="G55">
        <v>7.0000000000000001E-3</v>
      </c>
      <c r="H55">
        <v>1E-3</v>
      </c>
      <c r="I55">
        <v>4.0000000000000001E-3</v>
      </c>
    </row>
    <row r="56" spans="1:17" x14ac:dyDescent="0.25">
      <c r="A56" t="s">
        <v>158</v>
      </c>
      <c r="B56">
        <v>2.5100000000000001E-3</v>
      </c>
      <c r="C56">
        <v>5.9500000000000004E-3</v>
      </c>
      <c r="D56" t="s">
        <v>271</v>
      </c>
      <c r="E56" t="s">
        <v>272</v>
      </c>
      <c r="F56">
        <v>4.9500000000000004E-3</v>
      </c>
      <c r="G56">
        <v>9.1800000000000007E-3</v>
      </c>
      <c r="H56">
        <v>1.2099999999999999E-3</v>
      </c>
      <c r="I56">
        <v>1.08E-3</v>
      </c>
    </row>
    <row r="57" spans="1:17" x14ac:dyDescent="0.25">
      <c r="A57" t="s">
        <v>64</v>
      </c>
      <c r="B57">
        <v>1E-3</v>
      </c>
      <c r="C57">
        <v>8.0000000000000002E-3</v>
      </c>
      <c r="D57">
        <v>7.0000000000000001E-3</v>
      </c>
      <c r="E57">
        <v>1.4999999999999999E-2</v>
      </c>
      <c r="F57">
        <v>1E-3</v>
      </c>
      <c r="G57">
        <v>3.0000000000000001E-3</v>
      </c>
      <c r="H57">
        <v>0</v>
      </c>
      <c r="I57">
        <v>0</v>
      </c>
    </row>
    <row r="58" spans="1:17" x14ac:dyDescent="0.25">
      <c r="A58" t="s">
        <v>164</v>
      </c>
      <c r="B58">
        <v>-3.0599999999999998E-3</v>
      </c>
      <c r="C58">
        <v>-4.6100000000000004E-3</v>
      </c>
      <c r="D58">
        <v>1.5900000000000001E-3</v>
      </c>
      <c r="E58">
        <v>-2.7299999999999998E-3</v>
      </c>
      <c r="F58">
        <v>4.9399999999999999E-3</v>
      </c>
      <c r="G58">
        <v>-7.2899999999999996E-3</v>
      </c>
      <c r="H58">
        <v>9.8099999999999993E-3</v>
      </c>
      <c r="I58">
        <v>-4.0099999999999997E-3</v>
      </c>
    </row>
    <row r="59" spans="1:17" x14ac:dyDescent="0.25">
      <c r="A59" t="s">
        <v>64</v>
      </c>
      <c r="B59">
        <v>1E-3</v>
      </c>
      <c r="C59">
        <v>2E-3</v>
      </c>
      <c r="D59">
        <v>0</v>
      </c>
      <c r="E59">
        <v>1E-3</v>
      </c>
      <c r="F59">
        <v>0</v>
      </c>
      <c r="G59">
        <v>1E-3</v>
      </c>
      <c r="H59">
        <v>2E-3</v>
      </c>
      <c r="I59">
        <v>1E-3</v>
      </c>
      <c r="J59">
        <f>(B59+B61+B63+B65+B67+B69+B71+B73+B75+B77)/10</f>
        <v>2.3999999999999998E-3</v>
      </c>
      <c r="K59">
        <f t="shared" ref="K59:Q59" si="8">(C59+C61+C63+C65+C67+C69+C71+C73+C75+C77)/10</f>
        <v>9.0000000000000008E-4</v>
      </c>
      <c r="L59">
        <f t="shared" si="8"/>
        <v>5.0000000000000001E-4</v>
      </c>
      <c r="M59">
        <f t="shared" si="8"/>
        <v>5.0000000000000001E-4</v>
      </c>
      <c r="N59">
        <f>(F59+F61+F63+F65+F67+F69+F71+F73+F75+F77)/10</f>
        <v>3.0000000000000003E-4</v>
      </c>
      <c r="O59">
        <f t="shared" si="8"/>
        <v>2.4999999999999996E-3</v>
      </c>
      <c r="P59">
        <f t="shared" si="8"/>
        <v>1.3000000000000002E-3</v>
      </c>
      <c r="Q59">
        <f t="shared" si="8"/>
        <v>5.2000000000000006E-3</v>
      </c>
    </row>
    <row r="60" spans="1:17" x14ac:dyDescent="0.25">
      <c r="A60" t="s">
        <v>166</v>
      </c>
      <c r="B60">
        <v>-1.4499999999999999E-3</v>
      </c>
      <c r="C60">
        <v>-3.0300000000000001E-3</v>
      </c>
      <c r="D60">
        <v>4.9299999999999995E-4</v>
      </c>
      <c r="E60">
        <v>-8.6499999999999999E-4</v>
      </c>
      <c r="F60">
        <v>1.56E-3</v>
      </c>
      <c r="G60">
        <v>5.3499999999999999E-4</v>
      </c>
      <c r="H60">
        <v>8.8999999999999995E-4</v>
      </c>
      <c r="I60">
        <v>-1.2600000000000001E-3</v>
      </c>
    </row>
    <row r="61" spans="1:17" x14ac:dyDescent="0.25">
      <c r="A61" t="s">
        <v>64</v>
      </c>
      <c r="B61">
        <v>0</v>
      </c>
      <c r="C61">
        <v>2E-3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17" x14ac:dyDescent="0.25">
      <c r="A62" t="s">
        <v>168</v>
      </c>
      <c r="B62">
        <v>-3.6600000000000001E-3</v>
      </c>
      <c r="C62">
        <v>5.4799999999999998E-4</v>
      </c>
      <c r="D62">
        <v>-8.6200000000000003E-4</v>
      </c>
      <c r="E62">
        <v>3.47E-3</v>
      </c>
      <c r="F62">
        <v>-2.9399999999999999E-3</v>
      </c>
      <c r="G62">
        <v>2.4399999999999999E-3</v>
      </c>
      <c r="H62">
        <v>-5.6599999999999999E-4</v>
      </c>
      <c r="I62">
        <v>-4.2900000000000004E-3</v>
      </c>
    </row>
    <row r="63" spans="1:17" x14ac:dyDescent="0.25">
      <c r="A63" t="s">
        <v>64</v>
      </c>
      <c r="B63">
        <v>2E-3</v>
      </c>
      <c r="C63">
        <v>0</v>
      </c>
      <c r="D63">
        <v>0</v>
      </c>
      <c r="E63">
        <v>2E-3</v>
      </c>
      <c r="F63">
        <v>0</v>
      </c>
      <c r="G63">
        <v>0</v>
      </c>
      <c r="H63">
        <v>0</v>
      </c>
      <c r="I63">
        <v>1E-3</v>
      </c>
    </row>
    <row r="64" spans="1:17" x14ac:dyDescent="0.25">
      <c r="A64" t="s">
        <v>171</v>
      </c>
      <c r="B64">
        <v>-5.2399999999999999E-3</v>
      </c>
      <c r="C64">
        <v>-2.0500000000000002E-3</v>
      </c>
      <c r="D64">
        <v>-2.7200000000000002E-3</v>
      </c>
      <c r="E64">
        <v>8.3199999999999995E-4</v>
      </c>
      <c r="F64">
        <v>4.1399999999999996E-3</v>
      </c>
      <c r="G64">
        <v>-5.3099999999999996E-3</v>
      </c>
      <c r="H64">
        <v>5.45E-3</v>
      </c>
      <c r="I64">
        <v>-8.6599999999999993E-3</v>
      </c>
    </row>
    <row r="65" spans="1:17" x14ac:dyDescent="0.25">
      <c r="A65" t="s">
        <v>64</v>
      </c>
      <c r="B65">
        <v>4.0000000000000001E-3</v>
      </c>
      <c r="C65">
        <v>1E-3</v>
      </c>
      <c r="D65">
        <v>1E-3</v>
      </c>
      <c r="E65">
        <v>0</v>
      </c>
      <c r="F65">
        <v>0</v>
      </c>
      <c r="G65">
        <v>1E-3</v>
      </c>
      <c r="H65">
        <v>1E-3</v>
      </c>
      <c r="I65">
        <v>4.0000000000000001E-3</v>
      </c>
    </row>
    <row r="66" spans="1:17" x14ac:dyDescent="0.25">
      <c r="A66" t="s">
        <v>172</v>
      </c>
      <c r="B66">
        <v>-6.8500000000000002E-3</v>
      </c>
      <c r="C66">
        <v>-3.3999999999999998E-3</v>
      </c>
      <c r="D66">
        <v>-2.9399999999999999E-3</v>
      </c>
      <c r="E66">
        <v>-1.75E-3</v>
      </c>
      <c r="F66">
        <v>-1.7099999999999999E-3</v>
      </c>
      <c r="G66">
        <v>-9.4500000000000001E-3</v>
      </c>
      <c r="H66">
        <v>5.7700000000000004E-4</v>
      </c>
      <c r="I66">
        <v>-1.06E-2</v>
      </c>
    </row>
    <row r="67" spans="1:17" x14ac:dyDescent="0.25">
      <c r="A67" t="s">
        <v>64</v>
      </c>
      <c r="B67">
        <v>8.0000000000000002E-3</v>
      </c>
      <c r="C67">
        <v>3.0000000000000001E-3</v>
      </c>
      <c r="D67">
        <v>1E-3</v>
      </c>
      <c r="E67">
        <v>1E-3</v>
      </c>
      <c r="F67">
        <v>0</v>
      </c>
      <c r="G67">
        <v>3.0000000000000001E-3</v>
      </c>
      <c r="H67">
        <v>0</v>
      </c>
      <c r="I67">
        <v>6.0000000000000001E-3</v>
      </c>
    </row>
    <row r="68" spans="1:17" x14ac:dyDescent="0.25">
      <c r="A68" t="s">
        <v>173</v>
      </c>
      <c r="B68">
        <v>-3.9899999999999996E-3</v>
      </c>
      <c r="C68">
        <v>1.07E-3</v>
      </c>
      <c r="D68">
        <v>-1.64E-3</v>
      </c>
      <c r="E68">
        <v>1.1800000000000001E-3</v>
      </c>
      <c r="F68">
        <v>-2.7699999999999999E-3</v>
      </c>
      <c r="G68">
        <v>-1.0800000000000001E-2</v>
      </c>
      <c r="H68">
        <v>-3.1800000000000001E-3</v>
      </c>
      <c r="I68" t="s">
        <v>273</v>
      </c>
    </row>
    <row r="69" spans="1:17" x14ac:dyDescent="0.25">
      <c r="A69" t="s">
        <v>64</v>
      </c>
      <c r="B69">
        <v>3.0000000000000001E-3</v>
      </c>
      <c r="C69">
        <v>0</v>
      </c>
      <c r="D69">
        <v>0</v>
      </c>
      <c r="E69">
        <v>0</v>
      </c>
      <c r="F69">
        <v>0</v>
      </c>
      <c r="G69">
        <v>5.0000000000000001E-3</v>
      </c>
      <c r="H69">
        <v>1E-3</v>
      </c>
      <c r="I69">
        <v>0.01</v>
      </c>
    </row>
    <row r="70" spans="1:17" x14ac:dyDescent="0.25">
      <c r="A70" t="s">
        <v>175</v>
      </c>
      <c r="B70">
        <v>-1.23E-3</v>
      </c>
      <c r="C70">
        <v>-1.4499999999999999E-3</v>
      </c>
      <c r="D70">
        <v>-9.859999999999999E-4</v>
      </c>
      <c r="E70">
        <v>4.4299999999999999E-5</v>
      </c>
      <c r="F70">
        <v>3.32E-3</v>
      </c>
      <c r="G70">
        <v>-8.0999999999999996E-3</v>
      </c>
      <c r="H70">
        <v>-2.4099999999999998E-3</v>
      </c>
      <c r="I70" t="s">
        <v>274</v>
      </c>
    </row>
    <row r="71" spans="1:17" x14ac:dyDescent="0.25">
      <c r="A71" t="s">
        <v>64</v>
      </c>
      <c r="B71">
        <v>0</v>
      </c>
      <c r="C71">
        <v>0</v>
      </c>
      <c r="D71">
        <v>0</v>
      </c>
      <c r="E71">
        <v>0</v>
      </c>
      <c r="F71">
        <v>0</v>
      </c>
      <c r="G71">
        <v>2E-3</v>
      </c>
      <c r="H71">
        <v>0</v>
      </c>
      <c r="I71">
        <v>7.0000000000000001E-3</v>
      </c>
    </row>
    <row r="72" spans="1:17" x14ac:dyDescent="0.25">
      <c r="A72" t="s">
        <v>177</v>
      </c>
      <c r="B72">
        <v>-1.07E-3</v>
      </c>
      <c r="C72">
        <v>4.2499999999999998E-4</v>
      </c>
      <c r="D72">
        <v>1.9499999999999999E-3</v>
      </c>
      <c r="E72">
        <v>-2.1299999999999999E-3</v>
      </c>
      <c r="F72">
        <v>-1.47E-3</v>
      </c>
      <c r="G72">
        <v>-8.3199999999999993E-3</v>
      </c>
      <c r="H72">
        <v>-7.1799999999999998E-3</v>
      </c>
      <c r="I72">
        <v>-7.3000000000000001E-3</v>
      </c>
    </row>
    <row r="73" spans="1:17" x14ac:dyDescent="0.25">
      <c r="A73" t="s">
        <v>64</v>
      </c>
      <c r="B73">
        <v>0</v>
      </c>
      <c r="C73">
        <v>0</v>
      </c>
      <c r="D73">
        <v>1E-3</v>
      </c>
      <c r="E73">
        <v>1E-3</v>
      </c>
      <c r="F73">
        <v>0</v>
      </c>
      <c r="G73">
        <v>3.0000000000000001E-3</v>
      </c>
      <c r="H73">
        <v>3.0000000000000001E-3</v>
      </c>
      <c r="I73">
        <v>3.0000000000000001E-3</v>
      </c>
    </row>
    <row r="74" spans="1:17" x14ac:dyDescent="0.25">
      <c r="A74" t="s">
        <v>181</v>
      </c>
      <c r="B74">
        <v>-3.6800000000000001E-3</v>
      </c>
      <c r="C74">
        <v>-1.34E-3</v>
      </c>
      <c r="D74">
        <v>-6.1700000000000004E-4</v>
      </c>
      <c r="E74">
        <v>4.7599999999999998E-5</v>
      </c>
      <c r="F74">
        <v>-3.7299999999999998E-3</v>
      </c>
      <c r="G74" t="s">
        <v>275</v>
      </c>
      <c r="H74">
        <v>-6.3600000000000002E-3</v>
      </c>
      <c r="I74" t="s">
        <v>276</v>
      </c>
    </row>
    <row r="75" spans="1:17" x14ac:dyDescent="0.25">
      <c r="A75" t="s">
        <v>64</v>
      </c>
      <c r="B75">
        <v>3.0000000000000001E-3</v>
      </c>
      <c r="C75">
        <v>0</v>
      </c>
      <c r="D75">
        <v>0</v>
      </c>
      <c r="E75">
        <v>0</v>
      </c>
      <c r="F75">
        <v>1E-3</v>
      </c>
      <c r="G75">
        <v>7.0000000000000001E-3</v>
      </c>
      <c r="H75">
        <v>2E-3</v>
      </c>
      <c r="I75">
        <v>0.01</v>
      </c>
    </row>
    <row r="76" spans="1:17" x14ac:dyDescent="0.25">
      <c r="A76" t="s">
        <v>184</v>
      </c>
      <c r="B76">
        <v>-3.8500000000000001E-3</v>
      </c>
      <c r="C76">
        <v>1.91E-3</v>
      </c>
      <c r="D76">
        <v>-3.5100000000000001E-3</v>
      </c>
      <c r="E76">
        <v>1.8600000000000001E-3</v>
      </c>
      <c r="F76">
        <v>-7.5799999999999999E-3</v>
      </c>
      <c r="G76">
        <v>-8.0800000000000004E-3</v>
      </c>
      <c r="H76">
        <v>-8.7600000000000004E-3</v>
      </c>
      <c r="I76" t="s">
        <v>277</v>
      </c>
    </row>
    <row r="77" spans="1:17" x14ac:dyDescent="0.25">
      <c r="A77" t="s">
        <v>64</v>
      </c>
      <c r="B77">
        <v>3.0000000000000001E-3</v>
      </c>
      <c r="C77">
        <v>1E-3</v>
      </c>
      <c r="D77">
        <v>2E-3</v>
      </c>
      <c r="E77">
        <v>0</v>
      </c>
      <c r="F77">
        <v>2E-3</v>
      </c>
      <c r="G77">
        <v>3.0000000000000001E-3</v>
      </c>
      <c r="H77">
        <v>4.0000000000000001E-3</v>
      </c>
      <c r="I77">
        <v>0.01</v>
      </c>
    </row>
    <row r="78" spans="1:17" x14ac:dyDescent="0.25">
      <c r="A78" t="s">
        <v>188</v>
      </c>
      <c r="B78">
        <v>-1.4500000000000001E-2</v>
      </c>
      <c r="C78">
        <v>-1.55E-4</v>
      </c>
      <c r="D78">
        <v>-3.8700000000000002E-3</v>
      </c>
      <c r="E78">
        <v>-1.18E-2</v>
      </c>
      <c r="F78">
        <v>0.113</v>
      </c>
      <c r="G78">
        <v>-8.9399999999999993E-2</v>
      </c>
      <c r="H78">
        <v>0.10199999999999999</v>
      </c>
      <c r="I78" t="s">
        <v>278</v>
      </c>
    </row>
    <row r="79" spans="1:17" x14ac:dyDescent="0.25">
      <c r="A79" t="s">
        <v>64</v>
      </c>
      <c r="B79">
        <v>1E-3</v>
      </c>
      <c r="C79">
        <v>0</v>
      </c>
      <c r="D79">
        <v>0</v>
      </c>
      <c r="E79">
        <v>1E-3</v>
      </c>
      <c r="F79">
        <v>8.9999999999999993E-3</v>
      </c>
      <c r="G79">
        <v>0.01</v>
      </c>
      <c r="H79">
        <v>1.2999999999999999E-2</v>
      </c>
      <c r="I79">
        <v>1.4E-2</v>
      </c>
      <c r="J79">
        <f>(B79+B81+B83+B85+B87+B89+B91+B93+B95)/9</f>
        <v>8.8888888888888893E-4</v>
      </c>
      <c r="K79">
        <f t="shared" ref="K79:Q79" si="9">(C79+C81+C83+C85+C87+C89+C91+C93+C95)/9</f>
        <v>6.5555555555555558E-3</v>
      </c>
      <c r="L79">
        <f t="shared" si="9"/>
        <v>1.888888888888889E-3</v>
      </c>
      <c r="M79">
        <f t="shared" si="9"/>
        <v>6.5555555555555567E-3</v>
      </c>
      <c r="N79">
        <f t="shared" si="9"/>
        <v>6.000000000000001E-3</v>
      </c>
      <c r="O79">
        <f t="shared" si="9"/>
        <v>4.6666666666666671E-3</v>
      </c>
      <c r="P79">
        <f t="shared" si="9"/>
        <v>8.2222222222222228E-3</v>
      </c>
      <c r="Q79">
        <f t="shared" si="9"/>
        <v>4.6666666666666671E-3</v>
      </c>
    </row>
    <row r="80" spans="1:17" x14ac:dyDescent="0.25">
      <c r="A80" t="s">
        <v>192</v>
      </c>
      <c r="B80">
        <v>-8.2299999999999995E-3</v>
      </c>
      <c r="C80">
        <v>-1.08E-3</v>
      </c>
      <c r="D80">
        <v>-8.5599999999999999E-3</v>
      </c>
      <c r="E80">
        <v>1.72E-3</v>
      </c>
      <c r="F80">
        <v>4.8099999999999997E-2</v>
      </c>
      <c r="G80" t="s">
        <v>279</v>
      </c>
      <c r="H80">
        <v>3.32E-2</v>
      </c>
      <c r="I80" t="s">
        <v>280</v>
      </c>
    </row>
    <row r="81" spans="1:9" x14ac:dyDescent="0.25">
      <c r="A81" t="s">
        <v>64</v>
      </c>
      <c r="B81">
        <v>1E-3</v>
      </c>
      <c r="C81">
        <v>0</v>
      </c>
      <c r="D81">
        <v>1E-3</v>
      </c>
      <c r="E81">
        <v>0</v>
      </c>
      <c r="F81">
        <v>6.0000000000000001E-3</v>
      </c>
      <c r="G81">
        <v>1.2999999999999999E-2</v>
      </c>
      <c r="H81">
        <v>5.0000000000000001E-3</v>
      </c>
      <c r="I81">
        <v>1.2E-2</v>
      </c>
    </row>
    <row r="82" spans="1:9" x14ac:dyDescent="0.25">
      <c r="A82" t="s">
        <v>197</v>
      </c>
      <c r="B82">
        <v>-8.2699999999999996E-3</v>
      </c>
      <c r="C82">
        <v>-8.3599999999999994E-3</v>
      </c>
      <c r="D82">
        <v>-1.18E-2</v>
      </c>
      <c r="E82">
        <v>-1.1299999999999999E-2</v>
      </c>
      <c r="F82">
        <v>4.2299999999999997E-2</v>
      </c>
      <c r="G82">
        <v>-4.8899999999999999E-2</v>
      </c>
      <c r="H82">
        <v>1.8700000000000001E-2</v>
      </c>
      <c r="I82">
        <v>-3.5400000000000001E-2</v>
      </c>
    </row>
    <row r="83" spans="1:9" x14ac:dyDescent="0.25">
      <c r="A83" t="s">
        <v>64</v>
      </c>
      <c r="B83">
        <v>1E-3</v>
      </c>
      <c r="C83">
        <v>2E-3</v>
      </c>
      <c r="D83">
        <v>2E-3</v>
      </c>
      <c r="E83">
        <v>3.0000000000000001E-3</v>
      </c>
      <c r="F83">
        <v>5.0000000000000001E-3</v>
      </c>
      <c r="G83">
        <v>0.01</v>
      </c>
      <c r="H83">
        <v>2E-3</v>
      </c>
      <c r="I83">
        <v>8.0000000000000002E-3</v>
      </c>
    </row>
    <row r="84" spans="1:9" x14ac:dyDescent="0.25">
      <c r="A84" t="s">
        <v>204</v>
      </c>
      <c r="B84">
        <v>-8.9700000000000005E-3</v>
      </c>
      <c r="C84">
        <v>-4.0200000000000001E-3</v>
      </c>
      <c r="D84">
        <v>-9.6799999999999994E-3</v>
      </c>
      <c r="E84">
        <v>-1.1299999999999999E-2</v>
      </c>
      <c r="F84">
        <v>-8.4600000000000005E-3</v>
      </c>
      <c r="G84">
        <v>-3.7400000000000003E-2</v>
      </c>
      <c r="H84">
        <v>-1.77E-2</v>
      </c>
      <c r="I84">
        <v>-3.2000000000000001E-2</v>
      </c>
    </row>
    <row r="85" spans="1:9" x14ac:dyDescent="0.25">
      <c r="A85" t="s">
        <v>64</v>
      </c>
      <c r="B85">
        <v>2E-3</v>
      </c>
      <c r="C85">
        <v>0</v>
      </c>
      <c r="D85">
        <v>1E-3</v>
      </c>
      <c r="E85">
        <v>3.0000000000000001E-3</v>
      </c>
      <c r="F85">
        <v>0</v>
      </c>
      <c r="G85">
        <v>6.0000000000000001E-3</v>
      </c>
      <c r="H85">
        <v>2E-3</v>
      </c>
      <c r="I85">
        <v>7.0000000000000001E-3</v>
      </c>
    </row>
    <row r="86" spans="1:9" x14ac:dyDescent="0.25">
      <c r="A86" t="s">
        <v>210</v>
      </c>
      <c r="B86">
        <v>-9.0900000000000009E-3</v>
      </c>
      <c r="C86">
        <v>-1.2699999999999999E-2</v>
      </c>
      <c r="D86" t="s">
        <v>281</v>
      </c>
      <c r="E86">
        <v>-1.5900000000000001E-2</v>
      </c>
      <c r="F86">
        <v>-3.4700000000000002E-2</v>
      </c>
      <c r="G86">
        <v>-2.41E-2</v>
      </c>
      <c r="H86">
        <v>-3.8899999999999997E-2</v>
      </c>
      <c r="I86">
        <v>-1.2200000000000001E-2</v>
      </c>
    </row>
    <row r="87" spans="1:9" x14ac:dyDescent="0.25">
      <c r="A87" t="s">
        <v>64</v>
      </c>
      <c r="B87">
        <v>2E-3</v>
      </c>
      <c r="C87">
        <v>4.0000000000000001E-3</v>
      </c>
      <c r="D87">
        <v>0.01</v>
      </c>
      <c r="E87">
        <v>5.0000000000000001E-3</v>
      </c>
      <c r="F87">
        <v>5.0000000000000001E-3</v>
      </c>
      <c r="G87">
        <v>2E-3</v>
      </c>
      <c r="H87">
        <v>0.01</v>
      </c>
      <c r="I87">
        <v>1E-3</v>
      </c>
    </row>
    <row r="88" spans="1:9" x14ac:dyDescent="0.25">
      <c r="A88" t="s">
        <v>216</v>
      </c>
      <c r="B88">
        <v>3.6600000000000001E-3</v>
      </c>
      <c r="C88" t="s">
        <v>282</v>
      </c>
      <c r="D88">
        <v>8.4200000000000004E-3</v>
      </c>
      <c r="E88" t="s">
        <v>283</v>
      </c>
      <c r="F88">
        <v>-3.9600000000000003E-2</v>
      </c>
      <c r="G88">
        <v>-9.7699999999999992E-3</v>
      </c>
      <c r="H88">
        <v>-4.9000000000000002E-2</v>
      </c>
      <c r="I88">
        <v>-5.0699999999999999E-3</v>
      </c>
    </row>
    <row r="89" spans="1:9" x14ac:dyDescent="0.25">
      <c r="A89" t="s">
        <v>64</v>
      </c>
      <c r="B89">
        <v>0</v>
      </c>
      <c r="C89">
        <v>0.01</v>
      </c>
      <c r="D89">
        <v>1E-3</v>
      </c>
      <c r="E89">
        <v>1.4E-2</v>
      </c>
      <c r="F89">
        <v>3.0000000000000001E-3</v>
      </c>
      <c r="G89">
        <v>0</v>
      </c>
      <c r="H89">
        <v>7.0000000000000001E-3</v>
      </c>
      <c r="I89">
        <v>0</v>
      </c>
    </row>
    <row r="90" spans="1:9" x14ac:dyDescent="0.25">
      <c r="A90" t="s">
        <v>218</v>
      </c>
      <c r="B90">
        <v>2.9499999999999999E-3</v>
      </c>
      <c r="C90" t="s">
        <v>284</v>
      </c>
      <c r="D90">
        <v>6.6800000000000002E-3</v>
      </c>
      <c r="E90" t="s">
        <v>285</v>
      </c>
      <c r="F90">
        <v>-7.8600000000000003E-2</v>
      </c>
      <c r="G90">
        <v>-1.8200000000000001E-2</v>
      </c>
      <c r="H90" t="s">
        <v>286</v>
      </c>
      <c r="I90">
        <v>3.0200000000000001E-3</v>
      </c>
    </row>
    <row r="91" spans="1:9" x14ac:dyDescent="0.25">
      <c r="A91" t="s">
        <v>64</v>
      </c>
      <c r="B91">
        <v>0</v>
      </c>
      <c r="C91">
        <v>3.5000000000000003E-2</v>
      </c>
      <c r="D91">
        <v>0</v>
      </c>
      <c r="E91">
        <v>2.9000000000000001E-2</v>
      </c>
      <c r="F91">
        <v>1.2999999999999999E-2</v>
      </c>
      <c r="G91">
        <v>1E-3</v>
      </c>
      <c r="H91">
        <v>1.7000000000000001E-2</v>
      </c>
      <c r="I91">
        <v>0</v>
      </c>
    </row>
    <row r="92" spans="1:9" x14ac:dyDescent="0.25">
      <c r="A92" t="s">
        <v>220</v>
      </c>
      <c r="B92">
        <v>-5.8500000000000002E-3</v>
      </c>
      <c r="C92">
        <v>-2.6200000000000001E-2</v>
      </c>
      <c r="D92">
        <v>-8.7899999999999992E-3</v>
      </c>
      <c r="E92">
        <v>-2.2100000000000002E-2</v>
      </c>
      <c r="F92">
        <v>-6.5799999999999997E-2</v>
      </c>
      <c r="G92">
        <v>3.7599999999999998E-4</v>
      </c>
      <c r="H92" t="s">
        <v>287</v>
      </c>
      <c r="I92">
        <v>7.3600000000000002E-3</v>
      </c>
    </row>
    <row r="93" spans="1:9" x14ac:dyDescent="0.25">
      <c r="A93" t="s">
        <v>64</v>
      </c>
      <c r="B93">
        <v>0</v>
      </c>
      <c r="C93">
        <v>8.0000000000000002E-3</v>
      </c>
      <c r="D93">
        <v>1E-3</v>
      </c>
      <c r="E93">
        <v>4.0000000000000001E-3</v>
      </c>
      <c r="F93">
        <v>0.01</v>
      </c>
      <c r="G93">
        <v>0</v>
      </c>
      <c r="H93">
        <v>1.2E-2</v>
      </c>
      <c r="I93">
        <v>0</v>
      </c>
    </row>
    <row r="94" spans="1:9" x14ac:dyDescent="0.25">
      <c r="A94" t="s">
        <v>225</v>
      </c>
      <c r="B94">
        <v>-7.3600000000000002E-3</v>
      </c>
      <c r="C94">
        <v>-1.1999999999999999E-3</v>
      </c>
      <c r="D94">
        <v>-1.17E-2</v>
      </c>
      <c r="E94">
        <v>-2.0200000000000001E-3</v>
      </c>
      <c r="F94">
        <v>-3.8100000000000002E-2</v>
      </c>
      <c r="G94">
        <v>-1.18E-2</v>
      </c>
      <c r="H94">
        <v>-4.2599999999999999E-2</v>
      </c>
      <c r="I94">
        <v>-2.02E-4</v>
      </c>
    </row>
    <row r="95" spans="1:9" x14ac:dyDescent="0.25">
      <c r="A95" t="s">
        <v>64</v>
      </c>
      <c r="B95">
        <v>1E-3</v>
      </c>
      <c r="C95">
        <v>0</v>
      </c>
      <c r="D95">
        <v>1E-3</v>
      </c>
      <c r="E95">
        <v>0</v>
      </c>
      <c r="F95">
        <v>3.0000000000000001E-3</v>
      </c>
      <c r="G95">
        <v>0</v>
      </c>
      <c r="H95">
        <v>6.0000000000000001E-3</v>
      </c>
      <c r="I95">
        <v>0</v>
      </c>
    </row>
    <row r="96" spans="1:9" x14ac:dyDescent="0.25">
      <c r="A96" t="s">
        <v>227</v>
      </c>
      <c r="B96">
        <v>-1.2699999999999999E-2</v>
      </c>
      <c r="C96" t="s">
        <v>288</v>
      </c>
      <c r="D96">
        <v>5.0600000000000003E-3</v>
      </c>
      <c r="E96">
        <v>-3.9199999999999999E-2</v>
      </c>
      <c r="F96">
        <v>2.81E-3</v>
      </c>
      <c r="G96" t="s">
        <v>289</v>
      </c>
      <c r="H96">
        <v>-4.4600000000000004E-3</v>
      </c>
      <c r="I96" t="s">
        <v>290</v>
      </c>
    </row>
    <row r="97" spans="1:17" x14ac:dyDescent="0.25">
      <c r="A97" t="s">
        <v>64</v>
      </c>
      <c r="B97">
        <v>1E-3</v>
      </c>
      <c r="C97">
        <v>1.2999999999999999E-2</v>
      </c>
      <c r="D97">
        <v>0</v>
      </c>
      <c r="E97">
        <v>7.0000000000000001E-3</v>
      </c>
      <c r="F97">
        <v>0</v>
      </c>
      <c r="G97">
        <v>1.4E-2</v>
      </c>
      <c r="H97">
        <v>0</v>
      </c>
      <c r="I97">
        <v>1.2E-2</v>
      </c>
      <c r="J97">
        <f>(B97+B99)/2</f>
        <v>4.9999999999999992E-3</v>
      </c>
      <c r="K97">
        <f t="shared" ref="K97:Q97" si="10">(C97+C99)/2</f>
        <v>1.9E-2</v>
      </c>
      <c r="L97">
        <f t="shared" si="10"/>
        <v>5.0000000000000001E-4</v>
      </c>
      <c r="M97">
        <f t="shared" si="10"/>
        <v>1.2999999999999999E-2</v>
      </c>
      <c r="N97">
        <f t="shared" si="10"/>
        <v>0</v>
      </c>
      <c r="O97">
        <f t="shared" si="10"/>
        <v>0.01</v>
      </c>
      <c r="P97">
        <f t="shared" si="10"/>
        <v>0</v>
      </c>
      <c r="Q97">
        <f t="shared" si="10"/>
        <v>0.01</v>
      </c>
    </row>
    <row r="98" spans="1:17" x14ac:dyDescent="0.25">
      <c r="A98" t="s">
        <v>230</v>
      </c>
      <c r="B98">
        <v>-3.5799999999999998E-2</v>
      </c>
      <c r="C98" t="s">
        <v>291</v>
      </c>
      <c r="D98">
        <v>-1.6799999999999999E-2</v>
      </c>
      <c r="E98" t="s">
        <v>292</v>
      </c>
      <c r="F98">
        <v>-3.0100000000000001E-3</v>
      </c>
      <c r="G98">
        <v>6.6199999999999995E-2</v>
      </c>
      <c r="H98">
        <v>1.9599999999999999E-3</v>
      </c>
      <c r="I98">
        <v>5.8099999999999999E-2</v>
      </c>
    </row>
    <row r="99" spans="1:17" x14ac:dyDescent="0.25">
      <c r="A99" t="s">
        <v>64</v>
      </c>
      <c r="B99">
        <v>8.9999999999999993E-3</v>
      </c>
      <c r="C99">
        <v>2.5000000000000001E-2</v>
      </c>
      <c r="D99">
        <v>1E-3</v>
      </c>
      <c r="E99">
        <v>1.9E-2</v>
      </c>
      <c r="F99">
        <v>0</v>
      </c>
      <c r="G99">
        <v>6.0000000000000001E-3</v>
      </c>
      <c r="H99">
        <v>0</v>
      </c>
      <c r="I99">
        <v>8.0000000000000002E-3</v>
      </c>
    </row>
  </sheetData>
  <autoFilter ref="A1:I9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and Pop</vt:lpstr>
      <vt:lpstr>Result_1</vt:lpstr>
      <vt:lpstr>Employment and Productivity</vt:lpstr>
      <vt:lpstr>Result_2</vt:lpstr>
    </vt:vector>
  </TitlesOfParts>
  <Company>Iowa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Economics Department</dc:creator>
  <cp:lastModifiedBy>Orazem, Peter F [ECONS]</cp:lastModifiedBy>
  <dcterms:created xsi:type="dcterms:W3CDTF">2013-08-01T10:22:38Z</dcterms:created>
  <dcterms:modified xsi:type="dcterms:W3CDTF">2013-08-27T23:21:36Z</dcterms:modified>
</cp:coreProperties>
</file>