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19\"/>
    </mc:Choice>
  </mc:AlternateContent>
  <bookViews>
    <workbookView xWindow="5730" yWindow="1590" windowWidth="20130" windowHeight="12915"/>
  </bookViews>
  <sheets>
    <sheet name="Content" sheetId="32" r:id="rId1"/>
    <sheet name="tabc1" sheetId="1" r:id="rId2"/>
    <sheet name="tabc2" sheetId="2" r:id="rId3"/>
    <sheet name="tabc3" sheetId="3" r:id="rId4"/>
    <sheet name="tabc4" sheetId="4" r:id="rId5"/>
    <sheet name="tabc5" sheetId="5" r:id="rId6"/>
    <sheet name="tabc6" sheetId="6" r:id="rId7"/>
    <sheet name="tabc7" sheetId="7" r:id="rId8"/>
    <sheet name="tabc8" sheetId="8" r:id="rId9"/>
    <sheet name="tabc9" sheetId="10" r:id="rId10"/>
    <sheet name="tabc10" sheetId="11" r:id="rId11"/>
    <sheet name="tabc11" sheetId="12" r:id="rId12"/>
    <sheet name="tabc12" sheetId="13" r:id="rId13"/>
    <sheet name="tabc13" sheetId="14" r:id="rId14"/>
    <sheet name="tabc14" sheetId="15" r:id="rId15"/>
    <sheet name="tabc15" sheetId="16" r:id="rId16"/>
    <sheet name="tabc16" sheetId="17" r:id="rId17"/>
    <sheet name="tabc17" sheetId="18" r:id="rId18"/>
    <sheet name="tabc18" sheetId="19" r:id="rId19"/>
    <sheet name="tabc19" sheetId="20" r:id="rId20"/>
    <sheet name="tabc20" sheetId="21" r:id="rId21"/>
    <sheet name="tabc21" sheetId="22" r:id="rId22"/>
    <sheet name="tabc22" sheetId="23" r:id="rId23"/>
    <sheet name="tabc23" sheetId="24" r:id="rId24"/>
    <sheet name="tabc24" sheetId="25" r:id="rId25"/>
    <sheet name="tabc25" sheetId="26" r:id="rId26"/>
    <sheet name="tabc26" sheetId="27" r:id="rId27"/>
    <sheet name="tabc27" sheetId="28" r:id="rId28"/>
    <sheet name="tabc28" sheetId="29" r:id="rId29"/>
    <sheet name="tabc29" sheetId="30" r:id="rId30"/>
    <sheet name="tabc30" sheetId="31" r:id="rId31"/>
  </sheets>
  <definedNames>
    <definedName name="_Fill" localSheetId="13" hidden="1">tabc13!$G$7</definedName>
    <definedName name="_Fill" localSheetId="19" hidden="1">tabc19!$L$7</definedName>
    <definedName name="_Fill" hidden="1">tabc1!$L$7</definedName>
    <definedName name="CHART" localSheetId="10">#REF!</definedName>
    <definedName name="CHART" localSheetId="11">#REF!</definedName>
    <definedName name="CHART" localSheetId="12">#REF!</definedName>
    <definedName name="CHART" localSheetId="14">#REF!</definedName>
    <definedName name="CHART" localSheetId="15">#REF!</definedName>
    <definedName name="CHART" localSheetId="16">#REF!</definedName>
    <definedName name="CHART" localSheetId="17">#REF!</definedName>
    <definedName name="CHART" localSheetId="18">#REF!</definedName>
    <definedName name="CHART" localSheetId="2">#REF!</definedName>
    <definedName name="CHART" localSheetId="20">#REF!</definedName>
    <definedName name="CHART" localSheetId="21">#REF!</definedName>
    <definedName name="CHART" localSheetId="22">#REF!</definedName>
    <definedName name="CHART" localSheetId="23">#REF!</definedName>
    <definedName name="CHART" localSheetId="24">#REF!</definedName>
    <definedName name="CHART" localSheetId="25">#REF!</definedName>
    <definedName name="CHART" localSheetId="26">#REF!</definedName>
    <definedName name="CHART" localSheetId="27">#REF!</definedName>
    <definedName name="CHART" localSheetId="28">#REF!</definedName>
    <definedName name="CHART" localSheetId="29">#REF!</definedName>
    <definedName name="CHART" localSheetId="3">#REF!</definedName>
    <definedName name="CHART" localSheetId="30">#REF!</definedName>
    <definedName name="CHART" localSheetId="4">#REF!</definedName>
    <definedName name="CHART" localSheetId="5">#REF!</definedName>
    <definedName name="CHART" localSheetId="6">#REF!</definedName>
    <definedName name="CHART" localSheetId="7">#REF!</definedName>
    <definedName name="CHART" localSheetId="8">#REF!</definedName>
    <definedName name="CHART" localSheetId="9">#REF!</definedName>
    <definedName name="CHART">#REF!</definedName>
    <definedName name="_xlnm.Print_Area" localSheetId="0">Content!$A$1:$B$31</definedName>
    <definedName name="_xlnm.Print_Area" localSheetId="1">tabc1!$A$1:$P$56</definedName>
    <definedName name="_xlnm.Print_Area" localSheetId="10">tabc10!$A$1:$G$55</definedName>
    <definedName name="_xlnm.Print_Area" localSheetId="11">tabc11!$A$1:$G$52</definedName>
    <definedName name="_xlnm.Print_Area" localSheetId="12">tabc12!$A$1:$H$44</definedName>
    <definedName name="_xlnm.Print_Area" localSheetId="13">tabc13!$A$1:$M$54</definedName>
    <definedName name="_xlnm.Print_Area" localSheetId="14">#REF!</definedName>
    <definedName name="_xlnm.Print_Area" localSheetId="15">tabc15!$A$1:$L$54</definedName>
    <definedName name="_xlnm.Print_Area" localSheetId="16">tabc16!$A$1:$M$46</definedName>
    <definedName name="_xlnm.Print_Area" localSheetId="17">tabc17!$A$1:$M$52</definedName>
    <definedName name="_xlnm.Print_Area" localSheetId="18">tabc18!$A$1:$M$52</definedName>
    <definedName name="_xlnm.Print_Area" localSheetId="19">tabc19!$A$1:$P$56</definedName>
    <definedName name="_xlnm.Print_Area" localSheetId="2">tabc2!$A$1:$F$54</definedName>
    <definedName name="_xlnm.Print_Area" localSheetId="20">tabc20!$A$1:$F$54</definedName>
    <definedName name="_xlnm.Print_Area" localSheetId="21">tabc21!$A$1:$O$55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7">#REF!</definedName>
    <definedName name="_xlnm.Print_Area" localSheetId="28">#REF!</definedName>
    <definedName name="_xlnm.Print_Area" localSheetId="29">#REF!</definedName>
    <definedName name="_xlnm.Print_Area" localSheetId="3">tabc3!$A$1:$O$55</definedName>
    <definedName name="_xlnm.Print_Area" localSheetId="30">#REF!</definedName>
    <definedName name="_xlnm.Print_Area" localSheetId="4">tabc4!$A$1:$T$57</definedName>
    <definedName name="_xlnm.Print_Area" localSheetId="5">tabc5!$A$1:$M$43</definedName>
    <definedName name="_xlnm.Print_Area" localSheetId="6">tabc6!$A$1:$M$52</definedName>
    <definedName name="_xlnm.Print_Area" localSheetId="7">tabc7!$A$1:$M$51</definedName>
    <definedName name="_xlnm.Print_Area" localSheetId="8">#REF!</definedName>
    <definedName name="_xlnm.Print_Area" localSheetId="9">#REF!</definedName>
    <definedName name="_xlnm.Print_Area">#REF!</definedName>
    <definedName name="Print_Area_MI" localSheetId="1">tabc1!$A$1:$P$57</definedName>
    <definedName name="Print_Area_MI" localSheetId="10">tabc10!$A$1:$G$53</definedName>
    <definedName name="Print_Area_MI" localSheetId="11">tabc11!$A$1:$G$53</definedName>
    <definedName name="PRINT_AREA_MI" localSheetId="12">#REF!</definedName>
    <definedName name="Print_Area_MI" localSheetId="13">tabc13!$A$1:$O$54</definedName>
    <definedName name="Print_Area_MI" localSheetId="14">tabc14!$A$1:$J$53</definedName>
    <definedName name="Print_Area_MI" localSheetId="15">tabc15!$A$1:$L$54</definedName>
    <definedName name="Print_Area_MI" localSheetId="16">tabc16!$A$1:$L$46</definedName>
    <definedName name="Print_Area_MI" localSheetId="17">tabc17!$A$1:$M$52</definedName>
    <definedName name="Print_Area_MI" localSheetId="18">tabc18!$A$1:$M$52</definedName>
    <definedName name="Print_Area_MI" localSheetId="19">tabc19!$A$1:$P$56</definedName>
    <definedName name="Print_Area_MI" localSheetId="2">tabc2!$A$1:$F$55</definedName>
    <definedName name="Print_Area_MI" localSheetId="20">tabc20!$A$1:$F$55</definedName>
    <definedName name="Print_Area_MI" localSheetId="21">tabc21!$A$1:$O$56</definedName>
    <definedName name="Print_Area_MI" localSheetId="22">tabc22!$A$1:$T$56</definedName>
    <definedName name="Print_Area_MI" localSheetId="23">tabc23!$A$1:$K$45</definedName>
    <definedName name="Print_Area_MI" localSheetId="24">tabc24!$A$1:$O$52</definedName>
    <definedName name="Print_Area_MI" localSheetId="25">tabc25!$A$1:$N$51</definedName>
    <definedName name="Print_Area_MI" localSheetId="26">tabc26!$A$1:$N$53</definedName>
    <definedName name="Print_Area_MI" localSheetId="27">tabc27!$A$1:$O$35</definedName>
    <definedName name="Print_Area_MI" localSheetId="28">tabc28!$A$1:$E$52</definedName>
    <definedName name="Print_Area_MI" localSheetId="29">tabc29!$A$1:$F$54</definedName>
    <definedName name="Print_Area_MI" localSheetId="3">tabc3!$A$1:$O$57</definedName>
    <definedName name="PRINT_AREA_MI" localSheetId="30">#REF!</definedName>
    <definedName name="Print_Area_MI" localSheetId="4">tabc4!$A$1:$T$58</definedName>
    <definedName name="Print_Area_MI" localSheetId="5">tabc5!$A$1:$M$43</definedName>
    <definedName name="Print_Area_MI" localSheetId="6">tabc6!$A$1:$K$50</definedName>
    <definedName name="Print_Area_MI" localSheetId="7">tabc7!$A$1:$L$51</definedName>
    <definedName name="Print_Area_MI" localSheetId="8">tabc8!$A$1:$M$51</definedName>
    <definedName name="Print_Area_MI" localSheetId="9">tabc9!$A$1:$L$35</definedName>
    <definedName name="PRINT_AREA_MI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31" l="1"/>
  <c r="G43" i="31"/>
  <c r="F44" i="31"/>
  <c r="E44" i="31"/>
  <c r="C44" i="31"/>
  <c r="F49" i="30"/>
  <c r="F48" i="30"/>
  <c r="E49" i="30"/>
  <c r="E48" i="30"/>
  <c r="C49" i="30"/>
  <c r="G42" i="13"/>
  <c r="F42" i="13"/>
  <c r="H42" i="13"/>
  <c r="H41" i="13"/>
  <c r="D42" i="13"/>
  <c r="G49" i="12"/>
  <c r="G48" i="12"/>
  <c r="F49" i="12"/>
  <c r="F50" i="11" l="1"/>
  <c r="C42" i="13" l="1"/>
  <c r="D49" i="12"/>
  <c r="C49" i="12"/>
  <c r="F43" i="31"/>
  <c r="B44" i="31"/>
  <c r="B49" i="30"/>
  <c r="D49" i="29"/>
  <c r="E42" i="13" l="1"/>
  <c r="E49" i="12"/>
  <c r="D44" i="31"/>
  <c r="D49" i="30"/>
  <c r="L50" i="22"/>
  <c r="O50" i="22" s="1"/>
  <c r="K50" i="22"/>
  <c r="N50" i="22" s="1"/>
  <c r="F50" i="22"/>
  <c r="F49" i="22"/>
  <c r="E50" i="22"/>
  <c r="E49" i="22"/>
  <c r="C50" i="22"/>
  <c r="C49" i="22"/>
  <c r="B50" i="22"/>
  <c r="B49" i="22"/>
  <c r="D49" i="21"/>
  <c r="C49" i="21"/>
  <c r="C48" i="21"/>
  <c r="B49" i="21"/>
  <c r="F49" i="21" s="1"/>
  <c r="B48" i="21"/>
  <c r="P52" i="20"/>
  <c r="P51" i="20"/>
  <c r="J52" i="20"/>
  <c r="G52" i="20"/>
  <c r="G51" i="20"/>
  <c r="D52" i="20"/>
  <c r="D51" i="20"/>
  <c r="G50" i="15"/>
  <c r="J50" i="15" s="1"/>
  <c r="F50" i="15"/>
  <c r="D50" i="15"/>
  <c r="C50" i="15"/>
  <c r="I50" i="15" s="1"/>
  <c r="I52" i="14"/>
  <c r="M52" i="14" s="1"/>
  <c r="L52" i="14" s="1"/>
  <c r="E52" i="14"/>
  <c r="H52" i="14"/>
  <c r="D52" i="14"/>
  <c r="L50" i="3"/>
  <c r="K50" i="3"/>
  <c r="F50" i="3"/>
  <c r="F49" i="3"/>
  <c r="E50" i="3"/>
  <c r="E49" i="3"/>
  <c r="C50" i="3"/>
  <c r="B50" i="3"/>
  <c r="D49" i="2"/>
  <c r="C49" i="2"/>
  <c r="C48" i="2"/>
  <c r="B49" i="2"/>
  <c r="F49" i="2" s="1"/>
  <c r="P52" i="1" l="1"/>
  <c r="P51" i="1"/>
  <c r="J52" i="1"/>
  <c r="G52" i="1"/>
  <c r="G51" i="1"/>
  <c r="D52" i="1"/>
  <c r="G41" i="13" l="1"/>
  <c r="F41" i="13" s="1"/>
  <c r="D41" i="13"/>
  <c r="C41" i="13"/>
  <c r="E41" i="13" s="1"/>
  <c r="F48" i="12"/>
  <c r="D48" i="12"/>
  <c r="C48" i="12"/>
  <c r="E48" i="12" s="1"/>
  <c r="E43" i="31"/>
  <c r="C43" i="31"/>
  <c r="B43" i="31"/>
  <c r="D43" i="31" s="1"/>
  <c r="E47" i="30"/>
  <c r="C48" i="30"/>
  <c r="B48" i="30"/>
  <c r="D48" i="30" s="1"/>
  <c r="D48" i="29"/>
  <c r="L49" i="22" l="1"/>
  <c r="O49" i="22" s="1"/>
  <c r="K49" i="22"/>
  <c r="N49" i="22" s="1"/>
  <c r="F48" i="22"/>
  <c r="E48" i="22"/>
  <c r="C48" i="22"/>
  <c r="B48" i="22"/>
  <c r="D48" i="21"/>
  <c r="F48" i="21" s="1"/>
  <c r="C47" i="21"/>
  <c r="B47" i="21"/>
  <c r="P50" i="20"/>
  <c r="J51" i="20"/>
  <c r="J50" i="20"/>
  <c r="G50" i="20"/>
  <c r="G49" i="15"/>
  <c r="J49" i="15" s="1"/>
  <c r="G48" i="15"/>
  <c r="F49" i="15"/>
  <c r="F48" i="15"/>
  <c r="D49" i="15"/>
  <c r="C49" i="15"/>
  <c r="I49" i="15" s="1"/>
  <c r="I51" i="14"/>
  <c r="M51" i="14" s="1"/>
  <c r="L51" i="14" s="1"/>
  <c r="I50" i="14"/>
  <c r="H51" i="14"/>
  <c r="H50" i="14"/>
  <c r="E51" i="14"/>
  <c r="D51" i="14"/>
  <c r="F49" i="11"/>
  <c r="L49" i="3" l="1"/>
  <c r="L47" i="3"/>
  <c r="K49" i="3"/>
  <c r="F48" i="3"/>
  <c r="E48" i="3"/>
  <c r="C49" i="3"/>
  <c r="B49" i="3"/>
  <c r="D48" i="2"/>
  <c r="C47" i="2"/>
  <c r="B48" i="2"/>
  <c r="P50" i="1"/>
  <c r="J51" i="1"/>
  <c r="J50" i="1"/>
  <c r="G50" i="1"/>
  <c r="D51" i="1"/>
  <c r="F48" i="2" l="1"/>
  <c r="F48" i="11"/>
  <c r="H40" i="13"/>
  <c r="G40" i="13"/>
  <c r="F40" i="13" s="1"/>
  <c r="D40" i="13"/>
  <c r="C40" i="13"/>
  <c r="G47" i="12"/>
  <c r="F47" i="12"/>
  <c r="D47" i="12"/>
  <c r="E47" i="12" s="1"/>
  <c r="C47" i="12"/>
  <c r="F47" i="30"/>
  <c r="E46" i="30"/>
  <c r="C47" i="30"/>
  <c r="B47" i="30"/>
  <c r="D47" i="30" s="1"/>
  <c r="G42" i="31"/>
  <c r="F42" i="31"/>
  <c r="E42" i="31"/>
  <c r="C42" i="31"/>
  <c r="B42" i="31"/>
  <c r="D42" i="31" s="1"/>
  <c r="D47" i="29"/>
  <c r="E40" i="13" l="1"/>
  <c r="L48" i="22"/>
  <c r="K48" i="22"/>
  <c r="N48" i="22" s="1"/>
  <c r="F47" i="22"/>
  <c r="E47" i="22"/>
  <c r="C47" i="22"/>
  <c r="B47" i="22"/>
  <c r="D47" i="21"/>
  <c r="F47" i="21" s="1"/>
  <c r="C46" i="21"/>
  <c r="B46" i="21"/>
  <c r="P49" i="20"/>
  <c r="G49" i="20"/>
  <c r="G48" i="20"/>
  <c r="D50" i="20"/>
  <c r="J48" i="15"/>
  <c r="G47" i="15"/>
  <c r="F47" i="15"/>
  <c r="D48" i="15"/>
  <c r="D47" i="15"/>
  <c r="C48" i="15"/>
  <c r="I48" i="15" s="1"/>
  <c r="C47" i="15"/>
  <c r="H49" i="14"/>
  <c r="D50" i="14"/>
  <c r="D49" i="14"/>
  <c r="I49" i="14"/>
  <c r="E50" i="14"/>
  <c r="M50" i="14" s="1"/>
  <c r="L50" i="14" s="1"/>
  <c r="E49" i="14"/>
  <c r="O48" i="22" l="1"/>
  <c r="L48" i="3"/>
  <c r="K48" i="3"/>
  <c r="F47" i="3"/>
  <c r="E47" i="3"/>
  <c r="C48" i="3"/>
  <c r="B48" i="3"/>
  <c r="D47" i="2" l="1"/>
  <c r="B47" i="2"/>
  <c r="P49" i="1"/>
  <c r="P48" i="1"/>
  <c r="J49" i="1"/>
  <c r="J48" i="1"/>
  <c r="G49" i="1"/>
  <c r="G48" i="1"/>
  <c r="D50" i="1"/>
  <c r="D49" i="1"/>
  <c r="D48" i="1"/>
  <c r="F47" i="2" l="1"/>
  <c r="B41" i="31"/>
  <c r="B46" i="30"/>
  <c r="C46" i="12"/>
  <c r="G41" i="31" l="1"/>
  <c r="F41" i="31"/>
  <c r="F40" i="31"/>
  <c r="E41" i="31"/>
  <c r="E40" i="31"/>
  <c r="C41" i="31"/>
  <c r="C40" i="31"/>
  <c r="F46" i="30"/>
  <c r="E45" i="30"/>
  <c r="C46" i="30"/>
  <c r="D46" i="30" s="1"/>
  <c r="F47" i="11"/>
  <c r="F46" i="11"/>
  <c r="D46" i="29"/>
  <c r="H39" i="13"/>
  <c r="G39" i="13"/>
  <c r="F39" i="13" s="1"/>
  <c r="D39" i="13"/>
  <c r="D38" i="13"/>
  <c r="C39" i="13"/>
  <c r="G46" i="12"/>
  <c r="G45" i="12"/>
  <c r="F46" i="12"/>
  <c r="D46" i="12"/>
  <c r="E46" i="12" s="1"/>
  <c r="D41" i="31" l="1"/>
  <c r="E39" i="13"/>
  <c r="L47" i="22"/>
  <c r="K47" i="22"/>
  <c r="N47" i="22" s="1"/>
  <c r="F46" i="22"/>
  <c r="E46" i="22"/>
  <c r="C46" i="22"/>
  <c r="B46" i="22"/>
  <c r="O47" i="22" l="1"/>
  <c r="D46" i="21"/>
  <c r="F46" i="21" s="1"/>
  <c r="C45" i="21"/>
  <c r="B45" i="21"/>
  <c r="P48" i="20"/>
  <c r="P47" i="20"/>
  <c r="J49" i="20"/>
  <c r="D49" i="20"/>
  <c r="J47" i="15"/>
  <c r="I47" i="15"/>
  <c r="D46" i="15"/>
  <c r="M49" i="14"/>
  <c r="L49" i="14" s="1"/>
  <c r="E48" i="14" l="1"/>
  <c r="D48" i="14"/>
  <c r="K47" i="3" l="1"/>
  <c r="F46" i="3"/>
  <c r="E46" i="3"/>
  <c r="C47" i="3"/>
  <c r="C46" i="3"/>
  <c r="B47" i="3"/>
  <c r="B46" i="3"/>
  <c r="D46" i="2"/>
  <c r="C46" i="2"/>
  <c r="C45" i="2"/>
  <c r="B46" i="2"/>
  <c r="F46" i="2" s="1"/>
  <c r="G40" i="31" l="1"/>
  <c r="B40" i="31"/>
  <c r="D40" i="31" s="1"/>
  <c r="G39" i="31"/>
  <c r="F39" i="31"/>
  <c r="E39" i="31"/>
  <c r="C39" i="31"/>
  <c r="B39" i="31"/>
  <c r="G38" i="31"/>
  <c r="F38" i="31"/>
  <c r="E38" i="31"/>
  <c r="C38" i="31"/>
  <c r="B38" i="31"/>
  <c r="D38" i="31" s="1"/>
  <c r="G37" i="31"/>
  <c r="F37" i="31"/>
  <c r="E37" i="31"/>
  <c r="C37" i="31"/>
  <c r="B37" i="31"/>
  <c r="D35" i="31"/>
  <c r="B34" i="31"/>
  <c r="D34" i="31" s="1"/>
  <c r="B33" i="31"/>
  <c r="D33" i="31" s="1"/>
  <c r="D32" i="31"/>
  <c r="D31" i="31"/>
  <c r="B30" i="31"/>
  <c r="D30" i="31" s="1"/>
  <c r="B29" i="31"/>
  <c r="D29" i="31" s="1"/>
  <c r="B27" i="31"/>
  <c r="D27" i="31" s="1"/>
  <c r="B26" i="31"/>
  <c r="D26" i="31" s="1"/>
  <c r="B25" i="31"/>
  <c r="D25" i="31" s="1"/>
  <c r="B24" i="31"/>
  <c r="D24" i="31" s="1"/>
  <c r="B23" i="31"/>
  <c r="D23" i="31" s="1"/>
  <c r="D22" i="31"/>
  <c r="B20" i="31"/>
  <c r="D20" i="31" s="1"/>
  <c r="B19" i="31"/>
  <c r="D19" i="31" s="1"/>
  <c r="B18" i="31"/>
  <c r="D18" i="31" s="1"/>
  <c r="D17" i="31"/>
  <c r="B17" i="31"/>
  <c r="D37" i="31" l="1"/>
  <c r="D39" i="31"/>
  <c r="F45" i="30"/>
  <c r="C45" i="30"/>
  <c r="B45" i="30"/>
  <c r="D45" i="30" s="1"/>
  <c r="F44" i="30"/>
  <c r="E44" i="30"/>
  <c r="C44" i="30"/>
  <c r="B44" i="30"/>
  <c r="F43" i="30"/>
  <c r="E43" i="30"/>
  <c r="C43" i="30"/>
  <c r="B43" i="30"/>
  <c r="F42" i="30"/>
  <c r="E42" i="30"/>
  <c r="C42" i="30"/>
  <c r="D42" i="30" s="1"/>
  <c r="B42" i="30"/>
  <c r="D40" i="30"/>
  <c r="B39" i="30"/>
  <c r="D39" i="30" s="1"/>
  <c r="D38" i="30"/>
  <c r="B38" i="30"/>
  <c r="D37" i="30"/>
  <c r="D36" i="30"/>
  <c r="B35" i="30"/>
  <c r="D35" i="30" s="1"/>
  <c r="D34" i="30"/>
  <c r="B32" i="30"/>
  <c r="D32" i="30" s="1"/>
  <c r="B31" i="30"/>
  <c r="D31" i="30" s="1"/>
  <c r="D30" i="30"/>
  <c r="B30" i="30"/>
  <c r="D29" i="30"/>
  <c r="D28" i="30"/>
  <c r="E27" i="30"/>
  <c r="D27" i="30"/>
  <c r="E25" i="30"/>
  <c r="D25" i="30"/>
  <c r="D43" i="30" l="1"/>
  <c r="D44" i="30"/>
  <c r="D45" i="29"/>
  <c r="D44" i="29"/>
  <c r="D43" i="29"/>
  <c r="L46" i="22" l="1"/>
  <c r="K46" i="22"/>
  <c r="O46" i="22"/>
  <c r="N46" i="22"/>
  <c r="L45" i="22"/>
  <c r="K45" i="22"/>
  <c r="F45" i="22"/>
  <c r="E45" i="22"/>
  <c r="C45" i="22"/>
  <c r="B45" i="22"/>
  <c r="L44" i="22"/>
  <c r="K44" i="22"/>
  <c r="F44" i="22"/>
  <c r="E44" i="22"/>
  <c r="C44" i="22"/>
  <c r="B44" i="22"/>
  <c r="L43" i="22"/>
  <c r="K43" i="22"/>
  <c r="F43" i="22"/>
  <c r="E43" i="22"/>
  <c r="C43" i="22"/>
  <c r="B43" i="22"/>
  <c r="L41" i="22"/>
  <c r="K41" i="22"/>
  <c r="F41" i="22"/>
  <c r="E41" i="22"/>
  <c r="C41" i="22"/>
  <c r="B41" i="22"/>
  <c r="L40" i="22"/>
  <c r="K40" i="22"/>
  <c r="F40" i="22"/>
  <c r="E40" i="22"/>
  <c r="C40" i="22"/>
  <c r="B40" i="22"/>
  <c r="L39" i="22"/>
  <c r="K39" i="22"/>
  <c r="I39" i="22"/>
  <c r="H39" i="22"/>
  <c r="F39" i="22"/>
  <c r="E39" i="22"/>
  <c r="C39" i="22"/>
  <c r="B39" i="22"/>
  <c r="L38" i="22"/>
  <c r="K38" i="22"/>
  <c r="I38" i="22"/>
  <c r="H38" i="22"/>
  <c r="F38" i="22"/>
  <c r="E38" i="22"/>
  <c r="C38" i="22"/>
  <c r="B38" i="22"/>
  <c r="L37" i="22"/>
  <c r="K37" i="22"/>
  <c r="I37" i="22"/>
  <c r="H37" i="22"/>
  <c r="F37" i="22"/>
  <c r="E37" i="22"/>
  <c r="C37" i="22"/>
  <c r="B37" i="22"/>
  <c r="L36" i="22"/>
  <c r="K36" i="22"/>
  <c r="I36" i="22"/>
  <c r="H36" i="22"/>
  <c r="F36" i="22"/>
  <c r="E36" i="22"/>
  <c r="C36" i="22"/>
  <c r="B36" i="22"/>
  <c r="L35" i="22"/>
  <c r="K35" i="22"/>
  <c r="I35" i="22"/>
  <c r="H35" i="22"/>
  <c r="F35" i="22"/>
  <c r="E35" i="22"/>
  <c r="C35" i="22"/>
  <c r="B35" i="22"/>
  <c r="L33" i="22"/>
  <c r="K33" i="22"/>
  <c r="I33" i="22"/>
  <c r="H33" i="22"/>
  <c r="F33" i="22"/>
  <c r="E33" i="22"/>
  <c r="C33" i="22"/>
  <c r="B33" i="22"/>
  <c r="L32" i="22"/>
  <c r="K32" i="22"/>
  <c r="I32" i="22"/>
  <c r="H32" i="22"/>
  <c r="F32" i="22"/>
  <c r="E32" i="22"/>
  <c r="C32" i="22"/>
  <c r="B32" i="22"/>
  <c r="L31" i="22"/>
  <c r="K31" i="22"/>
  <c r="I31" i="22"/>
  <c r="H31" i="22"/>
  <c r="F31" i="22"/>
  <c r="E31" i="22"/>
  <c r="C31" i="22"/>
  <c r="B31" i="22"/>
  <c r="L30" i="22"/>
  <c r="K30" i="22"/>
  <c r="I30" i="22"/>
  <c r="H30" i="22"/>
  <c r="F30" i="22"/>
  <c r="E30" i="22"/>
  <c r="C30" i="22"/>
  <c r="B30" i="22"/>
  <c r="L29" i="22"/>
  <c r="K29" i="22"/>
  <c r="I29" i="22"/>
  <c r="H29" i="22"/>
  <c r="F29" i="22"/>
  <c r="E29" i="22"/>
  <c r="C29" i="22"/>
  <c r="B29" i="22"/>
  <c r="L28" i="22"/>
  <c r="K28" i="22"/>
  <c r="I28" i="22"/>
  <c r="H28" i="22"/>
  <c r="F28" i="22"/>
  <c r="E28" i="22"/>
  <c r="C28" i="22"/>
  <c r="B28" i="22"/>
  <c r="L26" i="22"/>
  <c r="K26" i="22"/>
  <c r="I26" i="22"/>
  <c r="H26" i="22"/>
  <c r="F26" i="22"/>
  <c r="E26" i="22"/>
  <c r="C26" i="22"/>
  <c r="B26" i="22"/>
  <c r="L25" i="22"/>
  <c r="K25" i="22"/>
  <c r="I25" i="22"/>
  <c r="H25" i="22"/>
  <c r="E25" i="22"/>
  <c r="C25" i="22"/>
  <c r="B25" i="22"/>
  <c r="L24" i="22"/>
  <c r="K24" i="22"/>
  <c r="I24" i="22"/>
  <c r="H24" i="22"/>
  <c r="F24" i="22"/>
  <c r="E24" i="22"/>
  <c r="C24" i="22"/>
  <c r="B24" i="22"/>
  <c r="L23" i="22"/>
  <c r="K23" i="22"/>
  <c r="I23" i="22"/>
  <c r="H23" i="22"/>
  <c r="F23" i="22"/>
  <c r="E23" i="22"/>
  <c r="C23" i="22"/>
  <c r="B23" i="22"/>
  <c r="L22" i="22"/>
  <c r="K22" i="22"/>
  <c r="I22" i="22"/>
  <c r="H22" i="22"/>
  <c r="F22" i="22"/>
  <c r="E22" i="22"/>
  <c r="C22" i="22"/>
  <c r="B22" i="22"/>
  <c r="L21" i="22"/>
  <c r="K21" i="22"/>
  <c r="I21" i="22"/>
  <c r="H21" i="22"/>
  <c r="F21" i="22"/>
  <c r="E21" i="22"/>
  <c r="C21" i="22"/>
  <c r="B21" i="22"/>
  <c r="K19" i="22"/>
  <c r="I19" i="22"/>
  <c r="H19" i="22"/>
  <c r="F19" i="22"/>
  <c r="E19" i="22"/>
  <c r="C19" i="22"/>
  <c r="B19" i="22"/>
  <c r="N37" i="22" l="1"/>
  <c r="N38" i="22"/>
  <c r="N39" i="22"/>
  <c r="N40" i="22"/>
  <c r="N41" i="22"/>
  <c r="N43" i="22"/>
  <c r="N44" i="22"/>
  <c r="O37" i="22"/>
  <c r="O38" i="22"/>
  <c r="O39" i="22"/>
  <c r="O40" i="22"/>
  <c r="O41" i="22"/>
  <c r="O43" i="22"/>
  <c r="O44" i="22"/>
  <c r="O45" i="22"/>
  <c r="D45" i="21"/>
  <c r="D44" i="21"/>
  <c r="C44" i="21"/>
  <c r="B44" i="21"/>
  <c r="D43" i="21"/>
  <c r="C43" i="21"/>
  <c r="B43" i="21"/>
  <c r="D42" i="21"/>
  <c r="C42" i="21"/>
  <c r="B42" i="21"/>
  <c r="F42" i="21" s="1"/>
  <c r="D40" i="21"/>
  <c r="C40" i="21"/>
  <c r="B40" i="21"/>
  <c r="D39" i="21"/>
  <c r="C39" i="21"/>
  <c r="B39" i="21"/>
  <c r="F39" i="21" s="1"/>
  <c r="E38" i="21"/>
  <c r="D38" i="21"/>
  <c r="C38" i="21"/>
  <c r="B38" i="21"/>
  <c r="F38" i="21" s="1"/>
  <c r="E37" i="21"/>
  <c r="D37" i="21"/>
  <c r="C37" i="21"/>
  <c r="B37" i="21"/>
  <c r="E36" i="21"/>
  <c r="D36" i="21"/>
  <c r="C36" i="21"/>
  <c r="B36" i="21"/>
  <c r="E35" i="21"/>
  <c r="D35" i="21"/>
  <c r="C35" i="21"/>
  <c r="B35" i="21"/>
  <c r="E34" i="21"/>
  <c r="D34" i="21"/>
  <c r="C34" i="21"/>
  <c r="B34" i="21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8" i="21"/>
  <c r="D18" i="21"/>
  <c r="C18" i="21"/>
  <c r="B18" i="21"/>
  <c r="F37" i="21" l="1"/>
  <c r="F40" i="21"/>
  <c r="F43" i="21"/>
  <c r="J48" i="20"/>
  <c r="D48" i="20"/>
  <c r="J47" i="20"/>
  <c r="G47" i="20"/>
  <c r="D47" i="20"/>
  <c r="P46" i="20"/>
  <c r="J46" i="20"/>
  <c r="G46" i="20"/>
  <c r="D46" i="20"/>
  <c r="P45" i="20"/>
  <c r="J45" i="20"/>
  <c r="G45" i="20"/>
  <c r="D45" i="20"/>
  <c r="P43" i="20"/>
  <c r="J43" i="20"/>
  <c r="G43" i="20"/>
  <c r="D43" i="20"/>
  <c r="P42" i="20"/>
  <c r="J42" i="20"/>
  <c r="G42" i="20"/>
  <c r="D42" i="20"/>
  <c r="P41" i="20"/>
  <c r="M41" i="20"/>
  <c r="J41" i="20"/>
  <c r="G41" i="20"/>
  <c r="D41" i="20"/>
  <c r="P40" i="20"/>
  <c r="M40" i="20"/>
  <c r="J40" i="20"/>
  <c r="G40" i="20"/>
  <c r="D40" i="20"/>
  <c r="P39" i="20"/>
  <c r="M39" i="20"/>
  <c r="J39" i="20"/>
  <c r="G39" i="20"/>
  <c r="D39" i="20"/>
  <c r="P38" i="20"/>
  <c r="M38" i="20"/>
  <c r="J38" i="20"/>
  <c r="G38" i="20"/>
  <c r="D38" i="20"/>
  <c r="P37" i="20"/>
  <c r="M37" i="20"/>
  <c r="J37" i="20"/>
  <c r="G37" i="20"/>
  <c r="D37" i="20"/>
  <c r="P35" i="20"/>
  <c r="M35" i="20"/>
  <c r="J35" i="20"/>
  <c r="G35" i="20"/>
  <c r="D35" i="20"/>
  <c r="P34" i="20"/>
  <c r="M34" i="20"/>
  <c r="J34" i="20"/>
  <c r="G34" i="20"/>
  <c r="D34" i="20"/>
  <c r="P33" i="20"/>
  <c r="M33" i="20"/>
  <c r="J33" i="20"/>
  <c r="G33" i="20"/>
  <c r="D33" i="20"/>
  <c r="P32" i="20"/>
  <c r="M32" i="20"/>
  <c r="J32" i="20"/>
  <c r="G32" i="20"/>
  <c r="D32" i="20"/>
  <c r="P31" i="20"/>
  <c r="M31" i="20"/>
  <c r="J31" i="20"/>
  <c r="G31" i="20"/>
  <c r="D31" i="20"/>
  <c r="P30" i="20"/>
  <c r="M30" i="20"/>
  <c r="J30" i="20"/>
  <c r="G30" i="20"/>
  <c r="D30" i="20"/>
  <c r="P28" i="20"/>
  <c r="M28" i="20"/>
  <c r="J28" i="20"/>
  <c r="G28" i="20"/>
  <c r="D28" i="20"/>
  <c r="P27" i="20"/>
  <c r="M27" i="20"/>
  <c r="J27" i="20"/>
  <c r="G27" i="20"/>
  <c r="D27" i="20"/>
  <c r="P26" i="20"/>
  <c r="M26" i="20"/>
  <c r="J26" i="20"/>
  <c r="G26" i="20"/>
  <c r="D26" i="20"/>
  <c r="P25" i="20"/>
  <c r="M25" i="20"/>
  <c r="J25" i="20"/>
  <c r="G25" i="20"/>
  <c r="D25" i="20"/>
  <c r="P24" i="20"/>
  <c r="M24" i="20"/>
  <c r="J24" i="20"/>
  <c r="G24" i="20"/>
  <c r="D24" i="20"/>
  <c r="P23" i="20"/>
  <c r="M23" i="20"/>
  <c r="J23" i="20"/>
  <c r="G23" i="20"/>
  <c r="D23" i="20"/>
  <c r="P21" i="20"/>
  <c r="M21" i="20"/>
  <c r="J21" i="20"/>
  <c r="G21" i="20"/>
  <c r="D21" i="20"/>
  <c r="G46" i="15" l="1"/>
  <c r="J46" i="15" s="1"/>
  <c r="F46" i="15"/>
  <c r="C46" i="15"/>
  <c r="G45" i="15"/>
  <c r="F45" i="15"/>
  <c r="D45" i="15"/>
  <c r="C45" i="15"/>
  <c r="I45" i="15" s="1"/>
  <c r="G44" i="15"/>
  <c r="J44" i="15" s="1"/>
  <c r="F44" i="15"/>
  <c r="D44" i="15"/>
  <c r="C44" i="15"/>
  <c r="I44" i="15" s="1"/>
  <c r="G43" i="15"/>
  <c r="F43" i="15"/>
  <c r="D43" i="15"/>
  <c r="C43" i="15"/>
  <c r="I43" i="15" s="1"/>
  <c r="G41" i="15"/>
  <c r="F41" i="15"/>
  <c r="D41" i="15"/>
  <c r="C41" i="15"/>
  <c r="G40" i="15"/>
  <c r="F40" i="15"/>
  <c r="D40" i="15"/>
  <c r="C40" i="15"/>
  <c r="G39" i="15"/>
  <c r="F39" i="15"/>
  <c r="D39" i="15"/>
  <c r="C39" i="15"/>
  <c r="G38" i="15"/>
  <c r="F38" i="15"/>
  <c r="D38" i="15"/>
  <c r="C38" i="15"/>
  <c r="G37" i="15"/>
  <c r="F37" i="15"/>
  <c r="D37" i="15"/>
  <c r="C37" i="15"/>
  <c r="G36" i="15"/>
  <c r="F36" i="15"/>
  <c r="D36" i="15"/>
  <c r="C36" i="15"/>
  <c r="G35" i="15"/>
  <c r="F35" i="15"/>
  <c r="D35" i="15"/>
  <c r="C35" i="15"/>
  <c r="G33" i="15"/>
  <c r="F33" i="15"/>
  <c r="D33" i="15"/>
  <c r="C33" i="15"/>
  <c r="G32" i="15"/>
  <c r="F32" i="15"/>
  <c r="D32" i="15"/>
  <c r="C32" i="15"/>
  <c r="G31" i="15"/>
  <c r="F31" i="15"/>
  <c r="D31" i="15"/>
  <c r="C31" i="15"/>
  <c r="I31" i="15" s="1"/>
  <c r="G30" i="15"/>
  <c r="F30" i="15"/>
  <c r="D30" i="15"/>
  <c r="C30" i="15"/>
  <c r="G29" i="15"/>
  <c r="F29" i="15"/>
  <c r="D29" i="15"/>
  <c r="C29" i="15"/>
  <c r="G28" i="15"/>
  <c r="F28" i="15"/>
  <c r="D28" i="15"/>
  <c r="C28" i="15"/>
  <c r="G26" i="15"/>
  <c r="F26" i="15"/>
  <c r="D26" i="15"/>
  <c r="C26" i="15"/>
  <c r="G25" i="15"/>
  <c r="F25" i="15"/>
  <c r="D25" i="15"/>
  <c r="C25" i="15"/>
  <c r="G24" i="15"/>
  <c r="F24" i="15"/>
  <c r="D24" i="15"/>
  <c r="C24" i="15"/>
  <c r="G23" i="15"/>
  <c r="F23" i="15"/>
  <c r="D23" i="15"/>
  <c r="C23" i="15"/>
  <c r="G22" i="15"/>
  <c r="F22" i="15"/>
  <c r="D22" i="15"/>
  <c r="C22" i="15"/>
  <c r="G21" i="15"/>
  <c r="F21" i="15"/>
  <c r="D21" i="15"/>
  <c r="C21" i="15"/>
  <c r="G19" i="15"/>
  <c r="F19" i="15"/>
  <c r="C19" i="15"/>
  <c r="J43" i="15" l="1"/>
  <c r="J45" i="15"/>
  <c r="I46" i="15"/>
  <c r="I48" i="14"/>
  <c r="H48" i="14"/>
  <c r="M48" i="14"/>
  <c r="L48" i="14" s="1"/>
  <c r="I47" i="14"/>
  <c r="M47" i="14" s="1"/>
  <c r="L47" i="14" s="1"/>
  <c r="H47" i="14"/>
  <c r="E47" i="14"/>
  <c r="D47" i="14"/>
  <c r="I46" i="14"/>
  <c r="H46" i="14"/>
  <c r="E46" i="14"/>
  <c r="D46" i="14"/>
  <c r="I45" i="14"/>
  <c r="H45" i="14"/>
  <c r="E45" i="14"/>
  <c r="D45" i="14"/>
  <c r="L43" i="14"/>
  <c r="I43" i="14"/>
  <c r="H43" i="14"/>
  <c r="E43" i="14"/>
  <c r="D43" i="14"/>
  <c r="L42" i="14"/>
  <c r="I42" i="14"/>
  <c r="H42" i="14"/>
  <c r="E42" i="14"/>
  <c r="D42" i="14"/>
  <c r="L41" i="14"/>
  <c r="I41" i="14"/>
  <c r="H41" i="14"/>
  <c r="E41" i="14"/>
  <c r="D41" i="14"/>
  <c r="L40" i="14"/>
  <c r="I40" i="14"/>
  <c r="H40" i="14"/>
  <c r="E40" i="14"/>
  <c r="D40" i="14"/>
  <c r="L39" i="14"/>
  <c r="I39" i="14"/>
  <c r="H39" i="14"/>
  <c r="E39" i="14"/>
  <c r="D39" i="14"/>
  <c r="L38" i="14"/>
  <c r="I38" i="14"/>
  <c r="H38" i="14"/>
  <c r="E38" i="14"/>
  <c r="D38" i="14"/>
  <c r="L37" i="14"/>
  <c r="I37" i="14"/>
  <c r="H37" i="14"/>
  <c r="E37" i="14"/>
  <c r="D37" i="14"/>
  <c r="L35" i="14"/>
  <c r="I35" i="14"/>
  <c r="H35" i="14"/>
  <c r="E35" i="14"/>
  <c r="D35" i="14"/>
  <c r="L34" i="14"/>
  <c r="I34" i="14"/>
  <c r="H34" i="14"/>
  <c r="E34" i="14"/>
  <c r="D34" i="14"/>
  <c r="L33" i="14"/>
  <c r="I33" i="14"/>
  <c r="H33" i="14"/>
  <c r="E33" i="14"/>
  <c r="D33" i="14"/>
  <c r="L32" i="14"/>
  <c r="I32" i="14"/>
  <c r="H32" i="14"/>
  <c r="E32" i="14"/>
  <c r="D32" i="14"/>
  <c r="L31" i="14"/>
  <c r="I31" i="14"/>
  <c r="H31" i="14"/>
  <c r="E31" i="14"/>
  <c r="D31" i="14"/>
  <c r="L30" i="14"/>
  <c r="I30" i="14"/>
  <c r="H30" i="14"/>
  <c r="E30" i="14"/>
  <c r="D30" i="14"/>
  <c r="L28" i="14"/>
  <c r="I28" i="14"/>
  <c r="H28" i="14"/>
  <c r="E28" i="14"/>
  <c r="D28" i="14"/>
  <c r="L27" i="14"/>
  <c r="I27" i="14"/>
  <c r="H27" i="14"/>
  <c r="D27" i="14"/>
  <c r="L26" i="14"/>
  <c r="I26" i="14"/>
  <c r="H26" i="14"/>
  <c r="E26" i="14"/>
  <c r="D26" i="14"/>
  <c r="L25" i="14"/>
  <c r="I25" i="14"/>
  <c r="H25" i="14"/>
  <c r="E25" i="14"/>
  <c r="D25" i="14"/>
  <c r="L24" i="14"/>
  <c r="I24" i="14"/>
  <c r="H24" i="14"/>
  <c r="E24" i="14"/>
  <c r="D24" i="14"/>
  <c r="L23" i="14"/>
  <c r="I23" i="14"/>
  <c r="H23" i="14"/>
  <c r="E23" i="14"/>
  <c r="D23" i="14"/>
  <c r="L21" i="14"/>
  <c r="I21" i="14"/>
  <c r="H21" i="14"/>
  <c r="D21" i="14"/>
  <c r="M45" i="14" l="1"/>
  <c r="L45" i="14" s="1"/>
  <c r="M46" i="14"/>
  <c r="L46" i="14" s="1"/>
  <c r="H38" i="13"/>
  <c r="G38" i="13"/>
  <c r="F38" i="13" s="1"/>
  <c r="C38" i="13"/>
  <c r="E38" i="13" s="1"/>
  <c r="H37" i="13"/>
  <c r="G37" i="13"/>
  <c r="F37" i="13" s="1"/>
  <c r="D37" i="13"/>
  <c r="C37" i="13"/>
  <c r="E37" i="13" s="1"/>
  <c r="H36" i="13"/>
  <c r="G36" i="13"/>
  <c r="F36" i="13"/>
  <c r="D36" i="13"/>
  <c r="C36" i="13"/>
  <c r="E36" i="13" s="1"/>
  <c r="H35" i="13"/>
  <c r="G35" i="13"/>
  <c r="F35" i="13" s="1"/>
  <c r="D35" i="13"/>
  <c r="C35" i="13"/>
  <c r="C32" i="13"/>
  <c r="E32" i="13" s="1"/>
  <c r="C31" i="13"/>
  <c r="E31" i="13" s="1"/>
  <c r="E30" i="13"/>
  <c r="E29" i="13"/>
  <c r="C28" i="13"/>
  <c r="E28" i="13" s="1"/>
  <c r="C27" i="13"/>
  <c r="E27" i="13" s="1"/>
  <c r="C25" i="13"/>
  <c r="E25" i="13" s="1"/>
  <c r="C24" i="13"/>
  <c r="E24" i="13" s="1"/>
  <c r="C23" i="13"/>
  <c r="E23" i="13" s="1"/>
  <c r="C22" i="13"/>
  <c r="E22" i="13" s="1"/>
  <c r="E21" i="13"/>
  <c r="C21" i="13"/>
  <c r="C20" i="13"/>
  <c r="E20" i="13" s="1"/>
  <c r="C18" i="13"/>
  <c r="E18" i="13" s="1"/>
  <c r="C17" i="13"/>
  <c r="E17" i="13" s="1"/>
  <c r="C16" i="13"/>
  <c r="E16" i="13" s="1"/>
  <c r="C15" i="13"/>
  <c r="E15" i="13" s="1"/>
  <c r="E14" i="13"/>
  <c r="C14" i="13"/>
  <c r="C11" i="13"/>
  <c r="E11" i="13" s="1"/>
  <c r="E10" i="13"/>
  <c r="C10" i="13"/>
  <c r="C9" i="13"/>
  <c r="E9" i="13" s="1"/>
  <c r="C8" i="13"/>
  <c r="E8" i="13" s="1"/>
  <c r="C7" i="13"/>
  <c r="E7" i="13" s="1"/>
  <c r="C6" i="13"/>
  <c r="E6" i="13" s="1"/>
  <c r="E5" i="13"/>
  <c r="E35" i="13" l="1"/>
  <c r="F45" i="12"/>
  <c r="D45" i="12"/>
  <c r="C45" i="12"/>
  <c r="G44" i="12"/>
  <c r="F44" i="12"/>
  <c r="D44" i="12"/>
  <c r="C44" i="12"/>
  <c r="E44" i="12" s="1"/>
  <c r="G43" i="12"/>
  <c r="F43" i="12"/>
  <c r="D43" i="12"/>
  <c r="C43" i="12"/>
  <c r="G42" i="12"/>
  <c r="F42" i="12"/>
  <c r="D42" i="12"/>
  <c r="C42" i="12"/>
  <c r="E40" i="12"/>
  <c r="C39" i="12"/>
  <c r="E39" i="12" s="1"/>
  <c r="C38" i="12"/>
  <c r="E38" i="12" s="1"/>
  <c r="E37" i="12"/>
  <c r="E36" i="12"/>
  <c r="E35" i="12"/>
  <c r="E34" i="12"/>
  <c r="E32" i="12"/>
  <c r="C31" i="12"/>
  <c r="E31" i="12" s="1"/>
  <c r="E30" i="12"/>
  <c r="E29" i="12"/>
  <c r="E28" i="12"/>
  <c r="D27" i="12"/>
  <c r="E27" i="12" s="1"/>
  <c r="D25" i="12"/>
  <c r="E25" i="12" s="1"/>
  <c r="E42" i="12" l="1"/>
  <c r="E43" i="12"/>
  <c r="E45" i="12"/>
  <c r="F45" i="11"/>
  <c r="F44" i="11"/>
  <c r="L46" i="3" l="1"/>
  <c r="K46" i="3"/>
  <c r="O46" i="3"/>
  <c r="N46" i="3"/>
  <c r="L45" i="3"/>
  <c r="K45" i="3"/>
  <c r="F45" i="3"/>
  <c r="E45" i="3"/>
  <c r="C45" i="3"/>
  <c r="B45" i="3"/>
  <c r="N45" i="3" s="1"/>
  <c r="L44" i="3"/>
  <c r="K44" i="3"/>
  <c r="G44" i="3"/>
  <c r="F44" i="3"/>
  <c r="E44" i="3"/>
  <c r="C44" i="3"/>
  <c r="B44" i="3"/>
  <c r="L43" i="3"/>
  <c r="K43" i="3"/>
  <c r="N43" i="3" s="1"/>
  <c r="E43" i="3"/>
  <c r="C43" i="3"/>
  <c r="O43" i="3" s="1"/>
  <c r="B43" i="3"/>
  <c r="L41" i="3"/>
  <c r="K41" i="3"/>
  <c r="E41" i="3"/>
  <c r="C41" i="3"/>
  <c r="B41" i="3"/>
  <c r="N41" i="3" s="1"/>
  <c r="L40" i="3"/>
  <c r="O40" i="3" s="1"/>
  <c r="K40" i="3"/>
  <c r="E40" i="3"/>
  <c r="C40" i="3"/>
  <c r="B40" i="3"/>
  <c r="N40" i="3" s="1"/>
  <c r="L39" i="3"/>
  <c r="O39" i="3" s="1"/>
  <c r="K39" i="3"/>
  <c r="N39" i="3" s="1"/>
  <c r="H39" i="3"/>
  <c r="E39" i="3"/>
  <c r="C39" i="3"/>
  <c r="B39" i="3"/>
  <c r="L38" i="3"/>
  <c r="O38" i="3" s="1"/>
  <c r="K38" i="3"/>
  <c r="N38" i="3" s="1"/>
  <c r="H38" i="3"/>
  <c r="E38" i="3"/>
  <c r="C38" i="3"/>
  <c r="B38" i="3"/>
  <c r="L37" i="3"/>
  <c r="O37" i="3" s="1"/>
  <c r="K37" i="3"/>
  <c r="N37" i="3" s="1"/>
  <c r="H37" i="3"/>
  <c r="F37" i="3"/>
  <c r="E37" i="3"/>
  <c r="C37" i="3"/>
  <c r="B37" i="3"/>
  <c r="L36" i="3"/>
  <c r="K36" i="3"/>
  <c r="H36" i="3"/>
  <c r="F36" i="3"/>
  <c r="E36" i="3"/>
  <c r="C36" i="3"/>
  <c r="O36" i="3" s="1"/>
  <c r="B36" i="3"/>
  <c r="L35" i="3"/>
  <c r="K35" i="3"/>
  <c r="H35" i="3"/>
  <c r="F35" i="3"/>
  <c r="E35" i="3"/>
  <c r="C35" i="3"/>
  <c r="B35" i="3"/>
  <c r="L33" i="3"/>
  <c r="K33" i="3"/>
  <c r="H33" i="3"/>
  <c r="F33" i="3"/>
  <c r="E33" i="3"/>
  <c r="C33" i="3"/>
  <c r="B33" i="3"/>
  <c r="L32" i="3"/>
  <c r="K32" i="3"/>
  <c r="I32" i="3"/>
  <c r="H32" i="3"/>
  <c r="F32" i="3"/>
  <c r="E32" i="3"/>
  <c r="C32" i="3"/>
  <c r="B32" i="3"/>
  <c r="L31" i="3"/>
  <c r="K31" i="3"/>
  <c r="I31" i="3"/>
  <c r="H31" i="3"/>
  <c r="F31" i="3"/>
  <c r="E31" i="3"/>
  <c r="C31" i="3"/>
  <c r="B31" i="3"/>
  <c r="L30" i="3"/>
  <c r="K30" i="3"/>
  <c r="I30" i="3"/>
  <c r="H30" i="3"/>
  <c r="F30" i="3"/>
  <c r="E30" i="3"/>
  <c r="C30" i="3"/>
  <c r="B30" i="3"/>
  <c r="L29" i="3"/>
  <c r="K29" i="3"/>
  <c r="I29" i="3"/>
  <c r="H29" i="3"/>
  <c r="F29" i="3"/>
  <c r="E29" i="3"/>
  <c r="C29" i="3"/>
  <c r="B29" i="3"/>
  <c r="L28" i="3"/>
  <c r="K28" i="3"/>
  <c r="I28" i="3"/>
  <c r="H28" i="3"/>
  <c r="F28" i="3"/>
  <c r="E28" i="3"/>
  <c r="C28" i="3"/>
  <c r="B28" i="3"/>
  <c r="L26" i="3"/>
  <c r="K26" i="3"/>
  <c r="I26" i="3"/>
  <c r="H26" i="3"/>
  <c r="F26" i="3"/>
  <c r="E26" i="3"/>
  <c r="C26" i="3"/>
  <c r="B26" i="3"/>
  <c r="L25" i="3"/>
  <c r="K25" i="3"/>
  <c r="I25" i="3"/>
  <c r="H25" i="3"/>
  <c r="F25" i="3"/>
  <c r="E25" i="3"/>
  <c r="C25" i="3"/>
  <c r="B25" i="3"/>
  <c r="L24" i="3"/>
  <c r="K24" i="3"/>
  <c r="I24" i="3"/>
  <c r="H24" i="3"/>
  <c r="F24" i="3"/>
  <c r="E24" i="3"/>
  <c r="C24" i="3"/>
  <c r="B24" i="3"/>
  <c r="L23" i="3"/>
  <c r="K23" i="3"/>
  <c r="I23" i="3"/>
  <c r="H23" i="3"/>
  <c r="F23" i="3"/>
  <c r="E23" i="3"/>
  <c r="C23" i="3"/>
  <c r="B23" i="3"/>
  <c r="L22" i="3"/>
  <c r="K22" i="3"/>
  <c r="I22" i="3"/>
  <c r="H22" i="3"/>
  <c r="F22" i="3"/>
  <c r="E22" i="3"/>
  <c r="C22" i="3"/>
  <c r="B22" i="3"/>
  <c r="L21" i="3"/>
  <c r="K21" i="3"/>
  <c r="I21" i="3"/>
  <c r="H21" i="3"/>
  <c r="F21" i="3"/>
  <c r="E21" i="3"/>
  <c r="C21" i="3"/>
  <c r="B21" i="3"/>
  <c r="K19" i="3"/>
  <c r="I19" i="3"/>
  <c r="H19" i="3"/>
  <c r="F19" i="3"/>
  <c r="E19" i="3"/>
  <c r="C19" i="3"/>
  <c r="B19" i="3"/>
  <c r="O35" i="3" l="1"/>
  <c r="N36" i="3"/>
  <c r="O41" i="3"/>
  <c r="O44" i="3"/>
  <c r="N35" i="3"/>
  <c r="N44" i="3"/>
  <c r="O45" i="3"/>
  <c r="D45" i="2"/>
  <c r="F45" i="2"/>
  <c r="B45" i="2"/>
  <c r="D44" i="2"/>
  <c r="C44" i="2"/>
  <c r="B44" i="2"/>
  <c r="F44" i="2" s="1"/>
  <c r="D43" i="2"/>
  <c r="C43" i="2"/>
  <c r="F43" i="2" s="1"/>
  <c r="B43" i="2"/>
  <c r="D42" i="2"/>
  <c r="C42" i="2"/>
  <c r="B42" i="2"/>
  <c r="F42" i="2" s="1"/>
  <c r="D40" i="2"/>
  <c r="C40" i="2"/>
  <c r="B40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B22" i="2"/>
  <c r="E21" i="2"/>
  <c r="D21" i="2"/>
  <c r="C21" i="2"/>
  <c r="B21" i="2"/>
  <c r="E20" i="2"/>
  <c r="D20" i="2"/>
  <c r="C20" i="2"/>
  <c r="B20" i="2"/>
  <c r="E18" i="2"/>
  <c r="D18" i="2"/>
  <c r="C18" i="2"/>
  <c r="B18" i="2"/>
  <c r="B17" i="2"/>
  <c r="D14" i="2"/>
  <c r="D13" i="2"/>
  <c r="C13" i="2"/>
  <c r="D11" i="2"/>
  <c r="C11" i="2"/>
  <c r="B11" i="2"/>
  <c r="C10" i="2"/>
  <c r="B10" i="2"/>
  <c r="D9" i="2"/>
  <c r="B9" i="2"/>
  <c r="D8" i="2"/>
  <c r="C8" i="2"/>
  <c r="E7" i="2"/>
  <c r="C7" i="2"/>
  <c r="B7" i="2"/>
  <c r="E6" i="2"/>
  <c r="D6" i="2"/>
  <c r="B6" i="2"/>
  <c r="J43" i="1" l="1"/>
  <c r="J42" i="1"/>
  <c r="G43" i="1"/>
  <c r="P43" i="1" l="1"/>
  <c r="D43" i="1"/>
  <c r="P42" i="1"/>
  <c r="G42" i="1"/>
  <c r="D42" i="1"/>
  <c r="P41" i="1"/>
  <c r="M41" i="1"/>
  <c r="J41" i="1"/>
  <c r="G41" i="1"/>
  <c r="D41" i="1"/>
  <c r="P40" i="1"/>
  <c r="M40" i="1"/>
  <c r="J40" i="1"/>
  <c r="G40" i="1"/>
  <c r="D40" i="1"/>
  <c r="P39" i="1"/>
  <c r="M39" i="1"/>
  <c r="J39" i="1"/>
  <c r="G39" i="1"/>
  <c r="D39" i="1"/>
  <c r="P38" i="1"/>
  <c r="M38" i="1"/>
  <c r="J38" i="1"/>
  <c r="G38" i="1"/>
  <c r="D38" i="1"/>
  <c r="P37" i="1"/>
  <c r="M37" i="1"/>
  <c r="J37" i="1"/>
  <c r="G37" i="1"/>
  <c r="D37" i="1"/>
  <c r="P35" i="1"/>
  <c r="M35" i="1"/>
  <c r="J35" i="1"/>
  <c r="G35" i="1"/>
  <c r="D35" i="1"/>
  <c r="P34" i="1"/>
  <c r="M34" i="1"/>
  <c r="J34" i="1"/>
  <c r="G34" i="1"/>
  <c r="D34" i="1"/>
  <c r="P33" i="1"/>
  <c r="M33" i="1"/>
  <c r="J33" i="1"/>
  <c r="G33" i="1"/>
  <c r="D33" i="1"/>
  <c r="P32" i="1"/>
  <c r="M32" i="1"/>
  <c r="J32" i="1"/>
  <c r="G32" i="1"/>
  <c r="D32" i="1"/>
  <c r="P31" i="1"/>
  <c r="M31" i="1"/>
  <c r="J31" i="1"/>
  <c r="G31" i="1"/>
  <c r="D31" i="1"/>
  <c r="P30" i="1"/>
  <c r="M30" i="1"/>
  <c r="J30" i="1"/>
  <c r="G30" i="1"/>
  <c r="D30" i="1"/>
  <c r="P28" i="1"/>
  <c r="M28" i="1"/>
  <c r="J28" i="1"/>
  <c r="G28" i="1"/>
  <c r="D28" i="1"/>
  <c r="P27" i="1"/>
  <c r="M27" i="1"/>
  <c r="J27" i="1"/>
  <c r="G27" i="1"/>
  <c r="D27" i="1"/>
  <c r="P26" i="1"/>
  <c r="M26" i="1"/>
  <c r="J26" i="1"/>
  <c r="G26" i="1"/>
  <c r="D26" i="1"/>
  <c r="P25" i="1"/>
  <c r="M25" i="1"/>
  <c r="J25" i="1"/>
  <c r="G25" i="1"/>
  <c r="P24" i="1"/>
  <c r="M24" i="1"/>
  <c r="J24" i="1"/>
  <c r="G24" i="1"/>
  <c r="D24" i="1"/>
  <c r="P23" i="1"/>
  <c r="M23" i="1"/>
  <c r="J23" i="1"/>
  <c r="G23" i="1"/>
  <c r="D23" i="1"/>
  <c r="P21" i="1"/>
  <c r="M21" i="1"/>
  <c r="J21" i="1"/>
  <c r="G21" i="1"/>
  <c r="D21" i="1"/>
</calcChain>
</file>

<file path=xl/sharedStrings.xml><?xml version="1.0" encoding="utf-8"?>
<sst xmlns="http://schemas.openxmlformats.org/spreadsheetml/2006/main" count="3416" uniqueCount="327">
  <si>
    <t>Table C-1--Grapefruit: Bearing acreage and yield per acre, by State, 1980/81 to date</t>
  </si>
  <si>
    <t>Florida</t>
  </si>
  <si>
    <t>California</t>
  </si>
  <si>
    <t>Texas</t>
  </si>
  <si>
    <t>Arizona</t>
  </si>
  <si>
    <t>United States</t>
  </si>
  <si>
    <t>Bearing</t>
  </si>
  <si>
    <t>Yield per</t>
  </si>
  <si>
    <t>acreage</t>
  </si>
  <si>
    <t>acre</t>
  </si>
  <si>
    <t>1,000</t>
  </si>
  <si>
    <t>Short</t>
  </si>
  <si>
    <t>acres</t>
  </si>
  <si>
    <t>tons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</si>
  <si>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</si>
  <si>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</si>
  <si>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</si>
  <si>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</si>
  <si>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</si>
  <si>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</si>
  <si>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</si>
  <si>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</si>
  <si>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 </t>
  </si>
  <si>
    <t xml:space="preserve"> 1989/90 </t>
  </si>
  <si>
    <t xml:space="preserve"> 1990/91 </t>
  </si>
  <si>
    <t xml:space="preserve"> 1991/92</t>
  </si>
  <si>
    <t xml:space="preserve"> 1992/93</t>
  </si>
  <si>
    <t xml:space="preserve"> 1993/94</t>
  </si>
  <si>
    <t xml:space="preserve"> 1994/95</t>
  </si>
  <si>
    <t xml:space="preserve"> </t>
  </si>
  <si>
    <t xml:space="preserve"> 1995/96</t>
  </si>
  <si>
    <t xml:space="preserve"> 1996/97</t>
  </si>
  <si>
    <t xml:space="preserve"> 1997/98</t>
  </si>
  <si>
    <t xml:space="preserve"> 1998/99</t>
  </si>
  <si>
    <t xml:space="preserve"> 1999/2000</t>
  </si>
  <si>
    <t xml:space="preserve"> 2000/01</t>
  </si>
  <si>
    <t xml:space="preserve"> 2001/02</t>
  </si>
  <si>
    <t xml:space="preserve"> 2002/03</t>
  </si>
  <si>
    <t xml:space="preserve"> 2003/04</t>
  </si>
  <si>
    <t xml:space="preserve"> 2004/05</t>
  </si>
  <si>
    <t xml:space="preserve"> 2005/06</t>
  </si>
  <si>
    <t xml:space="preserve"> 2006/07</t>
  </si>
  <si>
    <t xml:space="preserve"> 2007/08</t>
  </si>
  <si>
    <t xml:space="preserve"> 2008/09</t>
  </si>
  <si>
    <t xml:space="preserve"> 2009/10</t>
  </si>
  <si>
    <t xml:space="preserve">      na</t>
  </si>
  <si>
    <t xml:space="preserve"> 2010/11</t>
  </si>
  <si>
    <t xml:space="preserve"> 2011/12</t>
  </si>
  <si>
    <t xml:space="preserve"> 2012/13</t>
  </si>
  <si>
    <t xml:space="preserve"> na = not available.</t>
  </si>
  <si>
    <r>
      <t xml:space="preserve">Sources: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issues; and USDA, Economic Research Service.</t>
    </r>
  </si>
  <si>
    <t xml:space="preserve"> 2013/14</t>
  </si>
  <si>
    <t xml:space="preserve"> 2014/15</t>
  </si>
  <si>
    <r>
      <t xml:space="preserve"> Season </t>
    </r>
    <r>
      <rPr>
        <vertAlign val="superscript"/>
        <sz val="8"/>
        <rFont val="Helvetica"/>
      </rPr>
      <t>1</t>
    </r>
  </si>
  <si>
    <r>
      <t xml:space="preserve">        </t>
    </r>
    <r>
      <rPr>
        <vertAlign val="superscript"/>
        <sz val="8"/>
        <rFont val="Helvetica"/>
      </rPr>
      <t>3</t>
    </r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</si>
  <si>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Due to the severe freeze of December 1983, </t>
    </r>
  </si>
  <si>
    <t>Table C-2--Grapefruit: Production, by State, 1980/81 to date</t>
  </si>
  <si>
    <r>
      <t xml:space="preserve">Season </t>
    </r>
    <r>
      <rPr>
        <vertAlign val="superscript"/>
        <sz val="8"/>
        <rFont val="Helvetica"/>
      </rPr>
      <t>1</t>
    </r>
  </si>
  <si>
    <r>
      <t xml:space="preserve">United States </t>
    </r>
    <r>
      <rPr>
        <vertAlign val="superscript"/>
        <sz val="8"/>
        <rFont val="Helvetica"/>
      </rPr>
      <t>2</t>
    </r>
  </si>
  <si>
    <t>-- 1,000 short tons --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</si>
  <si>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</si>
  <si>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</si>
  <si>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</si>
  <si>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</si>
  <si>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</si>
  <si>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</si>
  <si>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</si>
  <si>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</si>
  <si>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</si>
  <si>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</si>
  <si>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</si>
  <si>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</si>
  <si>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</si>
  <si>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</si>
  <si>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</si>
  <si>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</si>
  <si>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</si>
  <si>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</si>
  <si>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</si>
  <si>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</si>
  <si>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</si>
  <si>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</si>
  <si>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</si>
  <si>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</si>
  <si>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</si>
  <si>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</si>
  <si>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</si>
  <si>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</si>
  <si>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</si>
  <si>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</si>
  <si>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 xml:space="preserve">     na</t>
  </si>
  <si>
    <t>2010/11</t>
  </si>
  <si>
    <t>2011/12</t>
  </si>
  <si>
    <t>2012/13</t>
  </si>
  <si>
    <t>2013/14</t>
  </si>
  <si>
    <t>2014/15</t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</si>
  <si>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totals may not add due to rounding.</t>
    </r>
  </si>
  <si>
    <r>
      <t xml:space="preserve">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no</t>
    </r>
  </si>
  <si>
    <t xml:space="preserve"> commercial supplies were harvested.</t>
  </si>
  <si>
    <r>
      <t xml:space="preserve"> 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issues.</t>
    </r>
  </si>
  <si>
    <t>Table C-3--Grapefruit: Utilization of production, by State, 1980/81 to date</t>
  </si>
  <si>
    <t>Fresh</t>
  </si>
  <si>
    <t>Processed</t>
  </si>
  <si>
    <t xml:space="preserve"> --1,000 short tons--</t>
  </si>
  <si>
    <r>
      <t xml:space="preserve">           </t>
    </r>
    <r>
      <rPr>
        <vertAlign val="superscript"/>
        <sz val="8"/>
        <rFont val="Helvetica"/>
      </rPr>
      <t>3</t>
    </r>
  </si>
  <si>
    <t>1988/89</t>
  </si>
  <si>
    <r>
      <t xml:space="preserve">           </t>
    </r>
    <r>
      <rPr>
        <vertAlign val="superscript"/>
        <sz val="8"/>
        <rFont val="Helvetica"/>
      </rPr>
      <t>4</t>
    </r>
  </si>
  <si>
    <r>
      <t xml:space="preserve">           </t>
    </r>
    <r>
      <rPr>
        <vertAlign val="superscript"/>
        <sz val="8"/>
        <rFont val="Helvetica"/>
      </rPr>
      <t>5</t>
    </r>
  </si>
  <si>
    <t xml:space="preserve">        na</t>
  </si>
  <si>
    <t>na = not available.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</si>
  <si>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 </t>
    </r>
  </si>
  <si>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no </t>
    </r>
  </si>
  <si>
    <r>
      <t xml:space="preserve">commercial supplies were harvested. </t>
    </r>
    <r>
      <rPr>
        <vertAlign val="superscript"/>
        <sz val="7"/>
        <rFont val="Helvetica"/>
      </rPr>
      <t>5</t>
    </r>
    <r>
      <rPr>
        <sz val="7"/>
        <rFont val="Helvetica"/>
        <family val="2"/>
      </rPr>
      <t xml:space="preserve"> Small quantities of processed grapefruit included with fresh.</t>
    </r>
  </si>
  <si>
    <t>Table C-4--Grapefruit: Equivalent-on-tree returns, by State, 1980/81 to date</t>
  </si>
  <si>
    <t>Pro-</t>
  </si>
  <si>
    <t>cessing</t>
  </si>
  <si>
    <t>All</t>
  </si>
  <si>
    <r>
      <t xml:space="preserve"> --Dollars/box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>--</t>
    </r>
  </si>
  <si>
    <t xml:space="preserve">     3</t>
  </si>
  <si>
    <t xml:space="preserve">     4</t>
  </si>
  <si>
    <t xml:space="preserve">       ---</t>
  </si>
  <si>
    <t>(D)</t>
  </si>
  <si>
    <t>na</t>
  </si>
  <si>
    <t>--- = insufficient marketing to establish a price.  (D) = Withheld to avoid disclosing data for individual operations.  na = not available.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</si>
  <si>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content of box varies.  </t>
    </r>
  </si>
  <si>
    <t xml:space="preserve">Approximate averages are as follows (lbs): Florida--85; California--64 through 1992/93, 1993/94-2009/10--67, 2010/11 onward--80; Texas--80; </t>
  </si>
  <si>
    <r>
      <t xml:space="preserve">and Arizona--64, beginning 1993/94--67.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</t>
    </r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</si>
  <si>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issues.</t>
    </r>
  </si>
  <si>
    <t xml:space="preserve">  Season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</si>
  <si>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</si>
  <si>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</si>
  <si>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</si>
  <si>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</si>
  <si>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</si>
  <si>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</si>
  <si>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</si>
  <si>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</si>
  <si>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</si>
  <si>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</si>
  <si>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</si>
  <si>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</si>
  <si>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r>
      <t xml:space="preserve">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  <family val="2"/>
      </rPr>
      <t>--</t>
    </r>
  </si>
  <si>
    <t xml:space="preserve"> 1988/89</t>
  </si>
  <si>
    <t xml:space="preserve"> 1989/90</t>
  </si>
  <si>
    <t xml:space="preserve"> 1990/91</t>
  </si>
  <si>
    <t>Table C-6--All grapefruit: Monthly equivalent-on-tree returns received by growers, California, 1980/81 to date</t>
  </si>
  <si>
    <r>
      <t xml:space="preserve">        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  <family val="2"/>
      </rPr>
      <t>--</t>
    </r>
  </si>
  <si>
    <t xml:space="preserve">       --</t>
  </si>
  <si>
    <t xml:space="preserve"> 2006/07 </t>
  </si>
  <si>
    <r>
      <t xml:space="preserve"> 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was 64 lbs, for desert areas; for marketing years 1993/94-2009/10, </t>
    </r>
  </si>
  <si>
    <t xml:space="preserve"> box weight is 67 lbs.  From 2010/11 onward, box weight is 80 lbs. </t>
  </si>
  <si>
    <t>Table C-7--All grapefruit: Monthly equivalent-on-tree returns received by growers, Florida, 1980/81 to date</t>
  </si>
  <si>
    <t xml:space="preserve">     ---</t>
  </si>
  <si>
    <t>Table C-8--All grapefruit: Monthly equivalent-on-tree returns received by growers, Texas, 1980/81 to date</t>
  </si>
  <si>
    <t>Table C-9--All grapefruit: Monthly equivalent-on-tree returns received by growers, United States, 1980/81 to date</t>
  </si>
  <si>
    <t>Sep</t>
  </si>
  <si>
    <t>--Dollars/box--</t>
  </si>
  <si>
    <t>Table C-10--Processed grapefruit: Florida, 1980/81 to date</t>
  </si>
  <si>
    <t>Frozen</t>
  </si>
  <si>
    <t xml:space="preserve">Chilled </t>
  </si>
  <si>
    <t>Other</t>
  </si>
  <si>
    <t xml:space="preserve"> Season</t>
  </si>
  <si>
    <t>concentrate</t>
  </si>
  <si>
    <t>juice</t>
  </si>
  <si>
    <r>
      <t xml:space="preserve">processed </t>
    </r>
    <r>
      <rPr>
        <vertAlign val="superscript"/>
        <sz val="8"/>
        <rFont val="Helvetica"/>
      </rPr>
      <t>1</t>
    </r>
  </si>
  <si>
    <t xml:space="preserve">              Total</t>
  </si>
  <si>
    <r>
      <t xml:space="preserve">-- 1,000 boxes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 xml:space="preserve"> --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</si>
  <si>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Beginning 1981/82 includes canned juices, blends, and sections and salads.  Beginning in 1996/97,  Florida Citrus Processors Association</t>
    </r>
  </si>
  <si>
    <t>moved residual processed use to other processed, and chilled product is now almost all not from concentrate juice.</t>
  </si>
  <si>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box weight 85 lbs.</t>
    </r>
  </si>
  <si>
    <t>Table C-11--Frozen concentrated grapefruit juice:  Processors' stocks, pack, supplies, and movement, Florida, 1980/81 to date</t>
  </si>
  <si>
    <t xml:space="preserve">Carryin </t>
  </si>
  <si>
    <t>Pack</t>
  </si>
  <si>
    <t>Supply</t>
  </si>
  <si>
    <t>Movement</t>
  </si>
  <si>
    <t>Ending inventory</t>
  </si>
  <si>
    <t>--Million gallons (40 degrees Brix)--</t>
  </si>
  <si>
    <t xml:space="preserve"> 2011/12 </t>
  </si>
  <si>
    <t xml:space="preserve"> 2012/13 </t>
  </si>
  <si>
    <t xml:space="preserve"> Brix is the sugar content in the liquid.</t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</si>
  <si>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</si>
  <si>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>Source:  Florida Citrus Processors Association; beginning 2005/06 data from Florida Department of Citrus.</t>
  </si>
  <si>
    <t>Table C-12--Chilled grapefruit juice:  Processors' stocks, pack, supplies, and movement, Florida, 1985/86 to date</t>
  </si>
  <si>
    <t>Domestic movement</t>
  </si>
  <si>
    <t>Exports</t>
  </si>
  <si>
    <t>--Million gallons (single strength)--</t>
  </si>
  <si>
    <t xml:space="preserve"> 2010/11 </t>
  </si>
  <si>
    <r>
      <t xml:space="preserve">na = not available.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</si>
  <si>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>Table C-13--Lemons: Acreage, yield per acre, and production, by State, 1980/81 to date</t>
  </si>
  <si>
    <r>
      <t xml:space="preserve">  Season </t>
    </r>
    <r>
      <rPr>
        <vertAlign val="superscript"/>
        <sz val="8"/>
        <rFont val="Helvetica"/>
      </rPr>
      <t>1</t>
    </r>
  </si>
  <si>
    <t>Production</t>
  </si>
  <si>
    <r>
      <t xml:space="preserve">Production </t>
    </r>
    <r>
      <rPr>
        <vertAlign val="superscript"/>
        <sz val="8"/>
        <rFont val="Helvetica"/>
      </rPr>
      <t>2</t>
    </r>
  </si>
  <si>
    <t>short tons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</si>
  <si>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September for Arizona and in August for California.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</t>
    </r>
  </si>
  <si>
    <t>Table C-14--Lemons: Utilization of production, by State, 1980/81 to date</t>
  </si>
  <si>
    <t>--1,000 short tons--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</si>
  <si>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beginning in August for California and September for Arizona.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</t>
    </r>
  </si>
  <si>
    <t>Table C-15--All lemons: Equivalent-on-tree returns, by State, 1980/81 to date</t>
  </si>
  <si>
    <t>Processing</t>
  </si>
  <si>
    <r>
      <t xml:space="preserve">--Dollars/box 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>--</t>
    </r>
  </si>
  <si>
    <t xml:space="preserve">1987/88 </t>
  </si>
  <si>
    <t xml:space="preserve">1989/90 </t>
  </si>
  <si>
    <t xml:space="preserve">1990/91 </t>
  </si>
  <si>
    <t>(D) = Withheld to avoid disclosing data for individual operations.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</si>
  <si>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September for Arizona and in August for California.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box weight is 76 lbs through marketing year 2009/10.  From 2010/11 onward, </t>
    </r>
  </si>
  <si>
    <t>net box weight is 80 lbs.</t>
  </si>
  <si>
    <t xml:space="preserve">     May</t>
  </si>
  <si>
    <r>
      <t xml:space="preserve"> --- = Insufficient marketing to establish price, or price not published to avoid disclosure of individual firms.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76 lbs through 2009/10.   </t>
    </r>
  </si>
  <si>
    <t>Beginning in 2010/11, net box weight is 80 lbs.</t>
  </si>
  <si>
    <t>Table C-17--All lemons: Monthly equivalent-on-tree returns received by growers, California, 1980/81 to date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</si>
  <si>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76 lbs through 2009/10. Beginning in 2010/11, net box weight is 80 lbs.</t>
    </r>
  </si>
  <si>
    <t>Table C-18--All lemons: Monthly equivalent-on-tree returns received by growers, United States, 1980/81 to date</t>
  </si>
  <si>
    <r>
      <t xml:space="preserve">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</rPr>
      <t>--</t>
    </r>
  </si>
  <si>
    <t>Table C-19--Oranges: Bearing acreage and yield per acre, by State, 1980/81 to date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</si>
  <si>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Due to the severe freeze of December 1983, no commercial</t>
    </r>
  </si>
  <si>
    <t>Table C-20--Oranges: Production by State, 1980/81 to date</t>
  </si>
  <si>
    <r>
      <t xml:space="preserve">                    </t>
    </r>
    <r>
      <rPr>
        <vertAlign val="superscript"/>
        <sz val="8"/>
        <rFont val="Helvetica"/>
      </rPr>
      <t>3</t>
    </r>
  </si>
  <si>
    <r>
      <t xml:space="preserve">                    </t>
    </r>
    <r>
      <rPr>
        <vertAlign val="superscript"/>
        <sz val="8"/>
        <rFont val="Helvetica"/>
      </rPr>
      <t>4</t>
    </r>
  </si>
  <si>
    <t xml:space="preserve">    na</t>
  </si>
  <si>
    <r>
      <rPr>
        <vertAlign val="superscript"/>
        <sz val="7.2"/>
        <rFont val="Helvetica"/>
      </rPr>
      <t>1</t>
    </r>
    <r>
      <rPr>
        <sz val="7.2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.2"/>
        <rFont val="Helvetica"/>
      </rPr>
      <t>2</t>
    </r>
    <r>
      <rPr>
        <sz val="7.2"/>
        <rFont val="Helvetica"/>
        <family val="2"/>
      </rPr>
      <t xml:space="preserve"> Some totals may not add due to rounding.  </t>
    </r>
  </si>
  <si>
    <r>
      <rPr>
        <vertAlign val="superscript"/>
        <sz val="7.2"/>
        <rFont val="Helvetica"/>
      </rPr>
      <t>3</t>
    </r>
    <r>
      <rPr>
        <sz val="7.2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.2"/>
        <rFont val="Helvetica"/>
      </rPr>
      <t>4</t>
    </r>
    <r>
      <rPr>
        <sz val="7.2"/>
        <rFont val="Helvetica"/>
        <family val="2"/>
      </rPr>
      <t xml:space="preserve"> Due to the severe freeze of December 1989, </t>
    </r>
  </si>
  <si>
    <t>no commercial supplies were harvested.</t>
  </si>
  <si>
    <t>Table C-21--Oranges: Utilization of production, by State, 1980/81 to date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</si>
  <si>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  </t>
    </r>
  </si>
  <si>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  </t>
    </r>
  </si>
  <si>
    <t xml:space="preserve">no commercial supplies were harvested.   </t>
  </si>
  <si>
    <t>Table C-22--All oranges: Equivalent-on-tree returns, by State, 1980/81 to date</t>
  </si>
  <si>
    <t>---</t>
  </si>
  <si>
    <t xml:space="preserve"> --- = Insufficient marketing to establish price, or price not published to avoid disclosure of individual firms. </t>
  </si>
  <si>
    <t xml:space="preserve">          ---</t>
  </si>
  <si>
    <r>
      <t xml:space="preserve"> --- = Insufficient marketing to establish price, or price not published to avoid disclosure of individual firms.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75 lbs.</t>
    </r>
  </si>
  <si>
    <t>Table C-24--All oranges: Monthly equivalent on-tree returns received by growers, California, 1980/81 to date</t>
  </si>
  <si>
    <t xml:space="preserve"> --- = Insufficient marketing to establish price, or price not published to avoid disclosure of individual firms.  </t>
  </si>
  <si>
    <r>
      <rPr>
        <vertAlign val="superscript"/>
        <sz val="7"/>
        <rFont val="Helvetica"/>
      </rPr>
      <t xml:space="preserve">1 </t>
    </r>
    <r>
      <rPr>
        <sz val="7"/>
        <rFont val="Helvetica"/>
        <family val="2"/>
      </rPr>
      <t>Net content of box is 75 lbs through 2009/10. From 2010/11, net content of box is 80 lbs.</t>
    </r>
  </si>
  <si>
    <t>Table C-25--All oranges: Monthly equivalent on-tree returns received by growers, Florida, 1980/81 to date</t>
  </si>
  <si>
    <r>
      <t xml:space="preserve"> ---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90 lbs.</t>
    </r>
  </si>
  <si>
    <r>
      <t xml:space="preserve">Source: USDA, National Agricultural Statistics Service, </t>
    </r>
    <r>
      <rPr>
        <i/>
        <sz val="8"/>
        <rFont val="Helvetica"/>
        <family val="2"/>
      </rPr>
      <t>Citrus Fruits Summary,</t>
    </r>
    <r>
      <rPr>
        <sz val="8"/>
        <rFont val="Helvetica"/>
        <family val="2"/>
      </rPr>
      <t xml:space="preserve"> various issues.</t>
    </r>
  </si>
  <si>
    <t>Table C-27--All oranges: Monthly equivalent on-tree returns received by growers, United States, 1980/81 to date</t>
  </si>
  <si>
    <t xml:space="preserve"> 2003/04 </t>
  </si>
  <si>
    <t xml:space="preserve"> 2004/05 </t>
  </si>
  <si>
    <r>
      <t xml:space="preserve">Table C-28--Processed oranges: Florida, 1980/81 to date </t>
    </r>
    <r>
      <rPr>
        <vertAlign val="superscript"/>
        <sz val="8"/>
        <rFont val="Helvetica"/>
      </rPr>
      <t>1</t>
    </r>
  </si>
  <si>
    <r>
      <t xml:space="preserve"> Season </t>
    </r>
    <r>
      <rPr>
        <vertAlign val="superscript"/>
        <sz val="8"/>
        <rFont val="Helvetica"/>
      </rPr>
      <t>2</t>
    </r>
  </si>
  <si>
    <t>Frozen concentrate</t>
  </si>
  <si>
    <r>
      <t xml:space="preserve">Chilled products </t>
    </r>
    <r>
      <rPr>
        <vertAlign val="superscript"/>
        <sz val="8"/>
        <rFont val="Helvetica"/>
      </rPr>
      <t>3</t>
    </r>
  </si>
  <si>
    <r>
      <t xml:space="preserve">Other processed </t>
    </r>
    <r>
      <rPr>
        <vertAlign val="superscript"/>
        <sz val="8"/>
        <rFont val="Helvetica"/>
      </rPr>
      <t>4</t>
    </r>
  </si>
  <si>
    <t>Total</t>
  </si>
  <si>
    <r>
      <t xml:space="preserve">---1,000 boxes </t>
    </r>
    <r>
      <rPr>
        <i/>
        <vertAlign val="superscript"/>
        <sz val="8"/>
        <rFont val="Helvetica"/>
      </rPr>
      <t>5</t>
    </r>
    <r>
      <rPr>
        <i/>
        <sz val="8"/>
        <rFont val="Helvetica"/>
        <family val="2"/>
      </rPr>
      <t>---</t>
    </r>
  </si>
  <si>
    <t xml:space="preserve"> 1995/96 </t>
  </si>
  <si>
    <r>
      <t xml:space="preserve">na = not available.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Includes tangelos, Temples, tangerines, and K-early citrus.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As of 1998/99, season begins October 1, prior to then it began </t>
    </r>
  </si>
  <si>
    <r>
      <t xml:space="preserve">in December.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 Beginning in 1996/97, chilled product is all juice, and tangerines are excluded from the data.</t>
    </r>
  </si>
  <si>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Beginning 1981/82 includes cannery juice, blend, and sections and salads. </t>
    </r>
    <r>
      <rPr>
        <vertAlign val="superscript"/>
        <sz val="7"/>
        <rFont val="Helvetica"/>
      </rPr>
      <t>5</t>
    </r>
    <r>
      <rPr>
        <sz val="7"/>
        <rFont val="Helvetica"/>
        <family val="2"/>
      </rPr>
      <t xml:space="preserve"> Net box weight is 90 lbs.  </t>
    </r>
  </si>
  <si>
    <t>Table C-29--Frozen concentrated orange juice:  Processors' stocks, pack, supplies, and movement, Florida, 1980/81 to date</t>
  </si>
  <si>
    <r>
      <t xml:space="preserve">Pack </t>
    </r>
    <r>
      <rPr>
        <vertAlign val="superscript"/>
        <sz val="8"/>
        <rFont val="Helvetica"/>
      </rPr>
      <t>2</t>
    </r>
  </si>
  <si>
    <r>
      <t xml:space="preserve">Supply </t>
    </r>
    <r>
      <rPr>
        <vertAlign val="superscript"/>
        <sz val="8"/>
        <rFont val="Helvetica"/>
      </rPr>
      <t>3</t>
    </r>
  </si>
  <si>
    <t>--Million gallons (42 degrees Brix)--</t>
  </si>
  <si>
    <r>
      <rPr>
        <vertAlign val="superscript"/>
        <sz val="7.2"/>
        <rFont val="Helvetica"/>
      </rPr>
      <t>1</t>
    </r>
    <r>
      <rPr>
        <sz val="7.2"/>
        <rFont val="Helvetica"/>
        <family val="2"/>
      </rPr>
      <t xml:space="preserve">  As of 1998/99, season begins in October; prior to then it began in December.  </t>
    </r>
    <r>
      <rPr>
        <vertAlign val="superscript"/>
        <sz val="7.2"/>
        <rFont val="Helvetica"/>
      </rPr>
      <t>2</t>
    </r>
    <r>
      <rPr>
        <sz val="7.2"/>
        <rFont val="Helvetica"/>
        <family val="2"/>
      </rPr>
      <t xml:space="preserve"> Includes reprocessed frozen concentrated tangerine juice, </t>
    </r>
  </si>
  <si>
    <t xml:space="preserve">domestic receipts, foreign imports, net loss or gain during reprocessing, Florida product received from nonmembers, product received by members </t>
  </si>
  <si>
    <r>
      <t xml:space="preserve">in fulfillment of futures contracts, and chilled orange juice used in frozen concentrate orange juice. </t>
    </r>
    <r>
      <rPr>
        <vertAlign val="superscript"/>
        <sz val="7.2"/>
        <rFont val="Helvetica"/>
      </rPr>
      <t>3</t>
    </r>
    <r>
      <rPr>
        <sz val="7.2"/>
        <rFont val="Helvetica"/>
        <family val="2"/>
      </rPr>
      <t xml:space="preserve"> Some figures may not add due to rounding.  </t>
    </r>
  </si>
  <si>
    <t>Table C-30--Chilled orange juice:  Processors' stocks, pack, supplies, and movement, Florida, 1985/86 to date</t>
  </si>
  <si>
    <t xml:space="preserve">Pack  </t>
  </si>
  <si>
    <t xml:space="preserve">    Supply  </t>
  </si>
  <si>
    <t xml:space="preserve">     Domestic</t>
  </si>
  <si>
    <t xml:space="preserve">     Exports</t>
  </si>
  <si>
    <t xml:space="preserve">     Ending</t>
  </si>
  <si>
    <t xml:space="preserve">     movement</t>
  </si>
  <si>
    <t xml:space="preserve">    inventory</t>
  </si>
  <si>
    <t xml:space="preserve">          na</t>
  </si>
  <si>
    <t xml:space="preserve">na = not available.  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</si>
  <si>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</si>
  <si>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 xml:space="preserve">Table C-1--Grapefruit: Bearing acreage and yield per acre, by State, 1980/81 to date </t>
  </si>
  <si>
    <t>Table C-2--Grapefruit: Production by State, 1980/81 to date</t>
  </si>
  <si>
    <t>Table C-11--Frozen concentrated grapefruit juice: stocks, pack, supplies, and movement, Florida, 1980/81 to date</t>
  </si>
  <si>
    <t>Table C-12--Chilled grapefruit juice: Processors' stocks, pack, supplies, and movement, Florida, 1985/86 to date</t>
  </si>
  <si>
    <t>Table C-28--Processed oranges: Florida, 1980/81 to date</t>
  </si>
  <si>
    <t>Table C-29--Frozen concentrated orange juice: stocks, pack, supplies, and movement, Florida, 1980/81 to date</t>
  </si>
  <si>
    <t>Table C-30--Chilled orange juice: Processors' stocks, pack, supplies, and movement, Florida, 1985/86 to date</t>
  </si>
  <si>
    <r>
      <t xml:space="preserve">     </t>
    </r>
    <r>
      <rPr>
        <vertAlign val="superscript"/>
        <sz val="8"/>
        <rFont val="Helvetica"/>
      </rPr>
      <t>2</t>
    </r>
  </si>
  <si>
    <r>
      <t xml:space="preserve">     </t>
    </r>
    <r>
      <rPr>
        <vertAlign val="superscript"/>
        <sz val="8"/>
        <rFont val="Helvetica"/>
      </rPr>
      <t>3</t>
    </r>
  </si>
  <si>
    <r>
      <t xml:space="preserve"> no commercial supplies were harvested.</t>
    </r>
    <r>
      <rPr>
        <vertAlign val="superscript"/>
        <sz val="7"/>
        <rFont val="Helvetica"/>
      </rPr>
      <t xml:space="preserve"> 3 </t>
    </r>
    <r>
      <rPr>
        <sz val="7"/>
        <rFont val="Helvetica"/>
        <family val="2"/>
      </rPr>
      <t>Due to the severe freeze of December 1989, no commercial supplies were harvested.</t>
    </r>
  </si>
  <si>
    <r>
      <t xml:space="preserve">                   </t>
    </r>
    <r>
      <rPr>
        <vertAlign val="superscript"/>
        <sz val="8"/>
        <rFont val="Helvetica"/>
      </rPr>
      <t xml:space="preserve"> 4</t>
    </r>
  </si>
  <si>
    <r>
      <t xml:space="preserve">        </t>
    </r>
    <r>
      <rPr>
        <vertAlign val="superscript"/>
        <sz val="8"/>
        <rFont val="Helvetica"/>
      </rPr>
      <t>4</t>
    </r>
  </si>
  <si>
    <r>
      <t xml:space="preserve">            </t>
    </r>
    <r>
      <rPr>
        <vertAlign val="superscript"/>
        <sz val="8"/>
        <rFont val="Helvetica"/>
      </rPr>
      <t>3</t>
    </r>
  </si>
  <si>
    <r>
      <t xml:space="preserve">            </t>
    </r>
    <r>
      <rPr>
        <vertAlign val="superscript"/>
        <sz val="8"/>
        <rFont val="Helvetica"/>
      </rPr>
      <t>4</t>
    </r>
  </si>
  <si>
    <r>
      <t xml:space="preserve">         </t>
    </r>
    <r>
      <rPr>
        <vertAlign val="superscript"/>
        <sz val="8"/>
        <rFont val="Helvetica"/>
      </rPr>
      <t>3</t>
    </r>
  </si>
  <si>
    <r>
      <t xml:space="preserve">         </t>
    </r>
    <r>
      <rPr>
        <vertAlign val="superscript"/>
        <sz val="8"/>
        <rFont val="Helvetica"/>
      </rPr>
      <t>4</t>
    </r>
  </si>
  <si>
    <t>various issues.</t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</si>
  <si>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 and Florida Department of Citrus, </t>
    </r>
    <r>
      <rPr>
        <i/>
        <sz val="7"/>
        <rFont val="Helvetica"/>
      </rPr>
      <t>Weekly Processors Reports,</t>
    </r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</si>
  <si>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 and Florida Department of Citrus,</t>
    </r>
  </si>
  <si>
    <r>
      <t xml:space="preserve">Ending inventory </t>
    </r>
    <r>
      <rPr>
        <vertAlign val="superscript"/>
        <sz val="8"/>
        <rFont val="Helvetica"/>
      </rPr>
      <t>3</t>
    </r>
  </si>
  <si>
    <r>
      <rPr>
        <i/>
        <sz val="7"/>
        <rFont val="H"/>
      </rPr>
      <t>Weekly Processors Report</t>
    </r>
    <r>
      <rPr>
        <sz val="7"/>
        <rFont val="H"/>
      </rPr>
      <t xml:space="preserve">s, various issues. </t>
    </r>
  </si>
  <si>
    <t>2015/16</t>
  </si>
  <si>
    <t xml:space="preserve"> 2015/16</t>
  </si>
  <si>
    <t xml:space="preserve"> 2014/15 </t>
  </si>
  <si>
    <t>Table C-26--All oranges: Monthly equivalent on-tree returns received by growers, Texas, 1980/81 to date</t>
  </si>
  <si>
    <t>Table C-5--All grapefruit: Monthly equivalent-on-tree returns received by growers, Arizona, 1980/81 to 2011/12</t>
  </si>
  <si>
    <t>Table C-16--All lemons: Monthly equivalent-on-tree returns received by growers, Arizona, 1980/81 to 2013/14</t>
  </si>
  <si>
    <t>Table C-5--All grapefruit: Monthly equivalent-on-tree returns received by growers, Arizona, 1980/81 to 20011/12</t>
  </si>
  <si>
    <t>Table C-23--All oranges: Monthly equivalent-on-tree returns received by growers, Arizona, 1980/81 to 2013/14</t>
  </si>
  <si>
    <t xml:space="preserve"> 2016/17</t>
  </si>
  <si>
    <t>2016/17</t>
  </si>
  <si>
    <t>--</t>
  </si>
  <si>
    <r>
      <t xml:space="preserve"> --- = Insufficient marketing to establish price.</t>
    </r>
    <r>
      <rPr>
        <sz val="7"/>
        <rFont val="Helvetica"/>
        <family val="2"/>
      </rPr>
      <t xml:space="preserve"> </t>
    </r>
  </si>
  <si>
    <r>
      <t xml:space="preserve"> --Dollars/box </t>
    </r>
    <r>
      <rPr>
        <i/>
        <vertAlign val="superscript"/>
        <sz val="8"/>
        <rFont val="Helvetica"/>
      </rPr>
      <t>2</t>
    </r>
    <r>
      <rPr>
        <i/>
        <sz val="8"/>
        <rFont val="Helvetica"/>
      </rPr>
      <t>--</t>
    </r>
  </si>
  <si>
    <r>
      <t xml:space="preserve">Source: USDA, National Agricultural Statistics Service, </t>
    </r>
    <r>
      <rPr>
        <i/>
        <sz val="7"/>
        <rFont val="Helvetica"/>
      </rPr>
      <t>Citrus Fruits Summary,</t>
    </r>
    <r>
      <rPr>
        <sz val="7"/>
        <rFont val="Helvetica"/>
      </rPr>
      <t xml:space="preserve"> various issues.</t>
    </r>
  </si>
  <si>
    <t xml:space="preserve"> 2015/16 </t>
  </si>
  <si>
    <r>
      <t xml:space="preserve"> -- = Insufficient marketing to establish price. </t>
    </r>
    <r>
      <rPr>
        <vertAlign val="superscript"/>
        <sz val="7"/>
        <rFont val="Helvetica"/>
        <family val="2"/>
      </rPr>
      <t>1</t>
    </r>
    <r>
      <rPr>
        <sz val="7"/>
        <rFont val="Helvetica"/>
        <family val="2"/>
      </rPr>
      <t xml:space="preserve"> Net content of box is 85 lbs.</t>
    </r>
  </si>
  <si>
    <t xml:space="preserve">       3</t>
  </si>
  <si>
    <t xml:space="preserve">       4</t>
  </si>
  <si>
    <r>
      <rPr>
        <vertAlign val="superscript"/>
        <sz val="8"/>
        <rFont val="Helvetica"/>
      </rPr>
      <t>1</t>
    </r>
    <r>
      <rPr>
        <sz val="8"/>
        <rFont val="Helvetica"/>
      </rPr>
      <t xml:space="preserve"> </t>
    </r>
    <r>
      <rPr>
        <sz val="7"/>
        <rFont val="Helvetica"/>
      </rPr>
      <t xml:space="preserve">Season begins in November for Arizona and California, and in October for Florida and Texas. </t>
    </r>
    <r>
      <rPr>
        <vertAlign val="superscript"/>
        <sz val="8"/>
        <rFont val="Helvetica"/>
      </rPr>
      <t>2</t>
    </r>
    <r>
      <rPr>
        <sz val="7"/>
        <rFont val="Helvetica"/>
      </rPr>
      <t xml:space="preserve"> Net content of box varies. Approximate averages are as   </t>
    </r>
  </si>
  <si>
    <r>
      <t xml:space="preserve">follows (lbs): Florida--90; California and Arizona through 2009/10--75, 2010/11 onward--80; and Texas--85. </t>
    </r>
    <r>
      <rPr>
        <vertAlign val="superscript"/>
        <sz val="8"/>
        <rFont val="Helvetica"/>
      </rPr>
      <t>3</t>
    </r>
    <r>
      <rPr>
        <sz val="7"/>
        <rFont val="Helvetica"/>
      </rPr>
      <t xml:space="preserve"> Due to the severe freeze of December 1983, no</t>
    </r>
  </si>
  <si>
    <r>
      <t xml:space="preserve">commercial supplies were harvested. </t>
    </r>
    <r>
      <rPr>
        <vertAlign val="superscript"/>
        <sz val="8"/>
        <rFont val="Helvetica"/>
      </rPr>
      <t>4</t>
    </r>
    <r>
      <rPr>
        <sz val="7"/>
        <rFont val="Helvetica"/>
      </rPr>
      <t xml:space="preserve"> Due to the severe freeze of December 1989, no commercial supplies were harvested.   </t>
    </r>
  </si>
  <si>
    <t>Citrus Fruit: Production, bearing acreage, yield per acre, equivalent-on-tree returns, and juice stock, pack, and movement</t>
  </si>
  <si>
    <t xml:space="preserve"> 2017/18</t>
  </si>
  <si>
    <t>2017/18</t>
  </si>
  <si>
    <t xml:space="preserve"> 2017/18 </t>
  </si>
  <si>
    <r>
      <t xml:space="preserve"> ---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was 64 lbs, beginning with the 1993/94 season, box weight is 67 lbs.</t>
    </r>
  </si>
  <si>
    <r>
      <t xml:space="preserve">      </t>
    </r>
    <r>
      <rPr>
        <vertAlign val="superscript"/>
        <sz val="8"/>
        <rFont val="Helvetica"/>
      </rPr>
      <t xml:space="preserve">   2</t>
    </r>
  </si>
  <si>
    <r>
      <t xml:space="preserve">      </t>
    </r>
    <r>
      <rPr>
        <vertAlign val="superscript"/>
        <sz val="8"/>
        <rFont val="Helvetica"/>
      </rPr>
      <t xml:space="preserve">   3</t>
    </r>
  </si>
  <si>
    <r>
      <t xml:space="preserve">supplies were harvested. </t>
    </r>
    <r>
      <rPr>
        <vertAlign val="superscript"/>
        <sz val="7"/>
        <rFont val="Helvetica"/>
      </rPr>
      <t xml:space="preserve"> 3 </t>
    </r>
    <r>
      <rPr>
        <sz val="7"/>
        <rFont val="Helvetica"/>
        <family val="2"/>
      </rPr>
      <t>Due to the severe freeze of December 1989, no commercial supplies were harvested.</t>
    </r>
  </si>
  <si>
    <t xml:space="preserve"> 2018/19</t>
  </si>
  <si>
    <t>2018/19</t>
  </si>
  <si>
    <t xml:space="preserve">       (D)</t>
  </si>
  <si>
    <r>
      <t xml:space="preserve"> --- = Insufficient marketing to establish price. (D) = Withheld to avoid disclosing data for individual operations. </t>
    </r>
    <r>
      <rPr>
        <vertAlign val="superscript"/>
        <sz val="7"/>
        <rFont val="Helvetica"/>
        <family val="2"/>
      </rPr>
      <t>1</t>
    </r>
    <r>
      <rPr>
        <sz val="7"/>
        <rFont val="Helvetica"/>
        <family val="2"/>
      </rPr>
      <t xml:space="preserve"> Net content of box is 80 lbs.  </t>
    </r>
  </si>
  <si>
    <r>
      <t xml:space="preserve"> </t>
    </r>
    <r>
      <rPr>
        <vertAlign val="superscript"/>
        <sz val="8"/>
        <rFont val="Helvetica"/>
      </rPr>
      <t>1</t>
    </r>
    <r>
      <rPr>
        <sz val="8"/>
        <rFont val="Helvetica"/>
        <family val="2"/>
      </rPr>
      <t xml:space="preserve"> Net content of box is 85 lbs.</t>
    </r>
  </si>
  <si>
    <t xml:space="preserve"> --- = Insufficient marketing to establish price. </t>
  </si>
  <si>
    <t xml:space="preserve"> 2018/19 </t>
  </si>
  <si>
    <t>freeze of December 1989, no commercial supplies were harvested.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</si>
</sst>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3" formatCode="_(* #,##0.00_);_(* \(#,##0.00\);_(* &quot;-&quot;??_);_(@_)"/>
    <numFmt numFmtId="164" formatCode="0.0___)"/>
    <numFmt numFmtId="165" formatCode="0.00___)"/>
    <numFmt numFmtId="166" formatCode="0.0"/>
    <numFmt numFmtId="167" formatCode="0.0_)"/>
    <numFmt numFmtId="168" formatCode="#,##0_____________)"/>
    <numFmt numFmtId="169" formatCode="#,##0_______________)"/>
    <numFmt numFmtId="170" formatCode="#,##0___)"/>
    <numFmt numFmtId="171" formatCode="#,##0_____)"/>
    <numFmt numFmtId="172" formatCode="0.00_)"/>
    <numFmt numFmtId="173" formatCode="0.00_____)"/>
    <numFmt numFmtId="174" formatCode="0.000_)"/>
    <numFmt numFmtId="175" formatCode="#,##0_________)"/>
    <numFmt numFmtId="176" formatCode="#,##0___________)"/>
    <numFmt numFmtId="177" formatCode="0.0_______________)"/>
    <numFmt numFmtId="178" formatCode="0.000"/>
    <numFmt numFmtId="179" formatCode="0.0000000"/>
    <numFmt numFmtId="180" formatCode="0.00000"/>
    <numFmt numFmtId="181" formatCode="0.0000000000000"/>
    <numFmt numFmtId="182" formatCode="0.0_____)"/>
    <numFmt numFmtId="183" formatCode="#,##0_______)"/>
    <numFmt numFmtId="184" formatCode="#,##0___________________)"/>
    <numFmt numFmtId="185" formatCode="#,##0_________________)"/>
    <numFmt numFmtId="186" formatCode="#,##0.0_______________)"/>
    <numFmt numFmtId="187" formatCode="#,##0.00000"/>
    <numFmt numFmtId="188" formatCode="#,##0.000000"/>
    <numFmt numFmtId="189" formatCode="#,##0.000000000000"/>
    <numFmt numFmtId="190" formatCode="_(* #,##0_);_(* \(#,##0\);_(* &quot;-&quot;??_);_(@_)"/>
  </numFmts>
  <fonts count="31">
    <font>
      <sz val="9"/>
      <name val="Arial MT"/>
    </font>
    <font>
      <sz val="8"/>
      <name val="Helvetica"/>
      <family val="2"/>
    </font>
    <font>
      <i/>
      <sz val="8"/>
      <name val="Helvetica"/>
      <family val="2"/>
    </font>
    <font>
      <sz val="7"/>
      <name val="Helvetica"/>
      <family val="2"/>
    </font>
    <font>
      <i/>
      <sz val="7"/>
      <name val="Helvetica"/>
      <family val="2"/>
    </font>
    <font>
      <sz val="10"/>
      <name val="Arial"/>
      <family val="2"/>
    </font>
    <font>
      <sz val="12"/>
      <name val="Arial MT"/>
    </font>
    <font>
      <vertAlign val="superscript"/>
      <sz val="8"/>
      <name val="Helvetica"/>
    </font>
    <font>
      <vertAlign val="superscript"/>
      <sz val="7"/>
      <name val="Helvetica"/>
    </font>
    <font>
      <sz val="8"/>
      <name val="AvantGarde"/>
      <family val="2"/>
    </font>
    <font>
      <sz val="9"/>
      <name val="Helvetica"/>
      <family val="2"/>
    </font>
    <font>
      <sz val="7"/>
      <name val="Arial MT"/>
    </font>
    <font>
      <i/>
      <vertAlign val="superscript"/>
      <sz val="8"/>
      <name val="Helvetica"/>
    </font>
    <font>
      <sz val="7"/>
      <name val="Helvetica"/>
    </font>
    <font>
      <sz val="8"/>
      <name val="Arial MT"/>
    </font>
    <font>
      <i/>
      <sz val="8"/>
      <name val="Helvetica"/>
    </font>
    <font>
      <sz val="12"/>
      <name val="Helvetica"/>
      <family val="2"/>
    </font>
    <font>
      <sz val="7.2"/>
      <name val="Helvetica"/>
      <family val="2"/>
    </font>
    <font>
      <vertAlign val="superscript"/>
      <sz val="7.2"/>
      <name val="Helvetica"/>
    </font>
    <font>
      <sz val="7.2"/>
      <name val="Helvetica"/>
    </font>
    <font>
      <sz val="8"/>
      <color theme="1"/>
      <name val="Helvetica"/>
      <family val="2"/>
    </font>
    <font>
      <b/>
      <sz val="9"/>
      <name val="Arial MT"/>
    </font>
    <font>
      <u/>
      <sz val="9"/>
      <color theme="10"/>
      <name val="Arial MT"/>
    </font>
    <font>
      <i/>
      <sz val="7"/>
      <name val="Helvetica"/>
    </font>
    <font>
      <sz val="7"/>
      <name val="H"/>
    </font>
    <font>
      <i/>
      <sz val="7"/>
      <name val="H"/>
    </font>
    <font>
      <sz val="8"/>
      <name val="Helvetica"/>
    </font>
    <font>
      <sz val="9"/>
      <name val="Helvetica"/>
    </font>
    <font>
      <vertAlign val="superscript"/>
      <sz val="7"/>
      <name val="Helvetica"/>
      <family val="2"/>
    </font>
    <font>
      <vertAlign val="superscript"/>
      <sz val="9"/>
      <name val="Helvetica"/>
    </font>
    <font>
      <sz val="9"/>
      <name val="Arial M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22" fillId="0" borderId="0" applyNumberFormat="0" applyFill="0" applyBorder="0" applyAlignment="0" applyProtection="0"/>
    <xf numFmtId="43" fontId="30" fillId="0" borderId="0" applyFont="0" applyFill="0" applyBorder="0" applyAlignment="0" applyProtection="0"/>
  </cellStyleXfs>
  <cellXfs count="48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Protection="1"/>
    <xf numFmtId="165" fontId="1" fillId="0" borderId="0" xfId="0" applyNumberFormat="1" applyFont="1" applyProtection="1"/>
    <xf numFmtId="164" fontId="1" fillId="0" borderId="0" xfId="0" applyNumberFormat="1" applyFont="1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Protection="1"/>
    <xf numFmtId="165" fontId="1" fillId="0" borderId="0" xfId="0" applyNumberFormat="1" applyFont="1" applyBorder="1" applyProtection="1"/>
    <xf numFmtId="166" fontId="0" fillId="0" borderId="0" xfId="0" applyNumberFormat="1"/>
    <xf numFmtId="0" fontId="1" fillId="0" borderId="0" xfId="0" quotePrefix="1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 applyProtection="1"/>
    <xf numFmtId="165" fontId="1" fillId="0" borderId="0" xfId="0" applyNumberFormat="1" applyFont="1" applyFill="1" applyBorder="1" applyProtection="1"/>
    <xf numFmtId="0" fontId="0" fillId="0" borderId="0" xfId="0" applyFill="1"/>
    <xf numFmtId="164" fontId="1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1" fillId="0" borderId="2" xfId="0" applyFont="1" applyFill="1" applyBorder="1"/>
    <xf numFmtId="164" fontId="1" fillId="0" borderId="2" xfId="0" applyNumberFormat="1" applyFont="1" applyFill="1" applyBorder="1" applyProtection="1"/>
    <xf numFmtId="165" fontId="1" fillId="0" borderId="2" xfId="0" applyNumberFormat="1" applyFont="1" applyFill="1" applyBorder="1" applyProtection="1"/>
    <xf numFmtId="164" fontId="1" fillId="0" borderId="2" xfId="0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164" fontId="3" fillId="0" borderId="0" xfId="0" quotePrefix="1" applyNumberFormat="1" applyFont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67" fontId="1" fillId="0" borderId="0" xfId="0" applyNumberFormat="1" applyFont="1" applyProtection="1"/>
    <xf numFmtId="167" fontId="0" fillId="0" borderId="0" xfId="0" applyNumberFormat="1" applyProtection="1"/>
    <xf numFmtId="0" fontId="1" fillId="0" borderId="0" xfId="0" quotePrefix="1" applyFont="1" applyFill="1" applyBorder="1" applyAlignment="1">
      <alignment horizontal="left"/>
    </xf>
    <xf numFmtId="0" fontId="1" fillId="0" borderId="2" xfId="0" quotePrefix="1" applyFont="1" applyFill="1" applyBorder="1" applyAlignment="1">
      <alignment horizontal="left"/>
    </xf>
    <xf numFmtId="49" fontId="1" fillId="0" borderId="0" xfId="0" quotePrefix="1" applyNumberFormat="1" applyFont="1" applyAlignment="1" applyProtection="1">
      <alignment horizontal="left"/>
    </xf>
    <xf numFmtId="0" fontId="2" fillId="0" borderId="0" xfId="0" quotePrefix="1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 indent="1"/>
    </xf>
    <xf numFmtId="168" fontId="1" fillId="0" borderId="0" xfId="0" applyNumberFormat="1" applyFont="1" applyProtection="1"/>
    <xf numFmtId="169" fontId="1" fillId="0" borderId="0" xfId="0" applyNumberFormat="1" applyFont="1" applyProtection="1"/>
    <xf numFmtId="169" fontId="1" fillId="0" borderId="0" xfId="0" applyNumberFormat="1" applyFont="1" applyAlignment="1" applyProtection="1">
      <alignment horizontal="right"/>
    </xf>
    <xf numFmtId="0" fontId="1" fillId="0" borderId="0" xfId="0" applyFont="1" applyBorder="1" applyAlignment="1">
      <alignment horizontal="left" indent="1"/>
    </xf>
    <xf numFmtId="168" fontId="1" fillId="0" borderId="0" xfId="0" applyNumberFormat="1" applyFont="1" applyBorder="1" applyProtection="1"/>
    <xf numFmtId="169" fontId="1" fillId="0" borderId="0" xfId="0" applyNumberFormat="1" applyFont="1" applyBorder="1" applyProtection="1"/>
    <xf numFmtId="0" fontId="1" fillId="0" borderId="0" xfId="0" quotePrefix="1" applyFont="1" applyBorder="1" applyAlignment="1">
      <alignment horizontal="left" indent="1"/>
    </xf>
    <xf numFmtId="168" fontId="0" fillId="0" borderId="0" xfId="0" applyNumberFormat="1"/>
    <xf numFmtId="169" fontId="1" fillId="0" borderId="0" xfId="0" quotePrefix="1" applyNumberFormat="1" applyFont="1" applyBorder="1" applyAlignment="1" applyProtection="1">
      <alignment horizontal="center"/>
    </xf>
    <xf numFmtId="168" fontId="0" fillId="0" borderId="0" xfId="0" applyNumberFormat="1" applyBorder="1"/>
    <xf numFmtId="0" fontId="0" fillId="0" borderId="0" xfId="0" applyBorder="1"/>
    <xf numFmtId="0" fontId="1" fillId="0" borderId="2" xfId="0" applyFont="1" applyBorder="1" applyAlignment="1">
      <alignment horizontal="left" indent="1"/>
    </xf>
    <xf numFmtId="168" fontId="1" fillId="0" borderId="2" xfId="0" applyNumberFormat="1" applyFont="1" applyBorder="1" applyProtection="1"/>
    <xf numFmtId="169" fontId="1" fillId="0" borderId="2" xfId="0" applyNumberFormat="1" applyFont="1" applyBorder="1" applyProtection="1"/>
    <xf numFmtId="169" fontId="1" fillId="0" borderId="2" xfId="0" quotePrefix="1" applyNumberFormat="1" applyFont="1" applyBorder="1" applyAlignment="1" applyProtection="1">
      <alignment horizontal="center"/>
    </xf>
    <xf numFmtId="0" fontId="3" fillId="0" borderId="0" xfId="0" applyFont="1" applyBorder="1" applyAlignment="1"/>
    <xf numFmtId="168" fontId="3" fillId="0" borderId="0" xfId="0" applyNumberFormat="1" applyFont="1" applyBorder="1" applyProtection="1"/>
    <xf numFmtId="169" fontId="3" fillId="0" borderId="0" xfId="0" applyNumberFormat="1" applyFont="1" applyBorder="1" applyProtection="1"/>
    <xf numFmtId="169" fontId="3" fillId="0" borderId="0" xfId="0" quotePrefix="1" applyNumberFormat="1" applyFont="1" applyBorder="1" applyAlignment="1" applyProtection="1">
      <alignment horizontal="center"/>
    </xf>
    <xf numFmtId="0" fontId="9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0" fontId="1" fillId="0" borderId="0" xfId="0" applyNumberFormat="1" applyFont="1" applyProtection="1"/>
    <xf numFmtId="171" fontId="1" fillId="0" borderId="0" xfId="0" applyNumberFormat="1" applyFont="1" applyProtection="1"/>
    <xf numFmtId="49" fontId="1" fillId="0" borderId="0" xfId="0" applyNumberFormat="1" applyFont="1" applyAlignment="1" applyProtection="1">
      <alignment horizontal="left"/>
    </xf>
    <xf numFmtId="171" fontId="1" fillId="0" borderId="0" xfId="0" applyNumberFormat="1" applyFont="1" applyAlignment="1" applyProtection="1">
      <alignment horizontal="left"/>
    </xf>
    <xf numFmtId="37" fontId="0" fillId="0" borderId="0" xfId="0" applyNumberFormat="1" applyProtection="1"/>
    <xf numFmtId="170" fontId="1" fillId="0" borderId="0" xfId="0" applyNumberFormat="1" applyFont="1" applyBorder="1" applyProtection="1"/>
    <xf numFmtId="171" fontId="1" fillId="0" borderId="0" xfId="0" applyNumberFormat="1" applyFont="1" applyBorder="1" applyProtection="1"/>
    <xf numFmtId="170" fontId="1" fillId="0" borderId="0" xfId="0" applyNumberFormat="1" applyFont="1" applyFill="1" applyBorder="1" applyProtection="1"/>
    <xf numFmtId="171" fontId="1" fillId="0" borderId="0" xfId="0" applyNumberFormat="1" applyFont="1" applyFill="1" applyBorder="1" applyProtection="1"/>
    <xf numFmtId="49" fontId="1" fillId="0" borderId="0" xfId="0" quotePrefix="1" applyNumberFormat="1" applyFont="1" applyBorder="1" applyAlignment="1" applyProtection="1">
      <alignment horizontal="left"/>
    </xf>
    <xf numFmtId="170" fontId="1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 applyBorder="1"/>
    <xf numFmtId="37" fontId="0" fillId="0" borderId="0" xfId="0" applyNumberFormat="1" applyFill="1" applyBorder="1" applyProtection="1"/>
    <xf numFmtId="0" fontId="9" fillId="0" borderId="0" xfId="0" applyFont="1" applyFill="1"/>
    <xf numFmtId="37" fontId="0" fillId="0" borderId="0" xfId="0" applyNumberFormat="1" applyFill="1" applyProtection="1"/>
    <xf numFmtId="171" fontId="1" fillId="0" borderId="0" xfId="0" quotePrefix="1" applyNumberFormat="1" applyFont="1" applyFill="1" applyBorder="1" applyAlignment="1" applyProtection="1">
      <alignment horizontal="left"/>
    </xf>
    <xf numFmtId="0" fontId="1" fillId="0" borderId="2" xfId="0" applyFont="1" applyFill="1" applyBorder="1" applyAlignment="1">
      <alignment horizontal="left"/>
    </xf>
    <xf numFmtId="170" fontId="1" fillId="0" borderId="2" xfId="0" applyNumberFormat="1" applyFont="1" applyFill="1" applyBorder="1" applyProtection="1"/>
    <xf numFmtId="171" fontId="1" fillId="0" borderId="2" xfId="0" applyNumberFormat="1" applyFont="1" applyFill="1" applyBorder="1" applyProtection="1"/>
    <xf numFmtId="170" fontId="1" fillId="0" borderId="2" xfId="0" applyNumberFormat="1" applyFont="1" applyFill="1" applyBorder="1" applyAlignment="1" applyProtection="1">
      <alignment horizontal="center"/>
    </xf>
    <xf numFmtId="170" fontId="3" fillId="0" borderId="0" xfId="0" applyNumberFormat="1" applyFont="1" applyBorder="1" applyProtection="1"/>
    <xf numFmtId="171" fontId="1" fillId="0" borderId="0" xfId="0" quotePrefix="1" applyNumberFormat="1" applyFont="1" applyBorder="1" applyAlignment="1" applyProtection="1">
      <alignment horizontal="left"/>
    </xf>
    <xf numFmtId="170" fontId="1" fillId="0" borderId="0" xfId="0" quotePrefix="1" applyNumberFormat="1" applyFont="1" applyBorder="1" applyAlignment="1" applyProtection="1">
      <alignment horizontal="center"/>
    </xf>
    <xf numFmtId="171" fontId="1" fillId="0" borderId="0" xfId="0" quotePrefix="1" applyNumberFormat="1" applyFont="1" applyBorder="1" applyAlignment="1" applyProtection="1">
      <alignment horizontal="center"/>
    </xf>
    <xf numFmtId="0" fontId="3" fillId="0" borderId="0" xfId="0" quotePrefix="1" applyFont="1" applyBorder="1" applyAlignment="1">
      <alignment horizontal="left"/>
    </xf>
    <xf numFmtId="37" fontId="1" fillId="0" borderId="0" xfId="0" applyNumberFormat="1" applyFont="1" applyProtection="1"/>
    <xf numFmtId="0" fontId="3" fillId="0" borderId="0" xfId="0" quotePrefix="1" applyFont="1" applyAlignment="1">
      <alignment horizontal="left"/>
    </xf>
    <xf numFmtId="0" fontId="10" fillId="0" borderId="0" xfId="0" applyFont="1"/>
    <xf numFmtId="0" fontId="11" fillId="0" borderId="0" xfId="0" applyFont="1"/>
    <xf numFmtId="0" fontId="1" fillId="0" borderId="0" xfId="0" quotePrefix="1" applyFont="1" applyAlignment="1">
      <alignment horizontal="left"/>
    </xf>
    <xf numFmtId="0" fontId="1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2" xfId="0" applyBorder="1"/>
    <xf numFmtId="0" fontId="1" fillId="0" borderId="1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2" fontId="1" fillId="0" borderId="0" xfId="0" applyNumberFormat="1" applyFont="1" applyProtection="1"/>
    <xf numFmtId="172" fontId="1" fillId="0" borderId="0" xfId="0" applyNumberFormat="1" applyFont="1" applyAlignment="1" applyProtection="1"/>
    <xf numFmtId="2" fontId="1" fillId="0" borderId="0" xfId="0" applyNumberFormat="1" applyFont="1"/>
    <xf numFmtId="172" fontId="1" fillId="0" borderId="0" xfId="0" applyNumberFormat="1" applyFont="1" applyAlignment="1" applyProtection="1">
      <alignment horizontal="right"/>
    </xf>
    <xf numFmtId="2" fontId="1" fillId="0" borderId="0" xfId="0" applyNumberFormat="1" applyFont="1" applyAlignment="1" applyProtection="1"/>
    <xf numFmtId="2" fontId="1" fillId="0" borderId="0" xfId="0" applyNumberFormat="1" applyFont="1" applyAlignment="1"/>
    <xf numFmtId="49" fontId="7" fillId="0" borderId="0" xfId="0" applyNumberFormat="1" applyFont="1" applyAlignment="1" applyProtection="1">
      <alignment horizontal="center"/>
    </xf>
    <xf numFmtId="172" fontId="1" fillId="0" borderId="0" xfId="0" applyNumberFormat="1" applyFont="1" applyAlignment="1"/>
    <xf numFmtId="2" fontId="1" fillId="0" borderId="0" xfId="0" applyNumberFormat="1" applyFont="1" applyBorder="1" applyProtection="1"/>
    <xf numFmtId="172" fontId="1" fillId="0" borderId="0" xfId="0" applyNumberFormat="1" applyFont="1" applyBorder="1" applyAlignment="1" applyProtection="1"/>
    <xf numFmtId="2" fontId="1" fillId="0" borderId="0" xfId="0" applyNumberFormat="1" applyFont="1" applyBorder="1"/>
    <xf numFmtId="172" fontId="1" fillId="0" borderId="0" xfId="0" applyNumberFormat="1" applyFont="1" applyBorder="1" applyAlignment="1" applyProtection="1">
      <alignment horizontal="right"/>
    </xf>
    <xf numFmtId="2" fontId="1" fillId="0" borderId="0" xfId="0" applyNumberFormat="1" applyFont="1" applyBorder="1" applyAlignment="1" applyProtection="1"/>
    <xf numFmtId="2" fontId="1" fillId="0" borderId="0" xfId="0" applyNumberFormat="1" applyFont="1" applyBorder="1" applyAlignment="1"/>
    <xf numFmtId="173" fontId="1" fillId="0" borderId="0" xfId="0" applyNumberFormat="1" applyFont="1" applyBorder="1" applyAlignment="1" applyProtection="1"/>
    <xf numFmtId="2" fontId="1" fillId="0" borderId="0" xfId="0" applyNumberFormat="1" applyFont="1" applyFill="1" applyBorder="1" applyProtection="1"/>
    <xf numFmtId="172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 applyProtection="1">
      <alignment horizontal="right"/>
    </xf>
    <xf numFmtId="2" fontId="1" fillId="0" borderId="2" xfId="0" applyNumberFormat="1" applyFont="1" applyFill="1" applyBorder="1" applyProtection="1"/>
    <xf numFmtId="172" fontId="1" fillId="0" borderId="2" xfId="0" applyNumberFormat="1" applyFont="1" applyFill="1" applyBorder="1" applyAlignment="1" applyProtection="1"/>
    <xf numFmtId="2" fontId="1" fillId="0" borderId="2" xfId="0" applyNumberFormat="1" applyFont="1" applyFill="1" applyBorder="1"/>
    <xf numFmtId="2" fontId="1" fillId="0" borderId="2" xfId="0" applyNumberFormat="1" applyFont="1" applyFill="1" applyBorder="1" applyAlignment="1" applyProtection="1">
      <alignment horizontal="right"/>
    </xf>
    <xf numFmtId="2" fontId="1" fillId="0" borderId="2" xfId="0" applyNumberFormat="1" applyFont="1" applyFill="1" applyBorder="1" applyAlignment="1" applyProtection="1"/>
    <xf numFmtId="2" fontId="1" fillId="0" borderId="2" xfId="0" applyNumberFormat="1" applyFont="1" applyFill="1" applyBorder="1" applyAlignment="1"/>
    <xf numFmtId="2" fontId="0" fillId="0" borderId="0" xfId="0" applyNumberFormat="1" applyFill="1"/>
    <xf numFmtId="173" fontId="1" fillId="0" borderId="0" xfId="0" applyNumberFormat="1" applyFont="1" applyAlignment="1" applyProtection="1"/>
    <xf numFmtId="173" fontId="1" fillId="0" borderId="0" xfId="0" applyNumberFormat="1" applyFont="1" applyAlignment="1"/>
    <xf numFmtId="173" fontId="1" fillId="0" borderId="0" xfId="0" quotePrefix="1" applyNumberFormat="1" applyFont="1" applyAlignment="1" applyProtection="1"/>
    <xf numFmtId="173" fontId="1" fillId="0" borderId="0" xfId="0" applyNumberFormat="1" applyFont="1" applyBorder="1" applyAlignment="1"/>
    <xf numFmtId="173" fontId="1" fillId="0" borderId="0" xfId="0" quotePrefix="1" applyNumberFormat="1" applyFont="1" applyBorder="1" applyAlignment="1" applyProtection="1"/>
    <xf numFmtId="173" fontId="1" fillId="0" borderId="0" xfId="0" quotePrefix="1" applyNumberFormat="1" applyFont="1" applyBorder="1" applyAlignment="1"/>
    <xf numFmtId="0" fontId="1" fillId="0" borderId="2" xfId="0" applyFont="1" applyBorder="1" applyAlignment="1">
      <alignment horizontal="left"/>
    </xf>
    <xf numFmtId="173" fontId="1" fillId="0" borderId="2" xfId="0" quotePrefix="1" applyNumberFormat="1" applyFont="1" applyBorder="1" applyAlignment="1" applyProtection="1"/>
    <xf numFmtId="173" fontId="1" fillId="0" borderId="2" xfId="0" applyNumberFormat="1" applyFont="1" applyBorder="1" applyAlignment="1" applyProtection="1"/>
    <xf numFmtId="174" fontId="1" fillId="0" borderId="0" xfId="0" applyNumberFormat="1" applyFont="1" applyProtection="1"/>
    <xf numFmtId="174" fontId="0" fillId="0" borderId="0" xfId="0" applyNumberFormat="1" applyProtection="1"/>
    <xf numFmtId="173" fontId="1" fillId="0" borderId="0" xfId="0" applyNumberFormat="1" applyFont="1" applyAlignment="1" applyProtection="1">
      <alignment horizontal="right"/>
    </xf>
    <xf numFmtId="0" fontId="0" fillId="0" borderId="0" xfId="0" quotePrefix="1" applyBorder="1"/>
    <xf numFmtId="173" fontId="1" fillId="0" borderId="0" xfId="0" quotePrefix="1" applyNumberFormat="1" applyFont="1" applyAlignment="1"/>
    <xf numFmtId="173" fontId="1" fillId="0" borderId="0" xfId="0" quotePrefix="1" applyNumberFormat="1" applyFont="1" applyFill="1" applyBorder="1" applyAlignment="1" applyProtection="1"/>
    <xf numFmtId="0" fontId="1" fillId="0" borderId="2" xfId="0" quotePrefix="1" applyFont="1" applyBorder="1" applyAlignment="1">
      <alignment horizontal="left"/>
    </xf>
    <xf numFmtId="173" fontId="1" fillId="0" borderId="2" xfId="0" quotePrefix="1" applyNumberFormat="1" applyFont="1" applyBorder="1" applyAlignment="1"/>
    <xf numFmtId="173" fontId="1" fillId="0" borderId="2" xfId="0" applyNumberFormat="1" applyFont="1" applyBorder="1" applyAlignment="1"/>
    <xf numFmtId="174" fontId="10" fillId="0" borderId="0" xfId="0" applyNumberFormat="1" applyFont="1" applyProtection="1"/>
    <xf numFmtId="173" fontId="1" fillId="0" borderId="0" xfId="0" applyNumberFormat="1" applyFont="1" applyProtection="1"/>
    <xf numFmtId="172" fontId="0" fillId="0" borderId="0" xfId="0" applyNumberFormat="1" applyProtection="1"/>
    <xf numFmtId="173" fontId="1" fillId="0" borderId="0" xfId="0" quotePrefix="1" applyNumberFormat="1" applyFont="1" applyAlignment="1" applyProtection="1">
      <alignment horizontal="right"/>
    </xf>
    <xf numFmtId="173" fontId="1" fillId="0" borderId="0" xfId="0" applyNumberFormat="1" applyFont="1" applyBorder="1" applyProtection="1"/>
    <xf numFmtId="173" fontId="1" fillId="0" borderId="0" xfId="0" quotePrefix="1" applyNumberFormat="1" applyFont="1" applyBorder="1" applyAlignment="1" applyProtection="1">
      <alignment horizontal="right"/>
    </xf>
    <xf numFmtId="173" fontId="1" fillId="0" borderId="2" xfId="0" applyNumberFormat="1" applyFont="1" applyBorder="1" applyProtection="1"/>
    <xf numFmtId="173" fontId="1" fillId="0" borderId="2" xfId="0" quotePrefix="1" applyNumberFormat="1" applyFont="1" applyBorder="1" applyAlignment="1" applyProtection="1">
      <alignment horizontal="right"/>
    </xf>
    <xf numFmtId="0" fontId="1" fillId="0" borderId="1" xfId="0" quotePrefix="1" applyFont="1" applyBorder="1" applyAlignment="1">
      <alignment horizontal="left"/>
    </xf>
    <xf numFmtId="173" fontId="1" fillId="0" borderId="0" xfId="0" applyNumberFormat="1" applyFont="1" applyBorder="1" applyAlignment="1" applyProtection="1">
      <alignment horizontal="right"/>
    </xf>
    <xf numFmtId="173" fontId="1" fillId="0" borderId="2" xfId="0" applyNumberFormat="1" applyFont="1" applyBorder="1" applyAlignment="1" applyProtection="1">
      <alignment horizontal="right"/>
    </xf>
    <xf numFmtId="173" fontId="1" fillId="0" borderId="0" xfId="0" quotePrefix="1" applyNumberFormat="1" applyFont="1" applyBorder="1" applyAlignment="1" applyProtection="1">
      <alignment vertical="center"/>
    </xf>
    <xf numFmtId="173" fontId="1" fillId="0" borderId="0" xfId="0" applyNumberFormat="1" applyFont="1" applyFill="1" applyBorder="1" applyAlignment="1" applyProtection="1"/>
    <xf numFmtId="173" fontId="1" fillId="0" borderId="2" xfId="0" quotePrefix="1" applyNumberFormat="1" applyFont="1" applyBorder="1" applyAlignment="1" applyProtection="1">
      <alignment vertical="center"/>
    </xf>
    <xf numFmtId="0" fontId="1" fillId="0" borderId="0" xfId="0" applyFont="1" applyBorder="1" applyAlignment="1">
      <alignment horizontal="centerContinuous"/>
    </xf>
    <xf numFmtId="175" fontId="1" fillId="0" borderId="0" xfId="0" applyNumberFormat="1" applyFont="1" applyProtection="1"/>
    <xf numFmtId="176" fontId="1" fillId="0" borderId="0" xfId="0" applyNumberFormat="1" applyFont="1"/>
    <xf numFmtId="176" fontId="1" fillId="0" borderId="0" xfId="0" applyNumberFormat="1" applyFont="1" applyProtection="1"/>
    <xf numFmtId="175" fontId="1" fillId="0" borderId="0" xfId="0" applyNumberFormat="1" applyFont="1" applyBorder="1" applyProtection="1"/>
    <xf numFmtId="176" fontId="1" fillId="0" borderId="0" xfId="0" applyNumberFormat="1" applyFont="1" applyBorder="1"/>
    <xf numFmtId="176" fontId="1" fillId="0" borderId="0" xfId="0" applyNumberFormat="1" applyFont="1" applyBorder="1" applyProtection="1"/>
    <xf numFmtId="175" fontId="1" fillId="0" borderId="2" xfId="0" applyNumberFormat="1" applyFont="1" applyBorder="1" applyProtection="1"/>
    <xf numFmtId="176" fontId="1" fillId="0" borderId="2" xfId="0" applyNumberFormat="1" applyFont="1" applyBorder="1"/>
    <xf numFmtId="176" fontId="1" fillId="0" borderId="2" xfId="0" applyNumberFormat="1" applyFont="1" applyBorder="1" applyProtection="1"/>
    <xf numFmtId="177" fontId="1" fillId="0" borderId="0" xfId="0" applyNumberFormat="1" applyFont="1" applyProtection="1"/>
    <xf numFmtId="167" fontId="1" fillId="0" borderId="0" xfId="0" applyNumberFormat="1" applyFont="1"/>
    <xf numFmtId="177" fontId="1" fillId="0" borderId="0" xfId="0" applyNumberFormat="1" applyFont="1" applyBorder="1" applyProtection="1"/>
    <xf numFmtId="167" fontId="1" fillId="0" borderId="0" xfId="0" applyNumberFormat="1" applyFont="1" applyBorder="1"/>
    <xf numFmtId="177" fontId="1" fillId="0" borderId="0" xfId="0" applyNumberFormat="1" applyFont="1" applyFill="1" applyBorder="1" applyProtection="1"/>
    <xf numFmtId="167" fontId="1" fillId="0" borderId="0" xfId="0" applyNumberFormat="1" applyFont="1" applyFill="1" applyBorder="1"/>
    <xf numFmtId="178" fontId="0" fillId="0" borderId="0" xfId="0" applyNumberFormat="1" applyFill="1" applyBorder="1"/>
    <xf numFmtId="0" fontId="0" fillId="0" borderId="2" xfId="0" applyFill="1" applyBorder="1"/>
    <xf numFmtId="0" fontId="13" fillId="0" borderId="0" xfId="0" applyFont="1" applyFill="1" applyBorder="1" applyAlignment="1">
      <alignment horizontal="left"/>
    </xf>
    <xf numFmtId="179" fontId="0" fillId="0" borderId="0" xfId="0" applyNumberFormat="1"/>
    <xf numFmtId="2" fontId="0" fillId="0" borderId="0" xfId="0" applyNumberFormat="1"/>
    <xf numFmtId="177" fontId="1" fillId="0" borderId="0" xfId="0" applyNumberFormat="1" applyFont="1" applyAlignment="1" applyProtection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0" borderId="0" xfId="0" applyNumberFormat="1" applyFont="1" applyBorder="1" applyAlignment="1" applyProtection="1">
      <alignment horizontal="center"/>
    </xf>
    <xf numFmtId="180" fontId="0" fillId="0" borderId="0" xfId="0" applyNumberFormat="1" applyBorder="1"/>
    <xf numFmtId="181" fontId="0" fillId="0" borderId="0" xfId="0" applyNumberFormat="1" applyBorder="1"/>
    <xf numFmtId="49" fontId="1" fillId="0" borderId="0" xfId="0" quotePrefix="1" applyNumberFormat="1" applyFont="1" applyAlignment="1">
      <alignment horizontal="center"/>
    </xf>
    <xf numFmtId="3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82" fontId="1" fillId="0" borderId="0" xfId="0" applyNumberFormat="1" applyFont="1" applyProtection="1"/>
    <xf numFmtId="183" fontId="1" fillId="0" borderId="0" xfId="0" applyNumberFormat="1" applyFont="1" applyProtection="1"/>
    <xf numFmtId="183" fontId="1" fillId="0" borderId="0" xfId="0" applyNumberFormat="1" applyFont="1"/>
    <xf numFmtId="182" fontId="1" fillId="0" borderId="0" xfId="0" applyNumberFormat="1" applyFont="1" applyBorder="1" applyProtection="1"/>
    <xf numFmtId="183" fontId="1" fillId="0" borderId="0" xfId="0" applyNumberFormat="1" applyFont="1" applyBorder="1" applyProtection="1"/>
    <xf numFmtId="182" fontId="1" fillId="0" borderId="0" xfId="0" applyNumberFormat="1" applyFont="1" applyFill="1" applyBorder="1" applyProtection="1"/>
    <xf numFmtId="173" fontId="1" fillId="0" borderId="0" xfId="0" applyNumberFormat="1" applyFont="1" applyFill="1" applyBorder="1" applyProtection="1"/>
    <xf numFmtId="183" fontId="1" fillId="0" borderId="0" xfId="0" applyNumberFormat="1" applyFont="1" applyFill="1" applyBorder="1" applyProtection="1"/>
    <xf numFmtId="182" fontId="1" fillId="0" borderId="2" xfId="0" applyNumberFormat="1" applyFont="1" applyFill="1" applyBorder="1" applyProtection="1"/>
    <xf numFmtId="173" fontId="1" fillId="0" borderId="2" xfId="0" applyNumberFormat="1" applyFont="1" applyFill="1" applyBorder="1" applyProtection="1"/>
    <xf numFmtId="183" fontId="1" fillId="0" borderId="2" xfId="0" applyNumberFormat="1" applyFont="1" applyFill="1" applyBorder="1" applyProtection="1"/>
    <xf numFmtId="176" fontId="1" fillId="0" borderId="0" xfId="0" applyNumberFormat="1" applyFont="1" applyFill="1" applyBorder="1" applyProtection="1"/>
    <xf numFmtId="176" fontId="1" fillId="0" borderId="0" xfId="0" applyNumberFormat="1" applyFont="1" applyFill="1" applyBorder="1"/>
    <xf numFmtId="176" fontId="1" fillId="0" borderId="2" xfId="0" applyNumberFormat="1" applyFont="1" applyFill="1" applyBorder="1" applyProtection="1"/>
    <xf numFmtId="176" fontId="1" fillId="0" borderId="2" xfId="0" applyNumberFormat="1" applyFont="1" applyFill="1" applyBorder="1"/>
    <xf numFmtId="0" fontId="13" fillId="0" borderId="0" xfId="0" applyFont="1" applyAlignment="1">
      <alignment horizontal="left"/>
    </xf>
    <xf numFmtId="3" fontId="1" fillId="0" borderId="0" xfId="0" applyNumberFormat="1" applyFont="1" applyBorder="1" applyProtection="1"/>
    <xf numFmtId="0" fontId="1" fillId="0" borderId="1" xfId="10" quotePrefix="1" applyFont="1" applyBorder="1" applyAlignment="1">
      <alignment horizontal="left"/>
    </xf>
    <xf numFmtId="0" fontId="1" fillId="0" borderId="1" xfId="10" applyFont="1" applyBorder="1"/>
    <xf numFmtId="0" fontId="1" fillId="0" borderId="0" xfId="10" applyFont="1"/>
    <xf numFmtId="0" fontId="3" fillId="0" borderId="0" xfId="10" applyFont="1"/>
    <xf numFmtId="0" fontId="1" fillId="0" borderId="0" xfId="10" applyFont="1" applyAlignment="1">
      <alignment horizontal="left"/>
    </xf>
    <xf numFmtId="0" fontId="1" fillId="0" borderId="1" xfId="10" applyFont="1" applyBorder="1" applyAlignment="1">
      <alignment horizontal="centerContinuous"/>
    </xf>
    <xf numFmtId="0" fontId="1" fillId="0" borderId="1" xfId="10" applyFont="1" applyBorder="1" applyAlignment="1">
      <alignment horizontal="center"/>
    </xf>
    <xf numFmtId="0" fontId="1" fillId="0" borderId="0" xfId="10" applyFont="1" applyBorder="1"/>
    <xf numFmtId="0" fontId="1" fillId="0" borderId="0" xfId="10" applyFont="1" applyBorder="1" applyAlignment="1">
      <alignment horizontal="center"/>
    </xf>
    <xf numFmtId="0" fontId="1" fillId="0" borderId="0" xfId="10" quotePrefix="1" applyFont="1" applyAlignment="1">
      <alignment horizontal="centerContinuous"/>
    </xf>
    <xf numFmtId="0" fontId="1" fillId="0" borderId="0" xfId="10" applyFont="1" applyAlignment="1">
      <alignment horizontal="centerContinuous"/>
    </xf>
    <xf numFmtId="0" fontId="2" fillId="0" borderId="0" xfId="10" quotePrefix="1" applyFont="1" applyAlignment="1">
      <alignment horizontal="left"/>
    </xf>
    <xf numFmtId="173" fontId="1" fillId="0" borderId="0" xfId="10" applyNumberFormat="1" applyFont="1" applyProtection="1"/>
    <xf numFmtId="173" fontId="1" fillId="0" borderId="0" xfId="10" applyNumberFormat="1" applyFont="1" applyAlignment="1" applyProtection="1">
      <alignment horizontal="right"/>
    </xf>
    <xf numFmtId="173" fontId="1" fillId="0" borderId="0" xfId="10" applyNumberFormat="1" applyFont="1"/>
    <xf numFmtId="0" fontId="1" fillId="0" borderId="0" xfId="10" applyFont="1" applyBorder="1" applyAlignment="1">
      <alignment horizontal="left"/>
    </xf>
    <xf numFmtId="173" fontId="1" fillId="0" borderId="0" xfId="10" applyNumberFormat="1" applyFont="1" applyBorder="1" applyProtection="1"/>
    <xf numFmtId="173" fontId="1" fillId="0" borderId="0" xfId="10" applyNumberFormat="1" applyFont="1" applyBorder="1" applyAlignment="1" applyProtection="1">
      <alignment horizontal="right"/>
    </xf>
    <xf numFmtId="173" fontId="1" fillId="0" borderId="0" xfId="10" applyNumberFormat="1" applyFont="1" applyBorder="1"/>
    <xf numFmtId="0" fontId="1" fillId="0" borderId="0" xfId="10" quotePrefix="1" applyFont="1" applyBorder="1" applyAlignment="1">
      <alignment horizontal="left"/>
    </xf>
    <xf numFmtId="173" fontId="1" fillId="0" borderId="0" xfId="10" quotePrefix="1" applyNumberFormat="1" applyFont="1" applyBorder="1" applyAlignment="1" applyProtection="1">
      <alignment horizontal="center"/>
    </xf>
    <xf numFmtId="173" fontId="1" fillId="0" borderId="0" xfId="10" quotePrefix="1" applyNumberFormat="1" applyFont="1" applyBorder="1" applyAlignment="1" applyProtection="1">
      <alignment horizontal="right"/>
    </xf>
    <xf numFmtId="0" fontId="3" fillId="0" borderId="0" xfId="10" applyFont="1" applyBorder="1"/>
    <xf numFmtId="0" fontId="1" fillId="0" borderId="2" xfId="10" applyFont="1" applyBorder="1" applyAlignment="1">
      <alignment horizontal="left"/>
    </xf>
    <xf numFmtId="173" fontId="1" fillId="0" borderId="2" xfId="10" quotePrefix="1" applyNumberFormat="1" applyFont="1" applyBorder="1" applyAlignment="1" applyProtection="1">
      <alignment horizontal="center"/>
    </xf>
    <xf numFmtId="173" fontId="1" fillId="0" borderId="2" xfId="10" applyNumberFormat="1" applyFont="1" applyBorder="1"/>
    <xf numFmtId="173" fontId="1" fillId="0" borderId="2" xfId="10" applyNumberFormat="1" applyFont="1" applyBorder="1" applyProtection="1"/>
    <xf numFmtId="0" fontId="3" fillId="0" borderId="0" xfId="10" quotePrefix="1" applyFont="1" applyBorder="1" applyAlignment="1">
      <alignment horizontal="left"/>
    </xf>
    <xf numFmtId="0" fontId="3" fillId="0" borderId="0" xfId="10" quotePrefix="1" applyFont="1" applyAlignment="1">
      <alignment horizontal="left"/>
    </xf>
    <xf numFmtId="0" fontId="14" fillId="0" borderId="0" xfId="10" applyFont="1"/>
    <xf numFmtId="0" fontId="11" fillId="0" borderId="0" xfId="10"/>
    <xf numFmtId="0" fontId="11" fillId="0" borderId="0" xfId="10" applyAlignment="1">
      <alignment horizontal="left"/>
    </xf>
    <xf numFmtId="0" fontId="1" fillId="0" borderId="1" xfId="11" quotePrefix="1" applyFont="1" applyBorder="1" applyAlignment="1">
      <alignment horizontal="left"/>
    </xf>
    <xf numFmtId="0" fontId="1" fillId="0" borderId="1" xfId="11" applyFont="1" applyBorder="1"/>
    <xf numFmtId="0" fontId="11" fillId="0" borderId="2" xfId="11" applyBorder="1"/>
    <xf numFmtId="0" fontId="11" fillId="0" borderId="0" xfId="11"/>
    <xf numFmtId="0" fontId="1" fillId="0" borderId="1" xfId="11" applyFont="1" applyBorder="1" applyAlignment="1">
      <alignment horizontal="left"/>
    </xf>
    <xf numFmtId="0" fontId="1" fillId="0" borderId="1" xfId="11" applyFont="1" applyBorder="1" applyAlignment="1">
      <alignment horizontal="center"/>
    </xf>
    <xf numFmtId="0" fontId="1" fillId="0" borderId="0" xfId="11" applyFont="1" applyBorder="1" applyAlignment="1">
      <alignment horizontal="left"/>
    </xf>
    <xf numFmtId="0" fontId="1" fillId="0" borderId="0" xfId="11" applyFont="1" applyBorder="1" applyAlignment="1">
      <alignment horizontal="center"/>
    </xf>
    <xf numFmtId="0" fontId="1" fillId="0" borderId="0" xfId="11" applyFont="1"/>
    <xf numFmtId="0" fontId="2" fillId="0" borderId="0" xfId="11" quotePrefix="1" applyFont="1" applyAlignment="1">
      <alignment horizontal="centerContinuous"/>
    </xf>
    <xf numFmtId="0" fontId="1" fillId="0" borderId="0" xfId="11" applyFont="1" applyAlignment="1">
      <alignment horizontal="centerContinuous"/>
    </xf>
    <xf numFmtId="0" fontId="1" fillId="0" borderId="0" xfId="11" applyFont="1" applyAlignment="1">
      <alignment horizontal="left"/>
    </xf>
    <xf numFmtId="173" fontId="1" fillId="0" borderId="0" xfId="11" applyNumberFormat="1" applyFont="1" applyAlignment="1" applyProtection="1"/>
    <xf numFmtId="173" fontId="1" fillId="0" borderId="0" xfId="11" applyNumberFormat="1" applyFont="1" applyAlignment="1"/>
    <xf numFmtId="173" fontId="1" fillId="0" borderId="0" xfId="11" applyNumberFormat="1" applyFont="1" applyBorder="1" applyAlignment="1" applyProtection="1"/>
    <xf numFmtId="173" fontId="1" fillId="0" borderId="0" xfId="11" applyNumberFormat="1" applyFont="1" applyBorder="1" applyAlignment="1"/>
    <xf numFmtId="0" fontId="1" fillId="0" borderId="0" xfId="11" quotePrefix="1" applyFont="1" applyBorder="1" applyAlignment="1">
      <alignment horizontal="left"/>
    </xf>
    <xf numFmtId="173" fontId="1" fillId="0" borderId="0" xfId="11" quotePrefix="1" applyNumberFormat="1" applyFont="1" applyBorder="1" applyAlignment="1" applyProtection="1"/>
    <xf numFmtId="173" fontId="1" fillId="0" borderId="0" xfId="11" quotePrefix="1" applyNumberFormat="1" applyFont="1" applyBorder="1" applyAlignment="1"/>
    <xf numFmtId="0" fontId="11" fillId="0" borderId="0" xfId="11" applyBorder="1"/>
    <xf numFmtId="0" fontId="1" fillId="0" borderId="2" xfId="11" applyFont="1" applyBorder="1" applyAlignment="1">
      <alignment horizontal="left"/>
    </xf>
    <xf numFmtId="0" fontId="3" fillId="0" borderId="0" xfId="11" applyFont="1" applyAlignment="1">
      <alignment horizontal="left"/>
    </xf>
    <xf numFmtId="173" fontId="3" fillId="0" borderId="0" xfId="11" applyNumberFormat="1" applyFont="1"/>
    <xf numFmtId="0" fontId="3" fillId="0" borderId="0" xfId="11" applyFont="1"/>
    <xf numFmtId="174" fontId="3" fillId="0" borderId="0" xfId="11" applyNumberFormat="1" applyFont="1" applyProtection="1"/>
    <xf numFmtId="174" fontId="11" fillId="0" borderId="0" xfId="11" applyNumberFormat="1" applyProtection="1"/>
    <xf numFmtId="172" fontId="11" fillId="0" borderId="0" xfId="11" applyNumberFormat="1" applyAlignment="1" applyProtection="1">
      <alignment horizontal="right"/>
    </xf>
    <xf numFmtId="0" fontId="1" fillId="0" borderId="1" xfId="12" quotePrefix="1" applyFont="1" applyBorder="1" applyAlignment="1">
      <alignment horizontal="left"/>
    </xf>
    <xf numFmtId="0" fontId="1" fillId="0" borderId="1" xfId="12" applyFont="1" applyBorder="1"/>
    <xf numFmtId="0" fontId="14" fillId="0" borderId="0" xfId="12" applyFont="1"/>
    <xf numFmtId="0" fontId="11" fillId="0" borderId="0" xfId="12"/>
    <xf numFmtId="0" fontId="1" fillId="0" borderId="1" xfId="12" applyFont="1" applyBorder="1" applyAlignment="1">
      <alignment horizontal="left"/>
    </xf>
    <xf numFmtId="0" fontId="1" fillId="0" borderId="1" xfId="12" applyFont="1" applyBorder="1" applyAlignment="1">
      <alignment horizontal="center"/>
    </xf>
    <xf numFmtId="0" fontId="1" fillId="0" borderId="0" xfId="12" applyFont="1" applyBorder="1" applyAlignment="1">
      <alignment horizontal="left"/>
    </xf>
    <xf numFmtId="0" fontId="1" fillId="0" borderId="0" xfId="12" applyFont="1" applyBorder="1" applyAlignment="1">
      <alignment horizontal="center"/>
    </xf>
    <xf numFmtId="0" fontId="1" fillId="0" borderId="0" xfId="12" applyFont="1"/>
    <xf numFmtId="0" fontId="2" fillId="0" borderId="0" xfId="12" quotePrefix="1" applyFont="1" applyAlignment="1">
      <alignment horizontal="centerContinuous"/>
    </xf>
    <xf numFmtId="0" fontId="1" fillId="0" borderId="0" xfId="12" applyFont="1" applyAlignment="1">
      <alignment horizontal="centerContinuous"/>
    </xf>
    <xf numFmtId="0" fontId="1" fillId="0" borderId="0" xfId="12" applyFont="1" applyAlignment="1">
      <alignment horizontal="left"/>
    </xf>
    <xf numFmtId="173" fontId="1" fillId="0" borderId="0" xfId="12" applyNumberFormat="1" applyFont="1" applyAlignment="1" applyProtection="1"/>
    <xf numFmtId="173" fontId="1" fillId="0" borderId="0" xfId="12" quotePrefix="1" applyNumberFormat="1" applyFont="1" applyAlignment="1" applyProtection="1"/>
    <xf numFmtId="173" fontId="1" fillId="0" borderId="0" xfId="12" applyNumberFormat="1" applyFont="1" applyAlignment="1"/>
    <xf numFmtId="173" fontId="1" fillId="0" borderId="0" xfId="12" quotePrefix="1" applyNumberFormat="1" applyFont="1" applyBorder="1" applyAlignment="1" applyProtection="1"/>
    <xf numFmtId="173" fontId="1" fillId="0" borderId="0" xfId="12" quotePrefix="1" applyNumberFormat="1" applyFont="1" applyBorder="1" applyAlignment="1"/>
    <xf numFmtId="173" fontId="1" fillId="0" borderId="0" xfId="12" applyNumberFormat="1" applyFont="1" applyBorder="1" applyAlignment="1"/>
    <xf numFmtId="0" fontId="1" fillId="0" borderId="0" xfId="12" quotePrefix="1" applyFont="1" applyBorder="1" applyAlignment="1">
      <alignment horizontal="left"/>
    </xf>
    <xf numFmtId="0" fontId="14" fillId="0" borderId="0" xfId="12" applyFont="1" applyBorder="1"/>
    <xf numFmtId="0" fontId="11" fillId="0" borderId="0" xfId="12" applyBorder="1"/>
    <xf numFmtId="0" fontId="1" fillId="0" borderId="2" xfId="12" applyFont="1" applyBorder="1" applyAlignment="1">
      <alignment horizontal="left"/>
    </xf>
    <xf numFmtId="173" fontId="1" fillId="0" borderId="2" xfId="12" quotePrefix="1" applyNumberFormat="1" applyFont="1" applyBorder="1" applyAlignment="1" applyProtection="1"/>
    <xf numFmtId="173" fontId="1" fillId="0" borderId="2" xfId="12" quotePrefix="1" applyNumberFormat="1" applyFont="1" applyBorder="1" applyAlignment="1"/>
    <xf numFmtId="173" fontId="1" fillId="0" borderId="2" xfId="12" applyNumberFormat="1" applyFont="1" applyBorder="1" applyAlignment="1"/>
    <xf numFmtId="0" fontId="13" fillId="0" borderId="0" xfId="12" applyFont="1" applyAlignment="1">
      <alignment horizontal="left"/>
    </xf>
    <xf numFmtId="0" fontId="3" fillId="0" borderId="0" xfId="12" applyFont="1"/>
    <xf numFmtId="174" fontId="1" fillId="0" borderId="0" xfId="12" applyNumberFormat="1" applyFont="1" applyProtection="1"/>
    <xf numFmtId="0" fontId="1" fillId="0" borderId="1" xfId="13" quotePrefix="1" applyFont="1" applyBorder="1" applyAlignment="1">
      <alignment horizontal="left"/>
    </xf>
    <xf numFmtId="2" fontId="1" fillId="0" borderId="1" xfId="13" applyNumberFormat="1" applyFont="1" applyBorder="1"/>
    <xf numFmtId="0" fontId="1" fillId="0" borderId="1" xfId="13" applyFont="1" applyBorder="1"/>
    <xf numFmtId="0" fontId="6" fillId="0" borderId="0" xfId="13"/>
    <xf numFmtId="0" fontId="1" fillId="0" borderId="1" xfId="13" applyFont="1" applyBorder="1" applyAlignment="1">
      <alignment horizontal="left"/>
    </xf>
    <xf numFmtId="2" fontId="1" fillId="0" borderId="1" xfId="13" applyNumberFormat="1" applyFont="1" applyBorder="1" applyAlignment="1">
      <alignment horizontal="center"/>
    </xf>
    <xf numFmtId="0" fontId="1" fillId="0" borderId="1" xfId="13" applyFont="1" applyBorder="1" applyAlignment="1">
      <alignment horizontal="center"/>
    </xf>
    <xf numFmtId="0" fontId="1" fillId="0" borderId="0" xfId="13" applyFont="1" applyBorder="1" applyAlignment="1">
      <alignment horizontal="left"/>
    </xf>
    <xf numFmtId="2" fontId="1" fillId="0" borderId="0" xfId="13" applyNumberFormat="1" applyFont="1" applyBorder="1" applyAlignment="1">
      <alignment horizontal="center"/>
    </xf>
    <xf numFmtId="0" fontId="1" fillId="0" borderId="0" xfId="13" applyFont="1" applyBorder="1" applyAlignment="1">
      <alignment horizontal="center"/>
    </xf>
    <xf numFmtId="0" fontId="1" fillId="0" borderId="0" xfId="13" applyFont="1"/>
    <xf numFmtId="2" fontId="2" fillId="0" borderId="0" xfId="13" quotePrefix="1" applyNumberFormat="1" applyFont="1" applyAlignment="1">
      <alignment horizontal="centerContinuous"/>
    </xf>
    <xf numFmtId="2" fontId="1" fillId="0" borderId="0" xfId="13" applyNumberFormat="1" applyFont="1" applyAlignment="1">
      <alignment horizontal="centerContinuous"/>
    </xf>
    <xf numFmtId="2" fontId="0" fillId="0" borderId="0" xfId="0" applyNumberFormat="1" applyAlignment="1">
      <alignment horizontal="centerContinuous"/>
    </xf>
    <xf numFmtId="0" fontId="1" fillId="0" borderId="0" xfId="13" applyFont="1" applyAlignment="1">
      <alignment horizontal="centerContinuous"/>
    </xf>
    <xf numFmtId="2" fontId="1" fillId="0" borderId="0" xfId="13" applyNumberFormat="1" applyFont="1"/>
    <xf numFmtId="0" fontId="1" fillId="0" borderId="0" xfId="13" applyFont="1" applyAlignment="1">
      <alignment horizontal="left"/>
    </xf>
    <xf numFmtId="165" fontId="1" fillId="0" borderId="0" xfId="13" applyNumberFormat="1" applyFont="1" applyAlignment="1" applyProtection="1"/>
    <xf numFmtId="165" fontId="1" fillId="0" borderId="0" xfId="13" quotePrefix="1" applyNumberFormat="1" applyFont="1" applyAlignment="1" applyProtection="1"/>
    <xf numFmtId="165" fontId="1" fillId="0" borderId="0" xfId="13" applyNumberFormat="1" applyFont="1" applyBorder="1" applyAlignment="1" applyProtection="1"/>
    <xf numFmtId="165" fontId="1" fillId="0" borderId="0" xfId="13" quotePrefix="1" applyNumberFormat="1" applyFont="1" applyBorder="1" applyAlignment="1" applyProtection="1"/>
    <xf numFmtId="0" fontId="1" fillId="0" borderId="0" xfId="13" quotePrefix="1" applyFont="1" applyBorder="1" applyAlignment="1">
      <alignment horizontal="left"/>
    </xf>
    <xf numFmtId="0" fontId="6" fillId="0" borderId="0" xfId="13" applyBorder="1"/>
    <xf numFmtId="0" fontId="1" fillId="0" borderId="2" xfId="13" applyFont="1" applyBorder="1" applyAlignment="1">
      <alignment horizontal="left"/>
    </xf>
    <xf numFmtId="165" fontId="1" fillId="0" borderId="2" xfId="13" applyNumberFormat="1" applyFont="1" applyBorder="1" applyAlignment="1" applyProtection="1"/>
    <xf numFmtId="165" fontId="1" fillId="0" borderId="2" xfId="13" quotePrefix="1" applyNumberFormat="1" applyFont="1" applyBorder="1" applyAlignment="1" applyProtection="1"/>
    <xf numFmtId="2" fontId="10" fillId="0" borderId="0" xfId="13" applyNumberFormat="1" applyFont="1" applyProtection="1"/>
    <xf numFmtId="172" fontId="10" fillId="0" borderId="0" xfId="13" applyNumberFormat="1" applyFont="1" applyProtection="1"/>
    <xf numFmtId="0" fontId="16" fillId="0" borderId="0" xfId="13" applyFont="1"/>
    <xf numFmtId="165" fontId="1" fillId="0" borderId="0" xfId="0" quotePrefix="1" applyNumberFormat="1" applyFont="1" applyAlignment="1" applyProtection="1">
      <alignment horizontal="left"/>
    </xf>
    <xf numFmtId="167" fontId="1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center"/>
    </xf>
    <xf numFmtId="164" fontId="1" fillId="0" borderId="2" xfId="0" applyNumberFormat="1" applyFont="1" applyBorder="1" applyProtection="1"/>
    <xf numFmtId="165" fontId="1" fillId="0" borderId="2" xfId="0" applyNumberFormat="1" applyFont="1" applyBorder="1" applyProtection="1"/>
    <xf numFmtId="167" fontId="1" fillId="0" borderId="2" xfId="0" applyNumberFormat="1" applyFont="1" applyBorder="1" applyProtection="1"/>
    <xf numFmtId="164" fontId="1" fillId="0" borderId="2" xfId="0" applyNumberFormat="1" applyFont="1" applyBorder="1" applyAlignment="1" applyProtection="1">
      <alignment horizontal="center"/>
    </xf>
    <xf numFmtId="164" fontId="1" fillId="0" borderId="0" xfId="0" quotePrefix="1" applyNumberFormat="1" applyFont="1" applyBorder="1" applyAlignment="1" applyProtection="1">
      <alignment horizontal="center"/>
    </xf>
    <xf numFmtId="0" fontId="17" fillId="0" borderId="0" xfId="0" quotePrefix="1" applyFont="1" applyAlignment="1">
      <alignment horizontal="left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" fillId="0" borderId="1" xfId="14" quotePrefix="1" applyFont="1" applyBorder="1" applyAlignment="1">
      <alignment horizontal="left"/>
    </xf>
    <xf numFmtId="0" fontId="1" fillId="0" borderId="1" xfId="0" quotePrefix="1" applyFont="1" applyBorder="1"/>
    <xf numFmtId="0" fontId="1" fillId="0" borderId="0" xfId="0" quotePrefix="1" applyFont="1" applyBorder="1"/>
    <xf numFmtId="171" fontId="1" fillId="0" borderId="0" xfId="14" applyNumberFormat="1" applyFont="1" applyProtection="1"/>
    <xf numFmtId="170" fontId="1" fillId="0" borderId="0" xfId="14" applyNumberFormat="1" applyFont="1"/>
    <xf numFmtId="170" fontId="1" fillId="0" borderId="0" xfId="0" applyNumberFormat="1" applyFont="1"/>
    <xf numFmtId="170" fontId="1" fillId="0" borderId="0" xfId="14" applyNumberFormat="1" applyFont="1" applyProtection="1"/>
    <xf numFmtId="171" fontId="1" fillId="0" borderId="0" xfId="14" applyNumberFormat="1" applyFont="1" applyBorder="1" applyProtection="1"/>
    <xf numFmtId="170" fontId="1" fillId="0" borderId="0" xfId="14" applyNumberFormat="1" applyFont="1" applyBorder="1"/>
    <xf numFmtId="170" fontId="1" fillId="0" borderId="0" xfId="0" applyNumberFormat="1" applyFont="1" applyBorder="1"/>
    <xf numFmtId="170" fontId="1" fillId="0" borderId="0" xfId="14" applyNumberFormat="1" applyFont="1" applyBorder="1" applyProtection="1"/>
    <xf numFmtId="171" fontId="1" fillId="0" borderId="0" xfId="14" quotePrefix="1" applyNumberFormat="1" applyFont="1" applyBorder="1" applyAlignment="1" applyProtection="1">
      <alignment horizontal="center"/>
    </xf>
    <xf numFmtId="0" fontId="9" fillId="0" borderId="0" xfId="0" applyFont="1" applyBorder="1"/>
    <xf numFmtId="37" fontId="0" fillId="0" borderId="0" xfId="0" applyNumberFormat="1" applyBorder="1" applyProtection="1"/>
    <xf numFmtId="171" fontId="1" fillId="0" borderId="2" xfId="14" applyNumberFormat="1" applyFont="1" applyBorder="1" applyProtection="1"/>
    <xf numFmtId="170" fontId="1" fillId="0" borderId="2" xfId="14" applyNumberFormat="1" applyFont="1" applyBorder="1"/>
    <xf numFmtId="170" fontId="1" fillId="0" borderId="2" xfId="0" applyNumberFormat="1" applyFont="1" applyBorder="1"/>
    <xf numFmtId="171" fontId="1" fillId="0" borderId="2" xfId="14" quotePrefix="1" applyNumberFormat="1" applyFont="1" applyBorder="1" applyAlignment="1" applyProtection="1">
      <alignment horizontal="center"/>
    </xf>
    <xf numFmtId="170" fontId="1" fillId="0" borderId="2" xfId="14" applyNumberFormat="1" applyFont="1" applyBorder="1" applyProtection="1"/>
    <xf numFmtId="0" fontId="3" fillId="0" borderId="0" xfId="14" quotePrefix="1" applyFont="1" applyAlignment="1">
      <alignment horizontal="left"/>
    </xf>
    <xf numFmtId="0" fontId="13" fillId="0" borderId="0" xfId="14" applyFont="1" applyAlignment="1">
      <alignment horizontal="left"/>
    </xf>
    <xf numFmtId="0" fontId="3" fillId="0" borderId="0" xfId="14" applyFont="1" applyAlignment="1">
      <alignment horizontal="left"/>
    </xf>
    <xf numFmtId="172" fontId="1" fillId="0" borderId="0" xfId="0" quotePrefix="1" applyNumberFormat="1" applyFont="1" applyAlignment="1" applyProtection="1">
      <alignment horizontal="left"/>
    </xf>
    <xf numFmtId="0" fontId="1" fillId="0" borderId="3" xfId="0" applyFont="1" applyBorder="1" applyAlignment="1">
      <alignment horizontal="center"/>
    </xf>
    <xf numFmtId="173" fontId="1" fillId="0" borderId="0" xfId="0" applyNumberFormat="1" applyFont="1"/>
    <xf numFmtId="173" fontId="1" fillId="0" borderId="0" xfId="0" applyNumberFormat="1" applyFont="1" applyBorder="1"/>
    <xf numFmtId="173" fontId="1" fillId="0" borderId="2" xfId="0" applyNumberFormat="1" applyFont="1" applyFill="1" applyBorder="1" applyAlignment="1" applyProtection="1"/>
    <xf numFmtId="0" fontId="13" fillId="0" borderId="0" xfId="0" applyFont="1" applyBorder="1" applyAlignment="1">
      <alignment horizontal="left"/>
    </xf>
    <xf numFmtId="173" fontId="1" fillId="0" borderId="0" xfId="0" quotePrefix="1" applyNumberFormat="1" applyFont="1" applyBorder="1"/>
    <xf numFmtId="174" fontId="1" fillId="0" borderId="0" xfId="0" applyNumberFormat="1" applyFont="1" applyBorder="1" applyProtection="1"/>
    <xf numFmtId="173" fontId="0" fillId="0" borderId="0" xfId="0" applyNumberFormat="1"/>
    <xf numFmtId="0" fontId="1" fillId="0" borderId="2" xfId="0" quotePrefix="1" applyFont="1" applyBorder="1" applyAlignment="1">
      <alignment horizontal="center"/>
    </xf>
    <xf numFmtId="184" fontId="1" fillId="0" borderId="0" xfId="0" applyNumberFormat="1" applyFont="1" applyProtection="1"/>
    <xf numFmtId="185" fontId="1" fillId="0" borderId="0" xfId="0" applyNumberFormat="1" applyFont="1" applyProtection="1"/>
    <xf numFmtId="184" fontId="1" fillId="0" borderId="0" xfId="0" applyNumberFormat="1" applyFont="1"/>
    <xf numFmtId="184" fontId="1" fillId="0" borderId="0" xfId="0" applyNumberFormat="1" applyFont="1" applyBorder="1" applyProtection="1"/>
    <xf numFmtId="185" fontId="1" fillId="0" borderId="0" xfId="0" applyNumberFormat="1" applyFont="1" applyBorder="1" applyProtection="1"/>
    <xf numFmtId="184" fontId="1" fillId="0" borderId="0" xfId="0" quotePrefix="1" applyNumberFormat="1" applyFont="1" applyBorder="1" applyProtection="1"/>
    <xf numFmtId="184" fontId="0" fillId="0" borderId="0" xfId="0" applyNumberFormat="1"/>
    <xf numFmtId="185" fontId="0" fillId="0" borderId="0" xfId="0" applyNumberFormat="1"/>
    <xf numFmtId="184" fontId="1" fillId="0" borderId="2" xfId="0" applyNumberFormat="1" applyFont="1" applyBorder="1" applyProtection="1"/>
    <xf numFmtId="184" fontId="1" fillId="0" borderId="2" xfId="0" quotePrefix="1" applyNumberFormat="1" applyFont="1" applyBorder="1" applyProtection="1"/>
    <xf numFmtId="185" fontId="1" fillId="0" borderId="2" xfId="0" applyNumberFormat="1" applyFont="1" applyBorder="1" applyProtection="1"/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quotePrefix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left"/>
    </xf>
    <xf numFmtId="186" fontId="1" fillId="0" borderId="0" xfId="0" applyNumberFormat="1" applyFont="1" applyFill="1" applyProtection="1"/>
    <xf numFmtId="186" fontId="1" fillId="0" borderId="0" xfId="0" applyNumberFormat="1" applyFont="1" applyFill="1" applyBorder="1" applyProtection="1"/>
    <xf numFmtId="187" fontId="0" fillId="0" borderId="0" xfId="0" applyNumberFormat="1" applyFill="1"/>
    <xf numFmtId="186" fontId="20" fillId="0" borderId="0" xfId="0" applyNumberFormat="1" applyFont="1" applyFill="1" applyBorder="1" applyProtection="1"/>
    <xf numFmtId="0" fontId="17" fillId="0" borderId="0" xfId="0" quotePrefix="1" applyFont="1" applyFill="1" applyAlignment="1">
      <alignment horizontal="left"/>
    </xf>
    <xf numFmtId="0" fontId="17" fillId="0" borderId="0" xfId="0" applyFont="1" applyFill="1" applyAlignment="1">
      <alignment horizontal="left"/>
    </xf>
    <xf numFmtId="186" fontId="0" fillId="0" borderId="0" xfId="0" applyNumberFormat="1" applyFill="1"/>
    <xf numFmtId="0" fontId="1" fillId="0" borderId="0" xfId="0" quotePrefix="1" applyFont="1" applyAlignment="1">
      <alignment horizontal="centerContinuous"/>
    </xf>
    <xf numFmtId="186" fontId="1" fillId="0" borderId="0" xfId="0" applyNumberFormat="1" applyFont="1" applyProtection="1"/>
    <xf numFmtId="186" fontId="1" fillId="0" borderId="0" xfId="0" applyNumberFormat="1" applyFont="1" applyBorder="1" applyProtection="1"/>
    <xf numFmtId="188" fontId="0" fillId="0" borderId="0" xfId="0" applyNumberFormat="1" applyFill="1"/>
    <xf numFmtId="0" fontId="21" fillId="0" borderId="0" xfId="0" applyFont="1"/>
    <xf numFmtId="0" fontId="22" fillId="0" borderId="0" xfId="16"/>
    <xf numFmtId="49" fontId="1" fillId="0" borderId="0" xfId="0" applyNumberFormat="1" applyFont="1" applyAlignment="1" applyProtection="1"/>
    <xf numFmtId="171" fontId="1" fillId="0" borderId="0" xfId="0" applyNumberFormat="1" applyFont="1" applyFill="1" applyBorder="1" applyAlignment="1" applyProtection="1"/>
    <xf numFmtId="0" fontId="24" fillId="0" borderId="0" xfId="0" applyFont="1"/>
    <xf numFmtId="0" fontId="14" fillId="0" borderId="0" xfId="0" applyFont="1"/>
    <xf numFmtId="0" fontId="14" fillId="0" borderId="2" xfId="0" quotePrefix="1" applyFont="1" applyBorder="1" applyAlignment="1">
      <alignment horizontal="center"/>
    </xf>
    <xf numFmtId="173" fontId="14" fillId="0" borderId="0" xfId="0" quotePrefix="1" applyNumberFormat="1" applyFont="1" applyBorder="1" applyAlignment="1">
      <alignment horizontal="right"/>
    </xf>
    <xf numFmtId="2" fontId="0" fillId="0" borderId="0" xfId="0" applyNumberFormat="1" applyBorder="1"/>
    <xf numFmtId="1" fontId="14" fillId="0" borderId="0" xfId="0" applyNumberFormat="1" applyFont="1"/>
    <xf numFmtId="175" fontId="0" fillId="0" borderId="0" xfId="0" applyNumberFormat="1"/>
    <xf numFmtId="175" fontId="1" fillId="0" borderId="2" xfId="0" applyNumberFormat="1" applyFont="1" applyFill="1" applyBorder="1" applyProtection="1"/>
    <xf numFmtId="189" fontId="0" fillId="0" borderId="0" xfId="0" applyNumberFormat="1" applyFill="1"/>
    <xf numFmtId="0" fontId="14" fillId="0" borderId="0" xfId="0" quotePrefix="1" applyFont="1" applyBorder="1" applyAlignment="1">
      <alignment horizontal="center"/>
    </xf>
    <xf numFmtId="173" fontId="1" fillId="0" borderId="0" xfId="0" quotePrefix="1" applyNumberFormat="1" applyFont="1" applyBorder="1" applyAlignment="1" applyProtection="1">
      <alignment horizontal="center"/>
    </xf>
    <xf numFmtId="173" fontId="1" fillId="0" borderId="2" xfId="12" quotePrefix="1" applyNumberFormat="1" applyFont="1" applyBorder="1" applyAlignment="1" applyProtection="1">
      <alignment horizontal="center"/>
    </xf>
    <xf numFmtId="173" fontId="1" fillId="0" borderId="0" xfId="12" quotePrefix="1" applyNumberFormat="1" applyFont="1" applyBorder="1" applyAlignment="1" applyProtection="1">
      <alignment horizontal="center"/>
    </xf>
    <xf numFmtId="165" fontId="1" fillId="0" borderId="2" xfId="13" quotePrefix="1" applyNumberFormat="1" applyFont="1" applyBorder="1" applyAlignment="1" applyProtection="1">
      <alignment horizontal="center"/>
    </xf>
    <xf numFmtId="165" fontId="1" fillId="0" borderId="0" xfId="13" quotePrefix="1" applyNumberFormat="1" applyFont="1" applyBorder="1" applyAlignment="1" applyProtection="1">
      <alignment horizontal="center"/>
    </xf>
    <xf numFmtId="0" fontId="26" fillId="0" borderId="1" xfId="15" quotePrefix="1" applyFont="1" applyBorder="1" applyAlignment="1">
      <alignment horizontal="left"/>
    </xf>
    <xf numFmtId="0" fontId="26" fillId="0" borderId="1" xfId="0" applyFont="1" applyBorder="1"/>
    <xf numFmtId="0" fontId="27" fillId="0" borderId="0" xfId="0" applyFont="1"/>
    <xf numFmtId="0" fontId="26" fillId="0" borderId="0" xfId="0" quotePrefix="1" applyFont="1" applyAlignment="1">
      <alignment horizontal="left"/>
    </xf>
    <xf numFmtId="0" fontId="26" fillId="0" borderId="3" xfId="0" applyFont="1" applyBorder="1" applyAlignment="1">
      <alignment horizontal="centerContinuous"/>
    </xf>
    <xf numFmtId="0" fontId="27" fillId="0" borderId="3" xfId="0" applyFont="1" applyBorder="1" applyAlignment="1">
      <alignment horizontal="centerContinuous"/>
    </xf>
    <xf numFmtId="0" fontId="26" fillId="0" borderId="0" xfId="0" applyFont="1" applyAlignment="1">
      <alignment horizontal="left"/>
    </xf>
    <xf numFmtId="0" fontId="26" fillId="0" borderId="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0" fontId="27" fillId="0" borderId="2" xfId="0" applyFont="1" applyBorder="1"/>
    <xf numFmtId="0" fontId="26" fillId="0" borderId="1" xfId="0" quotePrefix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0" xfId="0" applyFont="1" applyBorder="1"/>
    <xf numFmtId="0" fontId="26" fillId="0" borderId="0" xfId="0" quotePrefix="1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6" fillId="0" borderId="0" xfId="0" applyFont="1"/>
    <xf numFmtId="0" fontId="15" fillId="0" borderId="0" xfId="0" quotePrefix="1" applyFont="1" applyAlignment="1">
      <alignment horizontal="centerContinuous"/>
    </xf>
    <xf numFmtId="0" fontId="27" fillId="0" borderId="0" xfId="0" applyFont="1" applyAlignment="1">
      <alignment horizontal="centerContinuous"/>
    </xf>
    <xf numFmtId="2" fontId="26" fillId="0" borderId="0" xfId="15" applyNumberFormat="1" applyFont="1" applyProtection="1"/>
    <xf numFmtId="165" fontId="26" fillId="0" borderId="0" xfId="15" applyNumberFormat="1" applyFont="1" applyProtection="1"/>
    <xf numFmtId="172" fontId="26" fillId="0" borderId="0" xfId="15" applyNumberFormat="1" applyFont="1"/>
    <xf numFmtId="172" fontId="26" fillId="0" borderId="0" xfId="15" applyNumberFormat="1" applyFont="1" applyAlignment="1" applyProtection="1">
      <alignment horizontal="right"/>
    </xf>
    <xf numFmtId="172" fontId="26" fillId="0" borderId="0" xfId="15" applyNumberFormat="1" applyFont="1" applyProtection="1"/>
    <xf numFmtId="165" fontId="26" fillId="0" borderId="0" xfId="15" applyNumberFormat="1" applyFont="1" applyAlignment="1" applyProtection="1">
      <alignment horizontal="right"/>
    </xf>
    <xf numFmtId="172" fontId="26" fillId="0" borderId="0" xfId="15" applyNumberFormat="1" applyFont="1" applyBorder="1" applyAlignment="1" applyProtection="1">
      <alignment horizontal="right"/>
    </xf>
    <xf numFmtId="2" fontId="26" fillId="0" borderId="0" xfId="15" applyNumberFormat="1" applyFont="1"/>
    <xf numFmtId="165" fontId="26" fillId="0" borderId="0" xfId="15" applyNumberFormat="1" applyFont="1"/>
    <xf numFmtId="2" fontId="26" fillId="0" borderId="0" xfId="15" applyNumberFormat="1" applyFont="1" applyBorder="1"/>
    <xf numFmtId="165" fontId="26" fillId="0" borderId="0" xfId="15" applyNumberFormat="1" applyFont="1" applyBorder="1"/>
    <xf numFmtId="2" fontId="26" fillId="0" borderId="0" xfId="15" applyNumberFormat="1" applyFont="1" applyBorder="1" applyProtection="1"/>
    <xf numFmtId="172" fontId="26" fillId="0" borderId="0" xfId="15" applyNumberFormat="1" applyFont="1" applyBorder="1"/>
    <xf numFmtId="172" fontId="26" fillId="0" borderId="0" xfId="15" applyNumberFormat="1" applyFont="1" applyBorder="1" applyProtection="1"/>
    <xf numFmtId="165" fontId="26" fillId="0" borderId="0" xfId="15" applyNumberFormat="1" applyFont="1" applyBorder="1" applyProtection="1"/>
    <xf numFmtId="0" fontId="26" fillId="0" borderId="0" xfId="0" quotePrefix="1" applyFont="1" applyBorder="1" applyAlignment="1">
      <alignment horizontal="left"/>
    </xf>
    <xf numFmtId="165" fontId="26" fillId="0" borderId="0" xfId="15" applyNumberFormat="1" applyFont="1" applyBorder="1" applyAlignment="1" applyProtection="1">
      <alignment horizontal="right"/>
    </xf>
    <xf numFmtId="2" fontId="26" fillId="0" borderId="0" xfId="15" quotePrefix="1" applyNumberFormat="1" applyFont="1" applyBorder="1" applyAlignment="1" applyProtection="1">
      <alignment horizontal="center"/>
    </xf>
    <xf numFmtId="0" fontId="26" fillId="0" borderId="2" xfId="0" applyFont="1" applyBorder="1" applyAlignment="1">
      <alignment horizontal="left"/>
    </xf>
    <xf numFmtId="2" fontId="26" fillId="0" borderId="2" xfId="15" applyNumberFormat="1" applyFont="1" applyBorder="1"/>
    <xf numFmtId="2" fontId="26" fillId="0" borderId="2" xfId="15" quotePrefix="1" applyNumberFormat="1" applyFont="1" applyBorder="1" applyAlignment="1" applyProtection="1">
      <alignment horizontal="center"/>
    </xf>
    <xf numFmtId="2" fontId="26" fillId="0" borderId="2" xfId="15" applyNumberFormat="1" applyFont="1" applyBorder="1" applyProtection="1"/>
    <xf numFmtId="172" fontId="26" fillId="0" borderId="2" xfId="15" applyNumberFormat="1" applyFont="1" applyBorder="1"/>
    <xf numFmtId="165" fontId="26" fillId="0" borderId="2" xfId="15" applyNumberFormat="1" applyFont="1" applyBorder="1" applyProtection="1"/>
    <xf numFmtId="2" fontId="26" fillId="0" borderId="0" xfId="15" quotePrefix="1" applyNumberFormat="1" applyFont="1" applyBorder="1" applyAlignment="1" applyProtection="1">
      <alignment horizontal="right"/>
    </xf>
    <xf numFmtId="0" fontId="13" fillId="0" borderId="0" xfId="15" quotePrefix="1" applyFont="1" applyAlignment="1">
      <alignment horizontal="left"/>
    </xf>
    <xf numFmtId="0" fontId="13" fillId="0" borderId="0" xfId="15" applyFont="1" applyAlignment="1">
      <alignment horizontal="left"/>
    </xf>
    <xf numFmtId="175" fontId="1" fillId="0" borderId="0" xfId="0" applyNumberFormat="1" applyFont="1" applyFill="1" applyBorder="1" applyProtection="1"/>
    <xf numFmtId="174" fontId="3" fillId="0" borderId="0" xfId="0" applyNumberFormat="1" applyFont="1" applyProtection="1"/>
    <xf numFmtId="2" fontId="29" fillId="0" borderId="0" xfId="0" quotePrefix="1" applyNumberFormat="1" applyFont="1" applyAlignment="1" applyProtection="1">
      <alignment horizontal="left"/>
    </xf>
    <xf numFmtId="173" fontId="1" fillId="0" borderId="2" xfId="10" quotePrefix="1" applyNumberFormat="1" applyFont="1" applyBorder="1" applyAlignment="1" applyProtection="1">
      <alignment horizontal="right"/>
    </xf>
    <xf numFmtId="190" fontId="0" fillId="0" borderId="0" xfId="17" applyNumberFormat="1" applyFont="1"/>
    <xf numFmtId="190" fontId="0" fillId="0" borderId="0" xfId="17" applyNumberFormat="1" applyFont="1" applyAlignment="1">
      <alignment horizontal="right"/>
    </xf>
    <xf numFmtId="171" fontId="9" fillId="0" borderId="0" xfId="0" applyNumberFormat="1" applyFont="1" applyFill="1"/>
    <xf numFmtId="176" fontId="0" fillId="0" borderId="0" xfId="0" applyNumberFormat="1" applyFill="1"/>
    <xf numFmtId="173" fontId="1" fillId="2" borderId="0" xfId="0" applyNumberFormat="1" applyFont="1" applyFill="1" applyBorder="1" applyAlignment="1"/>
    <xf numFmtId="173" fontId="1" fillId="0" borderId="2" xfId="0" applyNumberFormat="1" applyFont="1" applyFill="1" applyBorder="1" applyAlignment="1"/>
    <xf numFmtId="173" fontId="1" fillId="0" borderId="2" xfId="0" applyNumberFormat="1" applyFont="1" applyFill="1" applyBorder="1"/>
    <xf numFmtId="177" fontId="1" fillId="0" borderId="2" xfId="0" applyNumberFormat="1" applyFont="1" applyFill="1" applyBorder="1" applyProtection="1"/>
    <xf numFmtId="166" fontId="1" fillId="0" borderId="2" xfId="0" applyNumberFormat="1" applyFont="1" applyFill="1" applyBorder="1" applyAlignment="1" applyProtection="1">
      <alignment horizontal="center"/>
    </xf>
    <xf numFmtId="186" fontId="1" fillId="0" borderId="2" xfId="0" applyNumberFormat="1" applyFont="1" applyFill="1" applyBorder="1" applyProtection="1"/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8">
    <cellStyle name="Comma" xfId="17" builtinId="3"/>
    <cellStyle name="Comma 2" xfId="1"/>
    <cellStyle name="Comma 3" xfId="2"/>
    <cellStyle name="Comma 4" xfId="3"/>
    <cellStyle name="Hyperlink" xfId="16" builtinId="8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_tabc15" xfId="10"/>
    <cellStyle name="Normal_tabc16" xfId="11"/>
    <cellStyle name="Normal_tabc17" xfId="12"/>
    <cellStyle name="Normal_tabc18" xfId="13"/>
    <cellStyle name="Normal_tabc22" xfId="14"/>
    <cellStyle name="Normal_tabc2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F24" sqref="F24"/>
    </sheetView>
  </sheetViews>
  <sheetFormatPr defaultRowHeight="12"/>
  <cols>
    <col min="1" max="1" width="91.5703125" bestFit="1" customWidth="1"/>
  </cols>
  <sheetData>
    <row r="1" spans="1:9" ht="15" customHeight="1">
      <c r="A1" s="402" t="s">
        <v>311</v>
      </c>
    </row>
    <row r="2" spans="1:9" ht="15" customHeight="1">
      <c r="A2" s="403" t="s">
        <v>269</v>
      </c>
      <c r="E2" s="27"/>
    </row>
    <row r="3" spans="1:9" ht="15" customHeight="1">
      <c r="A3" s="403" t="s">
        <v>270</v>
      </c>
      <c r="E3" s="27"/>
    </row>
    <row r="4" spans="1:9" ht="15" customHeight="1">
      <c r="A4" s="403" t="s">
        <v>100</v>
      </c>
      <c r="E4" s="27"/>
    </row>
    <row r="5" spans="1:9" ht="15" customHeight="1">
      <c r="A5" s="403" t="s">
        <v>113</v>
      </c>
      <c r="E5" s="27"/>
    </row>
    <row r="6" spans="1:9" ht="15" customHeight="1">
      <c r="A6" s="403" t="s">
        <v>296</v>
      </c>
      <c r="E6" s="27"/>
    </row>
    <row r="7" spans="1:9" ht="15" customHeight="1">
      <c r="A7" s="403" t="s">
        <v>145</v>
      </c>
      <c r="E7" s="27"/>
    </row>
    <row r="8" spans="1:9" ht="15" customHeight="1">
      <c r="A8" s="403" t="s">
        <v>151</v>
      </c>
      <c r="E8" s="27"/>
    </row>
    <row r="9" spans="1:9" ht="15" customHeight="1">
      <c r="A9" s="403" t="s">
        <v>153</v>
      </c>
      <c r="E9" s="27"/>
    </row>
    <row r="10" spans="1:9" ht="15" customHeight="1">
      <c r="A10" s="403" t="s">
        <v>154</v>
      </c>
      <c r="E10" s="27"/>
    </row>
    <row r="11" spans="1:9" ht="15" customHeight="1">
      <c r="A11" s="403" t="s">
        <v>157</v>
      </c>
      <c r="E11" s="27"/>
    </row>
    <row r="12" spans="1:9" ht="15" customHeight="1">
      <c r="A12" s="403" t="s">
        <v>271</v>
      </c>
      <c r="E12" s="27"/>
      <c r="I12" s="27"/>
    </row>
    <row r="13" spans="1:9" ht="15" customHeight="1">
      <c r="A13" s="403" t="s">
        <v>272</v>
      </c>
      <c r="E13" s="27"/>
      <c r="I13" s="27"/>
    </row>
    <row r="14" spans="1:9" ht="15" customHeight="1">
      <c r="A14" s="403" t="s">
        <v>188</v>
      </c>
      <c r="E14" s="27"/>
    </row>
    <row r="15" spans="1:9" ht="15" customHeight="1">
      <c r="A15" s="403" t="s">
        <v>194</v>
      </c>
      <c r="E15" s="27"/>
    </row>
    <row r="16" spans="1:9" ht="15" customHeight="1">
      <c r="A16" s="403" t="s">
        <v>197</v>
      </c>
      <c r="E16" s="27"/>
    </row>
    <row r="17" spans="1:9" ht="15" customHeight="1">
      <c r="A17" s="403" t="s">
        <v>295</v>
      </c>
      <c r="E17" s="27"/>
    </row>
    <row r="18" spans="1:9" ht="15" customHeight="1">
      <c r="A18" s="403" t="s">
        <v>209</v>
      </c>
      <c r="E18" s="27"/>
    </row>
    <row r="19" spans="1:9" ht="15" customHeight="1">
      <c r="A19" s="403" t="s">
        <v>211</v>
      </c>
      <c r="E19" s="27"/>
    </row>
    <row r="20" spans="1:9" ht="15" customHeight="1">
      <c r="A20" s="403" t="s">
        <v>213</v>
      </c>
      <c r="E20" s="27"/>
    </row>
    <row r="21" spans="1:9" ht="15" customHeight="1">
      <c r="A21" s="403" t="s">
        <v>215</v>
      </c>
      <c r="E21" s="27"/>
    </row>
    <row r="22" spans="1:9" ht="15" customHeight="1">
      <c r="A22" s="403" t="s">
        <v>222</v>
      </c>
      <c r="E22" s="27"/>
    </row>
    <row r="23" spans="1:9" ht="15" customHeight="1">
      <c r="A23" s="403" t="s">
        <v>226</v>
      </c>
      <c r="E23" s="27"/>
    </row>
    <row r="24" spans="1:9" ht="15" customHeight="1">
      <c r="A24" s="403" t="s">
        <v>297</v>
      </c>
      <c r="E24" s="27"/>
    </row>
    <row r="25" spans="1:9" ht="15" customHeight="1">
      <c r="A25" s="403" t="s">
        <v>231</v>
      </c>
      <c r="E25" s="27"/>
    </row>
    <row r="26" spans="1:9" ht="15" customHeight="1">
      <c r="A26" s="403" t="s">
        <v>234</v>
      </c>
      <c r="E26" s="27"/>
    </row>
    <row r="27" spans="1:9" ht="15" customHeight="1">
      <c r="A27" s="403" t="s">
        <v>293</v>
      </c>
      <c r="E27" s="27"/>
    </row>
    <row r="28" spans="1:9" ht="15" customHeight="1">
      <c r="A28" s="403" t="s">
        <v>237</v>
      </c>
      <c r="E28" s="27"/>
    </row>
    <row r="29" spans="1:9" ht="15" customHeight="1">
      <c r="A29" s="403" t="s">
        <v>273</v>
      </c>
      <c r="E29" s="27"/>
    </row>
    <row r="30" spans="1:9" ht="15" customHeight="1">
      <c r="A30" s="403" t="s">
        <v>274</v>
      </c>
      <c r="E30" s="27"/>
      <c r="I30" s="27"/>
    </row>
    <row r="31" spans="1:9" ht="15" customHeight="1">
      <c r="A31" s="403" t="s">
        <v>275</v>
      </c>
      <c r="E31" s="27"/>
      <c r="I31" s="27"/>
    </row>
    <row r="32" spans="1:9">
      <c r="E32" s="27"/>
    </row>
  </sheetData>
  <hyperlinks>
    <hyperlink ref="A2" location="tabc1!A1" display="Table C-1--Grapefruit: Bearing acreage and yield per acre, by State, 1980/81 to date "/>
    <hyperlink ref="A3" location="tabc2!A1" display="Table C-2--Grapefruit: Production by State, 1980/81 to date"/>
    <hyperlink ref="A4" location="tabc3!A1" display="Table C-3--Grapefruit: Utilization of production, by State, 1980/81 to date"/>
    <hyperlink ref="A5" location="tabc4!A1" display="Table C-4--Grapefruit: Equivalent-on-tree returns, by State, 1980/81 to date"/>
    <hyperlink ref="A6" location="tabc5!A1" display="Table C-5--All grapefruit: Monthly equivalent-on-tree returns received by growers, Arizona, 1980/81 to 2010"/>
    <hyperlink ref="A7" location="tabc6!A1" display="Table C-6--All grapefruit: Monthly equivalent-on-tree returns received by growers, California, 1980/81 to date"/>
    <hyperlink ref="A8" location="tabc7!A1" display="Table C-7--All grapefruit: Monthly equivalent-on-tree returns received by growers, Florida, 1980/81 to date"/>
    <hyperlink ref="A9" location="tabc8!A1" display="Table C-8--All grapefruit: Monthly equivalent-on-tree returns received by growers, Texas, 1980/81 to date"/>
    <hyperlink ref="A10" location="tabc9!A1" display="Table C-9--All grapefruit: Monthly equivalent-on-tree returns received by growers, United States, 1980/81 to date"/>
    <hyperlink ref="A11" location="tabc10!A1" display="Table C-10--Processed grapefruit: Florida, 1980/81 to date"/>
    <hyperlink ref="A12" location="tabc11!A1" display="Table C-11--Frozen concentrated grapefruit juice: stocks, pack, supplies, and movement, Florida, 1980/81 to date"/>
    <hyperlink ref="A13" location="tabc12!A1" display="Table C-12--Chilled grapefruit juice: Processors' stocks, pack, supplies, and movement, Florida, 1985/86 to date"/>
    <hyperlink ref="A14" location="tabc13!A1" display="Table C-13--Lemons: Acreage, yield per acre, and production, by State, 1980/81 to date"/>
    <hyperlink ref="A15" location="tabc14!A1" display="Table C-14--Lemons: Utilization of production, by State, 1980/81 to date"/>
    <hyperlink ref="A16" location="tabc15!A1" display="Table C-15--All lemons: Equivalent-on-tree returns, by State, 1980/81 to date"/>
    <hyperlink ref="A17" location="tabc16!A1" display="Table C-16--All lemons: Monthly equivalent-on-tree returns received by growers, Arizona, 1980/81 to date"/>
    <hyperlink ref="A18" location="tabc17!A1" display="Table C-17--All lemons: Monthly equivalent-on-tree returns received by growers, California, 1980/81 to date"/>
    <hyperlink ref="A19" location="tabc18!A1" display="Table C-18--All lemons: Monthly equivalent-on-tree returns received by growers, United States, 1980/81 to date"/>
    <hyperlink ref="A20" location="tabc19!A1" display="Table C-19--Oranges: Bearing acreage and yield per acre, by State, 1980/81 to date"/>
    <hyperlink ref="A21" location="tabc20!A1" display="Table C-20--Oranges: Production by State, 1980/81 to date"/>
    <hyperlink ref="A22" location="tabc21!A1" display="Table C-21--Oranges: Utilization of production, by State, 1980/81 to date"/>
    <hyperlink ref="A23" location="tabc22!A1" display="Table C-22--All oranges: Equivalent-on-tree returns, by State, 1980/81 to date"/>
    <hyperlink ref="A24" location="tabc23!A1" display="Table C-23--All oranges: Monthly equivalent-on-tree returns received by growers, Arizona, 1980/81 to 2010"/>
    <hyperlink ref="A25" location="tabc24!A1" display="Table C-24--All oranges: Monthly equivalent on-tree returns received by growers, California, 1980/81 to date"/>
    <hyperlink ref="A27" location="tabc26!A1" display="Table C-26--All oranges: Monthly equivalent on-tree returns received by growers, Texas, 1980/81 to 2008/09"/>
    <hyperlink ref="A28" location="tabc27!A1" display="Table C-27--All oranges: Monthly equivalent on-tree returns received by growers, United States, 1980/81 to date"/>
    <hyperlink ref="A29" location="tabc28!A1" display="Table C-28--Processed oranges: Florida, 1980/81 to date"/>
    <hyperlink ref="A30" location="tabc29!A1" display="Table C-29--Frozen concentrated orange juice: stocks, pack, supplies, and movement, Florida, 1980/81 to date"/>
    <hyperlink ref="A31" location="tabc30!A1" display="Table C-30--Chilled orange juice: Processors' stocks, pack, supplies, and movement, Florida, 1985/86 to date"/>
    <hyperlink ref="A26" location="tabc25!A1" display="Table C-25--All oranges: Monthly equivalent on-tree returns received by growers, Florida, 1980/81 to dat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0"/>
  <sheetViews>
    <sheetView showGridLines="0" view="pageBreakPreview" zoomScale="60" zoomScaleNormal="100" workbookViewId="0">
      <pane xSplit="1" ySplit="4" topLeftCell="B12" activePane="bottomRight" state="frozen"/>
      <selection pane="topRight" activeCell="B1" sqref="B1"/>
      <selection pane="bottomLeft" activeCell="A5" sqref="A5"/>
      <selection pane="bottomRight" activeCell="L49" sqref="L49"/>
    </sheetView>
  </sheetViews>
  <sheetFormatPr defaultColWidth="9.7109375" defaultRowHeight="12"/>
  <cols>
    <col min="1" max="1" width="8.5703125" customWidth="1"/>
    <col min="2" max="13" width="7.7109375" customWidth="1"/>
  </cols>
  <sheetData>
    <row r="1" spans="1:13">
      <c r="A1" s="160" t="s">
        <v>154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03"/>
    </row>
    <row r="2" spans="1:13">
      <c r="A2" s="1" t="s">
        <v>128</v>
      </c>
      <c r="B2" s="9" t="s">
        <v>140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155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156</v>
      </c>
      <c r="C4" s="47"/>
      <c r="D4" s="47"/>
      <c r="E4" s="47"/>
      <c r="F4" s="70"/>
      <c r="G4" s="47"/>
      <c r="H4" s="47"/>
      <c r="I4" s="47"/>
      <c r="J4" s="47"/>
      <c r="K4" s="47"/>
      <c r="L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34">
        <v>3.34</v>
      </c>
      <c r="C6" s="134">
        <v>3.2</v>
      </c>
      <c r="D6" s="134">
        <v>3.1</v>
      </c>
      <c r="E6" s="134">
        <v>3.25</v>
      </c>
      <c r="F6" s="134">
        <v>3.5</v>
      </c>
      <c r="G6" s="134">
        <v>4.05</v>
      </c>
      <c r="H6" s="134">
        <v>3.9</v>
      </c>
      <c r="I6" s="134">
        <v>4.09</v>
      </c>
      <c r="J6" s="134">
        <v>3.84</v>
      </c>
      <c r="K6" s="134">
        <v>3.07</v>
      </c>
      <c r="L6" s="134">
        <v>5.69</v>
      </c>
      <c r="M6" s="134">
        <v>4.32</v>
      </c>
    </row>
    <row r="7" spans="1:13" ht="10.5" customHeight="1">
      <c r="A7" s="14" t="s">
        <v>15</v>
      </c>
      <c r="B7" s="134">
        <v>2.65</v>
      </c>
      <c r="C7" s="134">
        <v>2.31</v>
      </c>
      <c r="D7" s="134">
        <v>1.84</v>
      </c>
      <c r="E7" s="134">
        <v>1.64</v>
      </c>
      <c r="F7" s="134">
        <v>1.46</v>
      </c>
      <c r="G7" s="134">
        <v>1.98</v>
      </c>
      <c r="H7" s="134">
        <v>2.0699999999999998</v>
      </c>
      <c r="I7" s="134">
        <v>1.1299999999999999</v>
      </c>
      <c r="J7" s="134">
        <v>2.93</v>
      </c>
      <c r="K7" s="134">
        <v>1.42</v>
      </c>
      <c r="L7" s="134">
        <v>3.23</v>
      </c>
      <c r="M7" s="134">
        <v>3.59</v>
      </c>
    </row>
    <row r="8" spans="1:13" ht="10.5" customHeight="1">
      <c r="A8" s="14" t="s">
        <v>16</v>
      </c>
      <c r="B8" s="134">
        <v>2.69</v>
      </c>
      <c r="C8" s="134">
        <v>1.94</v>
      </c>
      <c r="D8" s="134">
        <v>1.99</v>
      </c>
      <c r="E8" s="134">
        <v>1.52</v>
      </c>
      <c r="F8" s="134">
        <v>1.24</v>
      </c>
      <c r="G8" s="134">
        <v>1.48</v>
      </c>
      <c r="H8" s="134">
        <v>1.73</v>
      </c>
      <c r="I8" s="134">
        <v>1.82</v>
      </c>
      <c r="J8" s="134">
        <v>1.85</v>
      </c>
      <c r="K8" s="134">
        <v>2.12</v>
      </c>
      <c r="L8" s="134">
        <v>2.58</v>
      </c>
      <c r="M8" s="134">
        <v>2.58</v>
      </c>
    </row>
    <row r="9" spans="1:13" ht="10.5" customHeight="1">
      <c r="A9" s="14" t="s">
        <v>17</v>
      </c>
      <c r="B9" s="134">
        <v>3.77</v>
      </c>
      <c r="C9" s="134">
        <v>2.2599999999999998</v>
      </c>
      <c r="D9" s="134">
        <v>2.04</v>
      </c>
      <c r="E9" s="134">
        <v>2.5499999999999998</v>
      </c>
      <c r="F9" s="134">
        <v>2.2200000000000002</v>
      </c>
      <c r="G9" s="134">
        <v>2.75</v>
      </c>
      <c r="H9" s="134">
        <v>3.46</v>
      </c>
      <c r="I9" s="134">
        <v>3.54</v>
      </c>
      <c r="J9" s="134">
        <v>2.63</v>
      </c>
      <c r="K9" s="134">
        <v>2.44</v>
      </c>
      <c r="L9" s="134">
        <v>2.4700000000000002</v>
      </c>
      <c r="M9" s="134">
        <v>3.42</v>
      </c>
    </row>
    <row r="10" spans="1:13" ht="10.5" customHeight="1">
      <c r="A10" s="14" t="s">
        <v>18</v>
      </c>
      <c r="B10" s="134">
        <v>4.5999999999999996</v>
      </c>
      <c r="C10" s="134">
        <v>4.54</v>
      </c>
      <c r="D10" s="134">
        <v>4.33</v>
      </c>
      <c r="E10" s="134">
        <v>4.21</v>
      </c>
      <c r="F10" s="134">
        <v>3.63</v>
      </c>
      <c r="G10" s="134">
        <v>3.3</v>
      </c>
      <c r="H10" s="134">
        <v>3.55</v>
      </c>
      <c r="I10" s="134">
        <v>4.26</v>
      </c>
      <c r="J10" s="134">
        <v>4.51</v>
      </c>
      <c r="K10" s="134">
        <v>6.22</v>
      </c>
      <c r="L10" s="134">
        <v>5.8</v>
      </c>
      <c r="M10" s="134">
        <v>6.1</v>
      </c>
    </row>
    <row r="11" spans="1:13" ht="10.5" customHeight="1">
      <c r="A11" s="14" t="s">
        <v>19</v>
      </c>
      <c r="B11" s="134">
        <v>4.03</v>
      </c>
      <c r="C11" s="134">
        <v>4.88</v>
      </c>
      <c r="D11" s="134">
        <v>4.71</v>
      </c>
      <c r="E11" s="134">
        <v>4.57</v>
      </c>
      <c r="F11" s="134">
        <v>4.53</v>
      </c>
      <c r="G11" s="134">
        <v>2.65</v>
      </c>
      <c r="H11" s="134">
        <v>1.3</v>
      </c>
      <c r="I11" s="134">
        <v>2.44</v>
      </c>
      <c r="J11" s="134">
        <v>6.68</v>
      </c>
      <c r="K11" s="134">
        <v>6.03</v>
      </c>
      <c r="L11" s="134">
        <v>6.14</v>
      </c>
      <c r="M11" s="134">
        <v>8.2200000000000006</v>
      </c>
    </row>
    <row r="12" spans="1:13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</row>
    <row r="13" spans="1:13" ht="10.5" customHeight="1">
      <c r="A13" s="14" t="s">
        <v>20</v>
      </c>
      <c r="B13" s="134">
        <v>7.53</v>
      </c>
      <c r="C13" s="134">
        <v>4.88</v>
      </c>
      <c r="D13" s="134">
        <v>4.82</v>
      </c>
      <c r="E13" s="134">
        <v>4.75</v>
      </c>
      <c r="F13" s="134">
        <v>4.67</v>
      </c>
      <c r="G13" s="134">
        <v>4.8499999999999996</v>
      </c>
      <c r="H13" s="134">
        <v>4.97</v>
      </c>
      <c r="I13" s="134">
        <v>4.93</v>
      </c>
      <c r="J13" s="134">
        <v>4.3099999999999996</v>
      </c>
      <c r="K13" s="134">
        <v>5.45</v>
      </c>
      <c r="L13" s="134">
        <v>4.3</v>
      </c>
      <c r="M13" s="134">
        <v>4.47</v>
      </c>
    </row>
    <row r="14" spans="1:13" ht="10.5" customHeight="1">
      <c r="A14" s="14" t="s">
        <v>21</v>
      </c>
      <c r="B14" s="134">
        <v>8.68</v>
      </c>
      <c r="C14" s="134">
        <v>6.54</v>
      </c>
      <c r="D14" s="134">
        <v>5.97</v>
      </c>
      <c r="E14" s="134">
        <v>5.56</v>
      </c>
      <c r="F14" s="134">
        <v>5.45</v>
      </c>
      <c r="G14" s="134">
        <v>5.0999999999999996</v>
      </c>
      <c r="H14" s="134">
        <v>5.0199999999999996</v>
      </c>
      <c r="I14" s="134">
        <v>4.74</v>
      </c>
      <c r="J14" s="134">
        <v>3.52</v>
      </c>
      <c r="K14" s="134">
        <v>4.93</v>
      </c>
      <c r="L14" s="134">
        <v>5.46</v>
      </c>
      <c r="M14" s="134">
        <v>5.26</v>
      </c>
    </row>
    <row r="15" spans="1:13" ht="10.5" customHeight="1">
      <c r="A15" s="14" t="s">
        <v>142</v>
      </c>
      <c r="B15" s="134">
        <v>7.29</v>
      </c>
      <c r="C15" s="134">
        <v>5.38</v>
      </c>
      <c r="D15" s="134">
        <v>4.72</v>
      </c>
      <c r="E15" s="134">
        <v>4.4000000000000004</v>
      </c>
      <c r="F15" s="134">
        <v>4</v>
      </c>
      <c r="G15" s="134">
        <v>3.83</v>
      </c>
      <c r="H15" s="134">
        <v>4.24</v>
      </c>
      <c r="I15" s="134">
        <v>4.29</v>
      </c>
      <c r="J15" s="134">
        <v>3.32</v>
      </c>
      <c r="K15" s="134">
        <v>5.44</v>
      </c>
      <c r="L15" s="134">
        <v>6.26</v>
      </c>
      <c r="M15" s="134">
        <v>7.61</v>
      </c>
    </row>
    <row r="16" spans="1:13" ht="10.5" customHeight="1">
      <c r="A16" s="14" t="s">
        <v>143</v>
      </c>
      <c r="B16" s="134">
        <v>6.09</v>
      </c>
      <c r="C16" s="134">
        <v>5.94</v>
      </c>
      <c r="D16" s="134">
        <v>6.57</v>
      </c>
      <c r="E16" s="134">
        <v>5.03</v>
      </c>
      <c r="F16" s="134">
        <v>5</v>
      </c>
      <c r="G16" s="134">
        <v>7.02</v>
      </c>
      <c r="H16" s="134">
        <v>7.37</v>
      </c>
      <c r="I16" s="134">
        <v>7.48</v>
      </c>
      <c r="J16" s="134">
        <v>7.95</v>
      </c>
      <c r="K16" s="134">
        <v>5.63</v>
      </c>
      <c r="L16" s="134">
        <v>3.17</v>
      </c>
      <c r="M16" s="134">
        <v>5.87</v>
      </c>
    </row>
    <row r="17" spans="1:14" ht="10.5" customHeight="1">
      <c r="A17" s="14" t="s">
        <v>144</v>
      </c>
      <c r="B17" s="134">
        <v>6.78</v>
      </c>
      <c r="C17" s="134">
        <v>6.32</v>
      </c>
      <c r="D17" s="134">
        <v>5.36</v>
      </c>
      <c r="E17" s="134">
        <v>5.78</v>
      </c>
      <c r="F17" s="134">
        <v>4.76</v>
      </c>
      <c r="G17" s="134">
        <v>5.78</v>
      </c>
      <c r="H17" s="134">
        <v>5.79</v>
      </c>
      <c r="I17" s="134">
        <v>4.6900000000000004</v>
      </c>
      <c r="J17" s="134">
        <v>5.68</v>
      </c>
      <c r="K17" s="134">
        <v>5.07</v>
      </c>
      <c r="L17" s="134">
        <v>3.88</v>
      </c>
      <c r="M17" s="134">
        <v>6.92</v>
      </c>
    </row>
    <row r="18" spans="1:14" ht="10.5" customHeight="1">
      <c r="A18" s="14" t="s">
        <v>25</v>
      </c>
      <c r="B18" s="134">
        <v>6.44</v>
      </c>
      <c r="C18" s="134">
        <v>6.55</v>
      </c>
      <c r="D18" s="134">
        <v>6.19</v>
      </c>
      <c r="E18" s="134">
        <v>5.99</v>
      </c>
      <c r="F18" s="134">
        <v>6.13</v>
      </c>
      <c r="G18" s="134">
        <v>6.96</v>
      </c>
      <c r="H18" s="134">
        <v>6.69</v>
      </c>
      <c r="I18" s="134">
        <v>4.22</v>
      </c>
      <c r="J18" s="134">
        <v>4.6100000000000003</v>
      </c>
      <c r="K18" s="134">
        <v>4.0199999999999996</v>
      </c>
      <c r="L18" s="134">
        <v>3.91</v>
      </c>
      <c r="M18" s="134">
        <v>4.3899999999999997</v>
      </c>
    </row>
    <row r="19" spans="1:14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</row>
    <row r="20" spans="1:14" ht="10.5" customHeight="1">
      <c r="A20" s="14" t="s">
        <v>26</v>
      </c>
      <c r="B20" s="134">
        <v>6.15</v>
      </c>
      <c r="C20" s="134">
        <v>4.6399999999999997</v>
      </c>
      <c r="D20" s="134">
        <v>4.08</v>
      </c>
      <c r="E20" s="134">
        <v>3</v>
      </c>
      <c r="F20" s="134">
        <v>2.78</v>
      </c>
      <c r="G20" s="134">
        <v>1.86</v>
      </c>
      <c r="H20" s="134">
        <v>2.09</v>
      </c>
      <c r="I20" s="134">
        <v>1.45</v>
      </c>
      <c r="J20" s="134">
        <v>1.78</v>
      </c>
      <c r="K20" s="134">
        <v>3.97</v>
      </c>
      <c r="L20" s="134">
        <v>3.42</v>
      </c>
      <c r="M20" s="134">
        <v>9.89</v>
      </c>
    </row>
    <row r="21" spans="1:14" ht="10.5" customHeight="1">
      <c r="A21" s="14" t="s">
        <v>27</v>
      </c>
      <c r="B21" s="134">
        <v>7.3</v>
      </c>
      <c r="C21" s="134">
        <v>5.14</v>
      </c>
      <c r="D21" s="134">
        <v>3.92</v>
      </c>
      <c r="E21" s="134">
        <v>3.45</v>
      </c>
      <c r="F21" s="134">
        <v>3.04</v>
      </c>
      <c r="G21" s="134">
        <v>2.8</v>
      </c>
      <c r="H21" s="134">
        <v>2.57</v>
      </c>
      <c r="I21" s="134">
        <v>1.59</v>
      </c>
      <c r="J21" s="134">
        <v>2.4500000000000002</v>
      </c>
      <c r="K21" s="134">
        <v>4.03</v>
      </c>
      <c r="L21" s="134">
        <v>3.94</v>
      </c>
      <c r="M21" s="136">
        <v>6.52</v>
      </c>
      <c r="N21" s="154"/>
    </row>
    <row r="22" spans="1:14" ht="10.5" customHeight="1">
      <c r="A22" s="14" t="s">
        <v>28</v>
      </c>
      <c r="B22" s="134">
        <v>4.47</v>
      </c>
      <c r="C22" s="134">
        <v>2.44</v>
      </c>
      <c r="D22" s="134">
        <v>1.94</v>
      </c>
      <c r="E22" s="134">
        <v>2.19</v>
      </c>
      <c r="F22" s="134">
        <v>2.0299999999999998</v>
      </c>
      <c r="G22" s="134">
        <v>1.79</v>
      </c>
      <c r="H22" s="136">
        <v>1.39</v>
      </c>
      <c r="I22" s="134">
        <v>1.59</v>
      </c>
      <c r="J22" s="134">
        <v>3.98</v>
      </c>
      <c r="K22" s="134">
        <v>3.11</v>
      </c>
      <c r="L22" s="134">
        <v>5.72</v>
      </c>
      <c r="M22" s="120">
        <v>4.63</v>
      </c>
    </row>
    <row r="23" spans="1:14" ht="10.5" customHeight="1">
      <c r="A23" s="18" t="s">
        <v>30</v>
      </c>
      <c r="B23" s="120">
        <v>5.34</v>
      </c>
      <c r="C23" s="120">
        <v>2.5499999999999998</v>
      </c>
      <c r="D23" s="120">
        <v>1.85</v>
      </c>
      <c r="E23" s="120">
        <v>1.87</v>
      </c>
      <c r="F23" s="120">
        <v>1.76</v>
      </c>
      <c r="G23" s="120">
        <v>1.6</v>
      </c>
      <c r="H23" s="138">
        <v>2.08</v>
      </c>
      <c r="I23" s="120">
        <v>3.24</v>
      </c>
      <c r="J23" s="120">
        <v>4.24</v>
      </c>
      <c r="K23" s="120">
        <v>2.82</v>
      </c>
      <c r="L23" s="120">
        <v>4.28</v>
      </c>
      <c r="M23" s="138">
        <v>8.09</v>
      </c>
    </row>
    <row r="24" spans="1:14" ht="10.5" customHeight="1">
      <c r="A24" s="22" t="s">
        <v>31</v>
      </c>
      <c r="B24" s="120">
        <v>5.67</v>
      </c>
      <c r="C24" s="120">
        <v>3.15</v>
      </c>
      <c r="D24" s="120">
        <v>2.19</v>
      </c>
      <c r="E24" s="120">
        <v>2.17</v>
      </c>
      <c r="F24" s="120">
        <v>1.63</v>
      </c>
      <c r="G24" s="163">
        <v>1.1399999999999999</v>
      </c>
      <c r="H24" s="163">
        <v>1</v>
      </c>
      <c r="I24" s="163">
        <v>0.75</v>
      </c>
      <c r="J24" s="120">
        <v>3.04</v>
      </c>
      <c r="K24" s="120">
        <v>6.72</v>
      </c>
      <c r="L24" s="120">
        <v>3.81</v>
      </c>
      <c r="M24" s="138">
        <v>3.56</v>
      </c>
    </row>
    <row r="25" spans="1:14" ht="10.5" customHeight="1">
      <c r="A25" s="22" t="s">
        <v>32</v>
      </c>
      <c r="B25" s="120">
        <v>3.66</v>
      </c>
      <c r="C25" s="120">
        <v>2.35</v>
      </c>
      <c r="D25" s="120">
        <v>2.4300000000000002</v>
      </c>
      <c r="E25" s="120">
        <v>1.79</v>
      </c>
      <c r="F25" s="120">
        <v>1.44</v>
      </c>
      <c r="G25" s="163">
        <v>0.89</v>
      </c>
      <c r="H25" s="163">
        <v>0.89</v>
      </c>
      <c r="I25" s="163">
        <v>0.99</v>
      </c>
      <c r="J25" s="120">
        <v>4.42</v>
      </c>
      <c r="K25" s="120">
        <v>6.46</v>
      </c>
      <c r="L25" s="120">
        <v>8.92</v>
      </c>
      <c r="M25" s="138">
        <v>13.49</v>
      </c>
    </row>
    <row r="26" spans="1:14" ht="3" customHeight="1">
      <c r="A26" s="22"/>
      <c r="B26" s="120"/>
      <c r="C26" s="120"/>
      <c r="D26" s="120"/>
      <c r="E26" s="120"/>
      <c r="F26" s="120"/>
      <c r="G26" s="163"/>
      <c r="H26" s="163"/>
      <c r="I26" s="163"/>
      <c r="J26" s="120"/>
      <c r="K26" s="120"/>
      <c r="L26" s="120"/>
    </row>
    <row r="27" spans="1:14" ht="10.5" customHeight="1">
      <c r="A27" s="22" t="s">
        <v>33</v>
      </c>
      <c r="B27" s="120">
        <v>5.76</v>
      </c>
      <c r="C27" s="120">
        <v>3.79</v>
      </c>
      <c r="D27" s="120">
        <v>3.11</v>
      </c>
      <c r="E27" s="120">
        <v>2.69</v>
      </c>
      <c r="F27" s="120">
        <v>2.2200000000000002</v>
      </c>
      <c r="G27" s="163">
        <v>1.94</v>
      </c>
      <c r="H27" s="163">
        <v>2.25</v>
      </c>
      <c r="I27" s="163">
        <v>4.91</v>
      </c>
      <c r="J27" s="120">
        <v>10.44</v>
      </c>
      <c r="K27" s="120">
        <v>9.7799999999999994</v>
      </c>
      <c r="L27" s="120">
        <v>6.18</v>
      </c>
      <c r="M27" s="138">
        <v>3.7</v>
      </c>
    </row>
    <row r="28" spans="1:14" ht="10.5" customHeight="1">
      <c r="A28" s="22" t="s">
        <v>34</v>
      </c>
      <c r="B28" s="120">
        <v>7.72</v>
      </c>
      <c r="C28" s="120">
        <v>5.1100000000000003</v>
      </c>
      <c r="D28" s="120">
        <v>4.5599999999999996</v>
      </c>
      <c r="E28" s="120">
        <v>4.53</v>
      </c>
      <c r="F28" s="120">
        <v>3.79</v>
      </c>
      <c r="G28" s="163">
        <v>3.25</v>
      </c>
      <c r="H28" s="163">
        <v>2.82</v>
      </c>
      <c r="I28" s="163">
        <v>2.5099999999999998</v>
      </c>
      <c r="J28" s="120">
        <v>3.76</v>
      </c>
      <c r="K28" s="120">
        <v>5.35</v>
      </c>
      <c r="L28" s="120">
        <v>4.6500000000000004</v>
      </c>
      <c r="M28" s="138">
        <v>6.14</v>
      </c>
    </row>
    <row r="29" spans="1:14" ht="10.5" customHeight="1">
      <c r="A29" s="22" t="s">
        <v>35</v>
      </c>
      <c r="B29" s="120">
        <v>4.99</v>
      </c>
      <c r="C29" s="120">
        <v>3.24</v>
      </c>
      <c r="D29" s="120">
        <v>2.4900000000000002</v>
      </c>
      <c r="E29" s="120">
        <v>2.3199999999999998</v>
      </c>
      <c r="F29" s="120">
        <v>2.33</v>
      </c>
      <c r="G29" s="163">
        <v>1.92</v>
      </c>
      <c r="H29" s="163">
        <v>1.65</v>
      </c>
      <c r="I29" s="163">
        <v>1.97</v>
      </c>
      <c r="J29" s="120">
        <v>4.0599999999999996</v>
      </c>
      <c r="K29" s="120">
        <v>6.1</v>
      </c>
      <c r="L29" s="120">
        <v>4.9800000000000004</v>
      </c>
      <c r="M29" s="138">
        <v>6.88</v>
      </c>
    </row>
    <row r="30" spans="1:14" ht="10.5" customHeight="1">
      <c r="A30" s="18" t="s">
        <v>36</v>
      </c>
      <c r="B30" s="120">
        <v>6.93</v>
      </c>
      <c r="C30" s="120">
        <v>4.0599999999999996</v>
      </c>
      <c r="D30" s="120">
        <v>3.13</v>
      </c>
      <c r="E30" s="120">
        <v>2.83</v>
      </c>
      <c r="F30" s="120">
        <v>2.14</v>
      </c>
      <c r="G30" s="163">
        <v>1.81</v>
      </c>
      <c r="H30" s="163">
        <v>1.65</v>
      </c>
      <c r="I30" s="163">
        <v>1.87</v>
      </c>
      <c r="J30" s="120">
        <v>5.62</v>
      </c>
      <c r="K30" s="120">
        <v>6.28</v>
      </c>
      <c r="L30" s="120">
        <v>5.28</v>
      </c>
      <c r="M30" s="138">
        <v>5.23</v>
      </c>
    </row>
    <row r="31" spans="1:14" ht="10.5" customHeight="1">
      <c r="A31" s="22" t="s">
        <v>37</v>
      </c>
      <c r="B31" s="120">
        <v>5.69</v>
      </c>
      <c r="C31" s="120">
        <v>3.78</v>
      </c>
      <c r="D31" s="120">
        <v>2.77</v>
      </c>
      <c r="E31" s="120">
        <v>2.5499999999999998</v>
      </c>
      <c r="F31" s="120">
        <v>2.13</v>
      </c>
      <c r="G31" s="163">
        <v>1.79</v>
      </c>
      <c r="H31" s="163">
        <v>2</v>
      </c>
      <c r="I31" s="163">
        <v>6.02</v>
      </c>
      <c r="J31" s="120">
        <v>11.21</v>
      </c>
      <c r="K31" s="120">
        <v>8.83</v>
      </c>
      <c r="L31" s="120">
        <v>7.03</v>
      </c>
      <c r="M31" s="120">
        <v>13.85</v>
      </c>
    </row>
    <row r="32" spans="1:14" ht="10.5" customHeight="1">
      <c r="A32" s="18" t="s">
        <v>38</v>
      </c>
      <c r="B32" s="138">
        <v>7.23</v>
      </c>
      <c r="C32" s="120">
        <v>4.7</v>
      </c>
      <c r="D32" s="120">
        <v>4.05</v>
      </c>
      <c r="E32" s="120">
        <v>3.44</v>
      </c>
      <c r="F32" s="120">
        <v>3.07</v>
      </c>
      <c r="G32" s="120">
        <v>2.72</v>
      </c>
      <c r="H32" s="163">
        <v>2.2599999999999998</v>
      </c>
      <c r="I32" s="163">
        <v>3.46</v>
      </c>
      <c r="J32" s="163">
        <v>7.01</v>
      </c>
      <c r="K32" s="120">
        <v>6.21</v>
      </c>
      <c r="L32" s="120">
        <v>5.84</v>
      </c>
      <c r="M32" s="120">
        <v>13.02</v>
      </c>
    </row>
    <row r="33" spans="1:13" ht="4.5" customHeight="1">
      <c r="A33" s="22"/>
      <c r="B33" s="120"/>
      <c r="C33" s="120"/>
      <c r="D33" s="120"/>
      <c r="E33" s="120"/>
      <c r="F33" s="120"/>
      <c r="G33" s="163"/>
      <c r="H33" s="163"/>
      <c r="I33" s="163"/>
      <c r="J33" s="120"/>
      <c r="K33" s="120"/>
      <c r="L33" s="120"/>
      <c r="M33" s="120"/>
    </row>
    <row r="34" spans="1:13" ht="10.5" customHeight="1">
      <c r="A34" s="18" t="s">
        <v>39</v>
      </c>
      <c r="B34" s="138">
        <v>12.88</v>
      </c>
      <c r="C34" s="120">
        <v>15.93</v>
      </c>
      <c r="D34" s="120">
        <v>14.42</v>
      </c>
      <c r="E34" s="120">
        <v>13.74</v>
      </c>
      <c r="F34" s="120">
        <v>11.96</v>
      </c>
      <c r="G34" s="120">
        <v>10.24</v>
      </c>
      <c r="H34" s="163">
        <v>10.37</v>
      </c>
      <c r="I34" s="163">
        <v>11.16</v>
      </c>
      <c r="J34" s="163">
        <v>15.33</v>
      </c>
      <c r="K34" s="120">
        <v>13.83</v>
      </c>
      <c r="L34" s="120">
        <v>10.93</v>
      </c>
      <c r="M34" s="164">
        <v>16.77</v>
      </c>
    </row>
    <row r="35" spans="1:13" ht="10.5" customHeight="1">
      <c r="A35" s="18" t="s">
        <v>40</v>
      </c>
      <c r="B35" s="138">
        <v>9.67</v>
      </c>
      <c r="C35" s="120">
        <v>8.41</v>
      </c>
      <c r="D35" s="120">
        <v>9.51</v>
      </c>
      <c r="E35" s="120">
        <v>10.02</v>
      </c>
      <c r="F35" s="120">
        <v>8.81</v>
      </c>
      <c r="G35" s="120">
        <v>7.15</v>
      </c>
      <c r="H35" s="163">
        <v>6.89</v>
      </c>
      <c r="I35" s="163">
        <v>11.61</v>
      </c>
      <c r="J35" s="163">
        <v>10.97</v>
      </c>
      <c r="K35" s="120">
        <v>11.07</v>
      </c>
      <c r="L35" s="120">
        <v>10.18</v>
      </c>
      <c r="M35" s="164">
        <v>11.38</v>
      </c>
    </row>
    <row r="36" spans="1:13" ht="10.5" customHeight="1">
      <c r="A36" s="18" t="s">
        <v>148</v>
      </c>
      <c r="B36" s="138">
        <v>11.7</v>
      </c>
      <c r="C36" s="120">
        <v>8.4600000000000009</v>
      </c>
      <c r="D36" s="120">
        <v>8.11</v>
      </c>
      <c r="E36" s="120">
        <v>5.81</v>
      </c>
      <c r="F36" s="120">
        <v>4.26</v>
      </c>
      <c r="G36" s="120">
        <v>3.29</v>
      </c>
      <c r="H36" s="163">
        <v>2.68</v>
      </c>
      <c r="I36" s="163">
        <v>4.9400000000000004</v>
      </c>
      <c r="J36" s="163">
        <v>9.98</v>
      </c>
      <c r="K36" s="120">
        <v>8.9499999999999993</v>
      </c>
      <c r="L36" s="120">
        <v>7.62</v>
      </c>
      <c r="M36" s="120">
        <v>8.5500000000000007</v>
      </c>
    </row>
    <row r="37" spans="1:13" ht="10.5" customHeight="1">
      <c r="A37" s="18" t="s">
        <v>42</v>
      </c>
      <c r="B37" s="138">
        <v>11.42</v>
      </c>
      <c r="C37" s="120">
        <v>10.39</v>
      </c>
      <c r="D37" s="120">
        <v>6.48</v>
      </c>
      <c r="E37" s="120">
        <v>5.27</v>
      </c>
      <c r="F37" s="120">
        <v>3.92</v>
      </c>
      <c r="G37" s="120">
        <v>3.09</v>
      </c>
      <c r="H37" s="163">
        <v>2.85</v>
      </c>
      <c r="I37" s="163">
        <v>4.72</v>
      </c>
      <c r="J37" s="163">
        <v>6.5</v>
      </c>
      <c r="K37" s="120">
        <v>5.4</v>
      </c>
      <c r="L37" s="120">
        <v>3.5</v>
      </c>
      <c r="M37" s="120">
        <v>5.5</v>
      </c>
    </row>
    <row r="38" spans="1:13" ht="10.5" customHeight="1">
      <c r="A38" s="18" t="s">
        <v>43</v>
      </c>
      <c r="B38" s="138">
        <v>10.45</v>
      </c>
      <c r="C38" s="120">
        <v>5.34</v>
      </c>
      <c r="D38" s="120">
        <v>4.41</v>
      </c>
      <c r="E38" s="120">
        <v>4.03</v>
      </c>
      <c r="F38" s="120">
        <v>3.74</v>
      </c>
      <c r="G38" s="120">
        <v>3.68</v>
      </c>
      <c r="H38" s="163">
        <v>3.07</v>
      </c>
      <c r="I38" s="163">
        <v>5.55</v>
      </c>
      <c r="J38" s="163">
        <v>7.05</v>
      </c>
      <c r="K38" s="120">
        <v>6.05</v>
      </c>
      <c r="L38" s="120">
        <v>5.05</v>
      </c>
      <c r="M38" s="120">
        <v>6.55</v>
      </c>
    </row>
    <row r="39" spans="1:13" s="59" customFormat="1" ht="10.5" customHeight="1">
      <c r="A39" s="18" t="s">
        <v>44</v>
      </c>
      <c r="B39" s="148">
        <v>16.41</v>
      </c>
      <c r="C39" s="120">
        <v>10.89</v>
      </c>
      <c r="D39" s="120">
        <v>8.9600000000000009</v>
      </c>
      <c r="E39" s="120">
        <v>8.99</v>
      </c>
      <c r="F39" s="120">
        <v>7.19</v>
      </c>
      <c r="G39" s="120">
        <v>6.03</v>
      </c>
      <c r="H39" s="163">
        <v>4.21</v>
      </c>
      <c r="I39" s="163">
        <v>4.75</v>
      </c>
      <c r="J39" s="163">
        <v>5.4</v>
      </c>
      <c r="K39" s="120">
        <v>4.0999999999999996</v>
      </c>
      <c r="L39" s="120">
        <v>2.7</v>
      </c>
      <c r="M39" s="120">
        <v>4.7</v>
      </c>
    </row>
    <row r="40" spans="1:13" s="59" customFormat="1" ht="10.5" customHeight="1">
      <c r="A40" s="18" t="s">
        <v>46</v>
      </c>
      <c r="B40" s="148">
        <v>7.62</v>
      </c>
      <c r="C40" s="120">
        <v>12.28</v>
      </c>
      <c r="D40" s="120">
        <v>8.0500000000000007</v>
      </c>
      <c r="E40" s="120">
        <v>6.85</v>
      </c>
      <c r="F40" s="120">
        <v>6.19</v>
      </c>
      <c r="G40" s="120">
        <v>5.75</v>
      </c>
      <c r="H40" s="163">
        <v>5.17</v>
      </c>
      <c r="I40" s="163">
        <v>7.64</v>
      </c>
      <c r="J40" s="163">
        <v>9.5</v>
      </c>
      <c r="K40" s="120">
        <v>8.1999999999999993</v>
      </c>
      <c r="L40" s="120">
        <v>7.1</v>
      </c>
      <c r="M40" s="120">
        <v>9.5</v>
      </c>
    </row>
    <row r="41" spans="1:13" s="59" customFormat="1" ht="3" customHeight="1">
      <c r="A41" s="18"/>
      <c r="B41" s="148"/>
      <c r="C41" s="120"/>
      <c r="D41" s="120"/>
      <c r="E41" s="120"/>
      <c r="F41" s="120"/>
      <c r="G41" s="120"/>
      <c r="H41" s="163"/>
      <c r="I41" s="163"/>
      <c r="J41" s="163"/>
      <c r="K41" s="120"/>
      <c r="L41" s="120"/>
      <c r="M41" s="120"/>
    </row>
    <row r="42" spans="1:13" s="59" customFormat="1" ht="10.5" customHeight="1">
      <c r="A42" s="18" t="s">
        <v>47</v>
      </c>
      <c r="B42" s="148">
        <v>8.67</v>
      </c>
      <c r="C42" s="120">
        <v>8.0399999999999991</v>
      </c>
      <c r="D42" s="120">
        <v>7.33</v>
      </c>
      <c r="E42" s="120">
        <v>6.84</v>
      </c>
      <c r="F42" s="120">
        <v>6.63</v>
      </c>
      <c r="G42" s="120">
        <v>6.88</v>
      </c>
      <c r="H42" s="163">
        <v>10.23</v>
      </c>
      <c r="I42" s="163">
        <v>9.65</v>
      </c>
      <c r="J42" s="163">
        <v>15.43</v>
      </c>
      <c r="K42" s="120">
        <v>13.23</v>
      </c>
      <c r="L42" s="120">
        <v>10.33</v>
      </c>
      <c r="M42" s="120">
        <v>10.130000000000001</v>
      </c>
    </row>
    <row r="43" spans="1:13" s="59" customFormat="1" ht="10.5" customHeight="1">
      <c r="A43" s="18" t="s">
        <v>48</v>
      </c>
      <c r="B43" s="148">
        <v>12.49</v>
      </c>
      <c r="C43" s="120">
        <v>8.2899999999999991</v>
      </c>
      <c r="D43" s="120">
        <v>7.34</v>
      </c>
      <c r="E43" s="120">
        <v>7.48</v>
      </c>
      <c r="F43" s="120">
        <v>5.72</v>
      </c>
      <c r="G43" s="120">
        <v>4.7</v>
      </c>
      <c r="H43" s="163">
        <v>4.99</v>
      </c>
      <c r="I43" s="163">
        <v>8.26</v>
      </c>
      <c r="J43" s="163">
        <v>8.76</v>
      </c>
      <c r="K43" s="120">
        <v>6.66</v>
      </c>
      <c r="L43" s="120">
        <v>6.36</v>
      </c>
      <c r="M43" s="120">
        <v>8.76</v>
      </c>
    </row>
    <row r="44" spans="1:13" s="59" customFormat="1" ht="10.5" customHeight="1">
      <c r="A44" s="22" t="s">
        <v>51</v>
      </c>
      <c r="B44" s="148">
        <v>7.96</v>
      </c>
      <c r="C44" s="120">
        <v>9.6199999999999992</v>
      </c>
      <c r="D44" s="120">
        <v>8.9</v>
      </c>
      <c r="E44" s="120">
        <v>8.16</v>
      </c>
      <c r="F44" s="120">
        <v>6.26</v>
      </c>
      <c r="G44" s="120">
        <v>5.89</v>
      </c>
      <c r="H44" s="163">
        <v>5.18</v>
      </c>
      <c r="I44" s="163">
        <v>5.43</v>
      </c>
      <c r="J44" s="163">
        <v>6.62</v>
      </c>
      <c r="K44" s="120">
        <v>7.88</v>
      </c>
      <c r="L44" s="120">
        <v>8.0500000000000007</v>
      </c>
      <c r="M44" s="120">
        <v>13.4</v>
      </c>
    </row>
    <row r="45" spans="1:13" ht="10.5" customHeight="1">
      <c r="A45" s="22" t="s">
        <v>52</v>
      </c>
      <c r="B45" s="138">
        <v>12.33</v>
      </c>
      <c r="C45" s="120">
        <v>10.25</v>
      </c>
      <c r="D45" s="120">
        <v>9.61</v>
      </c>
      <c r="E45" s="120">
        <v>7.6</v>
      </c>
      <c r="F45" s="120">
        <v>6.29</v>
      </c>
      <c r="G45" s="120">
        <v>5.85</v>
      </c>
      <c r="H45" s="163">
        <v>5.6</v>
      </c>
      <c r="I45" s="163">
        <v>5.15</v>
      </c>
      <c r="J45" s="163">
        <v>8.9600000000000009</v>
      </c>
      <c r="K45" s="120">
        <v>5.77</v>
      </c>
      <c r="L45" s="120">
        <v>5.63</v>
      </c>
      <c r="M45" s="138">
        <v>7.79</v>
      </c>
    </row>
    <row r="46" spans="1:13" ht="10.5" customHeight="1">
      <c r="A46" s="22" t="s">
        <v>291</v>
      </c>
      <c r="B46" s="138">
        <v>13.21</v>
      </c>
      <c r="C46" s="120">
        <v>13.63</v>
      </c>
      <c r="D46" s="120">
        <v>11.7</v>
      </c>
      <c r="E46" s="120">
        <v>10.41</v>
      </c>
      <c r="F46" s="120">
        <v>8.65</v>
      </c>
      <c r="G46" s="120">
        <v>8.49</v>
      </c>
      <c r="H46" s="163">
        <v>12.91</v>
      </c>
      <c r="I46" s="163">
        <v>15.23</v>
      </c>
      <c r="J46" s="163">
        <v>13.93</v>
      </c>
      <c r="K46" s="120">
        <v>15.03</v>
      </c>
      <c r="L46" s="120">
        <v>14.78</v>
      </c>
      <c r="M46" s="416" t="s">
        <v>300</v>
      </c>
    </row>
    <row r="47" spans="1:13" ht="10.5" customHeight="1">
      <c r="A47" s="22" t="s">
        <v>298</v>
      </c>
      <c r="B47" s="138">
        <v>19.079999999999998</v>
      </c>
      <c r="C47" s="120">
        <v>13.76</v>
      </c>
      <c r="D47" s="120">
        <v>12.58</v>
      </c>
      <c r="E47" s="120">
        <v>11.07</v>
      </c>
      <c r="F47" s="120">
        <v>10.78</v>
      </c>
      <c r="G47" s="120">
        <v>11.32</v>
      </c>
      <c r="H47" s="163">
        <v>14.17</v>
      </c>
      <c r="I47" s="163">
        <v>16.559999999999999</v>
      </c>
      <c r="J47" s="163">
        <v>15.37</v>
      </c>
      <c r="K47" s="120">
        <v>14.28</v>
      </c>
      <c r="L47" s="416" t="s">
        <v>300</v>
      </c>
      <c r="M47" s="138">
        <v>14.66</v>
      </c>
    </row>
    <row r="48" spans="1:13" ht="10.5" customHeight="1">
      <c r="A48" s="22" t="s">
        <v>312</v>
      </c>
      <c r="B48" s="138">
        <v>20.91</v>
      </c>
      <c r="C48" s="120">
        <v>19.27</v>
      </c>
      <c r="D48" s="120">
        <v>15.43</v>
      </c>
      <c r="E48" s="120">
        <v>15.1</v>
      </c>
      <c r="F48" s="120">
        <v>14.97</v>
      </c>
      <c r="G48" s="120">
        <v>15.88</v>
      </c>
      <c r="H48" s="163">
        <v>18.07</v>
      </c>
      <c r="I48" s="163">
        <v>16.940000000000001</v>
      </c>
      <c r="J48" s="163">
        <v>14.35</v>
      </c>
      <c r="K48" s="120">
        <v>13.34</v>
      </c>
      <c r="L48" s="120">
        <v>9.57</v>
      </c>
      <c r="M48" s="138">
        <v>15.16</v>
      </c>
    </row>
    <row r="49" spans="1:13" ht="10.5" customHeight="1">
      <c r="A49" s="149" t="s">
        <v>319</v>
      </c>
      <c r="B49" s="141">
        <v>20.61</v>
      </c>
      <c r="C49" s="142">
        <v>20.89</v>
      </c>
      <c r="D49" s="142">
        <v>18.68</v>
      </c>
      <c r="E49" s="142">
        <v>15.99</v>
      </c>
      <c r="F49" s="142">
        <v>14.61</v>
      </c>
      <c r="G49" s="142">
        <v>11.44</v>
      </c>
      <c r="H49" s="165">
        <v>13.51</v>
      </c>
      <c r="I49" s="165">
        <v>13.94</v>
      </c>
      <c r="J49" s="165">
        <v>11.95</v>
      </c>
      <c r="K49" s="142">
        <v>11.34</v>
      </c>
      <c r="L49" s="365">
        <v>5.81</v>
      </c>
      <c r="M49" s="141"/>
    </row>
    <row r="50" spans="1:13">
      <c r="A50" s="39" t="s">
        <v>127</v>
      </c>
      <c r="B50" s="98"/>
      <c r="C50" s="98"/>
      <c r="D50" s="98"/>
      <c r="E50" s="98"/>
      <c r="F50" s="98"/>
      <c r="G50" s="98"/>
      <c r="H50" s="98"/>
      <c r="I50" s="152"/>
      <c r="J50" s="152"/>
      <c r="K50" s="152"/>
      <c r="L50" s="152"/>
    </row>
  </sheetData>
  <pageMargins left="0.66700000000000004" right="0.66700000000000004" top="0.66700000000000004" bottom="0.72" header="0" footer="0"/>
  <pageSetup firstPageNumber="79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55"/>
  <sheetViews>
    <sheetView showGridLines="0" zoomScaleNormal="100" workbookViewId="0">
      <selection activeCell="G50" sqref="G50"/>
    </sheetView>
  </sheetViews>
  <sheetFormatPr defaultColWidth="9.7109375" defaultRowHeight="12"/>
  <cols>
    <col min="1" max="1" width="15.7109375" customWidth="1"/>
    <col min="2" max="2" width="19.5703125" customWidth="1"/>
    <col min="3" max="3" width="2.7109375" customWidth="1"/>
    <col min="4" max="4" width="19.5703125" customWidth="1"/>
    <col min="5" max="5" width="2.7109375" customWidth="1"/>
    <col min="6" max="6" width="21" customWidth="1"/>
    <col min="7" max="7" width="21.7109375" customWidth="1"/>
    <col min="8" max="9" width="10" bestFit="1" customWidth="1"/>
  </cols>
  <sheetData>
    <row r="1" spans="1:7" ht="10.5" customHeight="1">
      <c r="A1" s="1" t="s">
        <v>157</v>
      </c>
      <c r="B1" s="3"/>
      <c r="C1" s="3"/>
      <c r="D1" s="2"/>
      <c r="E1" s="2"/>
      <c r="F1" s="2"/>
      <c r="G1" s="3"/>
    </row>
    <row r="2" spans="1:7" ht="10.5" customHeight="1">
      <c r="A2" s="4"/>
      <c r="B2" s="7" t="s">
        <v>158</v>
      </c>
      <c r="C2" s="4"/>
      <c r="D2" s="166" t="s">
        <v>159</v>
      </c>
      <c r="E2" s="18"/>
      <c r="F2" s="7" t="s">
        <v>160</v>
      </c>
      <c r="G2" s="7"/>
    </row>
    <row r="3" spans="1:7" ht="12.95" customHeight="1">
      <c r="A3" s="140" t="s">
        <v>161</v>
      </c>
      <c r="B3" s="8" t="s">
        <v>162</v>
      </c>
      <c r="C3" s="2"/>
      <c r="D3" s="8" t="s">
        <v>163</v>
      </c>
      <c r="E3" s="140"/>
      <c r="F3" s="8" t="s">
        <v>164</v>
      </c>
      <c r="G3" s="8" t="s">
        <v>165</v>
      </c>
    </row>
    <row r="4" spans="1:7" ht="3.95" customHeight="1">
      <c r="A4" s="18"/>
      <c r="B4" s="10"/>
      <c r="C4" s="5"/>
      <c r="D4" s="10"/>
      <c r="E4" s="18"/>
      <c r="F4" s="10"/>
      <c r="G4" s="10"/>
    </row>
    <row r="5" spans="1:7" ht="12.95" customHeight="1">
      <c r="A5" s="4"/>
      <c r="B5" s="46" t="s">
        <v>166</v>
      </c>
      <c r="C5" s="47"/>
      <c r="D5" s="47"/>
      <c r="E5" s="47"/>
      <c r="F5" s="47"/>
      <c r="G5" s="47"/>
    </row>
    <row r="6" spans="1:7" ht="3" customHeight="1">
      <c r="A6" s="4"/>
      <c r="B6" s="4"/>
      <c r="C6" s="4"/>
      <c r="D6" s="4"/>
      <c r="E6" s="4"/>
      <c r="F6" s="4"/>
      <c r="G6" s="4"/>
    </row>
    <row r="7" spans="1:7" ht="10.5" customHeight="1">
      <c r="A7" s="14" t="s">
        <v>14</v>
      </c>
      <c r="B7" s="167">
        <v>19490</v>
      </c>
      <c r="C7" s="168"/>
      <c r="D7" s="167">
        <v>3489</v>
      </c>
      <c r="E7" s="169"/>
      <c r="F7" s="167">
        <v>10154</v>
      </c>
      <c r="G7" s="167">
        <v>33133</v>
      </c>
    </row>
    <row r="8" spans="1:7" ht="10.5" customHeight="1">
      <c r="A8" s="14" t="s">
        <v>15</v>
      </c>
      <c r="B8" s="167">
        <v>20052</v>
      </c>
      <c r="C8" s="168"/>
      <c r="D8" s="167">
        <v>2406</v>
      </c>
      <c r="E8" s="169"/>
      <c r="F8" s="167">
        <v>8923</v>
      </c>
      <c r="G8" s="167">
        <v>31381</v>
      </c>
    </row>
    <row r="9" spans="1:7" ht="10.5" customHeight="1">
      <c r="A9" s="14" t="s">
        <v>16</v>
      </c>
      <c r="B9" s="167">
        <v>13977</v>
      </c>
      <c r="C9" s="168"/>
      <c r="D9" s="167">
        <v>1731</v>
      </c>
      <c r="E9" s="169"/>
      <c r="F9" s="167">
        <v>5379</v>
      </c>
      <c r="G9" s="167">
        <v>21087</v>
      </c>
    </row>
    <row r="10" spans="1:7" ht="10.5" customHeight="1">
      <c r="A10" s="14" t="s">
        <v>17</v>
      </c>
      <c r="B10" s="167">
        <v>18728</v>
      </c>
      <c r="C10" s="168"/>
      <c r="D10" s="167">
        <v>1320</v>
      </c>
      <c r="E10" s="169"/>
      <c r="F10" s="167">
        <v>4191</v>
      </c>
      <c r="G10" s="167">
        <v>24239</v>
      </c>
    </row>
    <row r="11" spans="1:7" ht="10.5" customHeight="1">
      <c r="A11" s="14" t="s">
        <v>18</v>
      </c>
      <c r="B11" s="167">
        <v>22996</v>
      </c>
      <c r="C11" s="168"/>
      <c r="D11" s="167">
        <v>1065</v>
      </c>
      <c r="E11" s="169"/>
      <c r="F11" s="167">
        <v>4951</v>
      </c>
      <c r="G11" s="167">
        <v>29012</v>
      </c>
    </row>
    <row r="12" spans="1:7" ht="10.5" customHeight="1">
      <c r="A12" s="14" t="s">
        <v>19</v>
      </c>
      <c r="B12" s="167">
        <v>21572</v>
      </c>
      <c r="C12" s="168"/>
      <c r="D12" s="167">
        <v>1189</v>
      </c>
      <c r="E12" s="169"/>
      <c r="F12" s="167">
        <v>4369</v>
      </c>
      <c r="G12" s="167">
        <v>27130</v>
      </c>
    </row>
    <row r="13" spans="1:7" ht="3" customHeight="1">
      <c r="A13" s="14"/>
      <c r="B13" s="167"/>
      <c r="C13" s="168"/>
      <c r="D13" s="167"/>
      <c r="E13" s="169"/>
      <c r="F13" s="167"/>
      <c r="G13" s="167"/>
    </row>
    <row r="14" spans="1:7" ht="10.5" customHeight="1">
      <c r="A14" s="14" t="s">
        <v>20</v>
      </c>
      <c r="B14" s="167">
        <v>24143</v>
      </c>
      <c r="C14" s="168"/>
      <c r="D14" s="167">
        <v>2295</v>
      </c>
      <c r="E14" s="169"/>
      <c r="F14" s="167">
        <v>2424</v>
      </c>
      <c r="G14" s="167">
        <v>28862</v>
      </c>
    </row>
    <row r="15" spans="1:7" ht="10.5" customHeight="1">
      <c r="A15" s="14" t="s">
        <v>21</v>
      </c>
      <c r="B15" s="167">
        <v>26690</v>
      </c>
      <c r="C15" s="168"/>
      <c r="D15" s="167">
        <v>1965</v>
      </c>
      <c r="E15" s="169"/>
      <c r="F15" s="167">
        <v>2085</v>
      </c>
      <c r="G15" s="167">
        <v>30740</v>
      </c>
    </row>
    <row r="16" spans="1:7" ht="10.5" customHeight="1">
      <c r="A16" s="14" t="s">
        <v>142</v>
      </c>
      <c r="B16" s="167">
        <v>26621</v>
      </c>
      <c r="C16" s="168"/>
      <c r="D16" s="167">
        <v>2626</v>
      </c>
      <c r="E16" s="169"/>
      <c r="F16" s="167">
        <v>1601</v>
      </c>
      <c r="G16" s="167">
        <v>30848</v>
      </c>
    </row>
    <row r="17" spans="1:7" ht="10.5" customHeight="1">
      <c r="A17" s="14" t="s">
        <v>143</v>
      </c>
      <c r="B17" s="167">
        <v>19405</v>
      </c>
      <c r="C17" s="168"/>
      <c r="D17" s="167">
        <v>1931</v>
      </c>
      <c r="E17" s="169"/>
      <c r="F17" s="167">
        <v>1019</v>
      </c>
      <c r="G17" s="167">
        <v>22355</v>
      </c>
    </row>
    <row r="18" spans="1:7" ht="10.5" customHeight="1">
      <c r="A18" s="14" t="s">
        <v>144</v>
      </c>
      <c r="B18" s="167">
        <v>17413</v>
      </c>
      <c r="C18" s="168"/>
      <c r="D18" s="167">
        <v>3391</v>
      </c>
      <c r="E18" s="169"/>
      <c r="F18" s="167">
        <v>373</v>
      </c>
      <c r="G18" s="167">
        <v>21177</v>
      </c>
    </row>
    <row r="19" spans="1:7" ht="10.5" customHeight="1">
      <c r="A19" s="14" t="s">
        <v>25</v>
      </c>
      <c r="B19" s="167">
        <v>16099</v>
      </c>
      <c r="C19" s="168"/>
      <c r="D19" s="167">
        <v>2857</v>
      </c>
      <c r="E19" s="169"/>
      <c r="F19" s="167">
        <v>600</v>
      </c>
      <c r="G19" s="167">
        <v>19556</v>
      </c>
    </row>
    <row r="20" spans="1:7" ht="3" customHeight="1">
      <c r="A20" s="14"/>
      <c r="B20" s="167"/>
      <c r="C20" s="168"/>
      <c r="D20" s="167"/>
      <c r="E20" s="169"/>
      <c r="F20" s="167"/>
      <c r="G20" s="167"/>
    </row>
    <row r="21" spans="1:7" ht="10.5" customHeight="1">
      <c r="A21" s="14" t="s">
        <v>26</v>
      </c>
      <c r="B21" s="167">
        <v>26595</v>
      </c>
      <c r="C21" s="168"/>
      <c r="D21" s="167">
        <v>4852</v>
      </c>
      <c r="E21" s="169"/>
      <c r="F21" s="167">
        <v>549</v>
      </c>
      <c r="G21" s="167">
        <v>31996</v>
      </c>
    </row>
    <row r="22" spans="1:7" ht="10.5" customHeight="1">
      <c r="A22" s="14" t="s">
        <v>27</v>
      </c>
      <c r="B22" s="167">
        <v>22324</v>
      </c>
      <c r="C22" s="168"/>
      <c r="D22" s="167">
        <v>5935</v>
      </c>
      <c r="E22" s="169"/>
      <c r="F22" s="167">
        <v>289</v>
      </c>
      <c r="G22" s="167">
        <v>28548</v>
      </c>
    </row>
    <row r="23" spans="1:7" ht="10.5" customHeight="1">
      <c r="A23" s="14" t="s">
        <v>28</v>
      </c>
      <c r="B23" s="167">
        <v>27343</v>
      </c>
      <c r="C23" s="168"/>
      <c r="D23" s="167">
        <v>5815</v>
      </c>
      <c r="E23" s="169"/>
      <c r="F23" s="167">
        <v>303</v>
      </c>
      <c r="G23" s="167">
        <v>33461</v>
      </c>
    </row>
    <row r="24" spans="1:7" ht="10.5" customHeight="1">
      <c r="A24" s="18" t="s">
        <v>30</v>
      </c>
      <c r="B24" s="170">
        <v>22993</v>
      </c>
      <c r="C24" s="171"/>
      <c r="D24" s="170">
        <v>6379</v>
      </c>
      <c r="E24" s="172"/>
      <c r="F24" s="170">
        <v>135</v>
      </c>
      <c r="G24" s="170">
        <v>29507</v>
      </c>
    </row>
    <row r="25" spans="1:7" ht="10.5" customHeight="1">
      <c r="A25" s="22" t="s">
        <v>31</v>
      </c>
      <c r="B25" s="170">
        <v>24981</v>
      </c>
      <c r="C25" s="171"/>
      <c r="D25" s="170">
        <v>7135</v>
      </c>
      <c r="E25" s="172"/>
      <c r="F25" s="170">
        <v>447</v>
      </c>
      <c r="G25" s="170">
        <v>32563</v>
      </c>
    </row>
    <row r="26" spans="1:7" ht="10.5" customHeight="1">
      <c r="A26" s="22" t="s">
        <v>32</v>
      </c>
      <c r="B26" s="170">
        <v>20578</v>
      </c>
      <c r="C26" s="171"/>
      <c r="D26" s="170">
        <v>7225</v>
      </c>
      <c r="E26" s="172"/>
      <c r="F26" s="170">
        <v>587</v>
      </c>
      <c r="G26" s="170">
        <v>28390</v>
      </c>
    </row>
    <row r="27" spans="1:7" ht="3" customHeight="1">
      <c r="A27" s="22"/>
      <c r="B27" s="170"/>
      <c r="C27" s="171"/>
      <c r="D27" s="170"/>
      <c r="E27" s="172"/>
      <c r="F27" s="170"/>
      <c r="G27" s="170"/>
    </row>
    <row r="28" spans="1:7" ht="10.5" customHeight="1">
      <c r="A28" s="22" t="s">
        <v>33</v>
      </c>
      <c r="B28" s="170">
        <v>19050</v>
      </c>
      <c r="C28" s="171"/>
      <c r="D28" s="170">
        <v>7516</v>
      </c>
      <c r="E28" s="172"/>
      <c r="F28" s="170">
        <v>563</v>
      </c>
      <c r="G28" s="170">
        <v>27129</v>
      </c>
    </row>
    <row r="29" spans="1:7" ht="10.5" customHeight="1">
      <c r="A29" s="22" t="s">
        <v>34</v>
      </c>
      <c r="B29" s="170">
        <v>24070</v>
      </c>
      <c r="C29" s="171"/>
      <c r="D29" s="170">
        <v>10397</v>
      </c>
      <c r="E29" s="172"/>
      <c r="F29" s="170">
        <v>716</v>
      </c>
      <c r="G29" s="170">
        <v>35183</v>
      </c>
    </row>
    <row r="30" spans="1:7" ht="10.5" customHeight="1">
      <c r="A30" s="22" t="s">
        <v>35</v>
      </c>
      <c r="B30" s="170">
        <v>21201</v>
      </c>
      <c r="C30" s="171"/>
      <c r="D30" s="170">
        <v>6362</v>
      </c>
      <c r="E30" s="172"/>
      <c r="F30" s="170">
        <v>947</v>
      </c>
      <c r="G30" s="170">
        <v>28510</v>
      </c>
    </row>
    <row r="31" spans="1:7" ht="10.5" customHeight="1">
      <c r="A31" s="18" t="s">
        <v>36</v>
      </c>
      <c r="B31" s="170">
        <v>21686</v>
      </c>
      <c r="C31" s="171"/>
      <c r="D31" s="170">
        <v>6414</v>
      </c>
      <c r="E31" s="172"/>
      <c r="F31" s="170">
        <v>1206</v>
      </c>
      <c r="G31" s="170">
        <v>29306</v>
      </c>
    </row>
    <row r="32" spans="1:7" ht="10.5" customHeight="1">
      <c r="A32" s="22" t="s">
        <v>37</v>
      </c>
      <c r="B32" s="170">
        <v>15958</v>
      </c>
      <c r="C32" s="171"/>
      <c r="D32" s="170">
        <v>6221</v>
      </c>
      <c r="E32" s="172"/>
      <c r="F32" s="170">
        <v>932</v>
      </c>
      <c r="G32" s="170">
        <v>23111</v>
      </c>
    </row>
    <row r="33" spans="1:10" ht="10.5" customHeight="1">
      <c r="A33" s="18" t="s">
        <v>38</v>
      </c>
      <c r="B33" s="170">
        <v>17186</v>
      </c>
      <c r="C33" s="171"/>
      <c r="D33" s="170">
        <v>6586</v>
      </c>
      <c r="E33" s="172"/>
      <c r="F33" s="170">
        <v>471</v>
      </c>
      <c r="G33" s="170">
        <v>24243</v>
      </c>
    </row>
    <row r="34" spans="1:10" ht="4.5" customHeight="1">
      <c r="A34" s="22"/>
      <c r="B34" s="170"/>
      <c r="C34" s="171"/>
      <c r="D34" s="170"/>
      <c r="E34" s="172"/>
      <c r="F34" s="170"/>
      <c r="G34" s="170"/>
    </row>
    <row r="35" spans="1:10" ht="10.5" customHeight="1">
      <c r="A35" s="18" t="s">
        <v>39</v>
      </c>
      <c r="B35" s="170">
        <v>2466</v>
      </c>
      <c r="C35" s="171"/>
      <c r="D35" s="170">
        <v>2763</v>
      </c>
      <c r="E35" s="172"/>
      <c r="F35" s="170">
        <v>152</v>
      </c>
      <c r="G35" s="170">
        <v>5381</v>
      </c>
    </row>
    <row r="36" spans="1:10" ht="10.5" customHeight="1">
      <c r="A36" s="18" t="s">
        <v>40</v>
      </c>
      <c r="B36" s="170">
        <v>8002</v>
      </c>
      <c r="C36" s="171"/>
      <c r="D36" s="170">
        <v>4122</v>
      </c>
      <c r="E36" s="172"/>
      <c r="F36" s="170">
        <v>262</v>
      </c>
      <c r="G36" s="170">
        <v>12386</v>
      </c>
    </row>
    <row r="37" spans="1:10" ht="10.5" customHeight="1">
      <c r="A37" s="18" t="s">
        <v>41</v>
      </c>
      <c r="B37" s="170">
        <v>11560</v>
      </c>
      <c r="C37" s="171"/>
      <c r="D37" s="170">
        <v>4425</v>
      </c>
      <c r="E37" s="172"/>
      <c r="F37" s="170">
        <v>256</v>
      </c>
      <c r="G37" s="170">
        <v>16241</v>
      </c>
    </row>
    <row r="38" spans="1:10" ht="10.5" customHeight="1">
      <c r="A38" s="18" t="s">
        <v>42</v>
      </c>
      <c r="B38" s="170">
        <v>10444</v>
      </c>
      <c r="C38" s="171"/>
      <c r="D38" s="170">
        <v>5197</v>
      </c>
      <c r="E38" s="172"/>
      <c r="F38" s="170">
        <v>336</v>
      </c>
      <c r="G38" s="170">
        <v>15977</v>
      </c>
    </row>
    <row r="39" spans="1:10" ht="10.5" customHeight="1">
      <c r="A39" s="18" t="s">
        <v>43</v>
      </c>
      <c r="B39" s="170">
        <v>8425</v>
      </c>
      <c r="C39" s="171"/>
      <c r="D39" s="170">
        <v>3702</v>
      </c>
      <c r="E39" s="172"/>
      <c r="F39" s="170">
        <v>234</v>
      </c>
      <c r="G39" s="170">
        <v>12361</v>
      </c>
    </row>
    <row r="40" spans="1:10" s="59" customFormat="1" ht="10.5" customHeight="1">
      <c r="A40" s="18" t="s">
        <v>44</v>
      </c>
      <c r="B40" s="170">
        <v>6038</v>
      </c>
      <c r="C40" s="171"/>
      <c r="D40" s="170">
        <v>4584</v>
      </c>
      <c r="E40" s="172"/>
      <c r="F40" s="170">
        <v>321</v>
      </c>
      <c r="G40" s="170">
        <v>10943</v>
      </c>
    </row>
    <row r="41" spans="1:10" ht="10.5" customHeight="1">
      <c r="A41" s="18" t="s">
        <v>46</v>
      </c>
      <c r="B41" s="170">
        <v>6967</v>
      </c>
      <c r="C41" s="171"/>
      <c r="D41" s="170">
        <v>4131</v>
      </c>
      <c r="E41" s="172"/>
      <c r="F41" s="170">
        <v>269</v>
      </c>
      <c r="G41" s="170">
        <v>11367</v>
      </c>
    </row>
    <row r="42" spans="1:10" ht="3" customHeight="1">
      <c r="A42" s="18"/>
      <c r="B42" s="170"/>
      <c r="C42" s="171"/>
      <c r="D42" s="170"/>
      <c r="E42" s="172"/>
      <c r="F42" s="170"/>
      <c r="G42" s="170"/>
    </row>
    <row r="43" spans="1:10" ht="10.5" customHeight="1">
      <c r="A43" s="18" t="s">
        <v>47</v>
      </c>
      <c r="B43" s="170">
        <v>6873</v>
      </c>
      <c r="C43" s="171"/>
      <c r="D43" s="170">
        <v>3830</v>
      </c>
      <c r="E43" s="172"/>
      <c r="F43" s="170">
        <v>218</v>
      </c>
      <c r="G43" s="170">
        <v>10921</v>
      </c>
    </row>
    <row r="44" spans="1:10" ht="10.5" customHeight="1">
      <c r="A44" s="18" t="s">
        <v>48</v>
      </c>
      <c r="B44" s="170">
        <v>6103</v>
      </c>
      <c r="C44" s="171"/>
      <c r="D44" s="170">
        <v>4232</v>
      </c>
      <c r="E44" s="172"/>
      <c r="F44" s="170">
        <f>G44-SUM(B44:D44)</f>
        <v>272</v>
      </c>
      <c r="G44" s="170">
        <v>10607</v>
      </c>
    </row>
    <row r="45" spans="1:10" ht="10.5" customHeight="1">
      <c r="A45" s="18" t="s">
        <v>51</v>
      </c>
      <c r="B45" s="170">
        <v>4733</v>
      </c>
      <c r="C45" s="171"/>
      <c r="D45" s="170">
        <v>4048</v>
      </c>
      <c r="E45" s="172"/>
      <c r="F45" s="170">
        <f t="shared" ref="F45:F50" si="0">G45-SUM(B45,D45)</f>
        <v>179</v>
      </c>
      <c r="G45" s="170">
        <v>8960</v>
      </c>
    </row>
    <row r="46" spans="1:10" ht="10.5" customHeight="1">
      <c r="A46" s="18" t="s">
        <v>52</v>
      </c>
      <c r="B46" s="170">
        <v>3834.509</v>
      </c>
      <c r="C46" s="171"/>
      <c r="D46" s="170">
        <v>3158.4290000000001</v>
      </c>
      <c r="E46" s="172"/>
      <c r="F46" s="170">
        <f t="shared" si="0"/>
        <v>199.0619999999999</v>
      </c>
      <c r="G46" s="170">
        <v>7192</v>
      </c>
      <c r="I46" s="412"/>
      <c r="J46" s="412"/>
    </row>
    <row r="47" spans="1:10" ht="10.5" customHeight="1">
      <c r="A47" s="18" t="s">
        <v>291</v>
      </c>
      <c r="B47" s="170">
        <v>2769.7719999999999</v>
      </c>
      <c r="C47" s="171"/>
      <c r="D47" s="170">
        <v>3041</v>
      </c>
      <c r="E47" s="172"/>
      <c r="F47" s="170">
        <f t="shared" si="0"/>
        <v>43.228000000000065</v>
      </c>
      <c r="G47" s="469">
        <v>5854</v>
      </c>
    </row>
    <row r="48" spans="1:10" ht="10.5" customHeight="1">
      <c r="A48" s="18" t="s">
        <v>298</v>
      </c>
      <c r="B48" s="170">
        <v>1814</v>
      </c>
      <c r="C48" s="171"/>
      <c r="D48" s="170">
        <v>2363</v>
      </c>
      <c r="E48" s="172"/>
      <c r="F48" s="170">
        <f t="shared" si="0"/>
        <v>46</v>
      </c>
      <c r="G48" s="469">
        <v>4223</v>
      </c>
      <c r="H48" s="412"/>
    </row>
    <row r="49" spans="1:8" ht="10.5" customHeight="1">
      <c r="A49" s="18" t="s">
        <v>312</v>
      </c>
      <c r="B49" s="170">
        <v>555.71199999999999</v>
      </c>
      <c r="C49" s="171"/>
      <c r="D49" s="170">
        <v>1555.5409999999999</v>
      </c>
      <c r="E49" s="172"/>
      <c r="F49" s="170">
        <f t="shared" si="0"/>
        <v>24.747000000000298</v>
      </c>
      <c r="G49" s="469">
        <v>2136</v>
      </c>
      <c r="H49" s="412"/>
    </row>
    <row r="50" spans="1:8" ht="10.5" customHeight="1">
      <c r="A50" s="140" t="s">
        <v>319</v>
      </c>
      <c r="B50" s="173">
        <v>601.90300000000002</v>
      </c>
      <c r="C50" s="174"/>
      <c r="D50" s="173">
        <v>1974.5070000000001</v>
      </c>
      <c r="E50" s="175"/>
      <c r="F50" s="173">
        <f t="shared" si="0"/>
        <v>12.590000000000146</v>
      </c>
      <c r="G50" s="413">
        <v>2589</v>
      </c>
      <c r="H50" s="412"/>
    </row>
    <row r="51" spans="1:8">
      <c r="A51" s="97" t="s">
        <v>167</v>
      </c>
      <c r="B51" s="96"/>
      <c r="C51" s="4"/>
      <c r="D51" s="4"/>
      <c r="E51" s="4"/>
      <c r="F51" s="96"/>
      <c r="G51" s="96"/>
      <c r="H51" s="75"/>
    </row>
    <row r="52" spans="1:8">
      <c r="A52" s="97" t="s">
        <v>168</v>
      </c>
      <c r="B52" s="4"/>
      <c r="C52" s="4"/>
      <c r="D52" s="4"/>
      <c r="E52" s="4"/>
      <c r="F52" s="4"/>
      <c r="G52" s="4"/>
    </row>
    <row r="53" spans="1:8">
      <c r="A53" s="97" t="s">
        <v>169</v>
      </c>
    </row>
    <row r="54" spans="1:8">
      <c r="A54" s="39" t="s">
        <v>287</v>
      </c>
    </row>
    <row r="55" spans="1:8">
      <c r="A55" s="406" t="s">
        <v>289</v>
      </c>
    </row>
  </sheetData>
  <pageMargins left="0.66700000000000004" right="0.66700000000000004" top="0.66700000000000004" bottom="0.72" header="0" footer="0"/>
  <pageSetup scale="99" firstPageNumber="80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52"/>
  <sheetViews>
    <sheetView showGridLines="0" zoomScaleNormal="100" zoomScaleSheetLayoutView="100" workbookViewId="0">
      <pane xSplit="2" ySplit="4" topLeftCell="C15" activePane="bottomRight" state="frozen"/>
      <selection pane="topRight" activeCell="C1" sqref="C1"/>
      <selection pane="bottomLeft" activeCell="A5" sqref="A5"/>
      <selection pane="bottomRight" activeCell="C48" sqref="C48"/>
    </sheetView>
  </sheetViews>
  <sheetFormatPr defaultColWidth="20.7109375" defaultRowHeight="12"/>
  <cols>
    <col min="1" max="1" width="8.5703125" customWidth="1"/>
    <col min="2" max="2" width="1" customWidth="1"/>
    <col min="3" max="7" width="17.7109375" customWidth="1"/>
    <col min="8" max="8" width="9.140625" customWidth="1"/>
    <col min="9" max="9" width="12.140625" customWidth="1"/>
    <col min="10" max="250" width="9.140625" customWidth="1"/>
  </cols>
  <sheetData>
    <row r="1" spans="1:10" ht="13.15" customHeight="1">
      <c r="A1" s="160" t="s">
        <v>170</v>
      </c>
      <c r="B1" s="3"/>
      <c r="C1" s="3"/>
      <c r="D1" s="3"/>
      <c r="E1" s="3"/>
      <c r="F1" s="3"/>
      <c r="G1" s="3"/>
    </row>
    <row r="2" spans="1:10" ht="13.15" customHeight="1">
      <c r="A2" s="1" t="s">
        <v>57</v>
      </c>
      <c r="B2" s="3"/>
      <c r="C2" s="9" t="s">
        <v>171</v>
      </c>
      <c r="D2" s="9" t="s">
        <v>172</v>
      </c>
      <c r="E2" s="9" t="s">
        <v>173</v>
      </c>
      <c r="F2" s="9" t="s">
        <v>174</v>
      </c>
      <c r="G2" s="9" t="s">
        <v>175</v>
      </c>
    </row>
    <row r="3" spans="1:10" ht="3.95" customHeight="1">
      <c r="A3" s="18"/>
      <c r="B3" s="5"/>
      <c r="C3" s="10"/>
      <c r="D3" s="10"/>
      <c r="E3" s="10"/>
      <c r="F3" s="10"/>
      <c r="G3" s="10"/>
    </row>
    <row r="4" spans="1:10">
      <c r="A4" s="4"/>
      <c r="B4" s="4"/>
      <c r="C4" s="46" t="s">
        <v>176</v>
      </c>
      <c r="D4" s="70"/>
      <c r="E4" s="47"/>
      <c r="F4" s="47"/>
      <c r="G4" s="47"/>
    </row>
    <row r="5" spans="1:10" ht="3" customHeight="1">
      <c r="A5" s="4"/>
      <c r="B5" s="4"/>
      <c r="C5" s="4"/>
      <c r="D5" s="4"/>
      <c r="E5" s="4"/>
      <c r="F5" s="4"/>
      <c r="G5" s="4"/>
    </row>
    <row r="6" spans="1:10" ht="10.5" customHeight="1">
      <c r="A6" s="14" t="s">
        <v>14</v>
      </c>
      <c r="B6" s="4"/>
      <c r="C6" s="176">
        <v>4.9000000000000004</v>
      </c>
      <c r="D6" s="176">
        <v>21.1</v>
      </c>
      <c r="E6" s="176">
        <v>26</v>
      </c>
      <c r="F6" s="176">
        <v>17.600000000000001</v>
      </c>
      <c r="G6" s="176">
        <v>8.4</v>
      </c>
      <c r="H6" s="177"/>
      <c r="J6" s="177"/>
    </row>
    <row r="7" spans="1:10" ht="10.5" customHeight="1">
      <c r="A7" s="14" t="s">
        <v>15</v>
      </c>
      <c r="B7" s="4"/>
      <c r="C7" s="176">
        <v>8.4</v>
      </c>
      <c r="D7" s="176">
        <v>21.9</v>
      </c>
      <c r="E7" s="176">
        <v>30.3</v>
      </c>
      <c r="F7" s="176">
        <v>18.899999999999999</v>
      </c>
      <c r="G7" s="176">
        <v>11.4</v>
      </c>
      <c r="H7" s="177"/>
      <c r="J7" s="177"/>
    </row>
    <row r="8" spans="1:10" ht="10.5" customHeight="1">
      <c r="A8" s="14" t="s">
        <v>16</v>
      </c>
      <c r="B8" s="4"/>
      <c r="C8" s="176">
        <v>11.4</v>
      </c>
      <c r="D8" s="176">
        <v>15.1</v>
      </c>
      <c r="E8" s="176">
        <v>26.5</v>
      </c>
      <c r="F8" s="176">
        <v>21.1</v>
      </c>
      <c r="G8" s="176">
        <v>5.4</v>
      </c>
      <c r="H8" s="177"/>
      <c r="J8" s="177"/>
    </row>
    <row r="9" spans="1:10" ht="10.5" customHeight="1">
      <c r="A9" s="14" t="s">
        <v>17</v>
      </c>
      <c r="B9" s="4"/>
      <c r="C9" s="176">
        <v>5.4</v>
      </c>
      <c r="D9" s="176">
        <v>20.2</v>
      </c>
      <c r="E9" s="176">
        <v>25.6</v>
      </c>
      <c r="F9" s="176">
        <v>21.6</v>
      </c>
      <c r="G9" s="176">
        <v>4</v>
      </c>
      <c r="H9" s="177"/>
      <c r="J9" s="177"/>
    </row>
    <row r="10" spans="1:10" ht="10.5" customHeight="1">
      <c r="A10" s="14" t="s">
        <v>18</v>
      </c>
      <c r="B10" s="96"/>
      <c r="C10" s="176">
        <v>4</v>
      </c>
      <c r="D10" s="176">
        <v>25.3</v>
      </c>
      <c r="E10" s="176">
        <v>29.3</v>
      </c>
      <c r="F10" s="176">
        <v>25.9</v>
      </c>
      <c r="G10" s="176">
        <v>3.4</v>
      </c>
      <c r="H10" s="177"/>
      <c r="J10" s="177"/>
    </row>
    <row r="11" spans="1:10" ht="10.5" customHeight="1">
      <c r="A11" s="14" t="s">
        <v>19</v>
      </c>
      <c r="B11" s="96"/>
      <c r="C11" s="176">
        <v>3.4</v>
      </c>
      <c r="D11" s="176">
        <v>26.2</v>
      </c>
      <c r="E11" s="176">
        <v>29.6</v>
      </c>
      <c r="F11" s="176">
        <v>26.2</v>
      </c>
      <c r="G11" s="176">
        <v>3.4</v>
      </c>
      <c r="H11" s="177"/>
      <c r="J11" s="177"/>
    </row>
    <row r="12" spans="1:10" ht="3" customHeight="1">
      <c r="A12" s="14"/>
      <c r="B12" s="96"/>
      <c r="C12" s="176"/>
      <c r="D12" s="176"/>
      <c r="E12" s="176"/>
      <c r="F12" s="176"/>
      <c r="G12" s="176"/>
      <c r="H12" s="177"/>
      <c r="J12" s="177"/>
    </row>
    <row r="13" spans="1:10" ht="10.5" customHeight="1">
      <c r="A13" s="14" t="s">
        <v>20</v>
      </c>
      <c r="B13" s="96"/>
      <c r="C13" s="176">
        <v>3.4</v>
      </c>
      <c r="D13" s="176">
        <v>30.2</v>
      </c>
      <c r="E13" s="176">
        <v>33.6</v>
      </c>
      <c r="F13" s="176">
        <v>28.4</v>
      </c>
      <c r="G13" s="176">
        <v>5.2</v>
      </c>
      <c r="H13" s="177"/>
      <c r="J13" s="177"/>
    </row>
    <row r="14" spans="1:10" ht="10.5" customHeight="1">
      <c r="A14" s="14" t="s">
        <v>21</v>
      </c>
      <c r="B14" s="4"/>
      <c r="C14" s="176">
        <v>5.2</v>
      </c>
      <c r="D14" s="176">
        <v>33.5</v>
      </c>
      <c r="E14" s="176">
        <v>38.700000000000003</v>
      </c>
      <c r="F14" s="176">
        <v>28.9</v>
      </c>
      <c r="G14" s="176">
        <v>9.8000000000000007</v>
      </c>
      <c r="H14" s="177"/>
      <c r="J14" s="177"/>
    </row>
    <row r="15" spans="1:10" ht="10.5" customHeight="1">
      <c r="A15" s="14" t="s">
        <v>142</v>
      </c>
      <c r="B15" s="4"/>
      <c r="C15" s="176">
        <v>9.8000000000000007</v>
      </c>
      <c r="D15" s="176">
        <v>33.1</v>
      </c>
      <c r="E15" s="176">
        <v>42.9</v>
      </c>
      <c r="F15" s="176">
        <v>27.6</v>
      </c>
      <c r="G15" s="176">
        <v>15.3</v>
      </c>
      <c r="H15" s="177"/>
      <c r="J15" s="177"/>
    </row>
    <row r="16" spans="1:10" ht="10.5" customHeight="1">
      <c r="A16" s="14" t="s">
        <v>143</v>
      </c>
      <c r="B16" s="4"/>
      <c r="C16" s="176">
        <v>15.2</v>
      </c>
      <c r="D16" s="176">
        <v>22.7</v>
      </c>
      <c r="E16" s="176">
        <v>37.9</v>
      </c>
      <c r="F16" s="176">
        <v>25.4</v>
      </c>
      <c r="G16" s="176">
        <v>12.5</v>
      </c>
      <c r="H16" s="177"/>
      <c r="J16" s="177"/>
    </row>
    <row r="17" spans="1:10" ht="10.5" customHeight="1">
      <c r="A17" s="14" t="s">
        <v>144</v>
      </c>
      <c r="B17" s="4"/>
      <c r="C17" s="176">
        <v>12.5</v>
      </c>
      <c r="D17" s="176">
        <v>22.1</v>
      </c>
      <c r="E17" s="176">
        <v>34.6</v>
      </c>
      <c r="F17" s="176">
        <v>26.5</v>
      </c>
      <c r="G17" s="176">
        <v>8.1</v>
      </c>
      <c r="H17" s="177"/>
      <c r="J17" s="177"/>
    </row>
    <row r="18" spans="1:10" ht="10.5" customHeight="1">
      <c r="A18" s="14" t="s">
        <v>25</v>
      </c>
      <c r="B18" s="4"/>
      <c r="C18" s="176">
        <v>8.1</v>
      </c>
      <c r="D18" s="176">
        <v>20.6</v>
      </c>
      <c r="E18" s="176">
        <v>28.7</v>
      </c>
      <c r="F18" s="176">
        <v>24.6</v>
      </c>
      <c r="G18" s="176">
        <v>4.0999999999999996</v>
      </c>
      <c r="H18" s="177"/>
      <c r="J18" s="177"/>
    </row>
    <row r="19" spans="1:10" ht="3" customHeight="1">
      <c r="A19" s="14"/>
      <c r="B19" s="4"/>
      <c r="C19" s="176"/>
      <c r="D19" s="176"/>
      <c r="E19" s="176"/>
      <c r="F19" s="176"/>
      <c r="G19" s="176"/>
      <c r="H19" s="177"/>
      <c r="J19" s="177"/>
    </row>
    <row r="20" spans="1:10" ht="10.5" customHeight="1">
      <c r="A20" s="14" t="s">
        <v>26</v>
      </c>
      <c r="B20" s="4"/>
      <c r="C20" s="176">
        <v>4.0599999999999996</v>
      </c>
      <c r="D20" s="176">
        <v>33.073999999999998</v>
      </c>
      <c r="E20" s="176">
        <v>37.134</v>
      </c>
      <c r="F20" s="176">
        <v>27.167999999999999</v>
      </c>
      <c r="G20" s="176">
        <v>9.9660000000000011</v>
      </c>
      <c r="H20" s="177"/>
      <c r="J20" s="177"/>
    </row>
    <row r="21" spans="1:10" ht="10.5" customHeight="1">
      <c r="A21" s="14" t="s">
        <v>27</v>
      </c>
      <c r="B21" s="4"/>
      <c r="C21" s="176">
        <v>9.9659999999999993</v>
      </c>
      <c r="D21" s="176">
        <v>26.9</v>
      </c>
      <c r="E21" s="176">
        <v>36.866</v>
      </c>
      <c r="F21" s="176">
        <v>27.3</v>
      </c>
      <c r="G21" s="176">
        <v>9.6</v>
      </c>
      <c r="H21" s="177"/>
      <c r="J21" s="177"/>
    </row>
    <row r="22" spans="1:10" ht="10.5" customHeight="1">
      <c r="A22" s="18" t="s">
        <v>28</v>
      </c>
      <c r="B22" s="5"/>
      <c r="C22" s="178">
        <v>9.6</v>
      </c>
      <c r="D22" s="178">
        <v>31.5</v>
      </c>
      <c r="E22" s="178">
        <v>41.1</v>
      </c>
      <c r="F22" s="178">
        <v>27.9</v>
      </c>
      <c r="G22" s="178">
        <v>13.2</v>
      </c>
      <c r="H22" s="179"/>
      <c r="J22" s="179"/>
    </row>
    <row r="23" spans="1:10" ht="10.5" customHeight="1">
      <c r="A23" s="22" t="s">
        <v>30</v>
      </c>
      <c r="B23" s="5"/>
      <c r="C23" s="178">
        <v>13.2</v>
      </c>
      <c r="D23" s="178">
        <v>26.9</v>
      </c>
      <c r="E23" s="178">
        <v>40.700000000000003</v>
      </c>
      <c r="F23" s="178">
        <v>27.4</v>
      </c>
      <c r="G23" s="178">
        <v>13.3</v>
      </c>
      <c r="H23" s="179"/>
      <c r="J23" s="179"/>
    </row>
    <row r="24" spans="1:10" ht="10.5" customHeight="1">
      <c r="A24" s="22" t="s">
        <v>31</v>
      </c>
      <c r="B24" s="5"/>
      <c r="C24" s="178">
        <v>13.3</v>
      </c>
      <c r="D24" s="178">
        <v>30</v>
      </c>
      <c r="E24" s="178">
        <v>43.3</v>
      </c>
      <c r="F24" s="178">
        <v>26.6</v>
      </c>
      <c r="G24" s="178">
        <v>17.8</v>
      </c>
      <c r="H24" s="179"/>
      <c r="I24" s="59"/>
      <c r="J24" s="179"/>
    </row>
    <row r="25" spans="1:10" ht="10.5" customHeight="1">
      <c r="A25" s="22" t="s">
        <v>32</v>
      </c>
      <c r="B25" s="5"/>
      <c r="C25" s="178">
        <v>17.8</v>
      </c>
      <c r="D25" s="178">
        <f>34.9-10.7</f>
        <v>24.2</v>
      </c>
      <c r="E25" s="178">
        <f>D25+C25</f>
        <v>42</v>
      </c>
      <c r="F25" s="178">
        <v>29.1</v>
      </c>
      <c r="G25" s="178">
        <v>13.3</v>
      </c>
      <c r="H25" s="179"/>
      <c r="I25" s="59"/>
      <c r="J25" s="179"/>
    </row>
    <row r="26" spans="1:10" ht="3" customHeight="1">
      <c r="A26" s="22"/>
      <c r="B26" s="5"/>
      <c r="C26" s="178"/>
      <c r="D26" s="178"/>
      <c r="E26" s="178"/>
      <c r="F26" s="178"/>
      <c r="G26" s="178"/>
      <c r="H26" s="179"/>
      <c r="I26" s="59"/>
      <c r="J26" s="179"/>
    </row>
    <row r="27" spans="1:10" ht="10.5" customHeight="1">
      <c r="A27" s="22" t="s">
        <v>33</v>
      </c>
      <c r="B27" s="5"/>
      <c r="C27" s="178">
        <v>13.3</v>
      </c>
      <c r="D27" s="178">
        <f>35.4-10.9</f>
        <v>24.5</v>
      </c>
      <c r="E27" s="178">
        <f>D27+C27</f>
        <v>37.799999999999997</v>
      </c>
      <c r="F27" s="178">
        <v>27.9</v>
      </c>
      <c r="G27" s="178">
        <v>10.1</v>
      </c>
      <c r="H27" s="179"/>
      <c r="I27" s="59"/>
      <c r="J27" s="179"/>
    </row>
    <row r="28" spans="1:10" ht="10.5" customHeight="1">
      <c r="A28" s="22" t="s">
        <v>34</v>
      </c>
      <c r="B28" s="5"/>
      <c r="C28" s="178">
        <v>10.1</v>
      </c>
      <c r="D28" s="178">
        <v>30</v>
      </c>
      <c r="E28" s="178">
        <f>D28+C28</f>
        <v>40.1</v>
      </c>
      <c r="F28" s="178">
        <v>26.7</v>
      </c>
      <c r="G28" s="178">
        <v>13.5</v>
      </c>
      <c r="H28" s="179"/>
      <c r="I28" s="59"/>
      <c r="J28" s="179"/>
    </row>
    <row r="29" spans="1:10" ht="10.5" customHeight="1">
      <c r="A29" s="22" t="s">
        <v>35</v>
      </c>
      <c r="B29" s="59"/>
      <c r="C29" s="178">
        <v>13.5</v>
      </c>
      <c r="D29" s="178">
        <v>27.5</v>
      </c>
      <c r="E29" s="178">
        <f>D29+C29</f>
        <v>41</v>
      </c>
      <c r="F29" s="178">
        <v>25.5</v>
      </c>
      <c r="G29" s="178">
        <v>15.4</v>
      </c>
      <c r="H29" s="179"/>
      <c r="I29" s="59"/>
      <c r="J29" s="179"/>
    </row>
    <row r="30" spans="1:10" ht="10.5" customHeight="1">
      <c r="A30" s="18" t="s">
        <v>36</v>
      </c>
      <c r="B30" s="59"/>
      <c r="C30" s="178">
        <v>15.4</v>
      </c>
      <c r="D30" s="178">
        <v>27.6</v>
      </c>
      <c r="E30" s="178">
        <f t="shared" ref="E30:E37" si="0">C30+D30</f>
        <v>43</v>
      </c>
      <c r="F30" s="178">
        <v>24.6</v>
      </c>
      <c r="G30" s="178">
        <v>18.399999999999999</v>
      </c>
      <c r="H30" s="179"/>
      <c r="I30" s="59"/>
      <c r="J30" s="179"/>
    </row>
    <row r="31" spans="1:10" ht="10.5" customHeight="1">
      <c r="A31" s="18" t="s">
        <v>37</v>
      </c>
      <c r="B31" s="59"/>
      <c r="C31" s="178">
        <f>G30</f>
        <v>18.399999999999999</v>
      </c>
      <c r="D31" s="178">
        <v>20.399999999999999</v>
      </c>
      <c r="E31" s="178">
        <f t="shared" si="0"/>
        <v>38.799999999999997</v>
      </c>
      <c r="F31" s="178">
        <v>23.1</v>
      </c>
      <c r="G31" s="178">
        <v>15.7</v>
      </c>
      <c r="H31" s="179"/>
      <c r="I31" s="59"/>
      <c r="J31" s="179"/>
    </row>
    <row r="32" spans="1:10" ht="10.5" customHeight="1">
      <c r="A32" s="18" t="s">
        <v>38</v>
      </c>
      <c r="B32" s="59"/>
      <c r="C32" s="178">
        <v>15.7</v>
      </c>
      <c r="D32" s="178">
        <v>21.1</v>
      </c>
      <c r="E32" s="178">
        <f>C32+D32</f>
        <v>36.799999999999997</v>
      </c>
      <c r="F32" s="178">
        <v>23.128</v>
      </c>
      <c r="G32" s="178">
        <v>13.6</v>
      </c>
      <c r="H32" s="179"/>
      <c r="I32" s="59"/>
      <c r="J32" s="179"/>
    </row>
    <row r="33" spans="1:10" ht="5.25" customHeight="1">
      <c r="A33" s="18"/>
      <c r="B33" s="59"/>
      <c r="C33" s="178"/>
      <c r="D33" s="178"/>
      <c r="E33" s="178"/>
      <c r="F33" s="178"/>
      <c r="G33" s="178"/>
      <c r="H33" s="179"/>
      <c r="I33" s="59"/>
      <c r="J33" s="179"/>
    </row>
    <row r="34" spans="1:10" ht="10.5" customHeight="1">
      <c r="A34" s="18" t="s">
        <v>39</v>
      </c>
      <c r="B34" s="59"/>
      <c r="C34" s="178">
        <v>13.2</v>
      </c>
      <c r="D34" s="178">
        <v>4.8470000000000004</v>
      </c>
      <c r="E34" s="178">
        <f t="shared" si="0"/>
        <v>18.047000000000001</v>
      </c>
      <c r="F34" s="178">
        <v>12.756</v>
      </c>
      <c r="G34" s="178">
        <v>5.3490000000000002</v>
      </c>
      <c r="H34" s="179"/>
      <c r="I34" s="59"/>
      <c r="J34" s="179"/>
    </row>
    <row r="35" spans="1:10" ht="10.5" customHeight="1">
      <c r="A35" s="18" t="s">
        <v>40</v>
      </c>
      <c r="B35" s="59"/>
      <c r="C35" s="178">
        <v>5.3</v>
      </c>
      <c r="D35" s="178">
        <v>10.3</v>
      </c>
      <c r="E35" s="178">
        <f t="shared" si="0"/>
        <v>15.600000000000001</v>
      </c>
      <c r="F35" s="178">
        <v>8.5</v>
      </c>
      <c r="G35" s="178">
        <v>7.1</v>
      </c>
      <c r="H35" s="179"/>
      <c r="I35" s="59"/>
      <c r="J35" s="179"/>
    </row>
    <row r="36" spans="1:10" ht="10.5" customHeight="1">
      <c r="A36" s="18" t="s">
        <v>41</v>
      </c>
      <c r="B36" s="59"/>
      <c r="C36" s="178">
        <v>7.1</v>
      </c>
      <c r="D36" s="178">
        <v>16.3</v>
      </c>
      <c r="E36" s="178">
        <f t="shared" si="0"/>
        <v>23.4</v>
      </c>
      <c r="F36" s="178">
        <v>12.6</v>
      </c>
      <c r="G36" s="178">
        <v>10.8</v>
      </c>
      <c r="H36" s="179"/>
      <c r="I36" s="59"/>
      <c r="J36" s="179"/>
    </row>
    <row r="37" spans="1:10" ht="10.5" customHeight="1">
      <c r="A37" s="18" t="s">
        <v>42</v>
      </c>
      <c r="B37" s="59"/>
      <c r="C37" s="178">
        <v>10.8</v>
      </c>
      <c r="D37" s="178">
        <v>14.657999999999999</v>
      </c>
      <c r="E37" s="178">
        <f t="shared" si="0"/>
        <v>25.457999999999998</v>
      </c>
      <c r="F37" s="178">
        <v>14.961</v>
      </c>
      <c r="G37" s="178">
        <v>10.5</v>
      </c>
      <c r="H37" s="179"/>
      <c r="I37" s="59"/>
      <c r="J37" s="179"/>
    </row>
    <row r="38" spans="1:10" s="27" customFormat="1" ht="10.5" customHeight="1">
      <c r="A38" s="23" t="s">
        <v>43</v>
      </c>
      <c r="B38" s="29"/>
      <c r="C38" s="180">
        <f>G37</f>
        <v>10.5</v>
      </c>
      <c r="D38" s="180">
        <v>11.344151</v>
      </c>
      <c r="E38" s="180">
        <f>C38+D38</f>
        <v>21.844151</v>
      </c>
      <c r="F38" s="180">
        <v>12.921408</v>
      </c>
      <c r="G38" s="180">
        <v>8.9718809999999998</v>
      </c>
      <c r="H38" s="181"/>
      <c r="I38" s="29"/>
      <c r="J38" s="181"/>
    </row>
    <row r="39" spans="1:10" s="29" customFormat="1" ht="10.5" customHeight="1">
      <c r="A39" s="23" t="s">
        <v>44</v>
      </c>
      <c r="C39" s="180">
        <f t="shared" ref="C39" si="1">G38</f>
        <v>8.9718809999999998</v>
      </c>
      <c r="D39" s="180">
        <v>7.9029999999999996</v>
      </c>
      <c r="E39" s="180">
        <f t="shared" ref="E39:E42" si="2">C39+D39</f>
        <v>16.874880999999998</v>
      </c>
      <c r="F39" s="180">
        <v>9.5809280000000001</v>
      </c>
      <c r="G39" s="180">
        <v>6.9549880000000002</v>
      </c>
      <c r="H39" s="181"/>
      <c r="J39" s="181"/>
    </row>
    <row r="40" spans="1:10" s="29" customFormat="1" ht="10.5" customHeight="1">
      <c r="A40" s="23" t="s">
        <v>46</v>
      </c>
      <c r="C40" s="180">
        <v>6.9549880000000002</v>
      </c>
      <c r="D40" s="180">
        <v>9.2970000000000006</v>
      </c>
      <c r="E40" s="180">
        <f t="shared" si="2"/>
        <v>16.251988000000001</v>
      </c>
      <c r="F40" s="180">
        <v>11.260714999999999</v>
      </c>
      <c r="G40" s="180">
        <v>4.4000000000000004</v>
      </c>
      <c r="H40" s="181"/>
      <c r="J40" s="181"/>
    </row>
    <row r="41" spans="1:10" s="29" customFormat="1" ht="3" customHeight="1">
      <c r="A41" s="23"/>
      <c r="C41" s="180"/>
      <c r="D41" s="180"/>
      <c r="E41" s="180"/>
      <c r="F41" s="180"/>
      <c r="G41" s="180"/>
      <c r="H41" s="181"/>
      <c r="J41" s="181"/>
    </row>
    <row r="42" spans="1:10" s="29" customFormat="1" ht="10.5" customHeight="1">
      <c r="A42" s="23" t="s">
        <v>177</v>
      </c>
      <c r="C42" s="180">
        <f>18.39/3.924</f>
        <v>4.6865443425076458</v>
      </c>
      <c r="D42" s="180">
        <f>55.06/3.924</f>
        <v>14.031600407747197</v>
      </c>
      <c r="E42" s="180">
        <f t="shared" si="2"/>
        <v>18.718144750254844</v>
      </c>
      <c r="F42" s="180">
        <f>33.04/3.924</f>
        <v>8.4199796126401623</v>
      </c>
      <c r="G42" s="180">
        <f>22.1/3.924</f>
        <v>5.6320081549439349</v>
      </c>
      <c r="H42" s="181"/>
      <c r="I42" s="182"/>
      <c r="J42" s="181"/>
    </row>
    <row r="43" spans="1:10" s="29" customFormat="1" ht="10.5" customHeight="1">
      <c r="A43" s="23" t="s">
        <v>178</v>
      </c>
      <c r="C43" s="180">
        <f>22.1/3.924</f>
        <v>5.6320081549439349</v>
      </c>
      <c r="D43" s="180">
        <f>47.72/3.924</f>
        <v>12.161060142711518</v>
      </c>
      <c r="E43" s="180">
        <f t="shared" ref="E43:E48" si="3">D43+C43</f>
        <v>17.793068297655452</v>
      </c>
      <c r="F43" s="180">
        <f>33.4/3.924</f>
        <v>8.5117227319062181</v>
      </c>
      <c r="G43" s="180">
        <f>20.66/3.924</f>
        <v>5.2650356778797143</v>
      </c>
      <c r="H43" s="181"/>
      <c r="I43" s="182"/>
      <c r="J43" s="181"/>
    </row>
    <row r="44" spans="1:10" s="29" customFormat="1" ht="10.5" customHeight="1">
      <c r="A44" s="43" t="s">
        <v>51</v>
      </c>
      <c r="C44" s="180">
        <f>20.6/3.924</f>
        <v>5.2497451580020389</v>
      </c>
      <c r="D44" s="180">
        <f>38.54/3.924</f>
        <v>9.8216106014271158</v>
      </c>
      <c r="E44" s="180">
        <f t="shared" si="3"/>
        <v>15.071355759429155</v>
      </c>
      <c r="F44" s="180">
        <f>25.61/3.924</f>
        <v>6.5265035677879712</v>
      </c>
      <c r="G44" s="180">
        <f>18.86/3.924</f>
        <v>4.8063200815494396</v>
      </c>
      <c r="H44" s="181"/>
      <c r="I44" s="182"/>
      <c r="J44" s="181"/>
    </row>
    <row r="45" spans="1:10" s="27" customFormat="1" ht="10.5" customHeight="1">
      <c r="A45" s="43" t="s">
        <v>292</v>
      </c>
      <c r="B45" s="29"/>
      <c r="C45" s="180">
        <f>18.86/3.942</f>
        <v>4.7843734145104007</v>
      </c>
      <c r="D45" s="180">
        <f>31.05/3.924</f>
        <v>7.9128440366972477</v>
      </c>
      <c r="E45" s="180">
        <f t="shared" si="3"/>
        <v>12.697217451207649</v>
      </c>
      <c r="F45" s="180">
        <f>23.1/3.924</f>
        <v>5.8868501529051995</v>
      </c>
      <c r="G45" s="180">
        <f>16.5/3.924</f>
        <v>4.2048929663608563</v>
      </c>
      <c r="H45" s="181"/>
      <c r="I45" s="29"/>
      <c r="J45" s="181"/>
    </row>
    <row r="46" spans="1:10" s="27" customFormat="1" ht="10.5" customHeight="1">
      <c r="A46" s="43" t="s">
        <v>304</v>
      </c>
      <c r="B46" s="29"/>
      <c r="C46" s="180">
        <f>16.5/3.942</f>
        <v>4.1856925418569251</v>
      </c>
      <c r="D46" s="180">
        <f>23.47/3.924</f>
        <v>5.9811416921508664</v>
      </c>
      <c r="E46" s="180">
        <f t="shared" si="3"/>
        <v>10.166834234007791</v>
      </c>
      <c r="F46" s="180">
        <f>17.69/3.924</f>
        <v>4.5081549439347608</v>
      </c>
      <c r="G46" s="180">
        <f>14.31/3.924</f>
        <v>3.6467889908256881</v>
      </c>
      <c r="H46" s="181"/>
      <c r="I46" s="29"/>
      <c r="J46" s="181"/>
    </row>
    <row r="47" spans="1:10" s="27" customFormat="1" ht="10.5" customHeight="1">
      <c r="A47" s="43" t="s">
        <v>298</v>
      </c>
      <c r="B47" s="29"/>
      <c r="C47" s="180">
        <f>14.31/3.942</f>
        <v>3.6301369863013697</v>
      </c>
      <c r="D47" s="180">
        <f>14.68/3.924</f>
        <v>3.7410805300713559</v>
      </c>
      <c r="E47" s="180">
        <f t="shared" si="3"/>
        <v>7.3712175163727256</v>
      </c>
      <c r="F47" s="180">
        <f>15.92/3.924</f>
        <v>4.0570846075433229</v>
      </c>
      <c r="G47" s="180">
        <f>9.57/3.924</f>
        <v>2.4388379204892967</v>
      </c>
      <c r="H47" s="181"/>
      <c r="I47" s="29"/>
      <c r="J47" s="181"/>
    </row>
    <row r="48" spans="1:10" s="27" customFormat="1" ht="10.5" customHeight="1">
      <c r="A48" s="43" t="s">
        <v>314</v>
      </c>
      <c r="B48" s="29"/>
      <c r="C48" s="180">
        <f>9.57/3.942</f>
        <v>2.4277016742770168</v>
      </c>
      <c r="D48" s="180">
        <f>5.92/3.924</f>
        <v>1.508664627930683</v>
      </c>
      <c r="E48" s="180">
        <f t="shared" si="3"/>
        <v>3.9363663022076998</v>
      </c>
      <c r="F48" s="180">
        <f>11.66/3.924</f>
        <v>2.9714576962283386</v>
      </c>
      <c r="G48" s="180">
        <f>5.2/3.924</f>
        <v>1.3251783893985729</v>
      </c>
      <c r="H48" s="181"/>
      <c r="I48" s="29"/>
      <c r="J48" s="181"/>
    </row>
    <row r="49" spans="1:10" s="27" customFormat="1" ht="10.5" customHeight="1">
      <c r="A49" s="44" t="s">
        <v>325</v>
      </c>
      <c r="B49" s="183"/>
      <c r="C49" s="480">
        <f>5.2/3.942</f>
        <v>1.3191273465246067</v>
      </c>
      <c r="D49" s="480">
        <f>6.64/3.924</f>
        <v>1.6921508664627931</v>
      </c>
      <c r="E49" s="480">
        <f t="shared" ref="E49" si="4">D49+C49</f>
        <v>3.0112782129874001</v>
      </c>
      <c r="F49" s="480">
        <f>4.91/3.924</f>
        <v>1.2512742099898064</v>
      </c>
      <c r="G49" s="480">
        <f>6.86/3.924</f>
        <v>1.7482161060142714</v>
      </c>
      <c r="H49" s="181"/>
      <c r="I49" s="29"/>
      <c r="J49" s="181"/>
    </row>
    <row r="50" spans="1:10" s="27" customFormat="1" ht="10.5" customHeight="1">
      <c r="A50" s="184" t="s">
        <v>179</v>
      </c>
      <c r="B50" s="29"/>
      <c r="C50" s="180"/>
      <c r="D50" s="180"/>
      <c r="E50" s="180"/>
      <c r="F50" s="180"/>
      <c r="G50" s="180"/>
      <c r="H50" s="181"/>
      <c r="I50" s="29"/>
      <c r="J50" s="181"/>
    </row>
    <row r="51" spans="1:10">
      <c r="A51" s="95" t="s">
        <v>180</v>
      </c>
      <c r="B51" s="4"/>
      <c r="C51" s="4"/>
      <c r="D51" s="4"/>
      <c r="E51" s="4"/>
      <c r="F51" s="4"/>
      <c r="G51" s="4"/>
      <c r="I51" s="185"/>
    </row>
    <row r="52" spans="1:10">
      <c r="A52" s="39" t="s">
        <v>181</v>
      </c>
      <c r="B52" s="4"/>
      <c r="C52" s="4"/>
      <c r="D52" s="4"/>
      <c r="E52" s="4"/>
      <c r="F52" s="4"/>
      <c r="G52" s="4"/>
      <c r="I52" s="186"/>
    </row>
  </sheetData>
  <pageMargins left="0.66700000000000004" right="0.66700000000000004" top="0.66700000000000004" bottom="0.72" header="0" footer="0"/>
  <pageSetup firstPageNumber="81" orientation="portrait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zoomScaleNormal="100" workbookViewId="0">
      <selection activeCell="H42" sqref="H42"/>
    </sheetView>
  </sheetViews>
  <sheetFormatPr defaultRowHeight="12"/>
  <cols>
    <col min="2" max="2" width="3" customWidth="1"/>
    <col min="3" max="4" width="12.7109375" customWidth="1"/>
    <col min="5" max="5" width="12.140625" customWidth="1"/>
    <col min="6" max="6" width="15.28515625" customWidth="1"/>
    <col min="7" max="7" width="12.42578125" customWidth="1"/>
    <col min="8" max="8" width="12.7109375" customWidth="1"/>
    <col min="12" max="12" width="16.5703125" bestFit="1" customWidth="1"/>
  </cols>
  <sheetData>
    <row r="1" spans="1:8">
      <c r="A1" s="160" t="s">
        <v>182</v>
      </c>
      <c r="B1" s="3"/>
      <c r="C1" s="3"/>
      <c r="D1" s="3"/>
      <c r="E1" s="3"/>
      <c r="F1" s="3"/>
      <c r="G1" s="3"/>
      <c r="H1" s="3"/>
    </row>
    <row r="2" spans="1:8" ht="12.95" customHeight="1">
      <c r="A2" s="1" t="s">
        <v>57</v>
      </c>
      <c r="B2" s="3"/>
      <c r="C2" s="9" t="s">
        <v>171</v>
      </c>
      <c r="D2" s="9" t="s">
        <v>172</v>
      </c>
      <c r="E2" s="9" t="s">
        <v>173</v>
      </c>
      <c r="F2" s="9" t="s">
        <v>183</v>
      </c>
      <c r="G2" s="9" t="s">
        <v>184</v>
      </c>
      <c r="H2" s="9" t="s">
        <v>175</v>
      </c>
    </row>
    <row r="3" spans="1:8" ht="3.95" customHeight="1">
      <c r="A3" s="18"/>
      <c r="B3" s="5"/>
      <c r="C3" s="10"/>
      <c r="D3" s="10"/>
      <c r="E3" s="10"/>
      <c r="F3" s="10"/>
      <c r="G3" s="10"/>
      <c r="H3" s="10"/>
    </row>
    <row r="4" spans="1:8">
      <c r="A4" s="4"/>
      <c r="B4" s="4"/>
      <c r="C4" s="46" t="s">
        <v>185</v>
      </c>
      <c r="D4" s="70"/>
      <c r="E4" s="47"/>
      <c r="F4" s="47"/>
      <c r="G4" s="47"/>
      <c r="H4" s="47"/>
    </row>
    <row r="5" spans="1:8">
      <c r="A5" s="14" t="s">
        <v>19</v>
      </c>
      <c r="B5" s="4"/>
      <c r="C5" s="176">
        <v>1.6</v>
      </c>
      <c r="D5" s="176">
        <v>34</v>
      </c>
      <c r="E5" s="176">
        <f>C5+D5</f>
        <v>35.6</v>
      </c>
      <c r="F5" s="176">
        <v>33.6</v>
      </c>
      <c r="G5" s="187" t="s">
        <v>122</v>
      </c>
      <c r="H5" s="176">
        <v>2</v>
      </c>
    </row>
    <row r="6" spans="1:8">
      <c r="A6" s="14" t="s">
        <v>20</v>
      </c>
      <c r="B6" s="96"/>
      <c r="C6" s="176">
        <f>H5</f>
        <v>2</v>
      </c>
      <c r="D6" s="176">
        <v>37.6</v>
      </c>
      <c r="E6" s="176">
        <f>C6+D6</f>
        <v>39.6</v>
      </c>
      <c r="F6" s="176">
        <v>37.5</v>
      </c>
      <c r="G6" s="187" t="s">
        <v>122</v>
      </c>
      <c r="H6" s="176">
        <v>1.9</v>
      </c>
    </row>
    <row r="7" spans="1:8">
      <c r="A7" s="14" t="s">
        <v>21</v>
      </c>
      <c r="B7" s="4"/>
      <c r="C7" s="176">
        <f t="shared" ref="C7:C18" si="0">H6</f>
        <v>1.9</v>
      </c>
      <c r="D7" s="176">
        <v>37</v>
      </c>
      <c r="E7" s="176">
        <f>C7+D7</f>
        <v>38.9</v>
      </c>
      <c r="F7" s="176">
        <v>36.299999999999997</v>
      </c>
      <c r="G7" s="187" t="s">
        <v>122</v>
      </c>
      <c r="H7" s="176">
        <v>2.5</v>
      </c>
    </row>
    <row r="8" spans="1:8">
      <c r="A8" s="14" t="s">
        <v>142</v>
      </c>
      <c r="B8" s="4"/>
      <c r="C8" s="176">
        <f t="shared" si="0"/>
        <v>2.5</v>
      </c>
      <c r="D8" s="176">
        <v>38.700000000000003</v>
      </c>
      <c r="E8" s="176">
        <f t="shared" ref="E8:E28" si="1">C8+D8</f>
        <v>41.2</v>
      </c>
      <c r="F8" s="176">
        <v>36.200000000000003</v>
      </c>
      <c r="G8" s="187" t="s">
        <v>122</v>
      </c>
      <c r="H8" s="176">
        <v>3.8</v>
      </c>
    </row>
    <row r="9" spans="1:8">
      <c r="A9" s="14" t="s">
        <v>143</v>
      </c>
      <c r="B9" s="4"/>
      <c r="C9" s="176">
        <f t="shared" si="0"/>
        <v>3.8</v>
      </c>
      <c r="D9" s="176">
        <v>34.6</v>
      </c>
      <c r="E9" s="176">
        <f t="shared" si="1"/>
        <v>38.4</v>
      </c>
      <c r="F9" s="176">
        <v>32.9</v>
      </c>
      <c r="G9" s="187" t="s">
        <v>122</v>
      </c>
      <c r="H9" s="176">
        <v>3.1</v>
      </c>
    </row>
    <row r="10" spans="1:8">
      <c r="A10" s="14" t="s">
        <v>144</v>
      </c>
      <c r="B10" s="4"/>
      <c r="C10" s="176">
        <f t="shared" si="0"/>
        <v>3.1</v>
      </c>
      <c r="D10" s="176">
        <v>38.4</v>
      </c>
      <c r="E10" s="176">
        <f t="shared" si="1"/>
        <v>41.5</v>
      </c>
      <c r="F10" s="176">
        <v>31.7</v>
      </c>
      <c r="G10" s="187" t="s">
        <v>122</v>
      </c>
      <c r="H10" s="176">
        <v>5.7</v>
      </c>
    </row>
    <row r="11" spans="1:8">
      <c r="A11" s="14" t="s">
        <v>25</v>
      </c>
      <c r="B11" s="4"/>
      <c r="C11" s="176">
        <f t="shared" si="0"/>
        <v>5.7</v>
      </c>
      <c r="D11" s="176">
        <v>35.799999999999997</v>
      </c>
      <c r="E11" s="176">
        <f t="shared" si="1"/>
        <v>41.5</v>
      </c>
      <c r="F11" s="176">
        <v>31.8</v>
      </c>
      <c r="G11" s="187" t="s">
        <v>122</v>
      </c>
      <c r="H11" s="176" t="s">
        <v>108</v>
      </c>
    </row>
    <row r="12" spans="1:8">
      <c r="A12" s="14"/>
      <c r="B12" s="4"/>
      <c r="C12" s="176"/>
      <c r="D12" s="176"/>
      <c r="E12" s="176"/>
      <c r="F12" s="176"/>
      <c r="G12" s="187"/>
      <c r="H12" s="176"/>
    </row>
    <row r="13" spans="1:8">
      <c r="A13" s="14" t="s">
        <v>26</v>
      </c>
      <c r="B13" s="4"/>
      <c r="C13" s="176" t="s">
        <v>108</v>
      </c>
      <c r="D13" s="176">
        <v>61.2</v>
      </c>
      <c r="E13" s="176">
        <v>61.2</v>
      </c>
      <c r="F13" s="176">
        <v>37.700000000000003</v>
      </c>
      <c r="G13" s="187" t="s">
        <v>122</v>
      </c>
      <c r="H13" s="176" t="s">
        <v>108</v>
      </c>
    </row>
    <row r="14" spans="1:8">
      <c r="A14" s="14" t="s">
        <v>27</v>
      </c>
      <c r="B14" s="4"/>
      <c r="C14" s="176" t="str">
        <f t="shared" si="0"/>
        <v xml:space="preserve">        na</v>
      </c>
      <c r="D14" s="176">
        <v>79.400000000000006</v>
      </c>
      <c r="E14" s="176">
        <f>D14</f>
        <v>79.400000000000006</v>
      </c>
      <c r="F14" s="176">
        <v>43</v>
      </c>
      <c r="G14" s="187" t="s">
        <v>122</v>
      </c>
      <c r="H14" s="176">
        <v>10</v>
      </c>
    </row>
    <row r="15" spans="1:8">
      <c r="A15" s="18" t="s">
        <v>28</v>
      </c>
      <c r="B15" s="5"/>
      <c r="C15" s="176">
        <f t="shared" si="0"/>
        <v>10</v>
      </c>
      <c r="D15" s="176">
        <v>84.8</v>
      </c>
      <c r="E15" s="176">
        <f t="shared" si="1"/>
        <v>94.8</v>
      </c>
      <c r="F15" s="176">
        <v>44.7</v>
      </c>
      <c r="G15" s="187" t="s">
        <v>122</v>
      </c>
      <c r="H15" s="176">
        <v>12.2</v>
      </c>
    </row>
    <row r="16" spans="1:8">
      <c r="A16" s="22" t="s">
        <v>30</v>
      </c>
      <c r="B16" s="5"/>
      <c r="C16" s="176">
        <f t="shared" si="0"/>
        <v>12.2</v>
      </c>
      <c r="D16" s="176">
        <v>82.3</v>
      </c>
      <c r="E16" s="176">
        <f t="shared" si="1"/>
        <v>94.5</v>
      </c>
      <c r="F16" s="176">
        <v>45.3</v>
      </c>
      <c r="G16" s="187" t="s">
        <v>122</v>
      </c>
      <c r="H16" s="176">
        <v>10.9</v>
      </c>
    </row>
    <row r="17" spans="1:9">
      <c r="A17" s="22" t="s">
        <v>31</v>
      </c>
      <c r="B17" s="5"/>
      <c r="C17" s="176">
        <f t="shared" si="0"/>
        <v>10.9</v>
      </c>
      <c r="D17" s="176">
        <v>94.9</v>
      </c>
      <c r="E17" s="176">
        <f t="shared" si="1"/>
        <v>105.80000000000001</v>
      </c>
      <c r="F17" s="176">
        <v>46.9</v>
      </c>
      <c r="G17" s="187" t="s">
        <v>122</v>
      </c>
      <c r="H17" s="176">
        <v>14.8</v>
      </c>
    </row>
    <row r="18" spans="1:9">
      <c r="A18" s="22" t="s">
        <v>32</v>
      </c>
      <c r="B18" s="5"/>
      <c r="C18" s="176">
        <f t="shared" si="0"/>
        <v>14.8</v>
      </c>
      <c r="D18" s="176">
        <v>100.9</v>
      </c>
      <c r="E18" s="176">
        <f t="shared" si="1"/>
        <v>115.7</v>
      </c>
      <c r="F18" s="176">
        <v>53</v>
      </c>
      <c r="G18" s="187" t="s">
        <v>122</v>
      </c>
      <c r="H18" s="176">
        <v>12.9</v>
      </c>
    </row>
    <row r="19" spans="1:9">
      <c r="A19" s="22"/>
      <c r="B19" s="5"/>
      <c r="C19" s="176"/>
      <c r="D19" s="176"/>
      <c r="E19" s="176"/>
      <c r="F19" s="176"/>
      <c r="G19" s="187"/>
      <c r="H19" s="176"/>
    </row>
    <row r="20" spans="1:9">
      <c r="A20" s="22" t="s">
        <v>33</v>
      </c>
      <c r="B20" s="5"/>
      <c r="C20" s="176">
        <f>H18</f>
        <v>12.9</v>
      </c>
      <c r="D20" s="176">
        <v>107.3</v>
      </c>
      <c r="E20" s="176">
        <f t="shared" si="1"/>
        <v>120.2</v>
      </c>
      <c r="F20" s="176">
        <v>56.4</v>
      </c>
      <c r="G20" s="187" t="s">
        <v>122</v>
      </c>
      <c r="H20" s="176">
        <v>11.4</v>
      </c>
    </row>
    <row r="21" spans="1:9">
      <c r="A21" s="22" t="s">
        <v>34</v>
      </c>
      <c r="B21" s="5"/>
      <c r="C21" s="176">
        <f t="shared" ref="C21:C28" si="2">H20</f>
        <v>11.4</v>
      </c>
      <c r="D21" s="176">
        <v>110</v>
      </c>
      <c r="E21" s="176">
        <f t="shared" si="1"/>
        <v>121.4</v>
      </c>
      <c r="F21" s="176">
        <v>40.4</v>
      </c>
      <c r="G21" s="188">
        <v>7.9</v>
      </c>
      <c r="H21" s="176">
        <v>21.2</v>
      </c>
    </row>
    <row r="22" spans="1:9">
      <c r="A22" s="22" t="s">
        <v>35</v>
      </c>
      <c r="B22" s="59"/>
      <c r="C22" s="176">
        <f t="shared" si="2"/>
        <v>21.2</v>
      </c>
      <c r="D22" s="176">
        <v>92.1</v>
      </c>
      <c r="E22" s="176">
        <f t="shared" si="1"/>
        <v>113.3</v>
      </c>
      <c r="F22" s="176">
        <v>36.700000000000003</v>
      </c>
      <c r="G22" s="188">
        <v>9.1</v>
      </c>
      <c r="H22" s="176">
        <v>14.9</v>
      </c>
    </row>
    <row r="23" spans="1:9">
      <c r="A23" s="18" t="s">
        <v>36</v>
      </c>
      <c r="B23" s="59"/>
      <c r="C23" s="176">
        <f t="shared" si="2"/>
        <v>14.9</v>
      </c>
      <c r="D23" s="176">
        <v>90.3</v>
      </c>
      <c r="E23" s="176">
        <f t="shared" si="1"/>
        <v>105.2</v>
      </c>
      <c r="F23" s="176">
        <v>30.4</v>
      </c>
      <c r="G23" s="188">
        <v>8.6</v>
      </c>
      <c r="H23" s="176">
        <v>13.4</v>
      </c>
    </row>
    <row r="24" spans="1:9">
      <c r="A24" s="18" t="s">
        <v>37</v>
      </c>
      <c r="B24" s="59"/>
      <c r="C24" s="176">
        <f t="shared" si="2"/>
        <v>13.4</v>
      </c>
      <c r="D24" s="176">
        <v>76</v>
      </c>
      <c r="E24" s="176">
        <f t="shared" si="1"/>
        <v>89.4</v>
      </c>
      <c r="F24" s="176">
        <v>28.6</v>
      </c>
      <c r="G24" s="188">
        <v>10.5</v>
      </c>
      <c r="H24" s="176">
        <v>10.3</v>
      </c>
    </row>
    <row r="25" spans="1:9">
      <c r="A25" s="18" t="s">
        <v>38</v>
      </c>
      <c r="B25" s="59"/>
      <c r="C25" s="176">
        <f>H24</f>
        <v>10.3</v>
      </c>
      <c r="D25" s="176">
        <v>74.3</v>
      </c>
      <c r="E25" s="176">
        <f>C25+D25</f>
        <v>84.6</v>
      </c>
      <c r="F25" s="176">
        <v>22.4</v>
      </c>
      <c r="G25" s="188">
        <v>11.3</v>
      </c>
      <c r="H25" s="176">
        <v>12.5</v>
      </c>
    </row>
    <row r="26" spans="1:9" ht="6" customHeight="1">
      <c r="A26" s="18"/>
      <c r="B26" s="59"/>
      <c r="C26" s="176"/>
      <c r="D26" s="176"/>
      <c r="E26" s="176"/>
      <c r="F26" s="176"/>
      <c r="G26" s="188"/>
      <c r="H26" s="176"/>
    </row>
    <row r="27" spans="1:9">
      <c r="A27" s="18" t="s">
        <v>39</v>
      </c>
      <c r="B27" s="59"/>
      <c r="C27" s="178">
        <f>H25</f>
        <v>12.5</v>
      </c>
      <c r="D27" s="178">
        <v>55.228999999999999</v>
      </c>
      <c r="E27" s="178">
        <f t="shared" si="1"/>
        <v>67.728999999999999</v>
      </c>
      <c r="F27" s="178">
        <v>13.843999999999999</v>
      </c>
      <c r="G27" s="189">
        <v>5.6550000000000002</v>
      </c>
      <c r="H27" s="178">
        <v>11.728</v>
      </c>
    </row>
    <row r="28" spans="1:9">
      <c r="A28" s="18" t="s">
        <v>40</v>
      </c>
      <c r="B28" s="59"/>
      <c r="C28" s="178">
        <f t="shared" si="2"/>
        <v>11.728</v>
      </c>
      <c r="D28" s="178">
        <v>50.9</v>
      </c>
      <c r="E28" s="178">
        <f t="shared" si="1"/>
        <v>62.628</v>
      </c>
      <c r="F28" s="178">
        <v>14.7</v>
      </c>
      <c r="G28" s="189">
        <v>6</v>
      </c>
      <c r="H28" s="178">
        <v>12.5</v>
      </c>
    </row>
    <row r="29" spans="1:9">
      <c r="A29" s="18" t="s">
        <v>41</v>
      </c>
      <c r="B29" s="59"/>
      <c r="C29" s="178">
        <v>12.5</v>
      </c>
      <c r="D29" s="178">
        <v>57.1</v>
      </c>
      <c r="E29" s="178">
        <f>C29+D29</f>
        <v>69.599999999999994</v>
      </c>
      <c r="F29" s="178">
        <v>13.7</v>
      </c>
      <c r="G29" s="189">
        <v>9.9</v>
      </c>
      <c r="H29" s="178">
        <v>13.8</v>
      </c>
    </row>
    <row r="30" spans="1:9">
      <c r="A30" s="18" t="s">
        <v>42</v>
      </c>
      <c r="B30" s="59"/>
      <c r="C30" s="178">
        <v>13.8</v>
      </c>
      <c r="D30" s="178">
        <v>64.007000000000005</v>
      </c>
      <c r="E30" s="178">
        <f>C30+D30</f>
        <v>77.807000000000002</v>
      </c>
      <c r="F30" s="178">
        <v>20.8</v>
      </c>
      <c r="G30" s="189">
        <v>5.9</v>
      </c>
      <c r="H30" s="178">
        <v>17.399999999999999</v>
      </c>
    </row>
    <row r="31" spans="1:9">
      <c r="A31" s="18" t="s">
        <v>43</v>
      </c>
      <c r="B31" s="59"/>
      <c r="C31" s="178">
        <f>H30</f>
        <v>17.399999999999999</v>
      </c>
      <c r="D31" s="178">
        <v>55.444035</v>
      </c>
      <c r="E31" s="178">
        <f>C31+D31</f>
        <v>72.844034999999991</v>
      </c>
      <c r="F31" s="178">
        <v>19.566427000000001</v>
      </c>
      <c r="G31" s="189">
        <v>9.3056219999999996</v>
      </c>
      <c r="H31" s="178">
        <v>10.717335</v>
      </c>
    </row>
    <row r="32" spans="1:9" s="59" customFormat="1">
      <c r="A32" s="18" t="s">
        <v>44</v>
      </c>
      <c r="C32" s="178">
        <f>H31</f>
        <v>10.717335</v>
      </c>
      <c r="D32" s="178">
        <v>60.071707000000004</v>
      </c>
      <c r="E32" s="178">
        <f>C32+D32</f>
        <v>70.789042000000009</v>
      </c>
      <c r="F32" s="178">
        <v>18.200436</v>
      </c>
      <c r="G32" s="189">
        <v>5.0493259999999998</v>
      </c>
      <c r="H32" s="178">
        <v>14.260406</v>
      </c>
      <c r="I32" s="190"/>
    </row>
    <row r="33" spans="1:12" s="59" customFormat="1">
      <c r="A33" s="18" t="s">
        <v>186</v>
      </c>
      <c r="C33" s="178">
        <v>14.260406</v>
      </c>
      <c r="D33" s="178">
        <v>45.225065999999998</v>
      </c>
      <c r="E33" s="178">
        <v>59.485472000000001</v>
      </c>
      <c r="F33" s="178">
        <v>17.797108999999999</v>
      </c>
      <c r="G33" s="189">
        <v>6.6112339999999996</v>
      </c>
      <c r="H33" s="178">
        <v>14.342522000000001</v>
      </c>
      <c r="I33" s="190"/>
    </row>
    <row r="34" spans="1:12" s="59" customFormat="1" ht="3" customHeight="1">
      <c r="A34" s="18"/>
      <c r="C34" s="178"/>
      <c r="D34" s="178"/>
      <c r="E34" s="178"/>
      <c r="F34" s="178"/>
      <c r="G34" s="189"/>
      <c r="H34" s="178"/>
      <c r="I34" s="190"/>
    </row>
    <row r="35" spans="1:12" s="59" customFormat="1">
      <c r="A35" s="18" t="s">
        <v>92</v>
      </c>
      <c r="C35" s="178">
        <f>12.41/0.865</f>
        <v>14.346820809248555</v>
      </c>
      <c r="D35" s="178">
        <f>37.31/0.865</f>
        <v>43.132947976878619</v>
      </c>
      <c r="E35" s="178">
        <f t="shared" ref="E35:E41" si="3">C35+D35</f>
        <v>57.479768786127174</v>
      </c>
      <c r="F35" s="178">
        <f>(19.64/0.865)-G35</f>
        <v>16.79768786127168</v>
      </c>
      <c r="G35" s="189">
        <f>5.11/0.865</f>
        <v>5.9075144508670521</v>
      </c>
      <c r="H35" s="178">
        <f>12.13/0.865</f>
        <v>14.023121387283238</v>
      </c>
      <c r="I35" s="190"/>
    </row>
    <row r="36" spans="1:12" s="59" customFormat="1">
      <c r="A36" s="18" t="s">
        <v>93</v>
      </c>
      <c r="C36" s="178">
        <f>12.13/0.865</f>
        <v>14.023121387283238</v>
      </c>
      <c r="D36" s="178">
        <f>39.19/0.865</f>
        <v>45.306358381502889</v>
      </c>
      <c r="E36" s="178">
        <f t="shared" si="3"/>
        <v>59.329479768786129</v>
      </c>
      <c r="F36" s="178">
        <f>(19.31/0.865)-G36</f>
        <v>15.965317919075142</v>
      </c>
      <c r="G36" s="189">
        <f>(1.42+3.41+0.67)/0.865</f>
        <v>6.3583815028901736</v>
      </c>
      <c r="H36" s="178">
        <f>11.19/0.865</f>
        <v>12.936416184971097</v>
      </c>
      <c r="I36" s="190"/>
      <c r="L36" s="191"/>
    </row>
    <row r="37" spans="1:12" s="59" customFormat="1">
      <c r="A37" s="18" t="s">
        <v>94</v>
      </c>
      <c r="C37" s="178">
        <f>11.19/0.865</f>
        <v>12.936416184971097</v>
      </c>
      <c r="D37" s="178">
        <f>33.08/0.865</f>
        <v>38.24277456647399</v>
      </c>
      <c r="E37" s="178">
        <f t="shared" si="3"/>
        <v>51.179190751445091</v>
      </c>
      <c r="F37" s="178">
        <f>(16.79/0.865)-G37</f>
        <v>14.52023121387283</v>
      </c>
      <c r="G37" s="189">
        <f>(0.9+3.06+0.27)/0.865</f>
        <v>4.8901734104046248</v>
      </c>
      <c r="H37" s="178">
        <f>12.19/0.865</f>
        <v>14.092485549132947</v>
      </c>
      <c r="I37" s="190"/>
    </row>
    <row r="38" spans="1:12">
      <c r="A38" s="18" t="s">
        <v>95</v>
      </c>
      <c r="B38" s="59"/>
      <c r="C38" s="178">
        <f>12.19/0.865</f>
        <v>14.092485549132947</v>
      </c>
      <c r="D38" s="178">
        <f>27.56/0.865</f>
        <v>31.861271676300579</v>
      </c>
      <c r="E38" s="178">
        <f t="shared" si="3"/>
        <v>45.953757225433527</v>
      </c>
      <c r="F38" s="178">
        <f>(16.54/0.865)-G38</f>
        <v>14.196531791907516</v>
      </c>
      <c r="G38" s="189">
        <f>(0.7+3.42+0.14)/0.865</f>
        <v>4.9248554913294793</v>
      </c>
      <c r="H38" s="178">
        <f>9.62/0.865</f>
        <v>11.121387283236993</v>
      </c>
      <c r="I38" s="190"/>
    </row>
    <row r="39" spans="1:12">
      <c r="A39" s="18" t="s">
        <v>290</v>
      </c>
      <c r="B39" s="59"/>
      <c r="C39" s="178">
        <f>9.57/0.865</f>
        <v>11.063583815028903</v>
      </c>
      <c r="D39" s="178">
        <f>25.42/0.865</f>
        <v>29.387283236994222</v>
      </c>
      <c r="E39" s="178">
        <f t="shared" si="3"/>
        <v>40.450867052023128</v>
      </c>
      <c r="F39" s="178">
        <f>(15.45/0.865)-G39</f>
        <v>14.473988439306359</v>
      </c>
      <c r="G39" s="189">
        <f>(0.39+2.5+0.04)/0.865</f>
        <v>3.3872832369942198</v>
      </c>
      <c r="H39" s="178">
        <f>9.65/0.865</f>
        <v>11.15606936416185</v>
      </c>
      <c r="I39" s="190"/>
    </row>
    <row r="40" spans="1:12">
      <c r="A40" s="18" t="s">
        <v>299</v>
      </c>
      <c r="B40" s="59"/>
      <c r="C40" s="178">
        <f>9.65/0.865</f>
        <v>11.15606936416185</v>
      </c>
      <c r="D40" s="178">
        <f>23.98/0.865</f>
        <v>27.722543352601157</v>
      </c>
      <c r="E40" s="178">
        <f t="shared" si="3"/>
        <v>38.878612716763008</v>
      </c>
      <c r="F40" s="178">
        <f>(14.21/0.865)-G40</f>
        <v>13.872832369942197</v>
      </c>
      <c r="G40" s="189">
        <f>(0.41+1.78+0.02)/0.865</f>
        <v>2.554913294797688</v>
      </c>
      <c r="H40" s="178">
        <f>8.57/0.865</f>
        <v>9.907514450867053</v>
      </c>
      <c r="I40" s="190"/>
    </row>
    <row r="41" spans="1:12">
      <c r="A41" s="18" t="s">
        <v>313</v>
      </c>
      <c r="B41" s="59"/>
      <c r="C41" s="178">
        <f>8.57/0.865</f>
        <v>9.907514450867053</v>
      </c>
      <c r="D41" s="178">
        <f>19.58/0.865</f>
        <v>22.635838150289015</v>
      </c>
      <c r="E41" s="178">
        <f t="shared" si="3"/>
        <v>32.543352601156066</v>
      </c>
      <c r="F41" s="178">
        <f>(12.38/0.865)-G41</f>
        <v>12.936416184971099</v>
      </c>
      <c r="G41" s="189">
        <f>(0.33+0.85+0.01)/0.865</f>
        <v>1.375722543352601</v>
      </c>
      <c r="H41" s="178">
        <f>6.88/0.865</f>
        <v>7.9537572254335256</v>
      </c>
      <c r="I41" s="190"/>
    </row>
    <row r="42" spans="1:12">
      <c r="A42" s="140" t="s">
        <v>320</v>
      </c>
      <c r="B42" s="103"/>
      <c r="C42" s="480">
        <f>6.88/0.865</f>
        <v>7.9537572254335256</v>
      </c>
      <c r="D42" s="480">
        <f>20.51/0.865</f>
        <v>23.710982658959541</v>
      </c>
      <c r="E42" s="480">
        <f t="shared" ref="E42" si="4">C42+D42</f>
        <v>31.664739884393065</v>
      </c>
      <c r="F42" s="480">
        <f>(10.95/0.865)-G42</f>
        <v>11.710982658959535</v>
      </c>
      <c r="G42" s="481">
        <f>(0.13+0.69+0)/0.865</f>
        <v>0.94797687861271673</v>
      </c>
      <c r="H42" s="480">
        <f>8.53/0.865</f>
        <v>9.8612716763005768</v>
      </c>
      <c r="I42" s="190"/>
    </row>
    <row r="43" spans="1:12">
      <c r="A43" s="95" t="s">
        <v>187</v>
      </c>
      <c r="B43" s="4"/>
      <c r="C43" s="4"/>
      <c r="D43" s="4"/>
      <c r="E43" s="4"/>
      <c r="F43" s="4"/>
      <c r="G43" s="4"/>
      <c r="H43" s="4"/>
    </row>
    <row r="44" spans="1:12">
      <c r="A44" s="39" t="s">
        <v>181</v>
      </c>
      <c r="B44" s="4"/>
      <c r="C44" s="4"/>
      <c r="D44" s="4"/>
      <c r="E44" s="4"/>
      <c r="F44" s="4"/>
      <c r="G44" s="4"/>
      <c r="H44" s="4"/>
    </row>
  </sheetData>
  <pageMargins left="0.66700000000000004" right="0.66700000000000004" top="0.66700000000000004" bottom="0.72" header="0" footer="0"/>
  <pageSetup firstPageNumber="82" orientation="portrait" useFirstPageNumber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61"/>
  <sheetViews>
    <sheetView showGridLines="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V50" sqref="V50"/>
    </sheetView>
  </sheetViews>
  <sheetFormatPr defaultColWidth="9.7109375" defaultRowHeight="12"/>
  <cols>
    <col min="1" max="1" width="5.7109375" customWidth="1"/>
    <col min="2" max="2" width="3.140625" customWidth="1"/>
    <col min="3" max="5" width="9.85546875" customWidth="1"/>
    <col min="6" max="6" width="1.7109375" customWidth="1"/>
    <col min="7" max="9" width="9.85546875" customWidth="1"/>
    <col min="10" max="10" width="1.5703125" customWidth="1"/>
    <col min="11" max="12" width="9.85546875" customWidth="1"/>
    <col min="13" max="13" width="10.42578125" customWidth="1"/>
    <col min="14" max="14" width="9.7109375" customWidth="1"/>
  </cols>
  <sheetData>
    <row r="1" spans="1:13" ht="10.5" customHeight="1">
      <c r="A1" s="160" t="s">
        <v>188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0.5" customHeight="1">
      <c r="A2" s="4"/>
      <c r="B2" s="4"/>
      <c r="C2" s="101" t="s">
        <v>2</v>
      </c>
      <c r="D2" s="102"/>
      <c r="E2" s="101"/>
      <c r="F2" s="4"/>
      <c r="G2" s="6" t="s">
        <v>4</v>
      </c>
      <c r="H2" s="102"/>
      <c r="I2" s="6"/>
      <c r="J2" s="4"/>
      <c r="K2" s="6" t="s">
        <v>5</v>
      </c>
      <c r="L2" s="6"/>
      <c r="M2" s="6"/>
    </row>
    <row r="3" spans="1:13" ht="10.5" customHeight="1">
      <c r="A3" s="192" t="s">
        <v>189</v>
      </c>
      <c r="B3" s="4"/>
      <c r="C3" s="7" t="s">
        <v>6</v>
      </c>
      <c r="D3" s="7" t="s">
        <v>7</v>
      </c>
      <c r="E3" s="7"/>
      <c r="F3" s="5"/>
      <c r="G3" s="7" t="s">
        <v>6</v>
      </c>
      <c r="H3" s="7" t="s">
        <v>7</v>
      </c>
      <c r="I3" s="7"/>
      <c r="J3" s="5"/>
      <c r="K3" s="7" t="s">
        <v>6</v>
      </c>
      <c r="L3" s="7" t="s">
        <v>7</v>
      </c>
      <c r="M3" s="7"/>
    </row>
    <row r="4" spans="1:13" ht="12" customHeight="1">
      <c r="A4" s="104"/>
      <c r="B4" s="3"/>
      <c r="C4" s="9" t="s">
        <v>8</v>
      </c>
      <c r="D4" s="9" t="s">
        <v>9</v>
      </c>
      <c r="E4" s="9" t="s">
        <v>190</v>
      </c>
      <c r="F4" s="3"/>
      <c r="G4" s="9" t="s">
        <v>8</v>
      </c>
      <c r="H4" s="9" t="s">
        <v>9</v>
      </c>
      <c r="I4" s="9" t="s">
        <v>190</v>
      </c>
      <c r="J4" s="3"/>
      <c r="K4" s="9" t="s">
        <v>8</v>
      </c>
      <c r="L4" s="9" t="s">
        <v>9</v>
      </c>
      <c r="M4" s="9" t="s">
        <v>191</v>
      </c>
    </row>
    <row r="5" spans="1:13" ht="3.95" customHeight="1">
      <c r="A5" s="105"/>
      <c r="B5" s="5"/>
      <c r="C5" s="10"/>
      <c r="D5" s="10"/>
      <c r="E5" s="10"/>
      <c r="F5" s="5"/>
      <c r="G5" s="10"/>
      <c r="H5" s="10"/>
      <c r="I5" s="10"/>
      <c r="J5" s="5"/>
      <c r="K5" s="10"/>
      <c r="L5" s="10"/>
      <c r="M5" s="10"/>
    </row>
    <row r="6" spans="1:13" ht="10.5" customHeight="1">
      <c r="A6" s="4"/>
      <c r="B6" s="4"/>
      <c r="C6" s="12" t="s">
        <v>10</v>
      </c>
      <c r="D6" s="12" t="s">
        <v>11</v>
      </c>
      <c r="E6" s="193">
        <v>1000</v>
      </c>
      <c r="F6" s="13"/>
      <c r="G6" s="194" t="s">
        <v>10</v>
      </c>
      <c r="H6" s="12" t="s">
        <v>11</v>
      </c>
      <c r="I6" s="193">
        <v>1000</v>
      </c>
      <c r="J6" s="13"/>
      <c r="K6" s="11" t="s">
        <v>10</v>
      </c>
      <c r="L6" s="12" t="s">
        <v>11</v>
      </c>
      <c r="M6" s="193">
        <v>1000</v>
      </c>
    </row>
    <row r="7" spans="1:13" ht="10.5" customHeight="1">
      <c r="A7" s="4"/>
      <c r="B7" s="4"/>
      <c r="C7" s="12" t="s">
        <v>12</v>
      </c>
      <c r="D7" s="12" t="s">
        <v>13</v>
      </c>
      <c r="E7" s="12" t="s">
        <v>192</v>
      </c>
      <c r="F7" s="13"/>
      <c r="G7" s="12" t="s">
        <v>12</v>
      </c>
      <c r="H7" s="12" t="s">
        <v>13</v>
      </c>
      <c r="I7" s="12" t="s">
        <v>192</v>
      </c>
      <c r="J7" s="13"/>
      <c r="K7" s="12" t="s">
        <v>12</v>
      </c>
      <c r="L7" s="12" t="s">
        <v>13</v>
      </c>
      <c r="M7" s="12" t="s">
        <v>192</v>
      </c>
    </row>
    <row r="8" spans="1:13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0.15" customHeight="1">
      <c r="A9" s="14" t="s">
        <v>14</v>
      </c>
      <c r="B9" s="4"/>
      <c r="C9" s="195">
        <v>52.7</v>
      </c>
      <c r="D9" s="153">
        <v>17.514231499051231</v>
      </c>
      <c r="E9" s="196">
        <v>923.4</v>
      </c>
      <c r="F9" s="4"/>
      <c r="G9" s="195">
        <v>19.2</v>
      </c>
      <c r="H9" s="153">
        <v>13.854166666666668</v>
      </c>
      <c r="I9" s="196">
        <v>266</v>
      </c>
      <c r="J9" s="4"/>
      <c r="K9" s="195">
        <v>71.900000000000006</v>
      </c>
      <c r="L9" s="153">
        <v>16.536856745479831</v>
      </c>
      <c r="M9" s="196">
        <v>1189.4000000000001</v>
      </c>
    </row>
    <row r="10" spans="1:13" ht="10.15" customHeight="1">
      <c r="A10" s="14" t="s">
        <v>15</v>
      </c>
      <c r="B10" s="4"/>
      <c r="C10" s="195">
        <v>54.2</v>
      </c>
      <c r="D10" s="153">
        <v>12.970479704797047</v>
      </c>
      <c r="E10" s="196">
        <v>703</v>
      </c>
      <c r="F10" s="4"/>
      <c r="G10" s="195">
        <v>21.6</v>
      </c>
      <c r="H10" s="153">
        <v>11.064814814814815</v>
      </c>
      <c r="I10" s="196">
        <v>239.4</v>
      </c>
      <c r="J10" s="4"/>
      <c r="K10" s="195">
        <v>75.8</v>
      </c>
      <c r="L10" s="153">
        <v>12.42744063324538</v>
      </c>
      <c r="M10" s="196">
        <v>942.4</v>
      </c>
    </row>
    <row r="11" spans="1:13" ht="10.15" customHeight="1">
      <c r="A11" s="14" t="s">
        <v>16</v>
      </c>
      <c r="B11" s="4"/>
      <c r="C11" s="195">
        <v>52</v>
      </c>
      <c r="D11" s="153">
        <v>14.826923076923077</v>
      </c>
      <c r="E11" s="196">
        <v>771.4</v>
      </c>
      <c r="F11" s="4"/>
      <c r="G11" s="195">
        <v>19.5</v>
      </c>
      <c r="H11" s="153">
        <v>9.1794871794871788</v>
      </c>
      <c r="I11" s="196">
        <v>178.6</v>
      </c>
      <c r="J11" s="4"/>
      <c r="K11" s="195">
        <v>71.5</v>
      </c>
      <c r="L11" s="153">
        <v>13.286713286713287</v>
      </c>
      <c r="M11" s="196">
        <v>950</v>
      </c>
    </row>
    <row r="12" spans="1:13" ht="10.15" customHeight="1">
      <c r="A12" s="14" t="s">
        <v>17</v>
      </c>
      <c r="B12" s="4"/>
      <c r="C12" s="195">
        <v>51.5</v>
      </c>
      <c r="D12" s="153">
        <v>12.737864077669903</v>
      </c>
      <c r="E12" s="196">
        <v>655.5</v>
      </c>
      <c r="F12" s="4"/>
      <c r="G12" s="195">
        <v>18.3</v>
      </c>
      <c r="H12" s="153">
        <v>7.2677595628415297</v>
      </c>
      <c r="I12" s="196">
        <v>133</v>
      </c>
      <c r="J12" s="4"/>
      <c r="K12" s="195">
        <v>69.8</v>
      </c>
      <c r="L12" s="153">
        <v>11.289398280802292</v>
      </c>
      <c r="M12" s="196">
        <v>788.5</v>
      </c>
    </row>
    <row r="13" spans="1:13" ht="10.15" customHeight="1">
      <c r="A13" s="14" t="s">
        <v>18</v>
      </c>
      <c r="B13" s="4"/>
      <c r="C13" s="195">
        <v>49.6</v>
      </c>
      <c r="D13" s="153">
        <v>15.161290322580644</v>
      </c>
      <c r="E13" s="196">
        <v>752.4</v>
      </c>
      <c r="F13" s="4"/>
      <c r="G13" s="195">
        <v>17</v>
      </c>
      <c r="H13" s="153">
        <v>12.647058823529411</v>
      </c>
      <c r="I13" s="196">
        <v>214.7</v>
      </c>
      <c r="J13" s="4"/>
      <c r="K13" s="195">
        <v>66.599999999999994</v>
      </c>
      <c r="L13" s="153">
        <v>14.519519519519521</v>
      </c>
      <c r="M13" s="196">
        <v>967.1</v>
      </c>
    </row>
    <row r="14" spans="1:13" ht="10.15" customHeight="1">
      <c r="A14" s="14" t="s">
        <v>19</v>
      </c>
      <c r="B14" s="4"/>
      <c r="C14" s="195">
        <v>48.8</v>
      </c>
      <c r="D14" s="153">
        <v>11.762295081967213</v>
      </c>
      <c r="E14" s="196">
        <v>573.79999999999995</v>
      </c>
      <c r="F14" s="4"/>
      <c r="G14" s="195">
        <v>16.5</v>
      </c>
      <c r="H14" s="153">
        <v>7.1515151515151514</v>
      </c>
      <c r="I14" s="196">
        <v>117.8</v>
      </c>
      <c r="J14" s="4"/>
      <c r="K14" s="195">
        <v>65.3</v>
      </c>
      <c r="L14" s="153">
        <v>10.597243491577336</v>
      </c>
      <c r="M14" s="196">
        <v>691.6</v>
      </c>
    </row>
    <row r="15" spans="1:13" ht="1.9" customHeight="1">
      <c r="A15" s="14"/>
      <c r="B15" s="4"/>
      <c r="C15" s="195"/>
      <c r="D15" s="153"/>
      <c r="E15" s="196"/>
      <c r="F15" s="4"/>
      <c r="G15" s="195"/>
      <c r="H15" s="153"/>
      <c r="I15" s="196"/>
      <c r="J15" s="4"/>
      <c r="K15" s="195"/>
      <c r="L15" s="153"/>
      <c r="M15" s="196"/>
    </row>
    <row r="16" spans="1:13" ht="10.15" customHeight="1">
      <c r="A16" s="14" t="s">
        <v>20</v>
      </c>
      <c r="B16" s="4"/>
      <c r="C16" s="195">
        <v>48.4</v>
      </c>
      <c r="D16" s="153">
        <v>16.880165289256198</v>
      </c>
      <c r="E16" s="196">
        <v>817</v>
      </c>
      <c r="F16" s="4"/>
      <c r="G16" s="195">
        <v>15.5</v>
      </c>
      <c r="H16" s="153">
        <v>17.419354838709676</v>
      </c>
      <c r="I16" s="196">
        <v>269.8</v>
      </c>
      <c r="J16" s="4"/>
      <c r="K16" s="195">
        <v>63.9</v>
      </c>
      <c r="L16" s="153">
        <v>17.010954616588421</v>
      </c>
      <c r="M16" s="196">
        <v>1086.8</v>
      </c>
    </row>
    <row r="17" spans="1:13" ht="10.15" customHeight="1">
      <c r="A17" s="14" t="s">
        <v>21</v>
      </c>
      <c r="B17" s="4"/>
      <c r="C17" s="195">
        <v>49</v>
      </c>
      <c r="D17" s="153">
        <v>13.183673469387756</v>
      </c>
      <c r="E17" s="196">
        <v>646</v>
      </c>
      <c r="F17" s="4"/>
      <c r="G17" s="195">
        <v>15.5</v>
      </c>
      <c r="H17" s="153">
        <v>8.9677419354838701</v>
      </c>
      <c r="I17" s="196">
        <v>138.69999999999999</v>
      </c>
      <c r="J17" s="4"/>
      <c r="K17" s="195">
        <v>64.5</v>
      </c>
      <c r="L17" s="153">
        <v>12.170542635658915</v>
      </c>
      <c r="M17" s="196">
        <v>784.7</v>
      </c>
    </row>
    <row r="18" spans="1:13" ht="10.15" customHeight="1">
      <c r="A18" s="14" t="s">
        <v>142</v>
      </c>
      <c r="B18" s="4"/>
      <c r="C18" s="195">
        <v>48.4</v>
      </c>
      <c r="D18" s="153">
        <v>12.719008264462811</v>
      </c>
      <c r="E18" s="196">
        <v>615.6</v>
      </c>
      <c r="F18" s="4"/>
      <c r="G18" s="195">
        <v>15.5</v>
      </c>
      <c r="H18" s="153">
        <v>9.3161290322580648</v>
      </c>
      <c r="I18" s="196">
        <v>144.4</v>
      </c>
      <c r="J18" s="4"/>
      <c r="K18" s="195">
        <v>63.9</v>
      </c>
      <c r="L18" s="153">
        <v>11.893583724569641</v>
      </c>
      <c r="M18" s="196">
        <v>760</v>
      </c>
    </row>
    <row r="19" spans="1:13" ht="10.15" customHeight="1">
      <c r="A19" s="14" t="s">
        <v>143</v>
      </c>
      <c r="B19" s="4"/>
      <c r="C19" s="195">
        <v>47.8</v>
      </c>
      <c r="D19" s="153">
        <v>12.560669456066947</v>
      </c>
      <c r="E19" s="196">
        <v>600.4</v>
      </c>
      <c r="F19" s="4"/>
      <c r="G19" s="195">
        <v>15.5</v>
      </c>
      <c r="H19" s="153">
        <v>6.8645161290322587</v>
      </c>
      <c r="I19" s="196">
        <v>106.4</v>
      </c>
      <c r="J19" s="4"/>
      <c r="K19" s="195">
        <v>63.3</v>
      </c>
      <c r="L19" s="153">
        <v>11.153238546603475</v>
      </c>
      <c r="M19" s="196">
        <v>706</v>
      </c>
    </row>
    <row r="20" spans="1:13" ht="10.15" customHeight="1">
      <c r="A20" s="14" t="s">
        <v>144</v>
      </c>
      <c r="B20" s="4"/>
      <c r="C20" s="195">
        <v>46.7</v>
      </c>
      <c r="D20" s="153">
        <v>12.055674518201284</v>
      </c>
      <c r="E20" s="196">
        <v>563</v>
      </c>
      <c r="F20" s="4"/>
      <c r="G20" s="195">
        <v>15.4</v>
      </c>
      <c r="H20" s="153">
        <v>10.116883116883118</v>
      </c>
      <c r="I20" s="196">
        <v>155.80000000000001</v>
      </c>
      <c r="J20" s="4"/>
      <c r="K20" s="195">
        <v>62.1</v>
      </c>
      <c r="L20" s="153">
        <v>11.578099838969404</v>
      </c>
      <c r="M20" s="196">
        <v>719</v>
      </c>
    </row>
    <row r="21" spans="1:13" ht="10.15" customHeight="1">
      <c r="A21" s="14" t="s">
        <v>25</v>
      </c>
      <c r="B21" s="4"/>
      <c r="C21" s="195">
        <v>46.4</v>
      </c>
      <c r="D21" s="153">
        <f>325*76/2000</f>
        <v>12.35</v>
      </c>
      <c r="E21" s="196">
        <v>573.79999999999995</v>
      </c>
      <c r="F21" s="4"/>
      <c r="G21" s="195">
        <v>15.7</v>
      </c>
      <c r="H21" s="153">
        <f>325*76/2000</f>
        <v>12.35</v>
      </c>
      <c r="I21" s="196">
        <f>5100*76/2000</f>
        <v>193.8</v>
      </c>
      <c r="J21" s="4"/>
      <c r="K21" s="195">
        <v>62.1</v>
      </c>
      <c r="L21" s="153">
        <f>+M21/K21</f>
        <v>12.334943639291465</v>
      </c>
      <c r="M21" s="197">
        <v>766</v>
      </c>
    </row>
    <row r="22" spans="1:13" ht="1.9" customHeight="1">
      <c r="A22" s="14"/>
      <c r="B22" s="4"/>
      <c r="C22" s="195"/>
      <c r="D22" s="153"/>
      <c r="E22" s="196"/>
      <c r="F22" s="4"/>
      <c r="G22" s="195"/>
      <c r="H22" s="153"/>
      <c r="I22" s="196"/>
      <c r="J22" s="4"/>
      <c r="K22" s="195"/>
      <c r="L22" s="153"/>
      <c r="M22" s="197"/>
    </row>
    <row r="23" spans="1:13" ht="10.15" customHeight="1">
      <c r="A23" s="14" t="s">
        <v>26</v>
      </c>
      <c r="B23" s="4"/>
      <c r="C23" s="195">
        <v>46.4</v>
      </c>
      <c r="D23" s="153">
        <f>440*76/2000</f>
        <v>16.72</v>
      </c>
      <c r="E23" s="196">
        <f>20400*76/2000</f>
        <v>775.2</v>
      </c>
      <c r="F23" s="4"/>
      <c r="G23" s="195">
        <v>15.7</v>
      </c>
      <c r="H23" s="153">
        <f>280*76/2000</f>
        <v>10.64</v>
      </c>
      <c r="I23" s="196">
        <f>4400*76/2000</f>
        <v>167.2</v>
      </c>
      <c r="J23" s="4"/>
      <c r="K23" s="195">
        <v>62.1</v>
      </c>
      <c r="L23" s="153">
        <f t="shared" ref="L23:L28" si="0">+M23/K23</f>
        <v>15.169082125603865</v>
      </c>
      <c r="M23" s="196">
        <v>942</v>
      </c>
    </row>
    <row r="24" spans="1:13" ht="10.15" customHeight="1">
      <c r="A24" s="14" t="s">
        <v>27</v>
      </c>
      <c r="B24" s="4"/>
      <c r="C24" s="195">
        <v>45.5</v>
      </c>
      <c r="D24" s="153">
        <f>455*76/2000</f>
        <v>17.29</v>
      </c>
      <c r="E24" s="196">
        <f>20700*76/2000</f>
        <v>786.6</v>
      </c>
      <c r="F24" s="4"/>
      <c r="G24" s="195">
        <v>15.6</v>
      </c>
      <c r="H24" s="153">
        <f>333*76/2000</f>
        <v>12.654</v>
      </c>
      <c r="I24" s="196">
        <f>5200*76/2000</f>
        <v>197.6</v>
      </c>
      <c r="J24" s="4"/>
      <c r="K24" s="195">
        <v>61.1</v>
      </c>
      <c r="L24" s="153">
        <f t="shared" si="0"/>
        <v>16.108019639934533</v>
      </c>
      <c r="M24" s="196">
        <v>984.2</v>
      </c>
    </row>
    <row r="25" spans="1:13" ht="10.15" customHeight="1">
      <c r="A25" s="14" t="s">
        <v>28</v>
      </c>
      <c r="B25" s="4"/>
      <c r="C25" s="195">
        <v>45.7</v>
      </c>
      <c r="D25" s="153">
        <f>438*76/2000</f>
        <v>16.643999999999998</v>
      </c>
      <c r="E25" s="196">
        <f>20000*76/2000</f>
        <v>760</v>
      </c>
      <c r="F25" s="4"/>
      <c r="G25" s="195">
        <v>15.3</v>
      </c>
      <c r="H25" s="153">
        <f>235*76/2000</f>
        <v>8.93</v>
      </c>
      <c r="I25" s="196">
        <f>3600*76/2000</f>
        <v>136.80000000000001</v>
      </c>
      <c r="J25" s="4"/>
      <c r="K25" s="195">
        <v>61</v>
      </c>
      <c r="L25" s="153">
        <f t="shared" si="0"/>
        <v>14.704918032786885</v>
      </c>
      <c r="M25" s="196">
        <v>897</v>
      </c>
    </row>
    <row r="26" spans="1:13" ht="10.15" customHeight="1">
      <c r="A26" s="18" t="s">
        <v>30</v>
      </c>
      <c r="B26" s="5"/>
      <c r="C26" s="198">
        <v>46.4</v>
      </c>
      <c r="D26" s="156">
        <f>453*76/2000</f>
        <v>17.213999999999999</v>
      </c>
      <c r="E26" s="199">
        <f>21000*76/2000</f>
        <v>798</v>
      </c>
      <c r="F26" s="5"/>
      <c r="G26" s="198">
        <v>14.9</v>
      </c>
      <c r="H26" s="156">
        <f>342*76/2000</f>
        <v>12.996</v>
      </c>
      <c r="I26" s="199">
        <f>5100*76/2000</f>
        <v>193.8</v>
      </c>
      <c r="J26" s="5"/>
      <c r="K26" s="198">
        <v>61.3</v>
      </c>
      <c r="L26" s="156">
        <f t="shared" si="0"/>
        <v>16.179445350734095</v>
      </c>
      <c r="M26" s="199">
        <v>991.8</v>
      </c>
    </row>
    <row r="27" spans="1:13" ht="10.15" customHeight="1">
      <c r="A27" s="22" t="s">
        <v>31</v>
      </c>
      <c r="B27" s="5"/>
      <c r="C27" s="198">
        <v>47.4</v>
      </c>
      <c r="D27" s="156">
        <f>477*76/2000</f>
        <v>18.126000000000001</v>
      </c>
      <c r="E27" s="199">
        <v>858.8</v>
      </c>
      <c r="F27" s="5"/>
      <c r="G27" s="198">
        <v>14.5</v>
      </c>
      <c r="H27" s="156">
        <f>186*76/2000</f>
        <v>7.0679999999999996</v>
      </c>
      <c r="I27" s="199">
        <f>2700*76/2000</f>
        <v>102.6</v>
      </c>
      <c r="J27" s="5"/>
      <c r="K27" s="198">
        <v>61.9</v>
      </c>
      <c r="L27" s="156">
        <f t="shared" si="0"/>
        <v>15.541195476575121</v>
      </c>
      <c r="M27" s="199">
        <v>962</v>
      </c>
    </row>
    <row r="28" spans="1:13" ht="10.15" customHeight="1">
      <c r="A28" s="22" t="s">
        <v>32</v>
      </c>
      <c r="B28" s="5"/>
      <c r="C28" s="198">
        <v>48.7</v>
      </c>
      <c r="D28" s="156">
        <f>431*76/2000</f>
        <v>16.378</v>
      </c>
      <c r="E28" s="199">
        <f>21000*76/2000</f>
        <v>798</v>
      </c>
      <c r="F28" s="5"/>
      <c r="G28" s="198">
        <v>14</v>
      </c>
      <c r="H28" s="156">
        <f>186*76/2000</f>
        <v>7.0679999999999996</v>
      </c>
      <c r="I28" s="199">
        <f>2600*76/2000</f>
        <v>98.8</v>
      </c>
      <c r="J28" s="5"/>
      <c r="K28" s="198">
        <v>62.7</v>
      </c>
      <c r="L28" s="156">
        <f t="shared" si="0"/>
        <v>14.30622009569378</v>
      </c>
      <c r="M28" s="199">
        <v>897</v>
      </c>
    </row>
    <row r="29" spans="1:13" ht="1.9" customHeight="1">
      <c r="A29" s="22"/>
      <c r="B29" s="5"/>
      <c r="C29" s="198"/>
      <c r="D29" s="156"/>
      <c r="E29" s="199"/>
      <c r="F29" s="5"/>
      <c r="G29" s="198"/>
      <c r="H29" s="156"/>
      <c r="I29" s="199"/>
      <c r="J29" s="5"/>
      <c r="K29" s="198"/>
      <c r="L29" s="156"/>
      <c r="M29" s="199"/>
    </row>
    <row r="30" spans="1:13" ht="10.15" customHeight="1">
      <c r="A30" s="22" t="s">
        <v>33</v>
      </c>
      <c r="B30" s="5"/>
      <c r="C30" s="198">
        <v>49</v>
      </c>
      <c r="D30" s="156">
        <f>331*76/2000</f>
        <v>12.577999999999999</v>
      </c>
      <c r="E30" s="199">
        <f>16200*76/2000</f>
        <v>615.6</v>
      </c>
      <c r="F30" s="5"/>
      <c r="G30" s="198">
        <v>14.1</v>
      </c>
      <c r="H30" s="156">
        <f>245*76/2000</f>
        <v>9.31</v>
      </c>
      <c r="I30" s="199">
        <f>3450*76/2000</f>
        <v>131.1</v>
      </c>
      <c r="J30" s="5"/>
      <c r="K30" s="198">
        <v>63.1</v>
      </c>
      <c r="L30" s="156">
        <f t="shared" ref="L30:L34" si="1">+M30/K30</f>
        <v>11.838351822503961</v>
      </c>
      <c r="M30" s="199">
        <v>747</v>
      </c>
    </row>
    <row r="31" spans="1:13" ht="10.15" customHeight="1">
      <c r="A31" s="22" t="s">
        <v>34</v>
      </c>
      <c r="B31" s="5"/>
      <c r="C31" s="198">
        <v>49.5</v>
      </c>
      <c r="D31" s="156">
        <f>384*76/2000</f>
        <v>14.592000000000001</v>
      </c>
      <c r="E31" s="199">
        <f>19000*76/2000</f>
        <v>722</v>
      </c>
      <c r="F31" s="5"/>
      <c r="G31" s="198">
        <v>14.3</v>
      </c>
      <c r="H31" s="156">
        <f>217*76/2000</f>
        <v>8.2460000000000004</v>
      </c>
      <c r="I31" s="199">
        <f>3100*76/2000</f>
        <v>117.8</v>
      </c>
      <c r="J31" s="5"/>
      <c r="K31" s="198">
        <v>63.8</v>
      </c>
      <c r="L31" s="156">
        <f t="shared" si="1"/>
        <v>13.16614420062696</v>
      </c>
      <c r="M31" s="199">
        <v>840</v>
      </c>
    </row>
    <row r="32" spans="1:13" ht="10.15" customHeight="1">
      <c r="A32" s="22" t="s">
        <v>35</v>
      </c>
      <c r="B32" s="5"/>
      <c r="C32" s="198">
        <v>50.5</v>
      </c>
      <c r="D32" s="156">
        <f>448*76/2000</f>
        <v>17.024000000000001</v>
      </c>
      <c r="E32" s="199">
        <f>22600*76/2000</f>
        <v>858.8</v>
      </c>
      <c r="F32" s="5"/>
      <c r="G32" s="198">
        <v>14.8</v>
      </c>
      <c r="H32" s="156">
        <f>243*76/2000</f>
        <v>9.234</v>
      </c>
      <c r="I32" s="199">
        <f>3600*76/2000</f>
        <v>136.80000000000001</v>
      </c>
      <c r="J32" s="5"/>
      <c r="K32" s="198">
        <v>65.3</v>
      </c>
      <c r="L32" s="156">
        <f t="shared" si="1"/>
        <v>15.252679938744258</v>
      </c>
      <c r="M32" s="199">
        <v>996</v>
      </c>
    </row>
    <row r="33" spans="1:13" ht="10.15" customHeight="1">
      <c r="A33" s="18" t="s">
        <v>36</v>
      </c>
      <c r="B33" s="5"/>
      <c r="C33" s="198">
        <v>51</v>
      </c>
      <c r="D33" s="156">
        <f>359*76/2000</f>
        <v>13.641999999999999</v>
      </c>
      <c r="E33" s="199">
        <f>18300*76/2000</f>
        <v>695.4</v>
      </c>
      <c r="F33" s="5"/>
      <c r="G33" s="198">
        <v>14.8</v>
      </c>
      <c r="H33" s="156">
        <f>189*76/2000</f>
        <v>7.1820000000000004</v>
      </c>
      <c r="I33" s="199">
        <f>2800*76/2000</f>
        <v>106.4</v>
      </c>
      <c r="J33" s="5"/>
      <c r="K33" s="198">
        <v>65.8</v>
      </c>
      <c r="L33" s="156">
        <f t="shared" si="1"/>
        <v>12.173252279635259</v>
      </c>
      <c r="M33" s="199">
        <v>801</v>
      </c>
    </row>
    <row r="34" spans="1:13" ht="10.15" customHeight="1">
      <c r="A34" s="22" t="s">
        <v>37</v>
      </c>
      <c r="B34" s="5"/>
      <c r="C34" s="198">
        <v>50</v>
      </c>
      <c r="D34" s="156">
        <f>480*76/2000</f>
        <v>18.239999999999998</v>
      </c>
      <c r="E34" s="199">
        <f>24000*76/2000</f>
        <v>912</v>
      </c>
      <c r="F34" s="5"/>
      <c r="G34" s="198">
        <v>14.8</v>
      </c>
      <c r="H34" s="156">
        <f>203*76/2000</f>
        <v>7.7140000000000004</v>
      </c>
      <c r="I34" s="199">
        <f>3000*76/2000</f>
        <v>114</v>
      </c>
      <c r="J34" s="5"/>
      <c r="K34" s="198">
        <v>64.8</v>
      </c>
      <c r="L34" s="156">
        <f t="shared" si="1"/>
        <v>15.833333333333334</v>
      </c>
      <c r="M34" s="199">
        <v>1026</v>
      </c>
    </row>
    <row r="35" spans="1:13" ht="10.15" customHeight="1">
      <c r="A35" s="18" t="s">
        <v>38</v>
      </c>
      <c r="B35" s="5"/>
      <c r="C35" s="198">
        <v>48</v>
      </c>
      <c r="D35" s="156">
        <f>375*76/2000</f>
        <v>14.25</v>
      </c>
      <c r="E35" s="199">
        <f>18000*76/2000</f>
        <v>684</v>
      </c>
      <c r="F35" s="5"/>
      <c r="G35" s="198">
        <v>14</v>
      </c>
      <c r="H35" s="156">
        <f>214*76/2000</f>
        <v>8.1319999999999997</v>
      </c>
      <c r="I35" s="199">
        <f>3000*76/2000</f>
        <v>114</v>
      </c>
      <c r="J35" s="5"/>
      <c r="K35" s="198">
        <v>62</v>
      </c>
      <c r="L35" s="156">
        <f>+M35/K35</f>
        <v>12.870967741935484</v>
      </c>
      <c r="M35" s="199">
        <v>798</v>
      </c>
    </row>
    <row r="36" spans="1:13" ht="3.75" customHeight="1">
      <c r="A36" s="22"/>
      <c r="B36" s="5"/>
      <c r="C36" s="198"/>
      <c r="D36" s="156"/>
      <c r="E36" s="199"/>
      <c r="F36" s="5"/>
      <c r="G36" s="198"/>
      <c r="H36" s="156"/>
      <c r="I36" s="199"/>
      <c r="J36" s="5"/>
      <c r="K36" s="198"/>
      <c r="L36" s="156"/>
      <c r="M36" s="199"/>
    </row>
    <row r="37" spans="1:13" ht="10.15" customHeight="1">
      <c r="A37" s="18" t="s">
        <v>39</v>
      </c>
      <c r="B37" s="5"/>
      <c r="C37" s="198">
        <v>48</v>
      </c>
      <c r="D37" s="156">
        <f>427*76/2000</f>
        <v>16.225999999999999</v>
      </c>
      <c r="E37" s="199">
        <f>20500*76/2000</f>
        <v>779</v>
      </c>
      <c r="F37" s="5"/>
      <c r="G37" s="198">
        <v>13.5</v>
      </c>
      <c r="H37" s="156">
        <f>178*76/2000</f>
        <v>6.7640000000000002</v>
      </c>
      <c r="I37" s="199">
        <f>2400*76/2000</f>
        <v>91.2</v>
      </c>
      <c r="J37" s="5"/>
      <c r="K37" s="198">
        <v>61.5</v>
      </c>
      <c r="L37" s="156">
        <f t="shared" ref="L37:L40" si="2">+M37/K37</f>
        <v>14.146341463414634</v>
      </c>
      <c r="M37" s="199">
        <v>870</v>
      </c>
    </row>
    <row r="38" spans="1:13" ht="10.15" customHeight="1">
      <c r="A38" s="18" t="s">
        <v>40</v>
      </c>
      <c r="B38" s="5"/>
      <c r="C38" s="198">
        <v>48</v>
      </c>
      <c r="D38" s="156">
        <f>458*76/2000</f>
        <v>17.404</v>
      </c>
      <c r="E38" s="199">
        <f>22000*76/2000</f>
        <v>836</v>
      </c>
      <c r="F38" s="5"/>
      <c r="G38" s="198">
        <v>13</v>
      </c>
      <c r="H38" s="156">
        <f>292*76/2000</f>
        <v>11.096</v>
      </c>
      <c r="I38" s="199">
        <f>3800*76/2000</f>
        <v>144.4</v>
      </c>
      <c r="J38" s="5"/>
      <c r="K38" s="198">
        <v>61</v>
      </c>
      <c r="L38" s="156">
        <f t="shared" si="2"/>
        <v>16.065573770491802</v>
      </c>
      <c r="M38" s="199">
        <v>980</v>
      </c>
    </row>
    <row r="39" spans="1:13" ht="10.15" customHeight="1">
      <c r="A39" s="18" t="s">
        <v>41</v>
      </c>
      <c r="B39" s="5"/>
      <c r="C39" s="198">
        <v>48</v>
      </c>
      <c r="D39" s="156">
        <f>385*76/2000</f>
        <v>14.63</v>
      </c>
      <c r="E39" s="199">
        <f>18500*76/2000</f>
        <v>703</v>
      </c>
      <c r="F39" s="5"/>
      <c r="G39" s="198">
        <v>12.5</v>
      </c>
      <c r="H39" s="156">
        <f>200*76/2000</f>
        <v>7.6</v>
      </c>
      <c r="I39" s="199">
        <f>2500*76/2000</f>
        <v>95</v>
      </c>
      <c r="J39" s="5"/>
      <c r="K39" s="198">
        <v>60.5</v>
      </c>
      <c r="L39" s="156">
        <f t="shared" si="2"/>
        <v>13.190082644628099</v>
      </c>
      <c r="M39" s="199">
        <v>798</v>
      </c>
    </row>
    <row r="40" spans="1:13" ht="10.15" customHeight="1">
      <c r="A40" s="18" t="s">
        <v>42</v>
      </c>
      <c r="B40" s="5"/>
      <c r="C40" s="198">
        <v>47</v>
      </c>
      <c r="D40" s="156">
        <f>315*76/2000</f>
        <v>11.97</v>
      </c>
      <c r="E40" s="199">
        <f>14800*76/2000</f>
        <v>562.4</v>
      </c>
      <c r="F40" s="5"/>
      <c r="G40" s="198">
        <v>12</v>
      </c>
      <c r="H40" s="156">
        <f>125*76/2000</f>
        <v>4.75</v>
      </c>
      <c r="I40" s="199">
        <f>1500*76/2000</f>
        <v>57</v>
      </c>
      <c r="J40" s="5"/>
      <c r="K40" s="198">
        <v>59</v>
      </c>
      <c r="L40" s="156">
        <f t="shared" si="2"/>
        <v>10.491525423728813</v>
      </c>
      <c r="M40" s="199">
        <v>619</v>
      </c>
    </row>
    <row r="41" spans="1:13" s="27" customFormat="1" ht="10.15" customHeight="1">
      <c r="A41" s="23" t="s">
        <v>43</v>
      </c>
      <c r="B41" s="24"/>
      <c r="C41" s="200">
        <v>47</v>
      </c>
      <c r="D41" s="201">
        <f>447*76/2000</f>
        <v>16.986000000000001</v>
      </c>
      <c r="E41" s="202">
        <f>21000*76/2000</f>
        <v>798</v>
      </c>
      <c r="F41" s="24"/>
      <c r="G41" s="200">
        <v>12</v>
      </c>
      <c r="H41" s="201">
        <f>250*76/2000</f>
        <v>9.5</v>
      </c>
      <c r="I41" s="202">
        <f>3000*76/2000</f>
        <v>114</v>
      </c>
      <c r="J41" s="24"/>
      <c r="K41" s="200">
        <v>59</v>
      </c>
      <c r="L41" s="201">
        <f>+M41/K41</f>
        <v>15.457627118644067</v>
      </c>
      <c r="M41" s="202">
        <v>912</v>
      </c>
    </row>
    <row r="42" spans="1:13" s="29" customFormat="1" ht="10.15" customHeight="1">
      <c r="A42" s="23" t="s">
        <v>44</v>
      </c>
      <c r="B42" s="24"/>
      <c r="C42" s="200">
        <v>46</v>
      </c>
      <c r="D42" s="201">
        <f>457*76/2000</f>
        <v>17.366</v>
      </c>
      <c r="E42" s="202">
        <f>21000*76/2000</f>
        <v>798</v>
      </c>
      <c r="F42" s="24"/>
      <c r="G42" s="200">
        <v>11</v>
      </c>
      <c r="H42" s="201">
        <f>200*76/2000</f>
        <v>7.6</v>
      </c>
      <c r="I42" s="202">
        <f>2200*76/2000</f>
        <v>83.6</v>
      </c>
      <c r="J42" s="24"/>
      <c r="K42" s="200">
        <v>57</v>
      </c>
      <c r="L42" s="201">
        <f>+M42/K42</f>
        <v>15.473684210526315</v>
      </c>
      <c r="M42" s="202">
        <v>882</v>
      </c>
    </row>
    <row r="43" spans="1:13" s="27" customFormat="1" ht="10.15" customHeight="1">
      <c r="A43" s="23" t="s">
        <v>46</v>
      </c>
      <c r="B43" s="24"/>
      <c r="C43" s="200">
        <v>45</v>
      </c>
      <c r="D43" s="201">
        <f>456*80/2000</f>
        <v>18.239999999999998</v>
      </c>
      <c r="E43" s="202">
        <f>20500*80/2000</f>
        <v>820</v>
      </c>
      <c r="F43" s="24"/>
      <c r="G43" s="200">
        <v>10</v>
      </c>
      <c r="H43" s="201">
        <f>250*80/2000</f>
        <v>10</v>
      </c>
      <c r="I43" s="202">
        <f>2500*80/2000</f>
        <v>100</v>
      </c>
      <c r="J43" s="24"/>
      <c r="K43" s="200">
        <v>55</v>
      </c>
      <c r="L43" s="201">
        <f>+M43/K43</f>
        <v>16.727272727272727</v>
      </c>
      <c r="M43" s="202">
        <v>920</v>
      </c>
    </row>
    <row r="44" spans="1:13" s="27" customFormat="1" ht="3" customHeight="1">
      <c r="A44" s="23"/>
      <c r="B44" s="24"/>
      <c r="C44" s="200"/>
      <c r="D44" s="201"/>
      <c r="E44" s="202"/>
      <c r="F44" s="24"/>
      <c r="G44" s="200"/>
      <c r="H44" s="201"/>
      <c r="I44" s="202"/>
      <c r="J44" s="24"/>
      <c r="K44" s="200"/>
      <c r="L44" s="201"/>
      <c r="M44" s="202"/>
    </row>
    <row r="45" spans="1:13" s="27" customFormat="1" ht="10.15" customHeight="1">
      <c r="A45" s="23" t="s">
        <v>47</v>
      </c>
      <c r="B45" s="24"/>
      <c r="C45" s="200">
        <v>45</v>
      </c>
      <c r="D45" s="201">
        <f>456*80/2000</f>
        <v>18.239999999999998</v>
      </c>
      <c r="E45" s="202">
        <f>20500*80/2000</f>
        <v>820</v>
      </c>
      <c r="F45" s="24"/>
      <c r="G45" s="200">
        <v>9.5</v>
      </c>
      <c r="H45" s="201">
        <f>79*80/2000</f>
        <v>3.16</v>
      </c>
      <c r="I45" s="202">
        <f>750*80/2000</f>
        <v>30</v>
      </c>
      <c r="J45" s="24"/>
      <c r="K45" s="200">
        <v>54.5</v>
      </c>
      <c r="L45" s="201">
        <f>+M45/K45</f>
        <v>15.596330275229358</v>
      </c>
      <c r="M45" s="202">
        <f t="shared" ref="M45:M52" si="3">SUM(I45,E45)</f>
        <v>850</v>
      </c>
    </row>
    <row r="46" spans="1:13" s="27" customFormat="1" ht="10.15" customHeight="1">
      <c r="A46" s="23" t="s">
        <v>48</v>
      </c>
      <c r="B46" s="24"/>
      <c r="C46" s="200">
        <v>45</v>
      </c>
      <c r="D46" s="201">
        <f>467*80/2000</f>
        <v>18.68</v>
      </c>
      <c r="E46" s="202">
        <f>21000*80/2000</f>
        <v>840</v>
      </c>
      <c r="F46" s="24"/>
      <c r="G46" s="200">
        <v>9</v>
      </c>
      <c r="H46" s="201">
        <f>200*80/2000</f>
        <v>8</v>
      </c>
      <c r="I46" s="202">
        <f>1800*80/2000</f>
        <v>72</v>
      </c>
      <c r="J46" s="24"/>
      <c r="K46" s="200">
        <v>54</v>
      </c>
      <c r="L46" s="201">
        <f>+M46/K46</f>
        <v>16.888888888888889</v>
      </c>
      <c r="M46" s="202">
        <f t="shared" si="3"/>
        <v>912</v>
      </c>
    </row>
    <row r="47" spans="1:13" s="27" customFormat="1" ht="10.15" customHeight="1">
      <c r="A47" s="43" t="s">
        <v>51</v>
      </c>
      <c r="B47" s="24"/>
      <c r="C47" s="200">
        <v>46</v>
      </c>
      <c r="D47" s="201">
        <f>409*80/2000</f>
        <v>16.36</v>
      </c>
      <c r="E47" s="202">
        <f>18800*80/2000</f>
        <v>752</v>
      </c>
      <c r="F47" s="24"/>
      <c r="G47" s="200">
        <v>8.3000000000000007</v>
      </c>
      <c r="H47" s="201">
        <f>217*80/2000</f>
        <v>8.68</v>
      </c>
      <c r="I47" s="202">
        <f>1800*80/2000</f>
        <v>72</v>
      </c>
      <c r="J47" s="24"/>
      <c r="K47" s="200">
        <v>54.3</v>
      </c>
      <c r="L47" s="201">
        <f>+M47/K47</f>
        <v>15.174953959484347</v>
      </c>
      <c r="M47" s="202">
        <f t="shared" si="3"/>
        <v>824</v>
      </c>
    </row>
    <row r="48" spans="1:13" s="27" customFormat="1" ht="10.15" customHeight="1">
      <c r="A48" s="43" t="s">
        <v>52</v>
      </c>
      <c r="B48" s="24"/>
      <c r="C48" s="200">
        <v>47</v>
      </c>
      <c r="D48" s="201">
        <f>438*80/2000</f>
        <v>17.52</v>
      </c>
      <c r="E48" s="202">
        <f>20600*80/2000</f>
        <v>824</v>
      </c>
      <c r="F48" s="24"/>
      <c r="G48" s="200">
        <v>8.3000000000000007</v>
      </c>
      <c r="H48" s="201">
        <f>241*80/2000</f>
        <v>9.64</v>
      </c>
      <c r="I48" s="202">
        <f>2000*80/2000</f>
        <v>80</v>
      </c>
      <c r="J48" s="24"/>
      <c r="K48" s="200">
        <v>55.3</v>
      </c>
      <c r="L48" s="201">
        <f>M48/K48</f>
        <v>16.347197106690778</v>
      </c>
      <c r="M48" s="202">
        <f t="shared" si="3"/>
        <v>904</v>
      </c>
    </row>
    <row r="49" spans="1:13" s="27" customFormat="1" ht="10.15" customHeight="1">
      <c r="A49" s="43" t="s">
        <v>291</v>
      </c>
      <c r="B49" s="24"/>
      <c r="C49" s="200">
        <v>47</v>
      </c>
      <c r="D49" s="201">
        <f>447*80/2000</f>
        <v>17.88</v>
      </c>
      <c r="E49" s="202">
        <f>21000*80/2000</f>
        <v>840</v>
      </c>
      <c r="F49" s="24"/>
      <c r="G49" s="200">
        <v>7.5</v>
      </c>
      <c r="H49" s="201">
        <f>213*80/2000</f>
        <v>8.52</v>
      </c>
      <c r="I49" s="202">
        <f>1600*80/2000</f>
        <v>64</v>
      </c>
      <c r="J49" s="24"/>
      <c r="K49" s="200">
        <v>54.5</v>
      </c>
      <c r="L49" s="201">
        <f>M49/K49</f>
        <v>16.587155963302752</v>
      </c>
      <c r="M49" s="202">
        <f t="shared" si="3"/>
        <v>904</v>
      </c>
    </row>
    <row r="50" spans="1:13" s="27" customFormat="1" ht="10.15" customHeight="1">
      <c r="A50" s="43" t="s">
        <v>298</v>
      </c>
      <c r="B50" s="24"/>
      <c r="C50" s="200">
        <v>47</v>
      </c>
      <c r="D50" s="201">
        <f>436*80/2000</f>
        <v>17.440000000000001</v>
      </c>
      <c r="E50" s="202">
        <f>20500*80/2000</f>
        <v>820</v>
      </c>
      <c r="F50" s="24"/>
      <c r="G50" s="200">
        <v>7.3</v>
      </c>
      <c r="H50" s="201">
        <f>212*80/2000</f>
        <v>8.48</v>
      </c>
      <c r="I50" s="202">
        <f>1550*80/2000</f>
        <v>62</v>
      </c>
      <c r="J50" s="24"/>
      <c r="K50" s="200">
        <v>54.3</v>
      </c>
      <c r="L50" s="201">
        <f>M50/K50</f>
        <v>16.243093922651934</v>
      </c>
      <c r="M50" s="202">
        <f t="shared" si="3"/>
        <v>882</v>
      </c>
    </row>
    <row r="51" spans="1:13" s="27" customFormat="1" ht="10.15" customHeight="1">
      <c r="A51" s="43" t="s">
        <v>312</v>
      </c>
      <c r="B51" s="24"/>
      <c r="C51" s="200">
        <v>47</v>
      </c>
      <c r="D51" s="201">
        <f>451*80/2000</f>
        <v>18.04</v>
      </c>
      <c r="E51" s="202">
        <f>21200*80/2000</f>
        <v>848</v>
      </c>
      <c r="F51" s="24"/>
      <c r="G51" s="200">
        <v>7.3</v>
      </c>
      <c r="H51" s="201">
        <f>137*80/2000</f>
        <v>5.48</v>
      </c>
      <c r="I51" s="202">
        <f>1000*80/2000</f>
        <v>40</v>
      </c>
      <c r="J51" s="24"/>
      <c r="K51" s="200">
        <v>54.3</v>
      </c>
      <c r="L51" s="201">
        <f>M51/K51</f>
        <v>16.353591160220994</v>
      </c>
      <c r="M51" s="202">
        <f t="shared" si="3"/>
        <v>888</v>
      </c>
    </row>
    <row r="52" spans="1:13" s="27" customFormat="1" ht="10.15" customHeight="1">
      <c r="A52" s="44" t="s">
        <v>319</v>
      </c>
      <c r="B52" s="30"/>
      <c r="C52" s="203">
        <v>47</v>
      </c>
      <c r="D52" s="204">
        <f>485*80/2000</f>
        <v>19.399999999999999</v>
      </c>
      <c r="E52" s="205">
        <f>22800*80/2000</f>
        <v>912</v>
      </c>
      <c r="F52" s="30"/>
      <c r="G52" s="203">
        <v>7.3</v>
      </c>
      <c r="H52" s="204">
        <f>185*80/2000</f>
        <v>7.4</v>
      </c>
      <c r="I52" s="205">
        <f>1350*80/2000</f>
        <v>54</v>
      </c>
      <c r="J52" s="30"/>
      <c r="K52" s="203">
        <v>54.3</v>
      </c>
      <c r="L52" s="204">
        <f>M52/K52</f>
        <v>17.790055248618785</v>
      </c>
      <c r="M52" s="205">
        <f t="shared" si="3"/>
        <v>966</v>
      </c>
    </row>
    <row r="53" spans="1:13" ht="12.95" customHeight="1">
      <c r="A53" s="97" t="s">
        <v>193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39" t="s">
        <v>50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8" spans="1:13">
      <c r="B58" s="411"/>
      <c r="C58" s="186"/>
      <c r="F58" s="411"/>
    </row>
    <row r="59" spans="1:13">
      <c r="B59" s="411"/>
      <c r="C59" s="186"/>
      <c r="F59" s="411"/>
    </row>
    <row r="60" spans="1:13">
      <c r="B60" s="411"/>
      <c r="C60" s="186"/>
      <c r="F60" s="411"/>
    </row>
    <row r="61" spans="1:13">
      <c r="B61" s="411"/>
      <c r="C61" s="186"/>
      <c r="F61" s="411"/>
    </row>
  </sheetData>
  <pageMargins left="0.66700000000000004" right="0.66700000000000004" top="0.66700000000000004" bottom="0.72" header="0" footer="0"/>
  <pageSetup firstPageNumber="83" orientation="portrait" useFirstPageNumber="1" r:id="rId1"/>
  <headerFooter alignWithMargins="0"/>
  <ignoredErrors>
    <ignoredError sqref="C6 G6 K6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U52"/>
  <sheetViews>
    <sheetView showGridLines="0" view="pageBreakPreview" zoomScale="60" zoomScaleNormal="100" workbookViewId="0">
      <pane xSplit="2" ySplit="4" topLeftCell="C33" activePane="bottomRight" state="frozen"/>
      <selection pane="topRight" activeCell="C1" sqref="C1"/>
      <selection pane="bottomLeft" activeCell="A5" sqref="A5"/>
      <selection pane="bottomRight" activeCell="L58" sqref="L58"/>
    </sheetView>
  </sheetViews>
  <sheetFormatPr defaultColWidth="20.7109375" defaultRowHeight="12"/>
  <cols>
    <col min="1" max="1" width="6.5703125" customWidth="1"/>
    <col min="2" max="2" width="3" customWidth="1"/>
    <col min="3" max="4" width="14.140625" customWidth="1"/>
    <col min="5" max="5" width="3.7109375" customWidth="1"/>
    <col min="6" max="7" width="14.140625" customWidth="1"/>
    <col min="8" max="8" width="3.7109375" customWidth="1"/>
    <col min="9" max="10" width="14.140625" customWidth="1"/>
    <col min="11" max="12" width="9.140625" customWidth="1"/>
    <col min="13" max="13" width="10.42578125" customWidth="1"/>
    <col min="14" max="248" width="9.140625" customWidth="1"/>
  </cols>
  <sheetData>
    <row r="1" spans="1:255">
      <c r="A1" s="160" t="s">
        <v>194</v>
      </c>
      <c r="B1" s="3"/>
      <c r="C1" s="3"/>
      <c r="D1" s="3"/>
      <c r="E1" s="3"/>
      <c r="F1" s="3"/>
      <c r="G1" s="3"/>
      <c r="H1" s="3"/>
      <c r="I1" s="3"/>
      <c r="J1" s="3"/>
    </row>
    <row r="2" spans="1:255">
      <c r="A2" s="7"/>
      <c r="B2" s="4"/>
      <c r="C2" s="6" t="s">
        <v>2</v>
      </c>
      <c r="D2" s="6"/>
      <c r="E2" s="4"/>
      <c r="F2" s="6" t="s">
        <v>4</v>
      </c>
      <c r="G2" s="6"/>
      <c r="H2" s="4"/>
      <c r="I2" s="6" t="s">
        <v>58</v>
      </c>
      <c r="J2" s="6"/>
    </row>
    <row r="3" spans="1:255">
      <c r="A3" s="104" t="s">
        <v>53</v>
      </c>
      <c r="B3" s="3"/>
      <c r="C3" s="9" t="s">
        <v>101</v>
      </c>
      <c r="D3" s="9" t="s">
        <v>102</v>
      </c>
      <c r="E3" s="9"/>
      <c r="F3" s="9" t="s">
        <v>101</v>
      </c>
      <c r="G3" s="9" t="s">
        <v>102</v>
      </c>
      <c r="H3" s="9"/>
      <c r="I3" s="9" t="s">
        <v>101</v>
      </c>
      <c r="J3" s="9" t="s">
        <v>102</v>
      </c>
    </row>
    <row r="4" spans="1:255" ht="3.95" customHeight="1">
      <c r="A4" s="105"/>
      <c r="B4" s="5"/>
      <c r="C4" s="10"/>
      <c r="D4" s="10"/>
      <c r="E4" s="10"/>
      <c r="F4" s="10"/>
      <c r="G4" s="10"/>
      <c r="H4" s="10"/>
      <c r="I4" s="10"/>
      <c r="J4" s="10"/>
    </row>
    <row r="5" spans="1:255" s="59" customFormat="1">
      <c r="A5" s="4"/>
      <c r="B5" s="4"/>
      <c r="C5" s="46" t="s">
        <v>195</v>
      </c>
      <c r="D5" s="47"/>
      <c r="E5" s="47"/>
      <c r="F5" s="70"/>
      <c r="G5" s="47"/>
      <c r="H5" s="47"/>
      <c r="I5" s="47"/>
      <c r="J5" s="47"/>
    </row>
    <row r="6" spans="1:255" s="59" customFormat="1" ht="3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255" ht="10.5" customHeight="1">
      <c r="A7" s="14" t="s">
        <v>60</v>
      </c>
      <c r="B7" s="4"/>
      <c r="C7" s="169">
        <v>347.7</v>
      </c>
      <c r="D7" s="169">
        <v>575.70000000000005</v>
      </c>
      <c r="E7" s="168"/>
      <c r="F7" s="169">
        <v>85.12</v>
      </c>
      <c r="G7" s="169">
        <v>180.88</v>
      </c>
      <c r="H7" s="168"/>
      <c r="I7" s="169">
        <v>432.82</v>
      </c>
      <c r="J7" s="169">
        <v>756.58</v>
      </c>
      <c r="IU7" s="59"/>
    </row>
    <row r="8" spans="1:255" ht="10.5" customHeight="1">
      <c r="A8" s="14" t="s">
        <v>61</v>
      </c>
      <c r="B8" s="4"/>
      <c r="C8" s="169">
        <v>302.86</v>
      </c>
      <c r="D8" s="169">
        <v>400.14</v>
      </c>
      <c r="E8" s="168"/>
      <c r="F8" s="169">
        <v>98.04</v>
      </c>
      <c r="G8" s="169">
        <v>141.36000000000001</v>
      </c>
      <c r="H8" s="168"/>
      <c r="I8" s="169">
        <v>400.9</v>
      </c>
      <c r="J8" s="169">
        <v>541.5</v>
      </c>
    </row>
    <row r="9" spans="1:255" ht="10.5" customHeight="1">
      <c r="A9" s="14" t="s">
        <v>62</v>
      </c>
      <c r="B9" s="4"/>
      <c r="C9" s="169">
        <v>351.5</v>
      </c>
      <c r="D9" s="169">
        <v>419.9</v>
      </c>
      <c r="E9" s="168"/>
      <c r="F9" s="169">
        <v>84.17</v>
      </c>
      <c r="G9" s="169">
        <v>94.43</v>
      </c>
      <c r="H9" s="168"/>
      <c r="I9" s="169">
        <v>435.67</v>
      </c>
      <c r="J9" s="169">
        <v>514.33000000000004</v>
      </c>
    </row>
    <row r="10" spans="1:255" ht="10.5" customHeight="1">
      <c r="A10" s="14" t="s">
        <v>63</v>
      </c>
      <c r="B10" s="4"/>
      <c r="C10" s="169">
        <v>351.12</v>
      </c>
      <c r="D10" s="169">
        <v>304.38</v>
      </c>
      <c r="E10" s="168"/>
      <c r="F10" s="169">
        <v>77.14</v>
      </c>
      <c r="G10" s="169">
        <v>55.86</v>
      </c>
      <c r="H10" s="168"/>
      <c r="I10" s="169">
        <v>428.26</v>
      </c>
      <c r="J10" s="169">
        <v>360.24</v>
      </c>
    </row>
    <row r="11" spans="1:255" ht="10.5" customHeight="1">
      <c r="A11" s="14" t="s">
        <v>64</v>
      </c>
      <c r="B11" s="4"/>
      <c r="C11" s="169">
        <v>355.3</v>
      </c>
      <c r="D11" s="169">
        <v>397.1</v>
      </c>
      <c r="E11" s="168"/>
      <c r="F11" s="169">
        <v>85.5</v>
      </c>
      <c r="G11" s="169">
        <v>129.19999999999999</v>
      </c>
      <c r="H11" s="168"/>
      <c r="I11" s="169">
        <v>440.8</v>
      </c>
      <c r="J11" s="169">
        <v>526.29999999999995</v>
      </c>
    </row>
    <row r="12" spans="1:255" ht="10.5" customHeight="1">
      <c r="A12" s="14" t="s">
        <v>65</v>
      </c>
      <c r="B12" s="4"/>
      <c r="C12" s="169">
        <v>361</v>
      </c>
      <c r="D12" s="169">
        <v>212.8</v>
      </c>
      <c r="E12" s="168"/>
      <c r="F12" s="169">
        <v>71.819999999999993</v>
      </c>
      <c r="G12" s="169">
        <v>45.98</v>
      </c>
      <c r="H12" s="168"/>
      <c r="I12" s="169">
        <v>432.82</v>
      </c>
      <c r="J12" s="169">
        <v>258.77999999999997</v>
      </c>
    </row>
    <row r="13" spans="1:255" ht="3" customHeight="1">
      <c r="A13" s="14"/>
      <c r="B13" s="4"/>
      <c r="C13" s="169"/>
      <c r="D13" s="169"/>
      <c r="E13" s="168"/>
      <c r="F13" s="169"/>
      <c r="G13" s="169"/>
      <c r="H13" s="168"/>
      <c r="I13" s="169"/>
      <c r="J13" s="169"/>
    </row>
    <row r="14" spans="1:255" ht="10.5" customHeight="1">
      <c r="A14" s="14" t="s">
        <v>66</v>
      </c>
      <c r="B14" s="4"/>
      <c r="C14" s="169">
        <v>380</v>
      </c>
      <c r="D14" s="169">
        <v>437</v>
      </c>
      <c r="E14" s="168"/>
      <c r="F14" s="169">
        <v>89.11</v>
      </c>
      <c r="G14" s="169">
        <v>180.69</v>
      </c>
      <c r="H14" s="168"/>
      <c r="I14" s="169">
        <v>469.11</v>
      </c>
      <c r="J14" s="169">
        <v>617.69000000000005</v>
      </c>
    </row>
    <row r="15" spans="1:255" ht="10.5" customHeight="1">
      <c r="A15" s="14" t="s">
        <v>67</v>
      </c>
      <c r="B15" s="4"/>
      <c r="C15" s="169">
        <v>383.8</v>
      </c>
      <c r="D15" s="169">
        <v>262.2</v>
      </c>
      <c r="E15" s="168"/>
      <c r="F15" s="169">
        <v>74.67</v>
      </c>
      <c r="G15" s="169">
        <v>64.03</v>
      </c>
      <c r="H15" s="168"/>
      <c r="I15" s="169">
        <v>458.47</v>
      </c>
      <c r="J15" s="169">
        <v>326.23</v>
      </c>
    </row>
    <row r="16" spans="1:255" ht="10.5" customHeight="1">
      <c r="A16" s="14" t="s">
        <v>105</v>
      </c>
      <c r="B16" s="4"/>
      <c r="C16" s="169">
        <v>391.4</v>
      </c>
      <c r="D16" s="169">
        <v>224.2</v>
      </c>
      <c r="E16" s="168"/>
      <c r="F16" s="169">
        <v>75.239999999999995</v>
      </c>
      <c r="G16" s="169">
        <v>69.16</v>
      </c>
      <c r="H16" s="168"/>
      <c r="I16" s="169">
        <v>466.64</v>
      </c>
      <c r="J16" s="169">
        <v>293.36</v>
      </c>
    </row>
    <row r="17" spans="1:10" ht="10.5" customHeight="1">
      <c r="A17" s="14" t="s">
        <v>69</v>
      </c>
      <c r="B17" s="4"/>
      <c r="C17" s="169">
        <v>399</v>
      </c>
      <c r="D17" s="169">
        <v>201.4</v>
      </c>
      <c r="E17" s="168"/>
      <c r="F17" s="169">
        <v>67.031999999999996</v>
      </c>
      <c r="G17" s="169">
        <v>39.368000000000002</v>
      </c>
      <c r="H17" s="168"/>
      <c r="I17" s="169">
        <v>466.03199999999998</v>
      </c>
      <c r="J17" s="169">
        <v>240</v>
      </c>
    </row>
    <row r="18" spans="1:10" ht="10.5" customHeight="1">
      <c r="A18" s="14" t="s">
        <v>70</v>
      </c>
      <c r="B18" s="4"/>
      <c r="C18" s="169">
        <v>356.82</v>
      </c>
      <c r="D18" s="169">
        <v>205.58</v>
      </c>
      <c r="E18" s="168"/>
      <c r="F18" s="169">
        <v>91.58</v>
      </c>
      <c r="G18" s="169">
        <v>64.22</v>
      </c>
      <c r="H18" s="168"/>
      <c r="I18" s="169">
        <v>448.4</v>
      </c>
      <c r="J18" s="169">
        <v>269.8</v>
      </c>
    </row>
    <row r="19" spans="1:10" ht="10.5" customHeight="1">
      <c r="A19" s="14" t="s">
        <v>71</v>
      </c>
      <c r="B19" s="4"/>
      <c r="C19" s="169">
        <f>9090*76/2000</f>
        <v>345.42</v>
      </c>
      <c r="D19" s="169">
        <v>228</v>
      </c>
      <c r="E19" s="168"/>
      <c r="F19" s="169">
        <f>2958*76/2000</f>
        <v>112.404</v>
      </c>
      <c r="G19" s="169">
        <f>2142*76/2000</f>
        <v>81.396000000000001</v>
      </c>
      <c r="H19" s="168"/>
      <c r="I19" s="169">
        <v>457</v>
      </c>
      <c r="J19" s="169">
        <v>309</v>
      </c>
    </row>
    <row r="20" spans="1:10" ht="3" customHeight="1">
      <c r="A20" s="14"/>
      <c r="B20" s="4"/>
      <c r="C20" s="169"/>
      <c r="D20" s="169"/>
      <c r="E20" s="168"/>
      <c r="F20" s="169"/>
      <c r="G20" s="169"/>
      <c r="H20" s="168"/>
      <c r="I20" s="169"/>
      <c r="J20" s="169"/>
    </row>
    <row r="21" spans="1:10" ht="10.5" customHeight="1">
      <c r="A21" s="14" t="s">
        <v>72</v>
      </c>
      <c r="B21" s="4"/>
      <c r="C21" s="169">
        <f>9900*76/2000</f>
        <v>376.2</v>
      </c>
      <c r="D21" s="169">
        <f>10500*76/2000</f>
        <v>399</v>
      </c>
      <c r="E21" s="168"/>
      <c r="F21" s="169">
        <f>2613*76/2000</f>
        <v>99.293999999999997</v>
      </c>
      <c r="G21" s="169">
        <f>1787*76/2000</f>
        <v>67.906000000000006</v>
      </c>
      <c r="H21" s="168"/>
      <c r="I21" s="169">
        <v>475.49399999999997</v>
      </c>
      <c r="J21" s="169">
        <v>467</v>
      </c>
    </row>
    <row r="22" spans="1:10" ht="10.5" customHeight="1">
      <c r="A22" s="14" t="s">
        <v>73</v>
      </c>
      <c r="B22" s="41"/>
      <c r="C22" s="169">
        <f>9500*76/2000</f>
        <v>361</v>
      </c>
      <c r="D22" s="169">
        <f>11200*76/2000</f>
        <v>425.6</v>
      </c>
      <c r="E22" s="168"/>
      <c r="F22" s="169">
        <f>2951*76/2000</f>
        <v>112.13800000000001</v>
      </c>
      <c r="G22" s="169">
        <f>2249*76/2000</f>
        <v>85.462000000000003</v>
      </c>
      <c r="H22" s="168"/>
      <c r="I22" s="169">
        <v>473</v>
      </c>
      <c r="J22" s="169">
        <v>511</v>
      </c>
    </row>
    <row r="23" spans="1:10" ht="10.5" customHeight="1">
      <c r="A23" s="14" t="s">
        <v>74</v>
      </c>
      <c r="B23" s="4"/>
      <c r="C23" s="169">
        <f>10900*76/2000</f>
        <v>414.2</v>
      </c>
      <c r="D23" s="169">
        <f>9100*76/2000</f>
        <v>345.8</v>
      </c>
      <c r="E23" s="168"/>
      <c r="F23" s="169">
        <f>2413*76/2000</f>
        <v>91.694000000000003</v>
      </c>
      <c r="G23" s="169">
        <f>1187*76/2000</f>
        <v>45.106000000000002</v>
      </c>
      <c r="H23" s="168"/>
      <c r="I23" s="169">
        <v>506</v>
      </c>
      <c r="J23" s="169">
        <v>391</v>
      </c>
    </row>
    <row r="24" spans="1:10" ht="10.5" customHeight="1">
      <c r="A24" s="14" t="s">
        <v>75</v>
      </c>
      <c r="B24" s="98"/>
      <c r="C24" s="169">
        <f>10800*76/2000</f>
        <v>410.4</v>
      </c>
      <c r="D24" s="169">
        <f>10200*76/2000</f>
        <v>387.6</v>
      </c>
      <c r="E24" s="169"/>
      <c r="F24" s="169">
        <f>2767*76/2000</f>
        <v>105.146</v>
      </c>
      <c r="G24" s="169">
        <f>2333*76/2000</f>
        <v>88.653999999999996</v>
      </c>
      <c r="H24" s="169"/>
      <c r="I24" s="172">
        <v>515.54599999999994</v>
      </c>
      <c r="J24" s="172">
        <v>476.25400000000002</v>
      </c>
    </row>
    <row r="25" spans="1:10" ht="10.5" customHeight="1">
      <c r="A25" s="22" t="s">
        <v>76</v>
      </c>
      <c r="B25" s="5"/>
      <c r="C25" s="172">
        <f>11540*76/2000</f>
        <v>438.52</v>
      </c>
      <c r="D25" s="172">
        <f>11060*76/2000</f>
        <v>420.28</v>
      </c>
      <c r="E25" s="171"/>
      <c r="F25" s="172">
        <f>1554*76/2000</f>
        <v>59.052</v>
      </c>
      <c r="G25" s="172">
        <f>1146*76/2000</f>
        <v>43.548000000000002</v>
      </c>
      <c r="H25" s="171"/>
      <c r="I25" s="172">
        <v>498</v>
      </c>
      <c r="J25" s="172">
        <v>464</v>
      </c>
    </row>
    <row r="26" spans="1:10" ht="10.5" customHeight="1">
      <c r="A26" s="22" t="s">
        <v>77</v>
      </c>
      <c r="B26" s="5"/>
      <c r="C26" s="172">
        <f>9920*76/2000</f>
        <v>376.96</v>
      </c>
      <c r="D26" s="172">
        <f>11080*76/2000</f>
        <v>421.04</v>
      </c>
      <c r="E26" s="171"/>
      <c r="F26" s="172">
        <f>1430*76/2000</f>
        <v>54.34</v>
      </c>
      <c r="G26" s="172">
        <f>1170*76/2000</f>
        <v>44.46</v>
      </c>
      <c r="H26" s="171"/>
      <c r="I26" s="172">
        <v>431</v>
      </c>
      <c r="J26" s="172">
        <v>466</v>
      </c>
    </row>
    <row r="27" spans="1:10" ht="3" customHeight="1">
      <c r="A27" s="22"/>
      <c r="B27" s="5"/>
      <c r="C27" s="172"/>
      <c r="D27" s="172"/>
      <c r="E27" s="171"/>
      <c r="F27" s="172"/>
      <c r="G27" s="172"/>
      <c r="H27" s="171"/>
      <c r="I27" s="172"/>
      <c r="J27" s="172"/>
    </row>
    <row r="28" spans="1:10" ht="10.5" customHeight="1">
      <c r="A28" s="22" t="s">
        <v>78</v>
      </c>
      <c r="B28" s="5"/>
      <c r="C28" s="172">
        <f>9785*76/2000</f>
        <v>371.83</v>
      </c>
      <c r="D28" s="172">
        <f>6415*76/2000</f>
        <v>243.77</v>
      </c>
      <c r="E28" s="171"/>
      <c r="F28" s="172">
        <f>2342*76/2000</f>
        <v>88.995999999999995</v>
      </c>
      <c r="G28" s="172">
        <f>1108*76/2000</f>
        <v>42.103999999999999</v>
      </c>
      <c r="H28" s="171"/>
      <c r="I28" s="172">
        <v>461</v>
      </c>
      <c r="J28" s="172">
        <v>286</v>
      </c>
    </row>
    <row r="29" spans="1:10" ht="10.5" customHeight="1">
      <c r="A29" s="22" t="s">
        <v>79</v>
      </c>
      <c r="B29" s="5"/>
      <c r="C29" s="172">
        <f>11600*76/2000</f>
        <v>440.8</v>
      </c>
      <c r="D29" s="172">
        <f>7400*76/2000</f>
        <v>281.2</v>
      </c>
      <c r="E29" s="171"/>
      <c r="F29" s="172">
        <f>2024*76/2000</f>
        <v>76.912000000000006</v>
      </c>
      <c r="G29" s="172">
        <f>1076*76/2000</f>
        <v>40.887999999999998</v>
      </c>
      <c r="H29" s="171"/>
      <c r="I29" s="172">
        <v>518</v>
      </c>
      <c r="J29" s="172">
        <v>322</v>
      </c>
    </row>
    <row r="30" spans="1:10" ht="10.5" customHeight="1">
      <c r="A30" s="22" t="s">
        <v>80</v>
      </c>
      <c r="B30" s="5"/>
      <c r="C30" s="172">
        <f>11510*76/2000</f>
        <v>437.38</v>
      </c>
      <c r="D30" s="172">
        <f>11090*76/2000</f>
        <v>421.42</v>
      </c>
      <c r="E30" s="171"/>
      <c r="F30" s="172">
        <f>1897*76/2000</f>
        <v>72.085999999999999</v>
      </c>
      <c r="G30" s="172">
        <f>1703*76/2000</f>
        <v>64.713999999999999</v>
      </c>
      <c r="H30" s="171"/>
      <c r="I30" s="172">
        <v>510</v>
      </c>
      <c r="J30" s="172">
        <v>486</v>
      </c>
    </row>
    <row r="31" spans="1:10" ht="10.5" customHeight="1">
      <c r="A31" s="22" t="s">
        <v>81</v>
      </c>
      <c r="B31" s="5"/>
      <c r="C31" s="172">
        <f>12520*76/2000</f>
        <v>475.76</v>
      </c>
      <c r="D31" s="172">
        <f>5780*76/2000</f>
        <v>219.64</v>
      </c>
      <c r="E31" s="171"/>
      <c r="F31" s="172">
        <f>1902*76/2000</f>
        <v>72.275999999999996</v>
      </c>
      <c r="G31" s="172">
        <f>898*76/2000</f>
        <v>34.124000000000002</v>
      </c>
      <c r="H31" s="171"/>
      <c r="I31" s="172">
        <f>C31+F31</f>
        <v>548.03599999999994</v>
      </c>
      <c r="J31" s="172">
        <v>253</v>
      </c>
    </row>
    <row r="32" spans="1:10" ht="10.5" customHeight="1">
      <c r="A32" s="22" t="s">
        <v>82</v>
      </c>
      <c r="B32" s="5"/>
      <c r="C32" s="172">
        <f>13100*76/2000</f>
        <v>497.8</v>
      </c>
      <c r="D32" s="172">
        <f>10900*76/2000</f>
        <v>414.2</v>
      </c>
      <c r="E32" s="171"/>
      <c r="F32" s="172">
        <f>1546*76/2000</f>
        <v>58.747999999999998</v>
      </c>
      <c r="G32" s="172">
        <f>1454*76/2000</f>
        <v>55.252000000000002</v>
      </c>
      <c r="H32" s="171"/>
      <c r="I32" s="172">
        <v>557</v>
      </c>
      <c r="J32" s="172">
        <v>469</v>
      </c>
    </row>
    <row r="33" spans="1:13" ht="10.5" customHeight="1">
      <c r="A33" s="18" t="s">
        <v>83</v>
      </c>
      <c r="B33" s="5"/>
      <c r="C33" s="172">
        <f>12200*76/2000</f>
        <v>463.6</v>
      </c>
      <c r="D33" s="172">
        <f>5800*76/2000</f>
        <v>220.4</v>
      </c>
      <c r="E33" s="171"/>
      <c r="F33" s="172">
        <f>2008*76/2000</f>
        <v>76.304000000000002</v>
      </c>
      <c r="G33" s="172">
        <f>992*76/2000</f>
        <v>37.695999999999998</v>
      </c>
      <c r="H33" s="171"/>
      <c r="I33" s="172">
        <v>540</v>
      </c>
      <c r="J33" s="172">
        <v>258</v>
      </c>
    </row>
    <row r="34" spans="1:13" ht="4.5" customHeight="1">
      <c r="A34" s="22"/>
      <c r="B34" s="5"/>
      <c r="C34" s="172"/>
      <c r="D34" s="172"/>
      <c r="E34" s="171"/>
      <c r="F34" s="172"/>
      <c r="G34" s="172"/>
      <c r="H34" s="171"/>
      <c r="I34" s="172"/>
      <c r="J34" s="172"/>
    </row>
    <row r="35" spans="1:13" ht="10.5" customHeight="1">
      <c r="A35" s="18" t="s">
        <v>84</v>
      </c>
      <c r="B35" s="5"/>
      <c r="C35" s="172">
        <f>11803*76/2000</f>
        <v>448.51400000000001</v>
      </c>
      <c r="D35" s="172">
        <f>8697*76/2000</f>
        <v>330.48599999999999</v>
      </c>
      <c r="E35" s="171"/>
      <c r="F35" s="172">
        <f>1325*76/2000</f>
        <v>50.35</v>
      </c>
      <c r="G35" s="172">
        <f>1075*76/2000</f>
        <v>40.85</v>
      </c>
      <c r="H35" s="171"/>
      <c r="I35" s="172">
        <v>499</v>
      </c>
      <c r="J35" s="172">
        <v>371</v>
      </c>
    </row>
    <row r="36" spans="1:13" ht="10.5" customHeight="1">
      <c r="A36" s="18" t="s">
        <v>85</v>
      </c>
      <c r="B36" s="5"/>
      <c r="C36" s="172">
        <f>15887*76/2000</f>
        <v>603.70600000000002</v>
      </c>
      <c r="D36" s="172">
        <f>6113*76/2000</f>
        <v>232.29400000000001</v>
      </c>
      <c r="E36" s="171"/>
      <c r="F36" s="172">
        <f>2167*76/2000</f>
        <v>82.346000000000004</v>
      </c>
      <c r="G36" s="172">
        <f>1633*76/2000</f>
        <v>62.054000000000002</v>
      </c>
      <c r="H36" s="171"/>
      <c r="I36" s="172">
        <v>686</v>
      </c>
      <c r="J36" s="172">
        <v>294</v>
      </c>
    </row>
    <row r="37" spans="1:13" ht="10.5" customHeight="1">
      <c r="A37" s="18" t="s">
        <v>86</v>
      </c>
      <c r="B37" s="5"/>
      <c r="C37" s="172">
        <f>11000*76/2000</f>
        <v>418</v>
      </c>
      <c r="D37" s="172">
        <f>7500*76/2000</f>
        <v>285</v>
      </c>
      <c r="E37" s="171"/>
      <c r="F37" s="172">
        <f>1895*76/2000</f>
        <v>72.010000000000005</v>
      </c>
      <c r="G37" s="172">
        <f>605*76/2000</f>
        <v>22.99</v>
      </c>
      <c r="H37" s="171"/>
      <c r="I37" s="172">
        <v>490</v>
      </c>
      <c r="J37" s="172">
        <v>308</v>
      </c>
    </row>
    <row r="38" spans="1:13" ht="10.5" customHeight="1">
      <c r="A38" s="18" t="s">
        <v>87</v>
      </c>
      <c r="B38" s="5"/>
      <c r="C38" s="172">
        <f>9400*76/2000</f>
        <v>357.2</v>
      </c>
      <c r="D38" s="172">
        <f>5400*76/2000</f>
        <v>205.2</v>
      </c>
      <c r="E38" s="171"/>
      <c r="F38" s="172">
        <f>982*76/2000</f>
        <v>37.316000000000003</v>
      </c>
      <c r="G38" s="172">
        <f>518*76/2000</f>
        <v>19.684000000000001</v>
      </c>
      <c r="H38" s="171"/>
      <c r="I38" s="172">
        <v>394</v>
      </c>
      <c r="J38" s="172">
        <v>225</v>
      </c>
    </row>
    <row r="39" spans="1:13" s="27" customFormat="1" ht="10.5" customHeight="1">
      <c r="A39" s="23" t="s">
        <v>88</v>
      </c>
      <c r="B39" s="24"/>
      <c r="C39" s="206">
        <f>12900*76/2000</f>
        <v>490.2</v>
      </c>
      <c r="D39" s="206">
        <f>8100*76/2000</f>
        <v>307.8</v>
      </c>
      <c r="E39" s="207"/>
      <c r="F39" s="206">
        <f>1114*76/2000</f>
        <v>42.332000000000001</v>
      </c>
      <c r="G39" s="206">
        <f>1886*76/2000</f>
        <v>71.668000000000006</v>
      </c>
      <c r="H39" s="207"/>
      <c r="I39" s="206">
        <v>532</v>
      </c>
      <c r="J39" s="206">
        <v>380</v>
      </c>
    </row>
    <row r="40" spans="1:13" s="29" customFormat="1" ht="10.5" customHeight="1">
      <c r="A40" s="23" t="s">
        <v>89</v>
      </c>
      <c r="B40" s="24"/>
      <c r="C40" s="206">
        <f>11600*76/2000</f>
        <v>440.8</v>
      </c>
      <c r="D40" s="206">
        <f>9400*76/2000</f>
        <v>357.2</v>
      </c>
      <c r="E40" s="207"/>
      <c r="F40" s="206">
        <f>1118*76/2000</f>
        <v>42.484000000000002</v>
      </c>
      <c r="G40" s="206">
        <f>1082*76/2000</f>
        <v>41.116</v>
      </c>
      <c r="H40" s="207"/>
      <c r="I40" s="206">
        <v>484</v>
      </c>
      <c r="J40" s="206">
        <v>398</v>
      </c>
    </row>
    <row r="41" spans="1:13" s="27" customFormat="1" ht="10.5" customHeight="1">
      <c r="A41" s="23" t="s">
        <v>91</v>
      </c>
      <c r="B41" s="24"/>
      <c r="C41" s="206">
        <f>13700*80/2000</f>
        <v>548</v>
      </c>
      <c r="D41" s="206">
        <f>6800*80/2000</f>
        <v>272</v>
      </c>
      <c r="E41" s="207"/>
      <c r="F41" s="206">
        <f>1313*80/2000</f>
        <v>52.52</v>
      </c>
      <c r="G41" s="206">
        <f>1187*80/2000</f>
        <v>47.48</v>
      </c>
      <c r="H41" s="207"/>
      <c r="I41" s="206">
        <v>601</v>
      </c>
      <c r="J41" s="206">
        <v>319</v>
      </c>
    </row>
    <row r="42" spans="1:13" s="27" customFormat="1" ht="3" customHeight="1">
      <c r="A42" s="23"/>
      <c r="B42" s="24"/>
      <c r="C42" s="206"/>
      <c r="D42" s="206"/>
      <c r="E42" s="207"/>
      <c r="F42" s="206"/>
      <c r="G42" s="206"/>
      <c r="H42" s="207"/>
      <c r="I42" s="206"/>
      <c r="J42" s="206"/>
    </row>
    <row r="43" spans="1:13" s="27" customFormat="1" ht="10.5" customHeight="1">
      <c r="A43" s="23" t="s">
        <v>92</v>
      </c>
      <c r="B43" s="24"/>
      <c r="C43" s="206">
        <f>15900*80/2000</f>
        <v>636</v>
      </c>
      <c r="D43" s="206">
        <f>4600*80/2000</f>
        <v>184</v>
      </c>
      <c r="E43" s="207"/>
      <c r="F43" s="206">
        <f>481*80/2000</f>
        <v>19.239999999999998</v>
      </c>
      <c r="G43" s="206">
        <f>269*80/2000</f>
        <v>10.76</v>
      </c>
      <c r="H43" s="207"/>
      <c r="I43" s="206">
        <f t="shared" ref="I43:I50" si="0">SUM(C43,F43)</f>
        <v>655.24</v>
      </c>
      <c r="J43" s="206">
        <f t="shared" ref="J43:J50" si="1">SUM(G43,D43)</f>
        <v>194.76</v>
      </c>
      <c r="M43" s="476"/>
    </row>
    <row r="44" spans="1:13" s="27" customFormat="1" ht="10.5" customHeight="1">
      <c r="A44" s="23" t="s">
        <v>93</v>
      </c>
      <c r="B44" s="24"/>
      <c r="C44" s="206">
        <f>14200*80/2000</f>
        <v>568</v>
      </c>
      <c r="D44" s="206">
        <f>6800*80/2000</f>
        <v>272</v>
      </c>
      <c r="E44" s="207"/>
      <c r="F44" s="206">
        <f>1206*80/2000</f>
        <v>48.24</v>
      </c>
      <c r="G44" s="206">
        <f>594*80/2000</f>
        <v>23.76</v>
      </c>
      <c r="H44" s="207"/>
      <c r="I44" s="206">
        <f t="shared" si="0"/>
        <v>616.24</v>
      </c>
      <c r="J44" s="206">
        <f t="shared" si="1"/>
        <v>295.76</v>
      </c>
      <c r="M44" s="476"/>
    </row>
    <row r="45" spans="1:13" s="27" customFormat="1" ht="10.5" customHeight="1">
      <c r="A45" s="23" t="s">
        <v>94</v>
      </c>
      <c r="B45" s="24"/>
      <c r="C45" s="206">
        <f>14500*80/2000</f>
        <v>580</v>
      </c>
      <c r="D45" s="206">
        <f>4300*80/2000</f>
        <v>172</v>
      </c>
      <c r="E45" s="207"/>
      <c r="F45" s="206">
        <f>1260*80/2000</f>
        <v>50.4</v>
      </c>
      <c r="G45" s="206">
        <f>540*80/2000</f>
        <v>21.6</v>
      </c>
      <c r="H45" s="207"/>
      <c r="I45" s="206">
        <f t="shared" si="0"/>
        <v>630.4</v>
      </c>
      <c r="J45" s="206">
        <f t="shared" si="1"/>
        <v>193.6</v>
      </c>
      <c r="M45" s="476"/>
    </row>
    <row r="46" spans="1:13" s="27" customFormat="1" ht="10.5" customHeight="1">
      <c r="A46" s="23" t="s">
        <v>95</v>
      </c>
      <c r="B46" s="24"/>
      <c r="C46" s="206">
        <f>14000*80/2000</f>
        <v>560</v>
      </c>
      <c r="D46" s="206">
        <f>6600*80/2000</f>
        <v>264</v>
      </c>
      <c r="E46" s="207"/>
      <c r="F46" s="206">
        <f>1298*80/2000</f>
        <v>51.92</v>
      </c>
      <c r="G46" s="206">
        <f>702*80/2000</f>
        <v>28.08</v>
      </c>
      <c r="H46" s="207"/>
      <c r="I46" s="206">
        <f t="shared" si="0"/>
        <v>611.91999999999996</v>
      </c>
      <c r="J46" s="206">
        <f t="shared" si="1"/>
        <v>292.08</v>
      </c>
      <c r="M46" s="476"/>
    </row>
    <row r="47" spans="1:13" s="27" customFormat="1" ht="10.5" customHeight="1">
      <c r="A47" s="23" t="s">
        <v>290</v>
      </c>
      <c r="B47" s="24"/>
      <c r="C47" s="206">
        <f>16000*80/2000</f>
        <v>640</v>
      </c>
      <c r="D47" s="206">
        <f>5000*80/2000</f>
        <v>200</v>
      </c>
      <c r="E47" s="207"/>
      <c r="F47" s="206">
        <f>1376*80/2000</f>
        <v>55.04</v>
      </c>
      <c r="G47" s="206">
        <f>224*80/2000</f>
        <v>8.9600000000000009</v>
      </c>
      <c r="H47" s="207"/>
      <c r="I47" s="206">
        <f t="shared" si="0"/>
        <v>695.04</v>
      </c>
      <c r="J47" s="206">
        <f t="shared" si="1"/>
        <v>208.96</v>
      </c>
      <c r="M47" s="476"/>
    </row>
    <row r="48" spans="1:13" s="27" customFormat="1" ht="10.5" customHeight="1">
      <c r="A48" s="23" t="s">
        <v>299</v>
      </c>
      <c r="B48" s="24"/>
      <c r="C48" s="206">
        <f>16400*80/2000</f>
        <v>656</v>
      </c>
      <c r="D48" s="206">
        <f>4100*80/2000</f>
        <v>164</v>
      </c>
      <c r="E48" s="207"/>
      <c r="F48" s="206">
        <f>1115*80/2000</f>
        <v>44.6</v>
      </c>
      <c r="G48" s="206">
        <f>435*80/2000</f>
        <v>17.399999999999999</v>
      </c>
      <c r="H48" s="207"/>
      <c r="I48" s="206">
        <f t="shared" si="0"/>
        <v>700.6</v>
      </c>
      <c r="J48" s="206">
        <f t="shared" si="1"/>
        <v>181.4</v>
      </c>
      <c r="M48" s="476"/>
    </row>
    <row r="49" spans="1:13" s="27" customFormat="1" ht="10.5" customHeight="1">
      <c r="A49" s="23" t="s">
        <v>313</v>
      </c>
      <c r="B49" s="24"/>
      <c r="C49" s="206">
        <f>16200*80/2000</f>
        <v>648</v>
      </c>
      <c r="D49" s="206">
        <f>5000*80/2000</f>
        <v>200</v>
      </c>
      <c r="E49" s="207"/>
      <c r="F49" s="206">
        <f>805*80/2000</f>
        <v>32.200000000000003</v>
      </c>
      <c r="G49" s="206">
        <f>195*80/2000</f>
        <v>7.8</v>
      </c>
      <c r="H49" s="207"/>
      <c r="I49" s="206">
        <f t="shared" si="0"/>
        <v>680.2</v>
      </c>
      <c r="J49" s="206">
        <f t="shared" si="1"/>
        <v>207.8</v>
      </c>
      <c r="M49" s="476"/>
    </row>
    <row r="50" spans="1:13" s="27" customFormat="1" ht="10.5" customHeight="1">
      <c r="A50" s="87" t="s">
        <v>320</v>
      </c>
      <c r="B50" s="30"/>
      <c r="C50" s="208">
        <f>16700*80/2000</f>
        <v>668</v>
      </c>
      <c r="D50" s="208">
        <f>6100*80/2000</f>
        <v>244</v>
      </c>
      <c r="E50" s="209"/>
      <c r="F50" s="208">
        <f>912*80/2000</f>
        <v>36.479999999999997</v>
      </c>
      <c r="G50" s="208">
        <f>438*80/2000</f>
        <v>17.52</v>
      </c>
      <c r="H50" s="209"/>
      <c r="I50" s="208">
        <f t="shared" si="0"/>
        <v>704.48</v>
      </c>
      <c r="J50" s="208">
        <f t="shared" si="1"/>
        <v>261.52</v>
      </c>
      <c r="M50" s="476"/>
    </row>
    <row r="51" spans="1:13" ht="13.15" customHeight="1">
      <c r="A51" s="210" t="s">
        <v>196</v>
      </c>
      <c r="B51" s="4"/>
      <c r="C51" s="4"/>
      <c r="D51" s="4"/>
      <c r="E51" s="4"/>
      <c r="F51" s="4"/>
      <c r="G51" s="4"/>
      <c r="H51" s="4"/>
      <c r="I51" s="211"/>
      <c r="J51" s="211"/>
    </row>
    <row r="52" spans="1:13" ht="13.15" customHeight="1">
      <c r="A52" s="39" t="s">
        <v>50</v>
      </c>
      <c r="B52" s="4"/>
      <c r="C52" s="4"/>
      <c r="D52" s="4"/>
      <c r="E52" s="4"/>
      <c r="F52" s="4"/>
      <c r="G52" s="4"/>
      <c r="H52" s="4"/>
      <c r="I52" s="4"/>
      <c r="J52" s="4"/>
    </row>
  </sheetData>
  <pageMargins left="0.66700000000000004" right="0.66700000000000004" top="0.66700000000000004" bottom="0.72" header="0" footer="0"/>
  <pageSetup firstPageNumber="84" orientation="portrait" useFirstPageNumber="1" r:id="rId1"/>
  <headerFooter alignWithMargins="0"/>
  <ignoredErrors>
    <ignoredError sqref="D48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55"/>
  <sheetViews>
    <sheetView showGridLines="0" view="pageBreakPreview" zoomScale="60" zoomScaleNormal="100" workbookViewId="0">
      <pane xSplit="1" ySplit="5" topLeftCell="B32" activePane="bottomRight" state="frozen"/>
      <selection pane="topRight" activeCell="B1" sqref="B1"/>
      <selection pane="bottomLeft" activeCell="A6" sqref="A6"/>
      <selection pane="bottomRight" activeCell="G59" sqref="G59"/>
    </sheetView>
  </sheetViews>
  <sheetFormatPr defaultColWidth="7.140625" defaultRowHeight="9"/>
  <cols>
    <col min="1" max="1" width="9.140625" style="242" customWidth="1"/>
    <col min="2" max="4" width="9.85546875" style="242" customWidth="1"/>
    <col min="5" max="5" width="1.7109375" style="242" customWidth="1"/>
    <col min="6" max="8" width="9.85546875" style="242" customWidth="1"/>
    <col min="9" max="9" width="1.7109375" style="242" customWidth="1"/>
    <col min="10" max="12" width="9.85546875" style="242" customWidth="1"/>
    <col min="13" max="16384" width="7.140625" style="242"/>
  </cols>
  <sheetData>
    <row r="1" spans="1:17" s="215" customFormat="1" ht="12" customHeight="1">
      <c r="A1" s="212" t="s">
        <v>197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  <c r="N1" s="214"/>
      <c r="O1" s="214"/>
      <c r="P1" s="214"/>
      <c r="Q1" s="214"/>
    </row>
    <row r="2" spans="1:17" s="215" customFormat="1" ht="10.9" customHeight="1">
      <c r="A2" s="216"/>
      <c r="B2" s="217" t="s">
        <v>2</v>
      </c>
      <c r="C2" s="217"/>
      <c r="D2" s="217"/>
      <c r="E2" s="214"/>
      <c r="F2" s="217" t="s">
        <v>4</v>
      </c>
      <c r="G2" s="217"/>
      <c r="H2" s="217"/>
      <c r="I2" s="214"/>
      <c r="J2" s="217" t="s">
        <v>5</v>
      </c>
      <c r="K2" s="217"/>
      <c r="L2" s="217"/>
      <c r="M2" s="214"/>
      <c r="N2" s="214"/>
      <c r="O2" s="214"/>
      <c r="P2" s="214"/>
      <c r="Q2" s="214"/>
    </row>
    <row r="3" spans="1:17" s="215" customFormat="1" ht="12.6" customHeight="1">
      <c r="A3" s="213" t="s">
        <v>57</v>
      </c>
      <c r="B3" s="218" t="s">
        <v>101</v>
      </c>
      <c r="C3" s="218" t="s">
        <v>198</v>
      </c>
      <c r="D3" s="218" t="s">
        <v>116</v>
      </c>
      <c r="E3" s="213"/>
      <c r="F3" s="218" t="s">
        <v>101</v>
      </c>
      <c r="G3" s="218" t="s">
        <v>198</v>
      </c>
      <c r="H3" s="218" t="s">
        <v>116</v>
      </c>
      <c r="I3" s="213"/>
      <c r="J3" s="218" t="s">
        <v>101</v>
      </c>
      <c r="K3" s="218" t="s">
        <v>198</v>
      </c>
      <c r="L3" s="218" t="s">
        <v>116</v>
      </c>
      <c r="M3" s="214"/>
      <c r="N3" s="214"/>
      <c r="O3" s="214"/>
      <c r="P3" s="214"/>
      <c r="Q3" s="214"/>
    </row>
    <row r="4" spans="1:17" s="215" customFormat="1" ht="3.95" customHeight="1">
      <c r="A4" s="219"/>
      <c r="B4" s="220"/>
      <c r="C4" s="220"/>
      <c r="D4" s="220"/>
      <c r="E4" s="219"/>
      <c r="F4" s="220"/>
      <c r="G4" s="220"/>
      <c r="H4" s="220"/>
      <c r="I4" s="219"/>
      <c r="J4" s="220"/>
      <c r="K4" s="220"/>
      <c r="L4" s="220"/>
      <c r="M4" s="214"/>
      <c r="N4" s="214"/>
      <c r="O4" s="214"/>
      <c r="P4" s="214"/>
      <c r="Q4" s="214"/>
    </row>
    <row r="5" spans="1:17" s="215" customFormat="1" ht="12" customHeight="1">
      <c r="A5" s="214"/>
      <c r="B5" s="221"/>
      <c r="C5" s="222"/>
      <c r="D5" s="222"/>
      <c r="E5" s="222"/>
      <c r="F5" s="222"/>
      <c r="G5" s="223" t="s">
        <v>199</v>
      </c>
      <c r="H5" s="222"/>
      <c r="I5" s="222"/>
      <c r="J5" s="222"/>
      <c r="K5" s="222"/>
      <c r="L5" s="222"/>
      <c r="M5" s="214"/>
      <c r="N5" s="214"/>
      <c r="O5" s="214"/>
      <c r="P5" s="214"/>
      <c r="Q5" s="214"/>
    </row>
    <row r="6" spans="1:17" s="215" customFormat="1" ht="3" customHeight="1">
      <c r="A6" s="214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</row>
    <row r="7" spans="1:17" s="215" customFormat="1" ht="10.5" customHeight="1">
      <c r="A7" s="216" t="s">
        <v>60</v>
      </c>
      <c r="B7" s="224">
        <v>6.22</v>
      </c>
      <c r="C7" s="225">
        <v>-0.33</v>
      </c>
      <c r="D7" s="224">
        <v>2.14</v>
      </c>
      <c r="E7" s="226"/>
      <c r="F7" s="224">
        <v>4.3</v>
      </c>
      <c r="G7" s="225">
        <v>-0.24</v>
      </c>
      <c r="H7" s="225">
        <v>1.21</v>
      </c>
      <c r="I7" s="226"/>
      <c r="J7" s="224">
        <v>5.84</v>
      </c>
      <c r="K7" s="225">
        <v>-0.31</v>
      </c>
      <c r="L7" s="224">
        <v>1.93</v>
      </c>
      <c r="M7" s="214"/>
      <c r="N7" s="214"/>
      <c r="O7" s="214"/>
      <c r="P7" s="214"/>
      <c r="Q7" s="214"/>
    </row>
    <row r="8" spans="1:17" s="215" customFormat="1" ht="10.5" customHeight="1">
      <c r="A8" s="216" t="s">
        <v>61</v>
      </c>
      <c r="B8" s="224">
        <v>7.64</v>
      </c>
      <c r="C8" s="225">
        <v>-2.9</v>
      </c>
      <c r="D8" s="224">
        <v>1.64</v>
      </c>
      <c r="E8" s="226"/>
      <c r="F8" s="224">
        <v>5.13</v>
      </c>
      <c r="G8" s="225">
        <v>-2.9</v>
      </c>
      <c r="H8" s="225">
        <v>0.39</v>
      </c>
      <c r="I8" s="226"/>
      <c r="J8" s="224">
        <v>7.03</v>
      </c>
      <c r="K8" s="225">
        <v>-2.9</v>
      </c>
      <c r="L8" s="224">
        <v>1.32</v>
      </c>
      <c r="M8" s="214"/>
      <c r="N8" s="214"/>
      <c r="O8" s="214"/>
      <c r="P8" s="214"/>
      <c r="Q8" s="214"/>
    </row>
    <row r="9" spans="1:17" s="215" customFormat="1" ht="10.5" customHeight="1">
      <c r="A9" s="216" t="s">
        <v>62</v>
      </c>
      <c r="B9" s="224">
        <v>6.2</v>
      </c>
      <c r="C9" s="225">
        <v>-2.94</v>
      </c>
      <c r="D9" s="224">
        <v>1.22</v>
      </c>
      <c r="E9" s="226"/>
      <c r="F9" s="224">
        <v>5.93</v>
      </c>
      <c r="G9" s="225">
        <v>-2.92</v>
      </c>
      <c r="H9" s="225">
        <v>1.25</v>
      </c>
      <c r="I9" s="226"/>
      <c r="J9" s="224">
        <v>6.14</v>
      </c>
      <c r="K9" s="225">
        <v>-2.94</v>
      </c>
      <c r="L9" s="224">
        <v>1.23</v>
      </c>
      <c r="M9" s="214"/>
      <c r="N9" s="214"/>
      <c r="O9" s="214"/>
      <c r="P9" s="214"/>
      <c r="Q9" s="214"/>
    </row>
    <row r="10" spans="1:17" s="215" customFormat="1" ht="10.5" customHeight="1">
      <c r="A10" s="216" t="s">
        <v>63</v>
      </c>
      <c r="B10" s="224">
        <v>8.16</v>
      </c>
      <c r="C10" s="225">
        <v>-2.06</v>
      </c>
      <c r="D10" s="224">
        <v>3.41</v>
      </c>
      <c r="E10" s="226"/>
      <c r="F10" s="224">
        <v>5.07</v>
      </c>
      <c r="G10" s="225">
        <v>-3.12</v>
      </c>
      <c r="H10" s="225">
        <v>1.63</v>
      </c>
      <c r="I10" s="226"/>
      <c r="J10" s="224">
        <v>7.54</v>
      </c>
      <c r="K10" s="225">
        <v>-2.2400000000000002</v>
      </c>
      <c r="L10" s="224">
        <v>3.08</v>
      </c>
      <c r="M10" s="214"/>
      <c r="N10" s="214"/>
      <c r="O10" s="214"/>
      <c r="P10" s="214"/>
      <c r="Q10" s="214"/>
    </row>
    <row r="11" spans="1:17" s="215" customFormat="1" ht="10.5" customHeight="1">
      <c r="A11" s="216" t="s">
        <v>64</v>
      </c>
      <c r="B11" s="224">
        <v>10.58</v>
      </c>
      <c r="C11" s="225">
        <v>-1.06</v>
      </c>
      <c r="D11" s="224">
        <v>4.4400000000000004</v>
      </c>
      <c r="E11" s="226"/>
      <c r="F11" s="224">
        <v>6.74</v>
      </c>
      <c r="G11" s="225">
        <v>-1.91</v>
      </c>
      <c r="H11" s="225">
        <v>1.54</v>
      </c>
      <c r="I11" s="226"/>
      <c r="J11" s="224">
        <v>9.8000000000000007</v>
      </c>
      <c r="K11" s="225">
        <v>-1.28</v>
      </c>
      <c r="L11" s="224">
        <v>3.76</v>
      </c>
      <c r="M11" s="214"/>
      <c r="N11" s="214"/>
      <c r="O11" s="214"/>
      <c r="P11" s="214"/>
      <c r="Q11" s="214"/>
    </row>
    <row r="12" spans="1:17" s="215" customFormat="1" ht="10.5" customHeight="1">
      <c r="A12" s="216" t="s">
        <v>65</v>
      </c>
      <c r="B12" s="224">
        <v>14.28</v>
      </c>
      <c r="C12" s="225">
        <v>-1.18</v>
      </c>
      <c r="D12" s="224">
        <v>8.5500000000000007</v>
      </c>
      <c r="E12" s="226"/>
      <c r="F12" s="224">
        <v>20.95</v>
      </c>
      <c r="G12" s="225">
        <v>-1.23</v>
      </c>
      <c r="H12" s="225">
        <v>12.28</v>
      </c>
      <c r="I12" s="226"/>
      <c r="J12" s="224">
        <v>15.43</v>
      </c>
      <c r="K12" s="225">
        <v>-1.19</v>
      </c>
      <c r="L12" s="224">
        <v>9.2100000000000009</v>
      </c>
      <c r="M12" s="214"/>
      <c r="N12" s="214"/>
      <c r="O12" s="214"/>
      <c r="P12" s="214"/>
      <c r="Q12" s="214"/>
    </row>
    <row r="13" spans="1:17" s="215" customFormat="1" ht="3" customHeight="1">
      <c r="A13" s="216"/>
      <c r="B13" s="224"/>
      <c r="C13" s="225"/>
      <c r="D13" s="224"/>
      <c r="E13" s="226"/>
      <c r="F13" s="224"/>
      <c r="G13" s="225"/>
      <c r="H13" s="225"/>
      <c r="I13" s="226"/>
      <c r="J13" s="224"/>
      <c r="K13" s="225"/>
      <c r="L13" s="224"/>
      <c r="M13" s="214"/>
      <c r="N13" s="214"/>
      <c r="O13" s="214"/>
      <c r="P13" s="214"/>
      <c r="Q13" s="214"/>
    </row>
    <row r="14" spans="1:17" s="215" customFormat="1" ht="10.5" customHeight="1">
      <c r="A14" s="216" t="s">
        <v>66</v>
      </c>
      <c r="B14" s="224">
        <v>10.54</v>
      </c>
      <c r="C14" s="225">
        <v>-1.18</v>
      </c>
      <c r="D14" s="224">
        <v>4.2699999999999996</v>
      </c>
      <c r="E14" s="226"/>
      <c r="F14" s="224">
        <v>6.32</v>
      </c>
      <c r="G14" s="225">
        <v>-1.1000000000000001</v>
      </c>
      <c r="H14" s="225">
        <v>1.35</v>
      </c>
      <c r="I14" s="226"/>
      <c r="J14" s="224">
        <v>9.74</v>
      </c>
      <c r="K14" s="225">
        <v>-1.1599999999999999</v>
      </c>
      <c r="L14" s="224">
        <v>3.55</v>
      </c>
      <c r="M14" s="214"/>
      <c r="N14" s="214"/>
      <c r="O14" s="214"/>
      <c r="P14" s="214"/>
      <c r="Q14" s="214"/>
    </row>
    <row r="15" spans="1:17" s="215" customFormat="1" ht="10.5" customHeight="1">
      <c r="A15" s="216" t="s">
        <v>200</v>
      </c>
      <c r="B15" s="224">
        <v>13.44</v>
      </c>
      <c r="C15" s="225">
        <v>-2.04</v>
      </c>
      <c r="D15" s="224">
        <v>7.16</v>
      </c>
      <c r="E15" s="226"/>
      <c r="F15" s="224">
        <v>12.24</v>
      </c>
      <c r="G15" s="225">
        <v>-2.04</v>
      </c>
      <c r="H15" s="225">
        <v>5.65</v>
      </c>
      <c r="I15" s="226"/>
      <c r="J15" s="224">
        <v>13.24</v>
      </c>
      <c r="K15" s="225">
        <v>-2.04</v>
      </c>
      <c r="L15" s="224">
        <v>6.89</v>
      </c>
      <c r="M15" s="214"/>
      <c r="N15" s="214"/>
      <c r="O15" s="214"/>
      <c r="P15" s="214"/>
      <c r="Q15" s="214"/>
    </row>
    <row r="16" spans="1:17" s="215" customFormat="1" ht="10.5" customHeight="1">
      <c r="A16" s="216" t="s">
        <v>68</v>
      </c>
      <c r="B16" s="224">
        <v>15.37</v>
      </c>
      <c r="C16" s="225">
        <v>-1.1100000000000001</v>
      </c>
      <c r="D16" s="224">
        <v>9.3699999999999992</v>
      </c>
      <c r="E16" s="226"/>
      <c r="F16" s="224">
        <v>12.67</v>
      </c>
      <c r="G16" s="225">
        <v>-1.1499999999999999</v>
      </c>
      <c r="H16" s="225">
        <v>6.05</v>
      </c>
      <c r="I16" s="226"/>
      <c r="J16" s="224">
        <v>14.93</v>
      </c>
      <c r="K16" s="225">
        <v>-1.1200000000000001</v>
      </c>
      <c r="L16" s="224">
        <v>8.74</v>
      </c>
      <c r="M16" s="214"/>
      <c r="N16" s="214"/>
      <c r="O16" s="214"/>
      <c r="P16" s="214"/>
      <c r="Q16" s="214"/>
    </row>
    <row r="17" spans="1:17" s="215" customFormat="1" ht="10.5" customHeight="1">
      <c r="A17" s="216" t="s">
        <v>201</v>
      </c>
      <c r="B17" s="224">
        <v>18.23</v>
      </c>
      <c r="C17" s="225">
        <v>0.16</v>
      </c>
      <c r="D17" s="224">
        <v>12.17</v>
      </c>
      <c r="E17" s="226"/>
      <c r="F17" s="224">
        <v>17.93</v>
      </c>
      <c r="G17" s="225">
        <v>-0.23</v>
      </c>
      <c r="H17" s="225">
        <v>11.21</v>
      </c>
      <c r="I17" s="226"/>
      <c r="J17" s="224">
        <v>18.190000000000001</v>
      </c>
      <c r="K17" s="225">
        <v>0.1</v>
      </c>
      <c r="L17" s="224">
        <v>12.02</v>
      </c>
      <c r="M17" s="214"/>
      <c r="N17" s="214"/>
      <c r="O17" s="214"/>
      <c r="P17" s="214"/>
      <c r="Q17" s="214"/>
    </row>
    <row r="18" spans="1:17" s="215" customFormat="1" ht="10.5" customHeight="1">
      <c r="A18" s="216" t="s">
        <v>202</v>
      </c>
      <c r="B18" s="224">
        <v>21</v>
      </c>
      <c r="C18" s="225">
        <v>-0.75</v>
      </c>
      <c r="D18" s="224">
        <v>13.05</v>
      </c>
      <c r="E18" s="226"/>
      <c r="F18" s="224">
        <v>14.4</v>
      </c>
      <c r="G18" s="225">
        <v>-0.6</v>
      </c>
      <c r="H18" s="225">
        <v>8.2200000000000006</v>
      </c>
      <c r="I18" s="226"/>
      <c r="J18" s="224">
        <v>19.649999999999999</v>
      </c>
      <c r="K18" s="225">
        <v>-0.71</v>
      </c>
      <c r="L18" s="224">
        <v>12</v>
      </c>
      <c r="M18" s="214"/>
      <c r="N18" s="214"/>
      <c r="O18" s="214"/>
      <c r="P18" s="214"/>
      <c r="Q18" s="214"/>
    </row>
    <row r="19" spans="1:17" s="215" customFormat="1" ht="10.5" customHeight="1">
      <c r="A19" s="216" t="s">
        <v>71</v>
      </c>
      <c r="B19" s="224">
        <v>16.25</v>
      </c>
      <c r="C19" s="225">
        <v>-1.86</v>
      </c>
      <c r="D19" s="224">
        <v>9.0399999999999991</v>
      </c>
      <c r="E19" s="226"/>
      <c r="F19" s="224">
        <v>17.55</v>
      </c>
      <c r="G19" s="225">
        <v>-1.84</v>
      </c>
      <c r="H19" s="225">
        <v>9.41</v>
      </c>
      <c r="I19" s="226"/>
      <c r="J19" s="224">
        <v>16.57</v>
      </c>
      <c r="K19" s="225">
        <v>-1.85</v>
      </c>
      <c r="L19" s="224">
        <v>9.1300000000000008</v>
      </c>
      <c r="M19" s="214"/>
      <c r="N19" s="214"/>
      <c r="O19" s="214"/>
      <c r="P19" s="214"/>
      <c r="Q19" s="214"/>
    </row>
    <row r="20" spans="1:17" s="215" customFormat="1" ht="3" customHeight="1">
      <c r="A20" s="216"/>
      <c r="B20" s="224"/>
      <c r="C20" s="225"/>
      <c r="D20" s="224"/>
      <c r="E20" s="226"/>
      <c r="F20" s="224"/>
      <c r="G20" s="225"/>
      <c r="H20" s="225"/>
      <c r="I20" s="226"/>
      <c r="J20" s="224"/>
      <c r="K20" s="225"/>
      <c r="L20" s="224"/>
      <c r="M20" s="214"/>
      <c r="N20" s="214"/>
      <c r="O20" s="214"/>
      <c r="P20" s="214"/>
      <c r="Q20" s="214"/>
    </row>
    <row r="21" spans="1:17" s="215" customFormat="1" ht="10.5" customHeight="1">
      <c r="A21" s="216" t="s">
        <v>72</v>
      </c>
      <c r="B21" s="224">
        <v>14.91</v>
      </c>
      <c r="C21" s="225">
        <v>-1.58</v>
      </c>
      <c r="D21" s="224">
        <v>6.42</v>
      </c>
      <c r="E21" s="226"/>
      <c r="F21" s="224">
        <v>9.31</v>
      </c>
      <c r="G21" s="225">
        <v>-1.55</v>
      </c>
      <c r="H21" s="225">
        <v>4.9000000000000004</v>
      </c>
      <c r="I21" s="226"/>
      <c r="J21" s="224">
        <v>13.74</v>
      </c>
      <c r="K21" s="225">
        <v>-1.58</v>
      </c>
      <c r="L21" s="224">
        <v>6.15</v>
      </c>
      <c r="M21" s="214"/>
      <c r="N21" s="214"/>
      <c r="O21" s="214"/>
      <c r="P21" s="214"/>
      <c r="Q21" s="214"/>
    </row>
    <row r="22" spans="1:17" s="215" customFormat="1" ht="10.5" customHeight="1">
      <c r="A22" s="216" t="s">
        <v>73</v>
      </c>
      <c r="B22" s="224">
        <v>16.39</v>
      </c>
      <c r="C22" s="225">
        <v>-2.46</v>
      </c>
      <c r="D22" s="224">
        <v>6.19</v>
      </c>
      <c r="E22" s="226"/>
      <c r="F22" s="224">
        <v>12.44</v>
      </c>
      <c r="G22" s="225">
        <v>-2.17</v>
      </c>
      <c r="H22" s="225">
        <v>6.12</v>
      </c>
      <c r="I22" s="226"/>
      <c r="J22" s="224">
        <v>15.45</v>
      </c>
      <c r="K22" s="225">
        <v>-2.41</v>
      </c>
      <c r="L22" s="224">
        <v>6.18</v>
      </c>
      <c r="M22" s="214"/>
      <c r="N22" s="214"/>
      <c r="O22" s="214"/>
      <c r="P22" s="214"/>
      <c r="Q22" s="214"/>
    </row>
    <row r="23" spans="1:17" s="215" customFormat="1" ht="10.5" customHeight="1">
      <c r="A23" s="216" t="s">
        <v>74</v>
      </c>
      <c r="B23" s="224">
        <v>16.22</v>
      </c>
      <c r="C23" s="225">
        <v>-2.58</v>
      </c>
      <c r="D23" s="224">
        <v>7.67</v>
      </c>
      <c r="E23" s="226"/>
      <c r="F23" s="224">
        <v>11.32</v>
      </c>
      <c r="G23" s="225">
        <v>-2.61</v>
      </c>
      <c r="H23" s="225">
        <v>6.73</v>
      </c>
      <c r="I23" s="226"/>
      <c r="J23" s="224">
        <v>15.33</v>
      </c>
      <c r="K23" s="225">
        <v>-2.58</v>
      </c>
      <c r="L23" s="224">
        <v>7.52</v>
      </c>
      <c r="M23" s="214"/>
      <c r="N23" s="214"/>
      <c r="O23" s="214"/>
      <c r="P23" s="214"/>
      <c r="Q23" s="214"/>
    </row>
    <row r="24" spans="1:17" s="215" customFormat="1" ht="10.5" customHeight="1">
      <c r="A24" s="227" t="s">
        <v>75</v>
      </c>
      <c r="B24" s="228">
        <v>14.82</v>
      </c>
      <c r="C24" s="229">
        <v>-1.76</v>
      </c>
      <c r="D24" s="228">
        <v>6.77</v>
      </c>
      <c r="E24" s="230"/>
      <c r="F24" s="228">
        <v>10.220000000000001</v>
      </c>
      <c r="G24" s="229">
        <v>-1.76</v>
      </c>
      <c r="H24" s="229">
        <v>4.74</v>
      </c>
      <c r="I24" s="230"/>
      <c r="J24" s="228">
        <v>13.88</v>
      </c>
      <c r="K24" s="229">
        <v>-1.76</v>
      </c>
      <c r="L24" s="228">
        <v>6.37</v>
      </c>
      <c r="M24" s="214"/>
      <c r="N24" s="214"/>
      <c r="O24" s="214"/>
      <c r="P24" s="214"/>
      <c r="Q24" s="214"/>
    </row>
    <row r="25" spans="1:17" s="215" customFormat="1" ht="10.5" customHeight="1">
      <c r="A25" s="231" t="s">
        <v>76</v>
      </c>
      <c r="B25" s="228">
        <v>17.22</v>
      </c>
      <c r="C25" s="229">
        <v>-0.62</v>
      </c>
      <c r="D25" s="228">
        <v>8.49</v>
      </c>
      <c r="E25" s="230"/>
      <c r="F25" s="228">
        <v>13.02</v>
      </c>
      <c r="G25" s="229">
        <v>-0.62</v>
      </c>
      <c r="H25" s="229">
        <v>7.23</v>
      </c>
      <c r="I25" s="230"/>
      <c r="J25" s="228">
        <v>16.72</v>
      </c>
      <c r="K25" s="229">
        <v>-0.62</v>
      </c>
      <c r="L25" s="228">
        <v>8.36</v>
      </c>
      <c r="M25" s="214"/>
      <c r="N25" s="214"/>
      <c r="O25" s="214"/>
      <c r="P25" s="214"/>
      <c r="Q25" s="214"/>
    </row>
    <row r="26" spans="1:17" s="215" customFormat="1" ht="10.5" customHeight="1">
      <c r="A26" s="231" t="s">
        <v>77</v>
      </c>
      <c r="B26" s="228">
        <v>15.52</v>
      </c>
      <c r="C26" s="229">
        <v>-1.24</v>
      </c>
      <c r="D26" s="228">
        <v>6.68</v>
      </c>
      <c r="E26" s="230"/>
      <c r="F26" s="228">
        <v>11.22</v>
      </c>
      <c r="G26" s="229">
        <v>-1.1299999999999999</v>
      </c>
      <c r="H26" s="229">
        <v>5.66</v>
      </c>
      <c r="I26" s="230"/>
      <c r="J26" s="228">
        <v>14.98</v>
      </c>
      <c r="K26" s="229">
        <v>-1.23</v>
      </c>
      <c r="L26" s="228">
        <v>6.57</v>
      </c>
      <c r="M26" s="214"/>
      <c r="N26" s="214"/>
      <c r="O26" s="214"/>
      <c r="P26" s="214"/>
      <c r="Q26" s="214"/>
    </row>
    <row r="27" spans="1:17" s="215" customFormat="1" ht="3" customHeight="1">
      <c r="A27" s="231"/>
      <c r="B27" s="228"/>
      <c r="C27" s="229"/>
      <c r="D27" s="228"/>
      <c r="E27" s="230"/>
      <c r="F27" s="228"/>
      <c r="G27" s="229"/>
      <c r="H27" s="229"/>
      <c r="I27" s="230"/>
      <c r="J27" s="228"/>
      <c r="K27" s="229"/>
      <c r="L27" s="228"/>
      <c r="M27" s="214"/>
      <c r="N27" s="214"/>
      <c r="O27" s="214"/>
      <c r="P27" s="214"/>
      <c r="Q27" s="214"/>
    </row>
    <row r="28" spans="1:17" s="215" customFormat="1" ht="10.5" customHeight="1">
      <c r="A28" s="231" t="s">
        <v>78</v>
      </c>
      <c r="B28" s="228">
        <v>16.72</v>
      </c>
      <c r="C28" s="229">
        <v>-3.17</v>
      </c>
      <c r="D28" s="228">
        <v>8.84</v>
      </c>
      <c r="E28" s="230"/>
      <c r="F28" s="228">
        <v>14.62</v>
      </c>
      <c r="G28" s="229">
        <v>-3.19</v>
      </c>
      <c r="H28" s="229">
        <v>8.9</v>
      </c>
      <c r="I28" s="230"/>
      <c r="J28" s="228">
        <v>16.309999999999999</v>
      </c>
      <c r="K28" s="229">
        <v>-3.17</v>
      </c>
      <c r="L28" s="228">
        <v>8.85</v>
      </c>
      <c r="M28" s="214"/>
      <c r="N28" s="214"/>
      <c r="O28" s="214"/>
      <c r="P28" s="214"/>
      <c r="Q28" s="214"/>
    </row>
    <row r="29" spans="1:17" s="215" customFormat="1" ht="10.5" customHeight="1">
      <c r="A29" s="231" t="s">
        <v>79</v>
      </c>
      <c r="B29" s="228">
        <v>16.96</v>
      </c>
      <c r="C29" s="229">
        <v>-2.6</v>
      </c>
      <c r="D29" s="228">
        <v>9.34</v>
      </c>
      <c r="E29" s="230"/>
      <c r="F29" s="228">
        <v>17.36</v>
      </c>
      <c r="G29" s="229">
        <v>-2.6</v>
      </c>
      <c r="H29" s="229">
        <v>10.43</v>
      </c>
      <c r="I29" s="230"/>
      <c r="J29" s="228">
        <v>17.02</v>
      </c>
      <c r="K29" s="229">
        <v>-2.6</v>
      </c>
      <c r="L29" s="228">
        <v>9.49</v>
      </c>
      <c r="M29" s="214"/>
      <c r="N29" s="214"/>
      <c r="O29" s="214"/>
      <c r="P29" s="214"/>
      <c r="Q29" s="214"/>
    </row>
    <row r="30" spans="1:17" s="215" customFormat="1" ht="10.5" customHeight="1">
      <c r="A30" s="231" t="s">
        <v>80</v>
      </c>
      <c r="B30" s="228">
        <v>13.9</v>
      </c>
      <c r="C30" s="229">
        <v>-3.6</v>
      </c>
      <c r="D30" s="228">
        <v>5.31</v>
      </c>
      <c r="E30" s="230"/>
      <c r="F30" s="228">
        <v>8.6</v>
      </c>
      <c r="G30" s="229">
        <v>-3.78</v>
      </c>
      <c r="H30" s="229">
        <v>2.74</v>
      </c>
      <c r="I30" s="230"/>
      <c r="J30" s="228">
        <v>13.15</v>
      </c>
      <c r="K30" s="229">
        <v>-3.62</v>
      </c>
      <c r="L30" s="228">
        <v>4.96</v>
      </c>
      <c r="M30" s="214"/>
      <c r="N30" s="214"/>
      <c r="O30" s="214"/>
      <c r="P30" s="214"/>
      <c r="Q30" s="214"/>
    </row>
    <row r="31" spans="1:17" s="215" customFormat="1" ht="10.5" customHeight="1">
      <c r="A31" s="231" t="s">
        <v>81</v>
      </c>
      <c r="B31" s="228">
        <v>18.63</v>
      </c>
      <c r="C31" s="229">
        <v>-3.93</v>
      </c>
      <c r="D31" s="228">
        <v>11.5</v>
      </c>
      <c r="E31" s="230"/>
      <c r="F31" s="228">
        <v>17.23</v>
      </c>
      <c r="G31" s="229">
        <v>-3.94</v>
      </c>
      <c r="H31" s="229">
        <v>10.44</v>
      </c>
      <c r="I31" s="230"/>
      <c r="J31" s="228">
        <v>18.54</v>
      </c>
      <c r="K31" s="229">
        <v>-3.93</v>
      </c>
      <c r="L31" s="228">
        <v>11.36</v>
      </c>
      <c r="M31" s="214"/>
      <c r="N31" s="214"/>
      <c r="O31" s="214"/>
      <c r="P31" s="214"/>
      <c r="Q31" s="214"/>
    </row>
    <row r="32" spans="1:17" s="215" customFormat="1" ht="10.5" customHeight="1">
      <c r="A32" s="231" t="s">
        <v>82</v>
      </c>
      <c r="B32" s="228">
        <v>15.56</v>
      </c>
      <c r="C32" s="229">
        <v>-4.04</v>
      </c>
      <c r="D32" s="228">
        <v>6.66</v>
      </c>
      <c r="E32" s="230"/>
      <c r="F32" s="228">
        <v>14.54</v>
      </c>
      <c r="G32" s="229">
        <v>-4.04</v>
      </c>
      <c r="H32" s="229">
        <v>5.54</v>
      </c>
      <c r="I32" s="230"/>
      <c r="J32" s="228">
        <v>15.45</v>
      </c>
      <c r="K32" s="229">
        <v>-4.04</v>
      </c>
      <c r="L32" s="228">
        <v>6.53</v>
      </c>
      <c r="M32" s="214"/>
      <c r="N32" s="214"/>
      <c r="O32" s="214"/>
      <c r="P32" s="214"/>
      <c r="Q32" s="214"/>
    </row>
    <row r="33" spans="1:17" s="215" customFormat="1" ht="10.5" customHeight="1">
      <c r="A33" s="227" t="s">
        <v>83</v>
      </c>
      <c r="B33" s="228">
        <v>14.9</v>
      </c>
      <c r="C33" s="229">
        <v>-4.91</v>
      </c>
      <c r="D33" s="228">
        <v>8.52</v>
      </c>
      <c r="E33" s="230"/>
      <c r="F33" s="228">
        <v>9.9</v>
      </c>
      <c r="G33" s="229">
        <v>-4.91</v>
      </c>
      <c r="H33" s="229">
        <v>5</v>
      </c>
      <c r="I33" s="230"/>
      <c r="J33" s="228">
        <v>14.19</v>
      </c>
      <c r="K33" s="229">
        <v>-4.91</v>
      </c>
      <c r="L33" s="228">
        <v>8.01</v>
      </c>
      <c r="M33" s="214"/>
      <c r="N33" s="214"/>
      <c r="O33" s="214"/>
      <c r="P33" s="214"/>
      <c r="Q33" s="214"/>
    </row>
    <row r="34" spans="1:17" s="215" customFormat="1" ht="4.5" customHeight="1">
      <c r="A34" s="231"/>
      <c r="B34" s="228"/>
      <c r="C34" s="229"/>
      <c r="D34" s="228"/>
      <c r="E34" s="230"/>
      <c r="F34" s="228"/>
      <c r="G34" s="229"/>
      <c r="H34" s="229"/>
      <c r="I34" s="230"/>
      <c r="J34" s="228"/>
      <c r="K34" s="229"/>
      <c r="L34" s="228"/>
      <c r="M34" s="214"/>
      <c r="N34" s="214"/>
      <c r="O34" s="214"/>
      <c r="P34" s="214"/>
      <c r="Q34" s="214"/>
    </row>
    <row r="35" spans="1:17" s="215" customFormat="1" ht="10.5" customHeight="1">
      <c r="A35" s="227" t="s">
        <v>84</v>
      </c>
      <c r="B35" s="228">
        <v>18.21</v>
      </c>
      <c r="C35" s="229">
        <v>-5.03</v>
      </c>
      <c r="D35" s="228">
        <v>8.35</v>
      </c>
      <c r="E35" s="230"/>
      <c r="F35" s="228">
        <v>16.11</v>
      </c>
      <c r="G35" s="229">
        <v>-5.03</v>
      </c>
      <c r="H35" s="229">
        <v>6.64</v>
      </c>
      <c r="I35" s="230"/>
      <c r="J35" s="228">
        <v>18</v>
      </c>
      <c r="K35" s="229">
        <v>-5.03</v>
      </c>
      <c r="L35" s="228">
        <v>8.17</v>
      </c>
      <c r="M35" s="214"/>
      <c r="N35" s="214"/>
      <c r="O35" s="214"/>
      <c r="P35" s="214"/>
      <c r="Q35" s="214"/>
    </row>
    <row r="36" spans="1:17" s="215" customFormat="1" ht="10.5" customHeight="1">
      <c r="A36" s="227" t="s">
        <v>85</v>
      </c>
      <c r="B36" s="228">
        <v>18.420000000000002</v>
      </c>
      <c r="C36" s="229">
        <v>-5.68</v>
      </c>
      <c r="D36" s="228">
        <v>11.72</v>
      </c>
      <c r="E36" s="230"/>
      <c r="F36" s="228">
        <v>11.42</v>
      </c>
      <c r="G36" s="229">
        <v>-5.71</v>
      </c>
      <c r="H36" s="229">
        <v>4.0599999999999996</v>
      </c>
      <c r="I36" s="230"/>
      <c r="J36" s="228">
        <v>17.579999999999998</v>
      </c>
      <c r="K36" s="229">
        <v>-5.69</v>
      </c>
      <c r="L36" s="228">
        <v>10.59</v>
      </c>
      <c r="M36" s="214"/>
      <c r="N36" s="214"/>
      <c r="O36" s="214"/>
      <c r="P36" s="214"/>
      <c r="Q36" s="214"/>
    </row>
    <row r="37" spans="1:17" s="215" customFormat="1" ht="10.5" customHeight="1">
      <c r="A37" s="227" t="s">
        <v>86</v>
      </c>
      <c r="B37" s="228">
        <v>30.71</v>
      </c>
      <c r="C37" s="229">
        <v>-5.84</v>
      </c>
      <c r="D37" s="228">
        <v>15.89</v>
      </c>
      <c r="E37" s="230"/>
      <c r="F37" s="228">
        <v>23.81</v>
      </c>
      <c r="G37" s="229">
        <v>-5.84</v>
      </c>
      <c r="H37" s="229">
        <v>16.63</v>
      </c>
      <c r="I37" s="230"/>
      <c r="J37" s="228">
        <v>29.7</v>
      </c>
      <c r="K37" s="229">
        <v>-5.84</v>
      </c>
      <c r="L37" s="228">
        <v>15.98</v>
      </c>
      <c r="M37" s="214"/>
      <c r="N37" s="214"/>
      <c r="O37" s="214"/>
      <c r="P37" s="214"/>
      <c r="Q37" s="214"/>
    </row>
    <row r="38" spans="1:17" s="215" customFormat="1" ht="10.5" customHeight="1">
      <c r="A38" s="227" t="s">
        <v>87</v>
      </c>
      <c r="B38" s="228">
        <v>45.1</v>
      </c>
      <c r="C38" s="229">
        <v>-5.97</v>
      </c>
      <c r="D38" s="228">
        <v>26.47</v>
      </c>
      <c r="E38" s="230"/>
      <c r="F38" s="228">
        <v>45.6</v>
      </c>
      <c r="G38" s="229">
        <v>-5.97</v>
      </c>
      <c r="H38" s="229">
        <v>27.79</v>
      </c>
      <c r="I38" s="230"/>
      <c r="J38" s="228">
        <v>45.15</v>
      </c>
      <c r="K38" s="229">
        <v>-5.97</v>
      </c>
      <c r="L38" s="228">
        <v>26.59</v>
      </c>
      <c r="M38" s="214"/>
      <c r="N38" s="214"/>
      <c r="O38" s="214"/>
      <c r="P38" s="214"/>
      <c r="Q38" s="214"/>
    </row>
    <row r="39" spans="1:17" s="215" customFormat="1" ht="10.5" customHeight="1">
      <c r="A39" s="227" t="s">
        <v>88</v>
      </c>
      <c r="B39" s="228">
        <v>16.68</v>
      </c>
      <c r="C39" s="232" t="s">
        <v>121</v>
      </c>
      <c r="D39" s="228">
        <v>8.9</v>
      </c>
      <c r="E39" s="230"/>
      <c r="F39" s="228">
        <v>16.38</v>
      </c>
      <c r="G39" s="232" t="s">
        <v>121</v>
      </c>
      <c r="H39" s="229">
        <v>4.24</v>
      </c>
      <c r="I39" s="230"/>
      <c r="J39" s="228">
        <v>16.66</v>
      </c>
      <c r="K39" s="232" t="s">
        <v>121</v>
      </c>
      <c r="L39" s="228">
        <v>8.32</v>
      </c>
      <c r="M39" s="214"/>
      <c r="N39" s="214"/>
      <c r="O39" s="214"/>
      <c r="P39" s="214"/>
      <c r="Q39" s="214"/>
    </row>
    <row r="40" spans="1:17" s="234" customFormat="1" ht="10.5" customHeight="1">
      <c r="A40" s="227" t="s">
        <v>89</v>
      </c>
      <c r="B40" s="232" t="s">
        <v>121</v>
      </c>
      <c r="C40" s="232" t="s">
        <v>121</v>
      </c>
      <c r="D40" s="233">
        <v>11.52</v>
      </c>
      <c r="E40" s="230"/>
      <c r="F40" s="232" t="s">
        <v>121</v>
      </c>
      <c r="G40" s="232" t="s">
        <v>121</v>
      </c>
      <c r="H40" s="229">
        <v>9.14</v>
      </c>
      <c r="I40" s="230"/>
      <c r="J40" s="232" t="s">
        <v>121</v>
      </c>
      <c r="K40" s="232" t="s">
        <v>121</v>
      </c>
      <c r="L40" s="228">
        <v>11.29</v>
      </c>
      <c r="M40" s="219"/>
      <c r="N40" s="219"/>
      <c r="O40" s="219"/>
      <c r="P40" s="219"/>
      <c r="Q40" s="219"/>
    </row>
    <row r="41" spans="1:17" s="234" customFormat="1" ht="10.5" customHeight="1">
      <c r="A41" s="227" t="s">
        <v>91</v>
      </c>
      <c r="B41" s="232" t="s">
        <v>121</v>
      </c>
      <c r="C41" s="232" t="s">
        <v>121</v>
      </c>
      <c r="D41" s="233">
        <v>11.31</v>
      </c>
      <c r="E41" s="230"/>
      <c r="F41" s="232" t="s">
        <v>121</v>
      </c>
      <c r="G41" s="232" t="s">
        <v>121</v>
      </c>
      <c r="H41" s="229">
        <v>7.87</v>
      </c>
      <c r="I41" s="230"/>
      <c r="J41" s="232" t="s">
        <v>121</v>
      </c>
      <c r="K41" s="232" t="s">
        <v>121</v>
      </c>
      <c r="L41" s="228">
        <v>10.93</v>
      </c>
      <c r="M41" s="219"/>
      <c r="N41" s="219"/>
      <c r="O41" s="219"/>
      <c r="P41" s="219"/>
      <c r="Q41" s="219"/>
    </row>
    <row r="42" spans="1:17" s="234" customFormat="1" ht="3" customHeight="1">
      <c r="A42" s="227"/>
      <c r="B42" s="232"/>
      <c r="C42" s="232"/>
      <c r="D42" s="233"/>
      <c r="E42" s="230"/>
      <c r="F42" s="232"/>
      <c r="G42" s="232"/>
      <c r="H42" s="229"/>
      <c r="I42" s="230"/>
      <c r="J42" s="232"/>
      <c r="K42" s="232"/>
      <c r="L42" s="228"/>
      <c r="M42" s="219"/>
      <c r="N42" s="219"/>
      <c r="O42" s="219"/>
      <c r="P42" s="219"/>
      <c r="Q42" s="219"/>
    </row>
    <row r="43" spans="1:17" s="234" customFormat="1" ht="10.5" customHeight="1">
      <c r="A43" s="227" t="s">
        <v>92</v>
      </c>
      <c r="B43" s="232" t="s">
        <v>121</v>
      </c>
      <c r="C43" s="232" t="s">
        <v>121</v>
      </c>
      <c r="D43" s="233">
        <v>15.27</v>
      </c>
      <c r="E43" s="230"/>
      <c r="F43" s="232" t="s">
        <v>121</v>
      </c>
      <c r="G43" s="232" t="s">
        <v>121</v>
      </c>
      <c r="H43" s="229">
        <v>11.27</v>
      </c>
      <c r="I43" s="230"/>
      <c r="J43" s="232" t="s">
        <v>121</v>
      </c>
      <c r="K43" s="232" t="s">
        <v>121</v>
      </c>
      <c r="L43" s="228">
        <v>15.13</v>
      </c>
      <c r="M43" s="219"/>
      <c r="N43" s="219"/>
      <c r="O43" s="219"/>
      <c r="P43" s="219"/>
      <c r="Q43" s="219"/>
    </row>
    <row r="44" spans="1:17" s="234" customFormat="1" ht="10.5" customHeight="1">
      <c r="A44" s="227" t="s">
        <v>93</v>
      </c>
      <c r="B44" s="232" t="s">
        <v>121</v>
      </c>
      <c r="C44" s="232" t="s">
        <v>121</v>
      </c>
      <c r="D44" s="233">
        <v>12.1</v>
      </c>
      <c r="E44" s="230"/>
      <c r="F44" s="232" t="s">
        <v>121</v>
      </c>
      <c r="G44" s="232" t="s">
        <v>121</v>
      </c>
      <c r="H44" s="229">
        <v>11.36</v>
      </c>
      <c r="I44" s="230"/>
      <c r="J44" s="232" t="s">
        <v>121</v>
      </c>
      <c r="K44" s="232" t="s">
        <v>121</v>
      </c>
      <c r="L44" s="228">
        <v>12.05</v>
      </c>
      <c r="M44" s="219"/>
      <c r="N44" s="219"/>
      <c r="O44" s="219"/>
      <c r="P44" s="219"/>
      <c r="Q44" s="219"/>
    </row>
    <row r="45" spans="1:17" s="234" customFormat="1" ht="10.5" customHeight="1">
      <c r="A45" s="227" t="s">
        <v>94</v>
      </c>
      <c r="B45" s="232" t="s">
        <v>121</v>
      </c>
      <c r="C45" s="232" t="s">
        <v>121</v>
      </c>
      <c r="D45" s="232" t="s">
        <v>121</v>
      </c>
      <c r="E45" s="230"/>
      <c r="F45" s="232" t="s">
        <v>121</v>
      </c>
      <c r="G45" s="232" t="s">
        <v>121</v>
      </c>
      <c r="H45" s="232" t="s">
        <v>121</v>
      </c>
      <c r="I45" s="230"/>
      <c r="J45" s="232" t="s">
        <v>121</v>
      </c>
      <c r="K45" s="232" t="s">
        <v>121</v>
      </c>
      <c r="L45" s="228">
        <v>25.4</v>
      </c>
      <c r="M45" s="219"/>
      <c r="N45" s="219"/>
      <c r="O45" s="219"/>
      <c r="P45" s="219"/>
      <c r="Q45" s="219"/>
    </row>
    <row r="46" spans="1:17" s="215" customFormat="1" ht="10.5" customHeight="1">
      <c r="A46" s="227" t="s">
        <v>95</v>
      </c>
      <c r="B46" s="232" t="s">
        <v>121</v>
      </c>
      <c r="C46" s="232" t="s">
        <v>121</v>
      </c>
      <c r="D46" s="232" t="s">
        <v>121</v>
      </c>
      <c r="E46" s="230"/>
      <c r="F46" s="232" t="s">
        <v>121</v>
      </c>
      <c r="G46" s="232" t="s">
        <v>121</v>
      </c>
      <c r="H46" s="232" t="s">
        <v>121</v>
      </c>
      <c r="I46" s="230"/>
      <c r="J46" s="232" t="s">
        <v>121</v>
      </c>
      <c r="K46" s="232" t="s">
        <v>121</v>
      </c>
      <c r="L46" s="228">
        <v>25.1</v>
      </c>
      <c r="M46" s="214"/>
      <c r="N46" s="214"/>
      <c r="O46" s="214"/>
      <c r="P46" s="214"/>
      <c r="Q46" s="214"/>
    </row>
    <row r="47" spans="1:17" s="215" customFormat="1" ht="10.5" customHeight="1">
      <c r="A47" s="227" t="s">
        <v>290</v>
      </c>
      <c r="B47" s="232" t="s">
        <v>121</v>
      </c>
      <c r="C47" s="232" t="s">
        <v>121</v>
      </c>
      <c r="D47" s="232" t="s">
        <v>121</v>
      </c>
      <c r="E47" s="230"/>
      <c r="F47" s="232" t="s">
        <v>121</v>
      </c>
      <c r="G47" s="232" t="s">
        <v>121</v>
      </c>
      <c r="H47" s="232" t="s">
        <v>121</v>
      </c>
      <c r="I47" s="230"/>
      <c r="J47" s="232" t="s">
        <v>121</v>
      </c>
      <c r="K47" s="232" t="s">
        <v>121</v>
      </c>
      <c r="L47" s="228">
        <v>27.44</v>
      </c>
      <c r="M47" s="214"/>
      <c r="N47" s="214"/>
      <c r="O47" s="214"/>
      <c r="P47" s="214"/>
      <c r="Q47" s="214"/>
    </row>
    <row r="48" spans="1:17" s="215" customFormat="1" ht="10.5" customHeight="1">
      <c r="A48" s="227" t="s">
        <v>299</v>
      </c>
      <c r="B48" s="232" t="s">
        <v>121</v>
      </c>
      <c r="C48" s="232" t="s">
        <v>121</v>
      </c>
      <c r="D48" s="233">
        <v>28.88</v>
      </c>
      <c r="E48" s="230"/>
      <c r="F48" s="232" t="s">
        <v>121</v>
      </c>
      <c r="G48" s="232" t="s">
        <v>121</v>
      </c>
      <c r="H48" s="233">
        <v>23.46</v>
      </c>
      <c r="I48" s="230"/>
      <c r="J48" s="232" t="s">
        <v>121</v>
      </c>
      <c r="K48" s="232" t="s">
        <v>121</v>
      </c>
      <c r="L48" s="228">
        <v>28.5</v>
      </c>
      <c r="M48" s="214"/>
      <c r="N48" s="214"/>
      <c r="O48" s="214"/>
      <c r="P48" s="214"/>
      <c r="Q48" s="214"/>
    </row>
    <row r="49" spans="1:17" s="215" customFormat="1" ht="10.5" customHeight="1">
      <c r="A49" s="227" t="s">
        <v>313</v>
      </c>
      <c r="B49" s="232" t="s">
        <v>121</v>
      </c>
      <c r="C49" s="232" t="s">
        <v>121</v>
      </c>
      <c r="D49" s="233">
        <v>25.94</v>
      </c>
      <c r="E49" s="230"/>
      <c r="F49" s="232" t="s">
        <v>121</v>
      </c>
      <c r="G49" s="232" t="s">
        <v>121</v>
      </c>
      <c r="H49" s="233">
        <v>27.94</v>
      </c>
      <c r="I49" s="230"/>
      <c r="J49" s="232" t="s">
        <v>121</v>
      </c>
      <c r="K49" s="232" t="s">
        <v>121</v>
      </c>
      <c r="L49" s="228">
        <v>26.03</v>
      </c>
      <c r="M49" s="214"/>
      <c r="N49" s="214"/>
      <c r="O49" s="214"/>
      <c r="P49" s="214"/>
      <c r="Q49" s="214"/>
    </row>
    <row r="50" spans="1:17" s="215" customFormat="1" ht="10.5" customHeight="1">
      <c r="A50" s="235" t="s">
        <v>320</v>
      </c>
      <c r="B50" s="236" t="s">
        <v>121</v>
      </c>
      <c r="C50" s="236" t="s">
        <v>121</v>
      </c>
      <c r="D50" s="472">
        <v>21.96</v>
      </c>
      <c r="E50" s="237"/>
      <c r="F50" s="236" t="s">
        <v>121</v>
      </c>
      <c r="G50" s="236" t="s">
        <v>121</v>
      </c>
      <c r="H50" s="472">
        <v>24.68</v>
      </c>
      <c r="I50" s="237"/>
      <c r="J50" s="236" t="s">
        <v>121</v>
      </c>
      <c r="K50" s="236" t="s">
        <v>121</v>
      </c>
      <c r="L50" s="238">
        <v>22.11</v>
      </c>
      <c r="M50" s="214"/>
      <c r="N50" s="214"/>
      <c r="O50" s="214"/>
      <c r="P50" s="214"/>
      <c r="Q50" s="214"/>
    </row>
    <row r="51" spans="1:17" s="215" customFormat="1" ht="11.25">
      <c r="A51" s="239" t="s">
        <v>203</v>
      </c>
      <c r="B51" s="228"/>
      <c r="C51" s="232"/>
      <c r="D51" s="228"/>
      <c r="E51" s="230"/>
      <c r="F51" s="228"/>
      <c r="G51" s="232"/>
      <c r="H51" s="229"/>
      <c r="I51" s="230"/>
      <c r="J51" s="228"/>
      <c r="K51" s="232"/>
      <c r="L51" s="228"/>
      <c r="M51" s="214"/>
      <c r="N51" s="214"/>
      <c r="O51" s="214"/>
      <c r="P51" s="214"/>
      <c r="Q51" s="214"/>
    </row>
    <row r="52" spans="1:17" s="215" customFormat="1" ht="11.25">
      <c r="A52" s="240" t="s">
        <v>204</v>
      </c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</row>
    <row r="53" spans="1:17" s="215" customFormat="1" ht="11.25">
      <c r="A53" s="215" t="s">
        <v>205</v>
      </c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</row>
    <row r="54" spans="1:17" ht="11.25">
      <c r="A54" s="39" t="s">
        <v>127</v>
      </c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</row>
    <row r="55" spans="1:17">
      <c r="B55" s="243" t="s">
        <v>29</v>
      </c>
    </row>
  </sheetData>
  <pageMargins left="0.66700000000000004" right="0.66700000000000004" top="0.66700000000000004" bottom="0.72" header="0" footer="0"/>
  <pageSetup firstPageNumber="85" orientation="portrait" useFirstPageNumber="1" copies="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0"/>
  <sheetViews>
    <sheetView showGridLines="0" view="pageBreakPreview" zoomScale="60" zoomScaleNormal="100" workbookViewId="0"/>
  </sheetViews>
  <sheetFormatPr defaultColWidth="9.7109375" defaultRowHeight="12"/>
  <cols>
    <col min="1" max="1" width="8.7109375" customWidth="1"/>
    <col min="2" max="13" width="7.7109375" customWidth="1"/>
  </cols>
  <sheetData>
    <row r="1" spans="1:15" ht="10.9" customHeight="1">
      <c r="A1" s="244" t="s">
        <v>295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6"/>
      <c r="N1" s="247"/>
      <c r="O1" s="247"/>
    </row>
    <row r="2" spans="1:15">
      <c r="A2" s="248" t="s">
        <v>128</v>
      </c>
      <c r="B2" s="249" t="s">
        <v>139</v>
      </c>
      <c r="C2" s="249" t="s">
        <v>140</v>
      </c>
      <c r="D2" s="249" t="s">
        <v>129</v>
      </c>
      <c r="E2" s="249" t="s">
        <v>130</v>
      </c>
      <c r="F2" s="249" t="s">
        <v>131</v>
      </c>
      <c r="G2" s="249" t="s">
        <v>132</v>
      </c>
      <c r="H2" s="249" t="s">
        <v>133</v>
      </c>
      <c r="I2" s="249" t="s">
        <v>134</v>
      </c>
      <c r="J2" s="249" t="s">
        <v>206</v>
      </c>
      <c r="K2" s="249" t="s">
        <v>136</v>
      </c>
      <c r="L2" s="249" t="s">
        <v>137</v>
      </c>
      <c r="M2" s="249" t="s">
        <v>138</v>
      </c>
      <c r="N2" s="247"/>
      <c r="O2" s="247"/>
    </row>
    <row r="3" spans="1:15" ht="3.95" customHeight="1">
      <c r="A3" s="250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47"/>
      <c r="O3" s="247"/>
    </row>
    <row r="4" spans="1:15" ht="12" customHeight="1">
      <c r="A4" s="252"/>
      <c r="B4" s="253" t="s">
        <v>141</v>
      </c>
      <c r="C4" s="254"/>
      <c r="D4" s="254"/>
      <c r="E4" s="254"/>
      <c r="F4" s="254"/>
      <c r="G4" s="70"/>
      <c r="H4" s="254"/>
      <c r="I4" s="254"/>
      <c r="J4" s="254"/>
      <c r="K4" s="254"/>
      <c r="L4" s="254"/>
      <c r="M4" s="247"/>
      <c r="N4" s="247"/>
      <c r="O4" s="247"/>
    </row>
    <row r="5" spans="1:15" ht="3" customHeight="1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47"/>
      <c r="N5" s="247"/>
      <c r="O5" s="247"/>
    </row>
    <row r="6" spans="1:15" ht="10.5" customHeight="1">
      <c r="A6" s="255" t="s">
        <v>14</v>
      </c>
      <c r="B6" s="256">
        <v>7.83</v>
      </c>
      <c r="C6" s="256">
        <v>4.99</v>
      </c>
      <c r="D6" s="256">
        <v>2.4300000000000002</v>
      </c>
      <c r="E6" s="256">
        <v>1.37</v>
      </c>
      <c r="F6" s="256">
        <v>0.77</v>
      </c>
      <c r="G6" s="256">
        <v>0.22</v>
      </c>
      <c r="H6" s="256">
        <v>0.1</v>
      </c>
      <c r="I6" s="256">
        <v>0.05</v>
      </c>
      <c r="J6" s="256">
        <v>0.36</v>
      </c>
      <c r="K6" s="134" t="s">
        <v>120</v>
      </c>
      <c r="L6" s="134" t="s">
        <v>120</v>
      </c>
      <c r="M6" s="134" t="s">
        <v>120</v>
      </c>
      <c r="N6" s="247"/>
      <c r="O6" s="247"/>
    </row>
    <row r="7" spans="1:15" ht="10.5" customHeight="1">
      <c r="A7" s="255" t="s">
        <v>15</v>
      </c>
      <c r="B7" s="256">
        <v>6.41</v>
      </c>
      <c r="C7" s="256">
        <v>0.81</v>
      </c>
      <c r="D7" s="256">
        <v>0.3</v>
      </c>
      <c r="E7" s="256">
        <v>0.01</v>
      </c>
      <c r="F7" s="256">
        <v>0.56000000000000005</v>
      </c>
      <c r="G7" s="256">
        <v>1.41</v>
      </c>
      <c r="H7" s="256">
        <v>1.65</v>
      </c>
      <c r="I7" s="256">
        <v>0.41</v>
      </c>
      <c r="J7" s="134" t="s">
        <v>120</v>
      </c>
      <c r="K7" s="134" t="s">
        <v>120</v>
      </c>
      <c r="L7" s="134" t="s">
        <v>120</v>
      </c>
      <c r="M7" s="134" t="s">
        <v>120</v>
      </c>
      <c r="N7" s="247"/>
      <c r="O7" s="247"/>
    </row>
    <row r="8" spans="1:15" ht="10.5" customHeight="1">
      <c r="A8" s="255" t="s">
        <v>16</v>
      </c>
      <c r="B8" s="256">
        <v>5.65</v>
      </c>
      <c r="C8" s="256">
        <v>1.65</v>
      </c>
      <c r="D8" s="256">
        <v>1.4</v>
      </c>
      <c r="E8" s="256">
        <v>0.55000000000000004</v>
      </c>
      <c r="F8" s="256">
        <v>0.22</v>
      </c>
      <c r="G8" s="256">
        <v>0.37</v>
      </c>
      <c r="H8" s="256">
        <v>0.19</v>
      </c>
      <c r="I8" s="256">
        <v>0.03</v>
      </c>
      <c r="J8" s="134" t="s">
        <v>120</v>
      </c>
      <c r="K8" s="134" t="s">
        <v>120</v>
      </c>
      <c r="L8" s="134" t="s">
        <v>120</v>
      </c>
      <c r="M8" s="134" t="s">
        <v>120</v>
      </c>
      <c r="N8" s="247"/>
      <c r="O8" s="247"/>
    </row>
    <row r="9" spans="1:15" ht="10.5" customHeight="1">
      <c r="A9" s="255" t="s">
        <v>17</v>
      </c>
      <c r="B9" s="256">
        <v>5.92</v>
      </c>
      <c r="C9" s="256">
        <v>3.38</v>
      </c>
      <c r="D9" s="256">
        <v>1.18</v>
      </c>
      <c r="E9" s="256">
        <v>0.56000000000000005</v>
      </c>
      <c r="F9" s="256">
        <v>0.14000000000000001</v>
      </c>
      <c r="G9" s="256">
        <v>0.14000000000000001</v>
      </c>
      <c r="H9" s="256">
        <v>0.71</v>
      </c>
      <c r="I9" s="256">
        <v>1.41</v>
      </c>
      <c r="J9" s="256">
        <v>4.34</v>
      </c>
      <c r="K9" s="134" t="s">
        <v>120</v>
      </c>
      <c r="L9" s="134" t="s">
        <v>120</v>
      </c>
      <c r="M9" s="134" t="s">
        <v>120</v>
      </c>
      <c r="N9" s="247"/>
      <c r="O9" s="247"/>
    </row>
    <row r="10" spans="1:15" ht="10.5" customHeight="1">
      <c r="A10" s="255" t="s">
        <v>18</v>
      </c>
      <c r="B10" s="256">
        <v>7.32</v>
      </c>
      <c r="C10" s="256">
        <v>2.5499999999999998</v>
      </c>
      <c r="D10" s="256">
        <v>1.3</v>
      </c>
      <c r="E10" s="256">
        <v>1.75</v>
      </c>
      <c r="F10" s="256">
        <v>0.89</v>
      </c>
      <c r="G10" s="256">
        <v>-0.01</v>
      </c>
      <c r="H10" s="256">
        <v>-1.1499999999999999</v>
      </c>
      <c r="I10" s="256">
        <v>-1.06</v>
      </c>
      <c r="J10" s="134" t="s">
        <v>120</v>
      </c>
      <c r="K10" s="134" t="s">
        <v>120</v>
      </c>
      <c r="L10" s="134" t="s">
        <v>120</v>
      </c>
      <c r="M10" s="134" t="s">
        <v>120</v>
      </c>
      <c r="N10" s="247"/>
      <c r="O10" s="247"/>
    </row>
    <row r="11" spans="1:15" ht="10.5" customHeight="1">
      <c r="A11" s="255" t="s">
        <v>19</v>
      </c>
      <c r="B11" s="256">
        <v>27.05</v>
      </c>
      <c r="C11" s="256">
        <v>30.22</v>
      </c>
      <c r="D11" s="256">
        <v>10.16</v>
      </c>
      <c r="E11" s="256">
        <v>6.78</v>
      </c>
      <c r="F11" s="256">
        <v>5</v>
      </c>
      <c r="G11" s="256">
        <v>1.88</v>
      </c>
      <c r="H11" s="256">
        <v>-0.49</v>
      </c>
      <c r="I11" s="256">
        <v>-0.81</v>
      </c>
      <c r="J11" s="256">
        <v>10.1</v>
      </c>
      <c r="K11" s="134" t="s">
        <v>120</v>
      </c>
      <c r="L11" s="134" t="s">
        <v>120</v>
      </c>
      <c r="M11" s="134" t="s">
        <v>120</v>
      </c>
      <c r="N11" s="247"/>
      <c r="O11" s="247"/>
    </row>
    <row r="12" spans="1:15" ht="3" customHeight="1">
      <c r="A12" s="255"/>
      <c r="B12" s="256"/>
      <c r="C12" s="256"/>
      <c r="D12" s="256"/>
      <c r="E12" s="256"/>
      <c r="F12" s="256"/>
      <c r="G12" s="256"/>
      <c r="H12" s="256"/>
      <c r="I12" s="256"/>
      <c r="J12" s="256"/>
      <c r="K12" s="134"/>
      <c r="L12" s="134"/>
      <c r="M12" s="134"/>
      <c r="N12" s="247"/>
      <c r="O12" s="247"/>
    </row>
    <row r="13" spans="1:15" ht="10.5" customHeight="1">
      <c r="A13" s="255" t="s">
        <v>20</v>
      </c>
      <c r="B13" s="256">
        <v>2.27</v>
      </c>
      <c r="C13" s="256">
        <v>3.37</v>
      </c>
      <c r="D13" s="256">
        <v>2.41</v>
      </c>
      <c r="E13" s="256">
        <v>1.7</v>
      </c>
      <c r="F13" s="256">
        <v>0.83</v>
      </c>
      <c r="G13" s="256">
        <v>0.47</v>
      </c>
      <c r="H13" s="256">
        <v>-0.09</v>
      </c>
      <c r="I13" s="256">
        <v>-0.78</v>
      </c>
      <c r="J13" s="256">
        <v>-2.3199999999999998</v>
      </c>
      <c r="K13" s="134" t="s">
        <v>120</v>
      </c>
      <c r="L13" s="134" t="s">
        <v>120</v>
      </c>
      <c r="M13" s="134" t="s">
        <v>120</v>
      </c>
      <c r="N13" s="247"/>
      <c r="O13" s="247"/>
    </row>
    <row r="14" spans="1:15" ht="10.5" customHeight="1">
      <c r="A14" s="255" t="s">
        <v>21</v>
      </c>
      <c r="B14" s="256">
        <v>10.77</v>
      </c>
      <c r="C14" s="256">
        <v>9.6199999999999992</v>
      </c>
      <c r="D14" s="256">
        <v>6.96</v>
      </c>
      <c r="E14" s="256">
        <v>3.63</v>
      </c>
      <c r="F14" s="256">
        <v>1.58</v>
      </c>
      <c r="G14" s="256">
        <v>2.29</v>
      </c>
      <c r="H14" s="256">
        <v>5.72</v>
      </c>
      <c r="I14" s="256">
        <v>-1.28</v>
      </c>
      <c r="J14" s="134" t="s">
        <v>120</v>
      </c>
      <c r="K14" s="134" t="s">
        <v>120</v>
      </c>
      <c r="L14" s="134" t="s">
        <v>120</v>
      </c>
      <c r="M14" s="134" t="s">
        <v>120</v>
      </c>
      <c r="N14" s="247"/>
      <c r="O14" s="247"/>
    </row>
    <row r="15" spans="1:15" ht="10.5" customHeight="1">
      <c r="A15" s="255" t="s">
        <v>142</v>
      </c>
      <c r="B15" s="256">
        <v>12.39</v>
      </c>
      <c r="C15" s="256">
        <v>8.86</v>
      </c>
      <c r="D15" s="256">
        <v>6.02</v>
      </c>
      <c r="E15" s="256">
        <v>4.18</v>
      </c>
      <c r="F15" s="256">
        <v>3.1</v>
      </c>
      <c r="G15" s="256">
        <v>1.66</v>
      </c>
      <c r="H15" s="256">
        <v>4.5599999999999996</v>
      </c>
      <c r="I15" s="134" t="s">
        <v>120</v>
      </c>
      <c r="J15" s="134" t="s">
        <v>120</v>
      </c>
      <c r="K15" s="134" t="s">
        <v>120</v>
      </c>
      <c r="L15" s="134" t="s">
        <v>120</v>
      </c>
      <c r="M15" s="134" t="s">
        <v>120</v>
      </c>
      <c r="N15" s="247"/>
      <c r="O15" s="247"/>
    </row>
    <row r="16" spans="1:15" ht="10.5" customHeight="1">
      <c r="A16" s="255" t="s">
        <v>143</v>
      </c>
      <c r="B16" s="256">
        <v>18.89</v>
      </c>
      <c r="C16" s="256">
        <v>16.72</v>
      </c>
      <c r="D16" s="256">
        <v>10.220000000000001</v>
      </c>
      <c r="E16" s="256">
        <v>6.65</v>
      </c>
      <c r="F16" s="256">
        <v>6.59</v>
      </c>
      <c r="G16" s="256">
        <v>6.21</v>
      </c>
      <c r="H16" s="134" t="s">
        <v>120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 t="s">
        <v>120</v>
      </c>
      <c r="N16" s="247"/>
      <c r="O16" s="247"/>
    </row>
    <row r="17" spans="1:15" ht="10.5" customHeight="1">
      <c r="A17" s="255" t="s">
        <v>144</v>
      </c>
      <c r="B17" s="256">
        <v>15.08</v>
      </c>
      <c r="C17" s="256">
        <v>12.25</v>
      </c>
      <c r="D17" s="256">
        <v>5.12</v>
      </c>
      <c r="E17" s="256">
        <v>3.26</v>
      </c>
      <c r="F17" s="256">
        <v>10.35</v>
      </c>
      <c r="G17" s="256">
        <v>8.42</v>
      </c>
      <c r="H17" s="256">
        <v>12.09</v>
      </c>
      <c r="I17" s="134" t="s">
        <v>120</v>
      </c>
      <c r="J17" s="134" t="s">
        <v>120</v>
      </c>
      <c r="K17" s="134" t="s">
        <v>120</v>
      </c>
      <c r="L17" s="134" t="s">
        <v>120</v>
      </c>
      <c r="M17" s="134" t="s">
        <v>120</v>
      </c>
      <c r="N17" s="247"/>
      <c r="O17" s="247"/>
    </row>
    <row r="18" spans="1:15" ht="10.5" customHeight="1">
      <c r="A18" s="255" t="s">
        <v>25</v>
      </c>
      <c r="B18" s="256">
        <v>28.92</v>
      </c>
      <c r="C18" s="256">
        <v>21.69</v>
      </c>
      <c r="D18" s="256">
        <v>12.82</v>
      </c>
      <c r="E18" s="256">
        <v>5.59</v>
      </c>
      <c r="F18" s="256">
        <v>4.21</v>
      </c>
      <c r="G18" s="256">
        <v>2.06</v>
      </c>
      <c r="H18" s="256">
        <v>1.61</v>
      </c>
      <c r="I18" s="256">
        <v>1.55</v>
      </c>
      <c r="J18" s="134" t="s">
        <v>120</v>
      </c>
      <c r="K18" s="134" t="s">
        <v>120</v>
      </c>
      <c r="L18" s="134" t="s">
        <v>120</v>
      </c>
      <c r="M18" s="256">
        <v>17.72</v>
      </c>
      <c r="N18" s="247"/>
      <c r="O18" s="247"/>
    </row>
    <row r="19" spans="1:15" ht="3" customHeight="1">
      <c r="A19" s="255"/>
      <c r="B19" s="256"/>
      <c r="C19" s="256"/>
      <c r="D19" s="256"/>
      <c r="E19" s="256"/>
      <c r="F19" s="256"/>
      <c r="G19" s="256"/>
      <c r="H19" s="256"/>
      <c r="I19" s="256"/>
      <c r="J19" s="134"/>
      <c r="K19" s="134"/>
      <c r="L19" s="134"/>
      <c r="N19" s="247"/>
      <c r="O19" s="247"/>
    </row>
    <row r="20" spans="1:15" ht="10.5" customHeight="1">
      <c r="A20" s="255" t="s">
        <v>26</v>
      </c>
      <c r="B20" s="256">
        <v>12.96</v>
      </c>
      <c r="C20" s="256">
        <v>6.16</v>
      </c>
      <c r="D20" s="256">
        <v>2.98</v>
      </c>
      <c r="E20" s="256">
        <v>3.14</v>
      </c>
      <c r="F20" s="256">
        <v>3.01</v>
      </c>
      <c r="G20" s="256">
        <v>2.2799999999999998</v>
      </c>
      <c r="H20" s="256">
        <v>1.57</v>
      </c>
      <c r="I20" s="256">
        <v>2.1</v>
      </c>
      <c r="J20" s="134" t="s">
        <v>120</v>
      </c>
      <c r="K20" s="134" t="s">
        <v>120</v>
      </c>
      <c r="L20" s="134" t="s">
        <v>120</v>
      </c>
      <c r="M20" s="256">
        <v>40.32</v>
      </c>
      <c r="N20" s="247"/>
      <c r="O20" s="247"/>
    </row>
    <row r="21" spans="1:15" ht="10.5" customHeight="1">
      <c r="A21" s="255" t="s">
        <v>27</v>
      </c>
      <c r="B21" s="256">
        <v>31.83</v>
      </c>
      <c r="C21" s="256">
        <v>15.82</v>
      </c>
      <c r="D21" s="256">
        <v>4.46</v>
      </c>
      <c r="E21" s="256">
        <v>2.16</v>
      </c>
      <c r="F21" s="256">
        <v>1.04</v>
      </c>
      <c r="G21" s="256">
        <v>-0.15</v>
      </c>
      <c r="H21" s="256">
        <v>-0.67</v>
      </c>
      <c r="I21" s="256">
        <v>-0.27</v>
      </c>
      <c r="J21" s="134" t="s">
        <v>120</v>
      </c>
      <c r="K21" s="134" t="s">
        <v>120</v>
      </c>
      <c r="L21" s="134" t="s">
        <v>120</v>
      </c>
      <c r="M21" s="134" t="s">
        <v>120</v>
      </c>
      <c r="N21" s="247"/>
      <c r="O21" s="247"/>
    </row>
    <row r="22" spans="1:15" ht="10.5" customHeight="1">
      <c r="A22" s="255" t="s">
        <v>28</v>
      </c>
      <c r="B22" s="256">
        <v>27.78</v>
      </c>
      <c r="C22" s="256">
        <v>10.92</v>
      </c>
      <c r="D22" s="256">
        <v>5.38</v>
      </c>
      <c r="E22" s="256">
        <v>4.03</v>
      </c>
      <c r="F22" s="257">
        <v>3.48</v>
      </c>
      <c r="G22" s="257">
        <v>1.59</v>
      </c>
      <c r="H22" s="256">
        <v>2.59</v>
      </c>
      <c r="I22" s="134" t="s">
        <v>120</v>
      </c>
      <c r="J22" s="134" t="s">
        <v>120</v>
      </c>
      <c r="K22" s="134" t="s">
        <v>120</v>
      </c>
      <c r="L22" s="134" t="s">
        <v>120</v>
      </c>
      <c r="M22" s="256">
        <v>25.42</v>
      </c>
      <c r="N22" s="247"/>
      <c r="O22" s="247"/>
    </row>
    <row r="23" spans="1:15" ht="10.5" customHeight="1">
      <c r="A23" s="250" t="s">
        <v>30</v>
      </c>
      <c r="B23" s="258">
        <v>23.59</v>
      </c>
      <c r="C23" s="258">
        <v>12.07</v>
      </c>
      <c r="D23" s="258">
        <v>5.49</v>
      </c>
      <c r="E23" s="258">
        <v>3.12</v>
      </c>
      <c r="F23" s="259">
        <v>1.5</v>
      </c>
      <c r="G23" s="259">
        <v>0.65</v>
      </c>
      <c r="H23" s="258">
        <v>0.18</v>
      </c>
      <c r="I23" s="258">
        <v>0.12</v>
      </c>
      <c r="J23" s="134" t="s">
        <v>120</v>
      </c>
      <c r="K23" s="134" t="s">
        <v>120</v>
      </c>
      <c r="L23" s="134" t="s">
        <v>120</v>
      </c>
      <c r="M23" s="134" t="s">
        <v>120</v>
      </c>
      <c r="N23" s="247"/>
      <c r="O23" s="247"/>
    </row>
    <row r="24" spans="1:15" ht="10.5" customHeight="1">
      <c r="A24" s="260" t="s">
        <v>31</v>
      </c>
      <c r="B24" s="261">
        <v>15.76</v>
      </c>
      <c r="C24" s="261">
        <v>12.94</v>
      </c>
      <c r="D24" s="261">
        <v>7.98</v>
      </c>
      <c r="E24" s="261">
        <v>5.79</v>
      </c>
      <c r="F24" s="262">
        <v>4.1500000000000004</v>
      </c>
      <c r="G24" s="262">
        <v>2.48</v>
      </c>
      <c r="H24" s="261">
        <v>1.28</v>
      </c>
      <c r="I24" s="134" t="s">
        <v>120</v>
      </c>
      <c r="J24" s="134" t="s">
        <v>120</v>
      </c>
      <c r="K24" s="134" t="s">
        <v>120</v>
      </c>
      <c r="L24" s="134" t="s">
        <v>120</v>
      </c>
      <c r="M24" s="134" t="s">
        <v>120</v>
      </c>
      <c r="N24" s="247"/>
      <c r="O24" s="247"/>
    </row>
    <row r="25" spans="1:15" ht="10.5" customHeight="1">
      <c r="A25" s="260" t="s">
        <v>32</v>
      </c>
      <c r="B25" s="258">
        <v>37.200000000000003</v>
      </c>
      <c r="C25" s="261">
        <v>13.85</v>
      </c>
      <c r="D25" s="261">
        <v>4.12</v>
      </c>
      <c r="E25" s="261">
        <v>2.42</v>
      </c>
      <c r="F25" s="261">
        <v>1.75</v>
      </c>
      <c r="G25" s="262">
        <v>0.96</v>
      </c>
      <c r="H25" s="262">
        <v>0.86</v>
      </c>
      <c r="I25" s="262">
        <v>0.25</v>
      </c>
      <c r="J25" s="120" t="s">
        <v>120</v>
      </c>
      <c r="K25" s="120" t="s">
        <v>120</v>
      </c>
      <c r="L25" s="120" t="s">
        <v>120</v>
      </c>
      <c r="M25" s="134" t="s">
        <v>120</v>
      </c>
      <c r="N25" s="247"/>
      <c r="O25" s="247"/>
    </row>
    <row r="26" spans="1:15" ht="3" customHeight="1">
      <c r="A26" s="260"/>
      <c r="B26" s="258"/>
      <c r="C26" s="261"/>
      <c r="D26" s="261"/>
      <c r="E26" s="261"/>
      <c r="F26" s="261"/>
      <c r="G26" s="262"/>
      <c r="H26" s="262"/>
      <c r="I26" s="262"/>
      <c r="J26" s="120"/>
      <c r="K26" s="120"/>
      <c r="L26" s="120"/>
      <c r="M26" s="134"/>
      <c r="N26" s="247"/>
      <c r="O26" s="247"/>
    </row>
    <row r="27" spans="1:15" ht="10.5" customHeight="1">
      <c r="A27" s="260" t="s">
        <v>33</v>
      </c>
      <c r="B27" s="258">
        <v>22.82</v>
      </c>
      <c r="C27" s="261">
        <v>22.97</v>
      </c>
      <c r="D27" s="261">
        <v>11.63</v>
      </c>
      <c r="E27" s="261">
        <v>6.41</v>
      </c>
      <c r="F27" s="261">
        <v>7.67</v>
      </c>
      <c r="G27" s="262">
        <v>3.45</v>
      </c>
      <c r="H27" s="262">
        <v>1.08</v>
      </c>
      <c r="I27" s="262">
        <v>1.1299999999999999</v>
      </c>
      <c r="J27" s="120" t="s">
        <v>120</v>
      </c>
      <c r="K27" s="120" t="s">
        <v>120</v>
      </c>
      <c r="L27" s="120" t="s">
        <v>120</v>
      </c>
      <c r="M27" s="134" t="s">
        <v>120</v>
      </c>
      <c r="N27" s="247"/>
      <c r="O27" s="247"/>
    </row>
    <row r="28" spans="1:15" ht="10.5" customHeight="1">
      <c r="A28" s="260" t="s">
        <v>34</v>
      </c>
      <c r="B28" s="258">
        <v>24.2</v>
      </c>
      <c r="C28" s="261">
        <v>18.66</v>
      </c>
      <c r="D28" s="261">
        <v>8.9600000000000009</v>
      </c>
      <c r="E28" s="261">
        <v>9.3699999999999992</v>
      </c>
      <c r="F28" s="261">
        <v>6.99</v>
      </c>
      <c r="G28" s="262">
        <v>4.7300000000000004</v>
      </c>
      <c r="H28" s="262">
        <v>3.82</v>
      </c>
      <c r="I28" s="262">
        <v>1.8</v>
      </c>
      <c r="J28" s="120" t="s">
        <v>120</v>
      </c>
      <c r="K28" s="120" t="s">
        <v>120</v>
      </c>
      <c r="L28" s="120" t="s">
        <v>120</v>
      </c>
      <c r="M28" s="134" t="s">
        <v>120</v>
      </c>
      <c r="N28" s="247"/>
      <c r="O28" s="247"/>
    </row>
    <row r="29" spans="1:15" ht="10.5" customHeight="1">
      <c r="A29" s="260" t="s">
        <v>35</v>
      </c>
      <c r="B29" s="258">
        <v>14.52</v>
      </c>
      <c r="C29" s="261">
        <v>6.92</v>
      </c>
      <c r="D29" s="261">
        <v>2.86</v>
      </c>
      <c r="E29" s="261">
        <v>1.89</v>
      </c>
      <c r="F29" s="261">
        <v>0.82</v>
      </c>
      <c r="G29" s="262">
        <v>-1.05</v>
      </c>
      <c r="H29" s="262">
        <v>-1.93</v>
      </c>
      <c r="I29" s="120" t="s">
        <v>120</v>
      </c>
      <c r="J29" s="120" t="s">
        <v>120</v>
      </c>
      <c r="K29" s="120" t="s">
        <v>120</v>
      </c>
      <c r="L29" s="120" t="s">
        <v>120</v>
      </c>
      <c r="M29" s="134" t="s">
        <v>120</v>
      </c>
      <c r="N29" s="247"/>
      <c r="O29" s="247"/>
    </row>
    <row r="30" spans="1:15" ht="10.5" customHeight="1">
      <c r="A30" s="250" t="s">
        <v>36</v>
      </c>
      <c r="B30" s="258">
        <v>26.63</v>
      </c>
      <c r="C30" s="261">
        <v>24.3</v>
      </c>
      <c r="D30" s="261">
        <v>14.17</v>
      </c>
      <c r="E30" s="261">
        <v>9.0299999999999994</v>
      </c>
      <c r="F30" s="261">
        <v>7.79</v>
      </c>
      <c r="G30" s="262">
        <v>5.42</v>
      </c>
      <c r="H30" s="262">
        <v>2.41</v>
      </c>
      <c r="I30" s="120" t="s">
        <v>120</v>
      </c>
      <c r="J30" s="120" t="s">
        <v>120</v>
      </c>
      <c r="K30" s="120" t="s">
        <v>120</v>
      </c>
      <c r="L30" s="120" t="s">
        <v>120</v>
      </c>
      <c r="M30" s="134" t="s">
        <v>120</v>
      </c>
      <c r="N30" s="247"/>
      <c r="O30" s="247"/>
    </row>
    <row r="31" spans="1:15" ht="10.5" customHeight="1">
      <c r="A31" s="260" t="s">
        <v>37</v>
      </c>
      <c r="B31" s="258">
        <v>19.18</v>
      </c>
      <c r="C31" s="261">
        <v>16.68</v>
      </c>
      <c r="D31" s="261">
        <v>8.5399999999999991</v>
      </c>
      <c r="E31" s="261">
        <v>4.7300000000000004</v>
      </c>
      <c r="F31" s="261">
        <v>2.76</v>
      </c>
      <c r="G31" s="262">
        <v>-0.97</v>
      </c>
      <c r="H31" s="262">
        <v>-1.75</v>
      </c>
      <c r="I31" s="120">
        <v>-1.76</v>
      </c>
      <c r="J31" s="120" t="s">
        <v>120</v>
      </c>
      <c r="K31" s="120" t="s">
        <v>120</v>
      </c>
      <c r="L31" s="120" t="s">
        <v>120</v>
      </c>
      <c r="M31" s="134" t="s">
        <v>120</v>
      </c>
      <c r="N31" s="247"/>
      <c r="O31" s="247"/>
    </row>
    <row r="32" spans="1:15" ht="10.5" customHeight="1">
      <c r="A32" s="250" t="s">
        <v>38</v>
      </c>
      <c r="B32" s="258">
        <v>14.2</v>
      </c>
      <c r="C32" s="261">
        <v>12.1</v>
      </c>
      <c r="D32" s="261">
        <v>5.14</v>
      </c>
      <c r="E32" s="261">
        <v>3.69</v>
      </c>
      <c r="F32" s="261">
        <v>2.2799999999999998</v>
      </c>
      <c r="G32" s="262">
        <v>0.77</v>
      </c>
      <c r="H32" s="120" t="s">
        <v>120</v>
      </c>
      <c r="I32" s="120" t="s">
        <v>120</v>
      </c>
      <c r="J32" s="120" t="s">
        <v>120</v>
      </c>
      <c r="K32" s="120" t="s">
        <v>120</v>
      </c>
      <c r="L32" s="120" t="s">
        <v>120</v>
      </c>
      <c r="M32" s="134" t="s">
        <v>120</v>
      </c>
      <c r="N32" s="247"/>
      <c r="O32" s="247"/>
    </row>
    <row r="33" spans="1:15" ht="5.25" customHeight="1">
      <c r="A33" s="260"/>
      <c r="B33" s="258"/>
      <c r="C33" s="261"/>
      <c r="D33" s="261"/>
      <c r="E33" s="261"/>
      <c r="F33" s="261"/>
      <c r="G33" s="262"/>
      <c r="H33" s="262"/>
      <c r="I33" s="120"/>
      <c r="J33" s="120"/>
      <c r="K33" s="120"/>
      <c r="L33" s="120"/>
      <c r="M33" s="134"/>
      <c r="N33" s="247"/>
      <c r="O33" s="247"/>
    </row>
    <row r="34" spans="1:15" ht="10.5" customHeight="1">
      <c r="A34" s="250" t="s">
        <v>39</v>
      </c>
      <c r="B34" s="258">
        <v>20.309999999999999</v>
      </c>
      <c r="C34" s="261">
        <v>18.309999999999999</v>
      </c>
      <c r="D34" s="261">
        <v>6.68</v>
      </c>
      <c r="E34" s="261">
        <v>4.93</v>
      </c>
      <c r="F34" s="261">
        <v>4.4000000000000004</v>
      </c>
      <c r="G34" s="262">
        <v>1.24</v>
      </c>
      <c r="H34" s="120">
        <v>3.16</v>
      </c>
      <c r="I34" s="120" t="s">
        <v>120</v>
      </c>
      <c r="J34" s="120" t="s">
        <v>120</v>
      </c>
      <c r="K34" s="120" t="s">
        <v>120</v>
      </c>
      <c r="L34" s="120" t="s">
        <v>120</v>
      </c>
      <c r="M34" s="134" t="s">
        <v>120</v>
      </c>
      <c r="N34" s="247"/>
      <c r="O34" s="247"/>
    </row>
    <row r="35" spans="1:15" ht="10.5" customHeight="1">
      <c r="A35" s="250" t="s">
        <v>40</v>
      </c>
      <c r="B35" s="258">
        <v>13.92</v>
      </c>
      <c r="C35" s="261">
        <v>12.52</v>
      </c>
      <c r="D35" s="261">
        <v>6.58</v>
      </c>
      <c r="E35" s="261">
        <v>2.36</v>
      </c>
      <c r="F35" s="261">
        <v>0.99</v>
      </c>
      <c r="G35" s="262">
        <v>-0.46</v>
      </c>
      <c r="H35" s="120">
        <v>0.21</v>
      </c>
      <c r="I35" s="120" t="s">
        <v>120</v>
      </c>
      <c r="J35" s="120" t="s">
        <v>120</v>
      </c>
      <c r="K35" s="120" t="s">
        <v>120</v>
      </c>
      <c r="L35" s="120" t="s">
        <v>120</v>
      </c>
      <c r="M35" s="134" t="s">
        <v>120</v>
      </c>
      <c r="N35" s="247"/>
      <c r="O35" s="247"/>
    </row>
    <row r="36" spans="1:15" ht="10.5" customHeight="1">
      <c r="A36" s="250" t="s">
        <v>41</v>
      </c>
      <c r="B36" s="258">
        <v>34.71</v>
      </c>
      <c r="C36" s="261">
        <v>30.05</v>
      </c>
      <c r="D36" s="261">
        <v>19.78</v>
      </c>
      <c r="E36" s="261">
        <v>11.69</v>
      </c>
      <c r="F36" s="261">
        <v>9.27</v>
      </c>
      <c r="G36" s="262">
        <v>20.190000000000001</v>
      </c>
      <c r="H36" s="120" t="s">
        <v>120</v>
      </c>
      <c r="I36" s="120" t="s">
        <v>120</v>
      </c>
      <c r="J36" s="120" t="s">
        <v>120</v>
      </c>
      <c r="K36" s="120" t="s">
        <v>120</v>
      </c>
      <c r="L36" s="120" t="s">
        <v>120</v>
      </c>
      <c r="M36" s="134" t="s">
        <v>120</v>
      </c>
      <c r="N36" s="247"/>
      <c r="O36" s="247"/>
    </row>
    <row r="37" spans="1:15" ht="10.5" customHeight="1">
      <c r="A37" s="250" t="s">
        <v>42</v>
      </c>
      <c r="B37" s="120" t="s">
        <v>120</v>
      </c>
      <c r="C37" s="258">
        <v>44.72</v>
      </c>
      <c r="D37" s="261">
        <v>24.21</v>
      </c>
      <c r="E37" s="261">
        <v>21.4</v>
      </c>
      <c r="F37" s="261">
        <v>27.94</v>
      </c>
      <c r="G37" s="120" t="s">
        <v>120</v>
      </c>
      <c r="H37" s="120" t="s">
        <v>120</v>
      </c>
      <c r="I37" s="120" t="s">
        <v>120</v>
      </c>
      <c r="J37" s="120" t="s">
        <v>120</v>
      </c>
      <c r="K37" s="120" t="s">
        <v>120</v>
      </c>
      <c r="L37" s="120" t="s">
        <v>120</v>
      </c>
      <c r="M37" s="134" t="s">
        <v>120</v>
      </c>
      <c r="N37" s="247"/>
      <c r="O37" s="247"/>
    </row>
    <row r="38" spans="1:15" ht="10.5" customHeight="1">
      <c r="A38" s="250" t="s">
        <v>43</v>
      </c>
      <c r="B38" s="120">
        <v>19.91</v>
      </c>
      <c r="C38" s="258">
        <v>15.16</v>
      </c>
      <c r="D38" s="261">
        <v>7.58</v>
      </c>
      <c r="E38" s="261">
        <v>5.07</v>
      </c>
      <c r="F38" s="261">
        <v>3.46</v>
      </c>
      <c r="G38" s="120">
        <v>-0.02</v>
      </c>
      <c r="H38" s="120">
        <v>-2.17</v>
      </c>
      <c r="I38" s="120" t="s">
        <v>120</v>
      </c>
      <c r="J38" s="120" t="s">
        <v>120</v>
      </c>
      <c r="K38" s="120" t="s">
        <v>120</v>
      </c>
      <c r="L38" s="120" t="s">
        <v>120</v>
      </c>
      <c r="M38" s="134" t="s">
        <v>120</v>
      </c>
      <c r="N38" s="247"/>
      <c r="O38" s="247"/>
    </row>
    <row r="39" spans="1:15" s="59" customFormat="1" ht="10.5" customHeight="1">
      <c r="A39" s="250" t="s">
        <v>44</v>
      </c>
      <c r="B39" s="120" t="s">
        <v>120</v>
      </c>
      <c r="C39" s="258">
        <v>10.130000000000001</v>
      </c>
      <c r="D39" s="261">
        <v>11.1</v>
      </c>
      <c r="E39" s="261">
        <v>8.35</v>
      </c>
      <c r="F39" s="261">
        <v>8.01</v>
      </c>
      <c r="G39" s="120">
        <v>8.1300000000000008</v>
      </c>
      <c r="H39" s="120" t="s">
        <v>120</v>
      </c>
      <c r="I39" s="120" t="s">
        <v>120</v>
      </c>
      <c r="J39" s="120" t="s">
        <v>120</v>
      </c>
      <c r="K39" s="120" t="s">
        <v>120</v>
      </c>
      <c r="L39" s="120" t="s">
        <v>120</v>
      </c>
      <c r="M39" s="120" t="s">
        <v>120</v>
      </c>
      <c r="N39" s="263"/>
      <c r="O39" s="263"/>
    </row>
    <row r="40" spans="1:15" s="59" customFormat="1" ht="10.5" customHeight="1">
      <c r="A40" s="250" t="s">
        <v>46</v>
      </c>
      <c r="B40" s="120" t="s">
        <v>120</v>
      </c>
      <c r="C40" s="120" t="s">
        <v>120</v>
      </c>
      <c r="D40" s="120" t="s">
        <v>120</v>
      </c>
      <c r="E40" s="120" t="s">
        <v>120</v>
      </c>
      <c r="F40" s="120" t="s">
        <v>120</v>
      </c>
      <c r="G40" s="120" t="s">
        <v>120</v>
      </c>
      <c r="H40" s="120" t="s">
        <v>120</v>
      </c>
      <c r="I40" s="120" t="s">
        <v>120</v>
      </c>
      <c r="J40" s="120" t="s">
        <v>120</v>
      </c>
      <c r="K40" s="120" t="s">
        <v>120</v>
      </c>
      <c r="L40" s="120" t="s">
        <v>120</v>
      </c>
      <c r="M40" s="120" t="s">
        <v>120</v>
      </c>
      <c r="N40" s="263"/>
      <c r="O40" s="263"/>
    </row>
    <row r="41" spans="1:15" s="59" customFormat="1" ht="10.5" customHeight="1">
      <c r="A41" s="250" t="s">
        <v>47</v>
      </c>
      <c r="B41" s="120" t="s">
        <v>120</v>
      </c>
      <c r="C41" s="120" t="s">
        <v>120</v>
      </c>
      <c r="D41" s="120" t="s">
        <v>120</v>
      </c>
      <c r="E41" s="120" t="s">
        <v>120</v>
      </c>
      <c r="F41" s="120" t="s">
        <v>120</v>
      </c>
      <c r="G41" s="120" t="s">
        <v>120</v>
      </c>
      <c r="H41" s="120" t="s">
        <v>120</v>
      </c>
      <c r="I41" s="120" t="s">
        <v>120</v>
      </c>
      <c r="J41" s="120" t="s">
        <v>120</v>
      </c>
      <c r="K41" s="120" t="s">
        <v>120</v>
      </c>
      <c r="L41" s="120" t="s">
        <v>120</v>
      </c>
      <c r="M41" s="120" t="s">
        <v>120</v>
      </c>
      <c r="N41" s="263"/>
      <c r="O41" s="263"/>
    </row>
    <row r="42" spans="1:15" s="59" customFormat="1" ht="10.5" customHeight="1">
      <c r="A42" s="250" t="s">
        <v>48</v>
      </c>
      <c r="B42" s="120" t="s">
        <v>120</v>
      </c>
      <c r="C42" s="120" t="s">
        <v>120</v>
      </c>
      <c r="D42" s="120" t="s">
        <v>120</v>
      </c>
      <c r="E42" s="120" t="s">
        <v>120</v>
      </c>
      <c r="F42" s="120" t="s">
        <v>120</v>
      </c>
      <c r="G42" s="120" t="s">
        <v>120</v>
      </c>
      <c r="H42" s="120" t="s">
        <v>120</v>
      </c>
      <c r="I42" s="120" t="s">
        <v>120</v>
      </c>
      <c r="J42" s="120" t="s">
        <v>120</v>
      </c>
      <c r="K42" s="120" t="s">
        <v>120</v>
      </c>
      <c r="L42" s="120" t="s">
        <v>120</v>
      </c>
      <c r="M42" s="120" t="s">
        <v>120</v>
      </c>
      <c r="N42" s="263"/>
      <c r="O42" s="263"/>
    </row>
    <row r="43" spans="1:15" ht="10.5" customHeight="1">
      <c r="A43" s="264" t="s">
        <v>51</v>
      </c>
      <c r="B43" s="142" t="s">
        <v>120</v>
      </c>
      <c r="C43" s="142" t="s">
        <v>120</v>
      </c>
      <c r="D43" s="142" t="s">
        <v>120</v>
      </c>
      <c r="E43" s="142" t="s">
        <v>120</v>
      </c>
      <c r="F43" s="142" t="s">
        <v>120</v>
      </c>
      <c r="G43" s="142" t="s">
        <v>120</v>
      </c>
      <c r="H43" s="142" t="s">
        <v>120</v>
      </c>
      <c r="I43" s="142" t="s">
        <v>120</v>
      </c>
      <c r="J43" s="142" t="s">
        <v>120</v>
      </c>
      <c r="K43" s="142" t="s">
        <v>120</v>
      </c>
      <c r="L43" s="142" t="s">
        <v>120</v>
      </c>
      <c r="M43" s="142" t="s">
        <v>120</v>
      </c>
      <c r="N43" s="247"/>
      <c r="O43" s="247"/>
    </row>
    <row r="44" spans="1:15" s="98" customFormat="1">
      <c r="A44" s="265" t="s">
        <v>207</v>
      </c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7"/>
      <c r="N44" s="267"/>
      <c r="O44" s="267"/>
    </row>
    <row r="45" spans="1:15" s="98" customFormat="1">
      <c r="A45" s="40" t="s">
        <v>208</v>
      </c>
      <c r="B45" s="267"/>
      <c r="C45" s="267"/>
      <c r="D45" s="267"/>
      <c r="E45" s="267"/>
      <c r="F45" s="267"/>
      <c r="G45" s="267"/>
      <c r="H45" s="267"/>
      <c r="I45" s="267"/>
      <c r="J45" s="268"/>
      <c r="K45" s="268"/>
      <c r="L45" s="268"/>
      <c r="M45" s="267"/>
      <c r="N45" s="267"/>
      <c r="O45" s="267"/>
    </row>
    <row r="46" spans="1:15">
      <c r="A46" s="39" t="s">
        <v>127</v>
      </c>
      <c r="B46" s="247"/>
      <c r="C46" s="247"/>
      <c r="D46" s="247"/>
      <c r="E46" s="247"/>
      <c r="F46" s="247"/>
      <c r="G46" s="247"/>
      <c r="H46" s="247"/>
      <c r="I46" s="247"/>
      <c r="J46" s="269"/>
      <c r="K46" s="269"/>
      <c r="L46" s="269"/>
      <c r="M46" s="247"/>
      <c r="N46" s="247"/>
      <c r="O46" s="247"/>
    </row>
    <row r="47" spans="1:15">
      <c r="A47" s="247"/>
      <c r="B47" s="247"/>
      <c r="C47" s="247"/>
      <c r="D47" s="270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</row>
    <row r="48" spans="1:15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</row>
    <row r="49" spans="1:15">
      <c r="A49" s="247"/>
      <c r="B49" s="247"/>
      <c r="C49" s="247"/>
      <c r="D49" s="270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</row>
    <row r="50" spans="1:15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</row>
  </sheetData>
  <pageMargins left="0.66700000000000004" right="0.66700000000000004" top="0.66700000000000004" bottom="0.72" header="0" footer="0"/>
  <pageSetup firstPageNumber="86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52"/>
  <sheetViews>
    <sheetView showGridLines="0" view="pageBreakPreview" zoomScale="60" zoomScaleNormal="100" workbookViewId="0"/>
  </sheetViews>
  <sheetFormatPr defaultColWidth="9.7109375" defaultRowHeight="12"/>
  <cols>
    <col min="1" max="1" width="8.7109375" customWidth="1"/>
    <col min="2" max="13" width="7.7109375" customWidth="1"/>
  </cols>
  <sheetData>
    <row r="1" spans="1:17" ht="12" customHeight="1">
      <c r="A1" s="271" t="s">
        <v>209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3"/>
      <c r="O1" s="274"/>
      <c r="P1" s="274"/>
      <c r="Q1" s="274"/>
    </row>
    <row r="2" spans="1:17">
      <c r="A2" s="275" t="s">
        <v>128</v>
      </c>
      <c r="B2" s="276" t="s">
        <v>138</v>
      </c>
      <c r="C2" s="276" t="s">
        <v>139</v>
      </c>
      <c r="D2" s="276" t="s">
        <v>140</v>
      </c>
      <c r="E2" s="276" t="s">
        <v>129</v>
      </c>
      <c r="F2" s="276" t="s">
        <v>130</v>
      </c>
      <c r="G2" s="276" t="s">
        <v>131</v>
      </c>
      <c r="H2" s="276" t="s">
        <v>132</v>
      </c>
      <c r="I2" s="276" t="s">
        <v>133</v>
      </c>
      <c r="J2" s="276" t="s">
        <v>134</v>
      </c>
      <c r="K2" s="276" t="s">
        <v>135</v>
      </c>
      <c r="L2" s="276" t="s">
        <v>136</v>
      </c>
      <c r="M2" s="276" t="s">
        <v>137</v>
      </c>
      <c r="N2" s="273"/>
      <c r="O2" s="274"/>
      <c r="P2" s="274"/>
      <c r="Q2" s="274"/>
    </row>
    <row r="3" spans="1:17" ht="3.95" customHeight="1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3"/>
      <c r="O3" s="274"/>
      <c r="P3" s="274"/>
      <c r="Q3" s="274"/>
    </row>
    <row r="4" spans="1:17">
      <c r="A4" s="279"/>
      <c r="B4" s="280" t="s">
        <v>141</v>
      </c>
      <c r="C4" s="281"/>
      <c r="D4" s="281"/>
      <c r="E4" s="281"/>
      <c r="F4" s="281"/>
      <c r="G4" s="70"/>
      <c r="H4" s="281"/>
      <c r="I4" s="281"/>
      <c r="J4" s="281"/>
      <c r="K4" s="281"/>
      <c r="L4" s="281"/>
      <c r="M4" s="281"/>
      <c r="N4" s="273"/>
      <c r="O4" s="274"/>
      <c r="P4" s="274"/>
      <c r="Q4" s="274"/>
    </row>
    <row r="5" spans="1:17" ht="3" customHeight="1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3"/>
      <c r="O5" s="274"/>
      <c r="P5" s="274"/>
      <c r="Q5" s="274"/>
    </row>
    <row r="6" spans="1:17" ht="10.5" customHeight="1">
      <c r="A6" s="282" t="s">
        <v>14</v>
      </c>
      <c r="B6" s="283">
        <v>8.99</v>
      </c>
      <c r="C6" s="283">
        <v>5.57</v>
      </c>
      <c r="D6" s="283">
        <v>3.73</v>
      </c>
      <c r="E6" s="283">
        <v>2.2999999999999998</v>
      </c>
      <c r="F6" s="283">
        <v>0.89</v>
      </c>
      <c r="G6" s="283">
        <v>0.53</v>
      </c>
      <c r="H6" s="283">
        <v>0.22</v>
      </c>
      <c r="I6" s="283">
        <v>0.51</v>
      </c>
      <c r="J6" s="283">
        <v>0.78</v>
      </c>
      <c r="K6" s="283">
        <v>1.01</v>
      </c>
      <c r="L6" s="283">
        <v>1.88</v>
      </c>
      <c r="M6" s="283">
        <v>6.89</v>
      </c>
      <c r="N6" s="273"/>
      <c r="O6" s="274"/>
      <c r="P6" s="274"/>
      <c r="Q6" s="274"/>
    </row>
    <row r="7" spans="1:17" ht="10.5" customHeight="1">
      <c r="A7" s="282" t="s">
        <v>15</v>
      </c>
      <c r="B7" s="283">
        <v>7.3</v>
      </c>
      <c r="C7" s="283">
        <v>6.94</v>
      </c>
      <c r="D7" s="283">
        <v>0.17</v>
      </c>
      <c r="E7" s="283">
        <v>1.4</v>
      </c>
      <c r="F7" s="283">
        <v>1.06</v>
      </c>
      <c r="G7" s="283">
        <v>0.84</v>
      </c>
      <c r="H7" s="283">
        <v>1.56</v>
      </c>
      <c r="I7" s="283">
        <v>0.09</v>
      </c>
      <c r="J7" s="283">
        <v>1.21</v>
      </c>
      <c r="K7" s="283">
        <v>2.57</v>
      </c>
      <c r="L7" s="283">
        <v>2.95</v>
      </c>
      <c r="M7" s="283">
        <v>7.47</v>
      </c>
      <c r="N7" s="273"/>
      <c r="O7" s="274"/>
      <c r="P7" s="274"/>
      <c r="Q7" s="274"/>
    </row>
    <row r="8" spans="1:17" ht="10.5" customHeight="1">
      <c r="A8" s="282" t="s">
        <v>16</v>
      </c>
      <c r="B8" s="283">
        <v>6.5</v>
      </c>
      <c r="C8" s="283">
        <v>6.23</v>
      </c>
      <c r="D8" s="283">
        <v>1.63</v>
      </c>
      <c r="E8" s="283">
        <v>0.56999999999999995</v>
      </c>
      <c r="F8" s="283">
        <v>0.18</v>
      </c>
      <c r="G8" s="283">
        <v>0.86</v>
      </c>
      <c r="H8" s="283">
        <v>0.92</v>
      </c>
      <c r="I8" s="283">
        <v>0.42</v>
      </c>
      <c r="J8" s="283">
        <v>0.92</v>
      </c>
      <c r="K8" s="283">
        <v>0.55000000000000004</v>
      </c>
      <c r="L8" s="283">
        <v>2.67</v>
      </c>
      <c r="M8" s="283">
        <v>7.27</v>
      </c>
      <c r="N8" s="273"/>
      <c r="O8" s="274"/>
      <c r="P8" s="274"/>
      <c r="Q8" s="274"/>
    </row>
    <row r="9" spans="1:17" ht="10.5" customHeight="1">
      <c r="A9" s="282" t="s">
        <v>17</v>
      </c>
      <c r="B9" s="283">
        <v>6.66</v>
      </c>
      <c r="C9" s="283">
        <v>6.3</v>
      </c>
      <c r="D9" s="283">
        <v>5.16</v>
      </c>
      <c r="E9" s="283">
        <v>0.95</v>
      </c>
      <c r="F9" s="283">
        <v>0.13</v>
      </c>
      <c r="G9" s="283">
        <v>0.53</v>
      </c>
      <c r="H9" s="283">
        <v>0.65</v>
      </c>
      <c r="I9" s="283">
        <v>0.11</v>
      </c>
      <c r="J9" s="283">
        <v>1.36</v>
      </c>
      <c r="K9" s="283">
        <v>5.33</v>
      </c>
      <c r="L9" s="283">
        <v>11.69</v>
      </c>
      <c r="M9" s="283">
        <v>11.3</v>
      </c>
      <c r="N9" s="273"/>
      <c r="O9" s="274"/>
      <c r="P9" s="274"/>
      <c r="Q9" s="274"/>
    </row>
    <row r="10" spans="1:17" ht="10.5" customHeight="1">
      <c r="A10" s="282" t="s">
        <v>18</v>
      </c>
      <c r="B10" s="283">
        <v>12.11</v>
      </c>
      <c r="C10" s="283">
        <v>10.27</v>
      </c>
      <c r="D10" s="283">
        <v>4.3099999999999996</v>
      </c>
      <c r="E10" s="283">
        <v>1.87</v>
      </c>
      <c r="F10" s="283">
        <v>2.79</v>
      </c>
      <c r="G10" s="283">
        <v>2.09</v>
      </c>
      <c r="H10" s="283">
        <v>1.43</v>
      </c>
      <c r="I10" s="283">
        <v>1.73</v>
      </c>
      <c r="J10" s="283">
        <v>1.74</v>
      </c>
      <c r="K10" s="283">
        <v>4.16</v>
      </c>
      <c r="L10" s="283">
        <v>7.47</v>
      </c>
      <c r="M10" s="283">
        <v>12.09</v>
      </c>
      <c r="N10" s="273"/>
      <c r="O10" s="274"/>
      <c r="P10" s="274"/>
      <c r="Q10" s="274"/>
    </row>
    <row r="11" spans="1:17" ht="10.5" customHeight="1">
      <c r="A11" s="282" t="s">
        <v>19</v>
      </c>
      <c r="B11" s="283">
        <v>22.09</v>
      </c>
      <c r="C11" s="283">
        <v>22.26</v>
      </c>
      <c r="D11" s="283">
        <v>18.399999999999999</v>
      </c>
      <c r="E11" s="283">
        <v>11.09</v>
      </c>
      <c r="F11" s="283">
        <v>8.16</v>
      </c>
      <c r="G11" s="283">
        <v>7.15</v>
      </c>
      <c r="H11" s="283">
        <v>5.01</v>
      </c>
      <c r="I11" s="283">
        <v>4.3600000000000003</v>
      </c>
      <c r="J11" s="283">
        <v>4.51</v>
      </c>
      <c r="K11" s="283">
        <v>4.5599999999999996</v>
      </c>
      <c r="L11" s="283">
        <v>7.88</v>
      </c>
      <c r="M11" s="283">
        <v>8.92</v>
      </c>
      <c r="N11" s="273"/>
      <c r="O11" s="274"/>
      <c r="P11" s="274"/>
      <c r="Q11" s="274"/>
    </row>
    <row r="12" spans="1:17" ht="3" customHeight="1">
      <c r="A12" s="282"/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73"/>
      <c r="O12" s="274"/>
      <c r="P12" s="274"/>
      <c r="Q12" s="274"/>
    </row>
    <row r="13" spans="1:17" ht="10.5" customHeight="1">
      <c r="A13" s="282" t="s">
        <v>20</v>
      </c>
      <c r="B13" s="283">
        <v>4.0599999999999996</v>
      </c>
      <c r="C13" s="283">
        <v>1.1599999999999999</v>
      </c>
      <c r="D13" s="283">
        <v>3.04</v>
      </c>
      <c r="E13" s="283">
        <v>2.57</v>
      </c>
      <c r="F13" s="283">
        <v>1.96</v>
      </c>
      <c r="G13" s="283">
        <v>2.36</v>
      </c>
      <c r="H13" s="283">
        <v>2.98</v>
      </c>
      <c r="I13" s="283">
        <v>3.38</v>
      </c>
      <c r="J13" s="283">
        <v>3.44</v>
      </c>
      <c r="K13" s="283">
        <v>5.01</v>
      </c>
      <c r="L13" s="283">
        <v>8.58</v>
      </c>
      <c r="M13" s="283">
        <v>10.76</v>
      </c>
      <c r="N13" s="273"/>
      <c r="O13" s="274"/>
      <c r="P13" s="274"/>
      <c r="Q13" s="274"/>
    </row>
    <row r="14" spans="1:17" ht="10.5" customHeight="1">
      <c r="A14" s="282" t="s">
        <v>21</v>
      </c>
      <c r="B14" s="283">
        <v>12.26</v>
      </c>
      <c r="C14" s="283">
        <v>8.94</v>
      </c>
      <c r="D14" s="283">
        <v>7.74</v>
      </c>
      <c r="E14" s="283">
        <v>3.99</v>
      </c>
      <c r="F14" s="283">
        <v>2.74</v>
      </c>
      <c r="G14" s="283">
        <v>1.64</v>
      </c>
      <c r="H14" s="283">
        <v>2.27</v>
      </c>
      <c r="I14" s="283">
        <v>5.92</v>
      </c>
      <c r="J14" s="283">
        <v>6.58</v>
      </c>
      <c r="K14" s="283">
        <v>8.0399999999999991</v>
      </c>
      <c r="L14" s="283">
        <v>12.09</v>
      </c>
      <c r="M14" s="283">
        <v>13.42</v>
      </c>
      <c r="N14" s="273"/>
      <c r="O14" s="274"/>
      <c r="P14" s="274"/>
      <c r="Q14" s="274"/>
    </row>
    <row r="15" spans="1:17" ht="10.5" customHeight="1">
      <c r="A15" s="282" t="s">
        <v>142</v>
      </c>
      <c r="B15" s="283">
        <v>16.100000000000001</v>
      </c>
      <c r="C15" s="283">
        <v>12.19</v>
      </c>
      <c r="D15" s="283">
        <v>6.69</v>
      </c>
      <c r="E15" s="283">
        <v>5.73</v>
      </c>
      <c r="F15" s="283">
        <v>4.6500000000000004</v>
      </c>
      <c r="G15" s="283">
        <v>4.8</v>
      </c>
      <c r="H15" s="283">
        <v>5.0999999999999996</v>
      </c>
      <c r="I15" s="283">
        <v>5.89</v>
      </c>
      <c r="J15" s="284">
        <v>8.0299999999999994</v>
      </c>
      <c r="K15" s="283">
        <v>11.96</v>
      </c>
      <c r="L15" s="283">
        <v>14.95</v>
      </c>
      <c r="M15" s="283">
        <v>15.57</v>
      </c>
      <c r="N15" s="273"/>
      <c r="O15" s="274"/>
      <c r="P15" s="274"/>
      <c r="Q15" s="274"/>
    </row>
    <row r="16" spans="1:17" ht="10.5" customHeight="1">
      <c r="A16" s="282" t="s">
        <v>143</v>
      </c>
      <c r="B16" s="283">
        <v>16.7</v>
      </c>
      <c r="C16" s="283">
        <v>16.71</v>
      </c>
      <c r="D16" s="283">
        <v>14.1</v>
      </c>
      <c r="E16" s="283">
        <v>9.25</v>
      </c>
      <c r="F16" s="283">
        <v>7.64</v>
      </c>
      <c r="G16" s="283">
        <v>9.3800000000000008</v>
      </c>
      <c r="H16" s="283">
        <v>10.16</v>
      </c>
      <c r="I16" s="283">
        <v>10.24</v>
      </c>
      <c r="J16" s="283">
        <v>11.19</v>
      </c>
      <c r="K16" s="283">
        <v>12.2</v>
      </c>
      <c r="L16" s="283">
        <v>13.24</v>
      </c>
      <c r="M16" s="283">
        <v>13.4</v>
      </c>
      <c r="N16" s="273"/>
      <c r="O16" s="274"/>
      <c r="P16" s="274"/>
      <c r="Q16" s="274"/>
    </row>
    <row r="17" spans="1:17" ht="10.5" customHeight="1">
      <c r="A17" s="282" t="s">
        <v>144</v>
      </c>
      <c r="B17" s="283">
        <v>10.9</v>
      </c>
      <c r="C17" s="283">
        <v>11.83</v>
      </c>
      <c r="D17" s="283">
        <v>10.47</v>
      </c>
      <c r="E17" s="283">
        <v>4.4800000000000004</v>
      </c>
      <c r="F17" s="283">
        <v>2.91</v>
      </c>
      <c r="G17" s="283">
        <v>5.96</v>
      </c>
      <c r="H17" s="283">
        <v>10.65</v>
      </c>
      <c r="I17" s="283">
        <v>14.04</v>
      </c>
      <c r="J17" s="283">
        <v>17.7</v>
      </c>
      <c r="K17" s="283">
        <v>20.69</v>
      </c>
      <c r="L17" s="283">
        <v>18.47</v>
      </c>
      <c r="M17" s="283">
        <v>22.04</v>
      </c>
      <c r="N17" s="273"/>
      <c r="O17" s="274"/>
      <c r="P17" s="274"/>
      <c r="Q17" s="274"/>
    </row>
    <row r="18" spans="1:17" ht="10.5" customHeight="1">
      <c r="A18" s="282" t="s">
        <v>25</v>
      </c>
      <c r="B18" s="283">
        <v>19.829999999999998</v>
      </c>
      <c r="C18" s="283">
        <v>20.329999999999998</v>
      </c>
      <c r="D18" s="283">
        <v>17.88</v>
      </c>
      <c r="E18" s="283">
        <v>11.37</v>
      </c>
      <c r="F18" s="283">
        <v>2.35</v>
      </c>
      <c r="G18" s="283">
        <v>3.53</v>
      </c>
      <c r="H18" s="283">
        <v>4.88</v>
      </c>
      <c r="I18" s="283">
        <v>6.22</v>
      </c>
      <c r="J18" s="283">
        <v>6.88</v>
      </c>
      <c r="K18" s="283">
        <v>7.14</v>
      </c>
      <c r="L18" s="283">
        <v>8.65</v>
      </c>
      <c r="M18" s="283">
        <v>8.9</v>
      </c>
      <c r="N18" s="273"/>
      <c r="O18" s="274"/>
      <c r="P18" s="274"/>
      <c r="Q18" s="274"/>
    </row>
    <row r="19" spans="1:17" ht="3" customHeight="1">
      <c r="A19" s="282"/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73"/>
      <c r="O19" s="274"/>
      <c r="P19" s="274"/>
      <c r="Q19" s="274"/>
    </row>
    <row r="20" spans="1:17" ht="10.5" customHeight="1">
      <c r="A20" s="282" t="s">
        <v>26</v>
      </c>
      <c r="B20" s="283">
        <v>9.0500000000000007</v>
      </c>
      <c r="C20" s="283">
        <v>10.92</v>
      </c>
      <c r="D20" s="283">
        <v>5.92</v>
      </c>
      <c r="E20" s="283">
        <v>1.65</v>
      </c>
      <c r="F20" s="283">
        <v>2.0299999999999998</v>
      </c>
      <c r="G20" s="283">
        <v>2.94</v>
      </c>
      <c r="H20" s="283">
        <v>2.75</v>
      </c>
      <c r="I20" s="283">
        <v>2.7</v>
      </c>
      <c r="J20" s="283">
        <v>3.59</v>
      </c>
      <c r="K20" s="283">
        <v>6.82</v>
      </c>
      <c r="L20" s="283">
        <v>15.56</v>
      </c>
      <c r="M20" s="283">
        <v>17.66</v>
      </c>
      <c r="N20" s="273"/>
      <c r="O20" s="274"/>
      <c r="P20" s="274"/>
      <c r="Q20" s="274"/>
    </row>
    <row r="21" spans="1:17" ht="10.5" customHeight="1">
      <c r="A21" s="282" t="s">
        <v>27</v>
      </c>
      <c r="B21" s="283">
        <v>22.07</v>
      </c>
      <c r="C21" s="283">
        <v>21.09</v>
      </c>
      <c r="D21" s="283">
        <v>13.2</v>
      </c>
      <c r="E21" s="283">
        <v>7.07</v>
      </c>
      <c r="F21" s="285">
        <v>2.27</v>
      </c>
      <c r="G21" s="283">
        <v>0.43</v>
      </c>
      <c r="H21" s="283">
        <v>0.19</v>
      </c>
      <c r="I21" s="283">
        <v>1.01</v>
      </c>
      <c r="J21" s="283">
        <v>2.68</v>
      </c>
      <c r="K21" s="283">
        <v>4.43</v>
      </c>
      <c r="L21" s="283">
        <v>9.7899999999999991</v>
      </c>
      <c r="M21" s="283">
        <v>10.4</v>
      </c>
      <c r="N21" s="273"/>
      <c r="O21" s="274"/>
      <c r="P21" s="274"/>
      <c r="Q21" s="274"/>
    </row>
    <row r="22" spans="1:17" ht="10.5" customHeight="1">
      <c r="A22" s="282" t="s">
        <v>28</v>
      </c>
      <c r="B22" s="283">
        <v>28.01</v>
      </c>
      <c r="C22" s="283">
        <v>20.25</v>
      </c>
      <c r="D22" s="283">
        <v>8.98</v>
      </c>
      <c r="E22" s="283">
        <v>5.95</v>
      </c>
      <c r="F22" s="283">
        <v>2.71</v>
      </c>
      <c r="G22" s="285">
        <v>4.2300000000000004</v>
      </c>
      <c r="H22" s="285">
        <v>2.0499999999999998</v>
      </c>
      <c r="I22" s="285">
        <v>2.65</v>
      </c>
      <c r="J22" s="283">
        <v>3.6</v>
      </c>
      <c r="K22" s="283">
        <v>9.24</v>
      </c>
      <c r="L22" s="285">
        <v>18.89</v>
      </c>
      <c r="M22" s="285">
        <v>20.23</v>
      </c>
      <c r="N22" s="273"/>
      <c r="O22" s="274"/>
      <c r="P22" s="274"/>
      <c r="Q22" s="274"/>
    </row>
    <row r="23" spans="1:17" ht="10.5" customHeight="1">
      <c r="A23" s="277" t="s">
        <v>30</v>
      </c>
      <c r="B23" s="286">
        <v>19.13</v>
      </c>
      <c r="C23" s="286">
        <v>15.65</v>
      </c>
      <c r="D23" s="286">
        <v>10.029999999999999</v>
      </c>
      <c r="E23" s="286">
        <v>5.97</v>
      </c>
      <c r="F23" s="286">
        <v>3.56</v>
      </c>
      <c r="G23" s="287">
        <v>2.1</v>
      </c>
      <c r="H23" s="287">
        <v>1.85</v>
      </c>
      <c r="I23" s="287">
        <v>2.69</v>
      </c>
      <c r="J23" s="286">
        <v>4.88</v>
      </c>
      <c r="K23" s="286">
        <v>7.09</v>
      </c>
      <c r="L23" s="288">
        <v>11.4</v>
      </c>
      <c r="M23" s="288">
        <v>13.52</v>
      </c>
      <c r="N23" s="273"/>
      <c r="O23" s="274"/>
      <c r="P23" s="274"/>
      <c r="Q23" s="274"/>
    </row>
    <row r="24" spans="1:17" ht="10.5" customHeight="1">
      <c r="A24" s="289" t="s">
        <v>31</v>
      </c>
      <c r="B24" s="286">
        <v>15.24</v>
      </c>
      <c r="C24" s="286">
        <v>14.16</v>
      </c>
      <c r="D24" s="286">
        <v>9.81</v>
      </c>
      <c r="E24" s="286">
        <v>8.18</v>
      </c>
      <c r="F24" s="286">
        <v>6.74</v>
      </c>
      <c r="G24" s="287">
        <v>4.34</v>
      </c>
      <c r="H24" s="287">
        <v>1.83</v>
      </c>
      <c r="I24" s="287">
        <v>1.98</v>
      </c>
      <c r="J24" s="286">
        <v>5.28</v>
      </c>
      <c r="K24" s="286">
        <v>15.34</v>
      </c>
      <c r="L24" s="288">
        <v>25.14</v>
      </c>
      <c r="M24" s="288">
        <v>29.44</v>
      </c>
      <c r="N24" s="273"/>
      <c r="O24" s="274"/>
      <c r="P24" s="274"/>
      <c r="Q24" s="274"/>
    </row>
    <row r="25" spans="1:17" ht="10.5" customHeight="1">
      <c r="A25" s="289" t="s">
        <v>32</v>
      </c>
      <c r="B25" s="286">
        <v>23.66</v>
      </c>
      <c r="C25" s="286">
        <v>18.600000000000001</v>
      </c>
      <c r="D25" s="286">
        <v>10.58</v>
      </c>
      <c r="E25" s="286">
        <v>4.7</v>
      </c>
      <c r="F25" s="286">
        <v>2.95</v>
      </c>
      <c r="G25" s="287">
        <v>2.04</v>
      </c>
      <c r="H25" s="287">
        <v>1.78</v>
      </c>
      <c r="I25" s="287">
        <v>1.74</v>
      </c>
      <c r="J25" s="286">
        <v>2.84</v>
      </c>
      <c r="K25" s="286">
        <v>6.88</v>
      </c>
      <c r="L25" s="288">
        <v>16.45</v>
      </c>
      <c r="M25" s="288">
        <v>23.33</v>
      </c>
      <c r="N25" s="273"/>
      <c r="O25" s="274"/>
      <c r="P25" s="274"/>
      <c r="Q25" s="274"/>
    </row>
    <row r="26" spans="1:17" ht="3" customHeight="1">
      <c r="A26" s="289"/>
      <c r="B26" s="286"/>
      <c r="C26" s="286"/>
      <c r="D26" s="286"/>
      <c r="E26" s="286"/>
      <c r="F26" s="286"/>
      <c r="G26" s="287"/>
      <c r="H26" s="287"/>
      <c r="I26" s="287"/>
      <c r="J26" s="286"/>
      <c r="K26" s="286"/>
      <c r="L26" s="288"/>
      <c r="M26" s="288"/>
      <c r="N26" s="273"/>
      <c r="O26" s="274"/>
      <c r="P26" s="274"/>
      <c r="Q26" s="274"/>
    </row>
    <row r="27" spans="1:17" ht="10.5" customHeight="1">
      <c r="A27" s="289" t="s">
        <v>33</v>
      </c>
      <c r="B27" s="286">
        <v>23.03</v>
      </c>
      <c r="C27" s="286">
        <v>17.46</v>
      </c>
      <c r="D27" s="286">
        <v>19.420000000000002</v>
      </c>
      <c r="E27" s="286">
        <v>12.12</v>
      </c>
      <c r="F27" s="286">
        <v>6.76</v>
      </c>
      <c r="G27" s="287">
        <v>7.3</v>
      </c>
      <c r="H27" s="287">
        <v>4.84</v>
      </c>
      <c r="I27" s="287">
        <v>5.22</v>
      </c>
      <c r="J27" s="286">
        <v>6.04</v>
      </c>
      <c r="K27" s="286">
        <v>7.87</v>
      </c>
      <c r="L27" s="288">
        <v>10.07</v>
      </c>
      <c r="M27" s="288">
        <v>13.76</v>
      </c>
      <c r="N27" s="273"/>
      <c r="O27" s="274"/>
      <c r="P27" s="274"/>
      <c r="Q27" s="274"/>
    </row>
    <row r="28" spans="1:17" ht="10.5" customHeight="1">
      <c r="A28" s="289" t="s">
        <v>34</v>
      </c>
      <c r="B28" s="286">
        <v>16.97</v>
      </c>
      <c r="C28" s="286">
        <v>19.87</v>
      </c>
      <c r="D28" s="286">
        <v>15.38</v>
      </c>
      <c r="E28" s="286">
        <v>10.99</v>
      </c>
      <c r="F28" s="286">
        <v>11.67</v>
      </c>
      <c r="G28" s="287">
        <v>11.45</v>
      </c>
      <c r="H28" s="287">
        <v>9.6999999999999993</v>
      </c>
      <c r="I28" s="287">
        <v>8.66</v>
      </c>
      <c r="J28" s="286">
        <v>5.51</v>
      </c>
      <c r="K28" s="286">
        <v>3.65</v>
      </c>
      <c r="L28" s="288">
        <v>6.85</v>
      </c>
      <c r="M28" s="288">
        <v>11.91</v>
      </c>
      <c r="N28" s="273"/>
      <c r="O28" s="274"/>
      <c r="P28" s="274"/>
      <c r="Q28" s="274"/>
    </row>
    <row r="29" spans="1:17" ht="10.5" customHeight="1">
      <c r="A29" s="289" t="s">
        <v>35</v>
      </c>
      <c r="B29" s="286">
        <v>13.44</v>
      </c>
      <c r="C29" s="286">
        <v>8.92</v>
      </c>
      <c r="D29" s="286">
        <v>4.2300000000000004</v>
      </c>
      <c r="E29" s="286">
        <v>2</v>
      </c>
      <c r="F29" s="286">
        <v>1.72</v>
      </c>
      <c r="G29" s="287">
        <v>0.73</v>
      </c>
      <c r="H29" s="287">
        <v>0.79</v>
      </c>
      <c r="I29" s="287">
        <v>1.42</v>
      </c>
      <c r="J29" s="286">
        <v>3.7</v>
      </c>
      <c r="K29" s="286">
        <v>5.44</v>
      </c>
      <c r="L29" s="288">
        <v>9.0500000000000007</v>
      </c>
      <c r="M29" s="288">
        <v>15.86</v>
      </c>
      <c r="N29" s="273"/>
      <c r="O29" s="274"/>
      <c r="P29" s="274"/>
      <c r="Q29" s="274"/>
    </row>
    <row r="30" spans="1:17" ht="10.5" customHeight="1">
      <c r="A30" s="277" t="s">
        <v>36</v>
      </c>
      <c r="B30" s="286">
        <v>18.46</v>
      </c>
      <c r="C30" s="286">
        <v>15.19</v>
      </c>
      <c r="D30" s="286">
        <v>17.899999999999999</v>
      </c>
      <c r="E30" s="286">
        <v>15.52</v>
      </c>
      <c r="F30" s="286">
        <v>9.5399999999999991</v>
      </c>
      <c r="G30" s="287">
        <v>6.46</v>
      </c>
      <c r="H30" s="287">
        <v>4.4000000000000004</v>
      </c>
      <c r="I30" s="287">
        <v>5.98</v>
      </c>
      <c r="J30" s="286">
        <v>8.4700000000000006</v>
      </c>
      <c r="K30" s="286">
        <v>10.58</v>
      </c>
      <c r="L30" s="288">
        <v>15.5</v>
      </c>
      <c r="M30" s="288">
        <v>17.72</v>
      </c>
      <c r="N30" s="273"/>
      <c r="O30" s="274"/>
      <c r="P30" s="274"/>
      <c r="Q30" s="274"/>
    </row>
    <row r="31" spans="1:17" ht="10.5" customHeight="1">
      <c r="A31" s="289" t="s">
        <v>37</v>
      </c>
      <c r="B31" s="286">
        <v>20.28</v>
      </c>
      <c r="C31" s="286">
        <v>18.37</v>
      </c>
      <c r="D31" s="286">
        <v>14.72</v>
      </c>
      <c r="E31" s="286">
        <v>9.91</v>
      </c>
      <c r="F31" s="286">
        <v>6.63</v>
      </c>
      <c r="G31" s="287">
        <v>3.55</v>
      </c>
      <c r="H31" s="287">
        <v>1.2</v>
      </c>
      <c r="I31" s="287">
        <v>0.65</v>
      </c>
      <c r="J31" s="286">
        <v>4.63</v>
      </c>
      <c r="K31" s="286">
        <v>5.49</v>
      </c>
      <c r="L31" s="288">
        <v>5.77</v>
      </c>
      <c r="M31" s="288">
        <v>6.24</v>
      </c>
      <c r="N31" s="273"/>
      <c r="O31" s="274"/>
      <c r="P31" s="274"/>
      <c r="Q31" s="274"/>
    </row>
    <row r="32" spans="1:17" ht="10.5" customHeight="1">
      <c r="A32" s="277" t="s">
        <v>38</v>
      </c>
      <c r="B32" s="286">
        <v>12.39</v>
      </c>
      <c r="C32" s="286">
        <v>9.6199999999999992</v>
      </c>
      <c r="D32" s="286">
        <v>6.14</v>
      </c>
      <c r="E32" s="286">
        <v>5.01</v>
      </c>
      <c r="F32" s="286">
        <v>3.06</v>
      </c>
      <c r="G32" s="287">
        <v>1.95</v>
      </c>
      <c r="H32" s="287">
        <v>3.84</v>
      </c>
      <c r="I32" s="287">
        <v>6.75</v>
      </c>
      <c r="J32" s="286">
        <v>9.08</v>
      </c>
      <c r="K32" s="286">
        <v>11.81</v>
      </c>
      <c r="L32" s="288">
        <v>14.31</v>
      </c>
      <c r="M32" s="288">
        <v>14.04</v>
      </c>
      <c r="N32" s="273"/>
      <c r="O32" s="274"/>
      <c r="P32" s="274"/>
      <c r="Q32" s="274"/>
    </row>
    <row r="33" spans="1:17" ht="3.75" customHeight="1">
      <c r="A33" s="289"/>
      <c r="B33" s="286"/>
      <c r="C33" s="286"/>
      <c r="D33" s="286"/>
      <c r="E33" s="286"/>
      <c r="F33" s="286"/>
      <c r="G33" s="287"/>
      <c r="H33" s="287"/>
      <c r="I33" s="287"/>
      <c r="J33" s="286"/>
      <c r="K33" s="286"/>
      <c r="L33" s="288"/>
      <c r="M33" s="288"/>
      <c r="N33" s="273"/>
      <c r="O33" s="274"/>
      <c r="P33" s="274"/>
      <c r="Q33" s="274"/>
    </row>
    <row r="34" spans="1:17" ht="10.5" customHeight="1">
      <c r="A34" s="277" t="s">
        <v>39</v>
      </c>
      <c r="B34" s="286">
        <v>17.86</v>
      </c>
      <c r="C34" s="286">
        <v>17.04</v>
      </c>
      <c r="D34" s="286">
        <v>14.82</v>
      </c>
      <c r="E34" s="286">
        <v>10.26</v>
      </c>
      <c r="F34" s="286">
        <v>8.4700000000000006</v>
      </c>
      <c r="G34" s="287">
        <v>7.9</v>
      </c>
      <c r="H34" s="287">
        <v>6.24</v>
      </c>
      <c r="I34" s="287">
        <v>4.8</v>
      </c>
      <c r="J34" s="286">
        <v>5.64</v>
      </c>
      <c r="K34" s="286">
        <v>4.16</v>
      </c>
      <c r="L34" s="288">
        <v>12.86</v>
      </c>
      <c r="M34" s="288">
        <v>10.75</v>
      </c>
      <c r="N34" s="273"/>
      <c r="O34" s="274"/>
      <c r="P34" s="274"/>
      <c r="Q34" s="274"/>
    </row>
    <row r="35" spans="1:17" ht="10.5" customHeight="1">
      <c r="A35" s="277" t="s">
        <v>40</v>
      </c>
      <c r="B35" s="286">
        <v>12.32</v>
      </c>
      <c r="C35" s="286">
        <v>10.38</v>
      </c>
      <c r="D35" s="286">
        <v>7.93</v>
      </c>
      <c r="E35" s="286">
        <v>9.1199999999999992</v>
      </c>
      <c r="F35" s="286">
        <v>7.26</v>
      </c>
      <c r="G35" s="287">
        <v>4.92</v>
      </c>
      <c r="H35" s="287">
        <v>11.74</v>
      </c>
      <c r="I35" s="287">
        <v>9.5399999999999991</v>
      </c>
      <c r="J35" s="286">
        <v>13.49</v>
      </c>
      <c r="K35" s="286">
        <v>15.09</v>
      </c>
      <c r="L35" s="288">
        <v>16.989999999999998</v>
      </c>
      <c r="M35" s="288">
        <v>18.89</v>
      </c>
      <c r="N35" s="273"/>
      <c r="O35" s="274"/>
      <c r="P35" s="274"/>
      <c r="Q35" s="274"/>
    </row>
    <row r="36" spans="1:17" ht="10.5" customHeight="1">
      <c r="A36" s="277" t="s">
        <v>41</v>
      </c>
      <c r="B36" s="286">
        <v>22.32</v>
      </c>
      <c r="C36" s="286">
        <v>26.49</v>
      </c>
      <c r="D36" s="286">
        <v>24.81</v>
      </c>
      <c r="E36" s="286">
        <v>22.83</v>
      </c>
      <c r="F36" s="286">
        <v>13.96</v>
      </c>
      <c r="G36" s="287">
        <v>13.54</v>
      </c>
      <c r="H36" s="287">
        <v>29.87</v>
      </c>
      <c r="I36" s="287">
        <v>10.29</v>
      </c>
      <c r="J36" s="286">
        <v>9.6300000000000008</v>
      </c>
      <c r="K36" s="286">
        <v>9.6199999999999992</v>
      </c>
      <c r="L36" s="288">
        <v>13.04</v>
      </c>
      <c r="M36" s="288">
        <v>15.41</v>
      </c>
      <c r="N36" s="273"/>
      <c r="O36" s="274"/>
      <c r="P36" s="274"/>
      <c r="Q36" s="274"/>
    </row>
    <row r="37" spans="1:17" ht="10.5" customHeight="1">
      <c r="A37" s="277" t="s">
        <v>42</v>
      </c>
      <c r="B37" s="286">
        <v>33.53</v>
      </c>
      <c r="C37" s="286">
        <v>33.08</v>
      </c>
      <c r="D37" s="286">
        <v>34.28</v>
      </c>
      <c r="E37" s="286">
        <v>34.43</v>
      </c>
      <c r="F37" s="286">
        <v>23.47</v>
      </c>
      <c r="G37" s="287">
        <v>22.74</v>
      </c>
      <c r="H37" s="287">
        <v>28.15</v>
      </c>
      <c r="I37" s="287">
        <v>24.06</v>
      </c>
      <c r="J37" s="286">
        <v>24.29</v>
      </c>
      <c r="K37" s="286">
        <v>20.7</v>
      </c>
      <c r="L37" s="288">
        <v>26.79</v>
      </c>
      <c r="M37" s="288">
        <v>25.72</v>
      </c>
      <c r="N37" s="273"/>
      <c r="O37" s="274"/>
      <c r="P37" s="274"/>
      <c r="Q37" s="274"/>
    </row>
    <row r="38" spans="1:17" ht="10.5" customHeight="1">
      <c r="A38" s="277" t="s">
        <v>43</v>
      </c>
      <c r="B38" s="286">
        <v>28</v>
      </c>
      <c r="C38" s="286">
        <v>25.65</v>
      </c>
      <c r="D38" s="286">
        <v>10.95</v>
      </c>
      <c r="E38" s="286">
        <v>10.64</v>
      </c>
      <c r="F38" s="286">
        <v>7.71</v>
      </c>
      <c r="G38" s="287">
        <v>6.25</v>
      </c>
      <c r="H38" s="287">
        <v>3.12</v>
      </c>
      <c r="I38" s="287">
        <v>2.29</v>
      </c>
      <c r="J38" s="286">
        <v>4.66</v>
      </c>
      <c r="K38" s="286">
        <v>6.01</v>
      </c>
      <c r="L38" s="288">
        <v>11.3</v>
      </c>
      <c r="M38" s="288">
        <v>13.33</v>
      </c>
      <c r="N38" s="273"/>
      <c r="O38" s="274"/>
      <c r="P38" s="274"/>
      <c r="Q38" s="274"/>
    </row>
    <row r="39" spans="1:17" s="59" customFormat="1" ht="10.5" customHeight="1">
      <c r="A39" s="277" t="s">
        <v>44</v>
      </c>
      <c r="B39" s="286">
        <v>10.63</v>
      </c>
      <c r="C39" s="286">
        <v>17.600000000000001</v>
      </c>
      <c r="D39" s="286">
        <v>18.2</v>
      </c>
      <c r="E39" s="286">
        <v>16.940000000000001</v>
      </c>
      <c r="F39" s="286">
        <v>14</v>
      </c>
      <c r="G39" s="287">
        <v>10.95</v>
      </c>
      <c r="H39" s="287">
        <v>9.23</v>
      </c>
      <c r="I39" s="287">
        <v>9.14</v>
      </c>
      <c r="J39" s="286">
        <v>9.48</v>
      </c>
      <c r="K39" s="286">
        <v>8.59</v>
      </c>
      <c r="L39" s="288">
        <v>11.24</v>
      </c>
      <c r="M39" s="288">
        <v>13.73</v>
      </c>
      <c r="N39" s="290"/>
      <c r="O39" s="291"/>
      <c r="P39" s="291"/>
      <c r="Q39" s="291"/>
    </row>
    <row r="40" spans="1:17" s="59" customFormat="1" ht="10.5" customHeight="1">
      <c r="A40" s="277" t="s">
        <v>46</v>
      </c>
      <c r="B40" s="286">
        <v>17.010000000000002</v>
      </c>
      <c r="C40" s="286">
        <v>17.579999999999998</v>
      </c>
      <c r="D40" s="286">
        <v>20.2</v>
      </c>
      <c r="E40" s="286">
        <v>20.350000000000001</v>
      </c>
      <c r="F40" s="286">
        <v>10.35</v>
      </c>
      <c r="G40" s="287">
        <v>9.15</v>
      </c>
      <c r="H40" s="287">
        <v>4.54</v>
      </c>
      <c r="I40" s="287">
        <v>6.07</v>
      </c>
      <c r="J40" s="286">
        <v>8.5399999999999991</v>
      </c>
      <c r="K40" s="286">
        <v>10.61</v>
      </c>
      <c r="L40" s="288">
        <v>12.32</v>
      </c>
      <c r="M40" s="288">
        <v>15.83</v>
      </c>
      <c r="N40" s="290"/>
      <c r="O40" s="291"/>
      <c r="P40" s="291"/>
      <c r="Q40" s="291"/>
    </row>
    <row r="41" spans="1:17" s="59" customFormat="1" ht="3" customHeight="1">
      <c r="A41" s="277"/>
      <c r="B41" s="286"/>
      <c r="C41" s="286"/>
      <c r="D41" s="286"/>
      <c r="E41" s="286"/>
      <c r="F41" s="286"/>
      <c r="G41" s="287"/>
      <c r="H41" s="287"/>
      <c r="I41" s="287"/>
      <c r="J41" s="286"/>
      <c r="K41" s="286"/>
      <c r="L41" s="288"/>
      <c r="M41" s="288"/>
      <c r="N41" s="290"/>
      <c r="O41" s="291"/>
      <c r="P41" s="291"/>
      <c r="Q41" s="291"/>
    </row>
    <row r="42" spans="1:17" s="59" customFormat="1" ht="10.5" customHeight="1">
      <c r="A42" s="277" t="s">
        <v>47</v>
      </c>
      <c r="B42" s="286">
        <v>22.77</v>
      </c>
      <c r="C42" s="286">
        <v>17.98</v>
      </c>
      <c r="D42" s="286">
        <v>12.7</v>
      </c>
      <c r="E42" s="286">
        <v>13.62</v>
      </c>
      <c r="F42" s="286">
        <v>14.29</v>
      </c>
      <c r="G42" s="287">
        <v>13.61</v>
      </c>
      <c r="H42" s="287">
        <v>12.08</v>
      </c>
      <c r="I42" s="287">
        <v>12.57</v>
      </c>
      <c r="J42" s="286">
        <v>15.55</v>
      </c>
      <c r="K42" s="286">
        <v>17.190000000000001</v>
      </c>
      <c r="L42" s="288">
        <v>16.100000000000001</v>
      </c>
      <c r="M42" s="288">
        <v>17.29</v>
      </c>
      <c r="N42" s="290"/>
      <c r="O42" s="291"/>
      <c r="P42" s="291"/>
      <c r="Q42" s="291"/>
    </row>
    <row r="43" spans="1:17" s="59" customFormat="1" ht="10.5" customHeight="1">
      <c r="A43" s="277" t="s">
        <v>48</v>
      </c>
      <c r="B43" s="286">
        <v>14.03</v>
      </c>
      <c r="C43" s="286">
        <v>15.47</v>
      </c>
      <c r="D43" s="286">
        <v>14.77</v>
      </c>
      <c r="E43" s="286">
        <v>14.59</v>
      </c>
      <c r="F43" s="286">
        <v>11.93</v>
      </c>
      <c r="G43" s="287">
        <v>11.01</v>
      </c>
      <c r="H43" s="287">
        <v>7.42</v>
      </c>
      <c r="I43" s="287">
        <v>7.35</v>
      </c>
      <c r="J43" s="286">
        <v>8.83</v>
      </c>
      <c r="K43" s="286">
        <v>14.77</v>
      </c>
      <c r="L43" s="288">
        <v>15.89</v>
      </c>
      <c r="M43" s="288">
        <v>18.350000000000001</v>
      </c>
      <c r="N43" s="290"/>
      <c r="O43" s="291"/>
      <c r="P43" s="291"/>
      <c r="Q43" s="291"/>
    </row>
    <row r="44" spans="1:17" s="59" customFormat="1" ht="10.5" customHeight="1">
      <c r="A44" s="277" t="s">
        <v>51</v>
      </c>
      <c r="B44" s="286">
        <v>26.86</v>
      </c>
      <c r="C44" s="286">
        <v>27.24</v>
      </c>
      <c r="D44" s="286">
        <v>32.29</v>
      </c>
      <c r="E44" s="286">
        <v>27.43</v>
      </c>
      <c r="F44" s="286">
        <v>24.24</v>
      </c>
      <c r="G44" s="287">
        <v>21.83</v>
      </c>
      <c r="H44" s="287">
        <v>21.8</v>
      </c>
      <c r="I44" s="287">
        <v>20.82</v>
      </c>
      <c r="J44" s="286">
        <v>22.39</v>
      </c>
      <c r="K44" s="286">
        <v>24.54</v>
      </c>
      <c r="L44" s="288">
        <v>29.91</v>
      </c>
      <c r="M44" s="288">
        <v>40.4</v>
      </c>
      <c r="N44" s="290"/>
      <c r="O44" s="291"/>
      <c r="P44" s="291"/>
      <c r="Q44" s="291"/>
    </row>
    <row r="45" spans="1:17" ht="10.5" customHeight="1">
      <c r="A45" s="277" t="s">
        <v>52</v>
      </c>
      <c r="B45" s="286">
        <v>33.68</v>
      </c>
      <c r="C45" s="286">
        <v>35.880000000000003</v>
      </c>
      <c r="D45" s="286">
        <v>37.81</v>
      </c>
      <c r="E45" s="286">
        <v>28.64</v>
      </c>
      <c r="F45" s="286">
        <v>21.98</v>
      </c>
      <c r="G45" s="287">
        <v>18.73</v>
      </c>
      <c r="H45" s="287">
        <v>13.31</v>
      </c>
      <c r="I45" s="287">
        <v>15.67</v>
      </c>
      <c r="J45" s="286">
        <v>21.65</v>
      </c>
      <c r="K45" s="286">
        <v>31.76</v>
      </c>
      <c r="L45" s="288">
        <v>37.43</v>
      </c>
      <c r="M45" s="288">
        <v>37.67</v>
      </c>
      <c r="N45" s="290"/>
      <c r="O45" s="274"/>
      <c r="P45" s="274"/>
      <c r="Q45" s="274"/>
    </row>
    <row r="46" spans="1:17" ht="10.5" customHeight="1">
      <c r="A46" s="277" t="s">
        <v>291</v>
      </c>
      <c r="B46" s="418" t="s">
        <v>300</v>
      </c>
      <c r="C46" s="286">
        <v>31.16</v>
      </c>
      <c r="D46" s="286">
        <v>33.33</v>
      </c>
      <c r="E46" s="286">
        <v>29.75</v>
      </c>
      <c r="F46" s="286">
        <v>24.59</v>
      </c>
      <c r="G46" s="287">
        <v>24.15</v>
      </c>
      <c r="H46" s="287">
        <v>22.37</v>
      </c>
      <c r="I46" s="287">
        <v>24.93</v>
      </c>
      <c r="J46" s="286">
        <v>25.09</v>
      </c>
      <c r="K46" s="286">
        <v>31.67</v>
      </c>
      <c r="L46" s="288">
        <v>30.43</v>
      </c>
      <c r="M46" s="288">
        <v>28.37</v>
      </c>
      <c r="N46" s="273"/>
      <c r="O46" s="274"/>
      <c r="P46" s="274"/>
      <c r="Q46" s="274"/>
    </row>
    <row r="47" spans="1:17" ht="10.5" customHeight="1">
      <c r="A47" s="277" t="s">
        <v>298</v>
      </c>
      <c r="B47" s="418" t="s">
        <v>300</v>
      </c>
      <c r="C47" s="286">
        <v>31.29</v>
      </c>
      <c r="D47" s="286">
        <v>31.21</v>
      </c>
      <c r="E47" s="286">
        <v>27.5</v>
      </c>
      <c r="F47" s="286">
        <v>22.99</v>
      </c>
      <c r="G47" s="287">
        <v>23.61</v>
      </c>
      <c r="H47" s="287">
        <v>25.31</v>
      </c>
      <c r="I47" s="287">
        <v>24.64</v>
      </c>
      <c r="J47" s="286">
        <v>27.1</v>
      </c>
      <c r="K47" s="286">
        <v>31.3</v>
      </c>
      <c r="L47" s="288">
        <v>40.9</v>
      </c>
      <c r="M47" s="288">
        <v>41.85</v>
      </c>
      <c r="N47" s="273"/>
      <c r="O47" s="274"/>
      <c r="P47" s="274"/>
      <c r="Q47" s="274"/>
    </row>
    <row r="48" spans="1:17" ht="10.5" customHeight="1">
      <c r="A48" s="277" t="s">
        <v>312</v>
      </c>
      <c r="B48" s="418" t="s">
        <v>300</v>
      </c>
      <c r="C48" s="286">
        <v>29.42</v>
      </c>
      <c r="D48" s="286">
        <v>24.65</v>
      </c>
      <c r="E48" s="286">
        <v>27.91</v>
      </c>
      <c r="F48" s="286">
        <v>31.53</v>
      </c>
      <c r="G48" s="287">
        <v>30.85</v>
      </c>
      <c r="H48" s="287">
        <v>23.75</v>
      </c>
      <c r="I48" s="287">
        <v>20.72</v>
      </c>
      <c r="J48" s="286">
        <v>18.2</v>
      </c>
      <c r="K48" s="286">
        <v>21.73</v>
      </c>
      <c r="L48" s="288">
        <v>29.14</v>
      </c>
      <c r="M48" s="288">
        <v>40.340000000000003</v>
      </c>
      <c r="N48" s="273"/>
      <c r="O48" s="274"/>
      <c r="P48" s="274"/>
      <c r="Q48" s="274"/>
    </row>
    <row r="49" spans="1:17" ht="10.5" customHeight="1">
      <c r="A49" s="292" t="s">
        <v>319</v>
      </c>
      <c r="B49" s="417" t="s">
        <v>300</v>
      </c>
      <c r="C49" s="293">
        <v>49.6</v>
      </c>
      <c r="D49" s="293">
        <v>40.68</v>
      </c>
      <c r="E49" s="293">
        <v>31.36</v>
      </c>
      <c r="F49" s="293">
        <v>29.96</v>
      </c>
      <c r="G49" s="294">
        <v>22.87</v>
      </c>
      <c r="H49" s="294">
        <v>16.190000000000001</v>
      </c>
      <c r="I49" s="294">
        <v>15.59</v>
      </c>
      <c r="J49" s="293">
        <v>13.38</v>
      </c>
      <c r="K49" s="293">
        <v>16.25</v>
      </c>
      <c r="L49" s="295">
        <v>19.43</v>
      </c>
      <c r="M49" s="295">
        <v>22.12</v>
      </c>
      <c r="N49" s="273"/>
      <c r="O49" s="274"/>
      <c r="P49" s="274"/>
      <c r="Q49" s="274"/>
    </row>
    <row r="50" spans="1:17" ht="12" customHeight="1">
      <c r="A50" s="265" t="s">
        <v>301</v>
      </c>
      <c r="B50" s="286"/>
      <c r="C50" s="286"/>
      <c r="D50" s="286"/>
      <c r="E50" s="286"/>
      <c r="F50" s="286"/>
      <c r="G50" s="287"/>
      <c r="H50" s="287"/>
      <c r="I50" s="287"/>
      <c r="J50" s="286"/>
      <c r="K50" s="286"/>
      <c r="L50" s="288"/>
      <c r="M50" s="288"/>
      <c r="N50" s="273"/>
      <c r="O50" s="274"/>
      <c r="P50" s="274"/>
      <c r="Q50" s="274"/>
    </row>
    <row r="51" spans="1:17" s="98" customFormat="1" ht="12" customHeight="1">
      <c r="A51" s="296" t="s">
        <v>210</v>
      </c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97"/>
      <c r="P51" s="297"/>
      <c r="Q51" s="297"/>
    </row>
    <row r="52" spans="1:17" s="98" customFormat="1" ht="12" customHeight="1">
      <c r="A52" s="39" t="s">
        <v>127</v>
      </c>
      <c r="B52" s="279"/>
      <c r="C52" s="279"/>
      <c r="D52" s="279"/>
      <c r="E52" s="279"/>
      <c r="F52" s="279"/>
      <c r="G52" s="279"/>
      <c r="H52" s="279"/>
      <c r="I52" s="279"/>
      <c r="J52" s="298"/>
      <c r="K52" s="298"/>
      <c r="L52" s="298"/>
      <c r="M52" s="298"/>
      <c r="N52" s="279"/>
      <c r="O52" s="297"/>
      <c r="P52" s="297"/>
      <c r="Q52" s="297"/>
    </row>
  </sheetData>
  <pageMargins left="0.66700000000000004" right="0.66700000000000004" top="0.66700000000000004" bottom="0.72" header="0" footer="0"/>
  <pageSetup firstPageNumber="87" orientation="portrait" useFirstPageNumber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52"/>
  <sheetViews>
    <sheetView showGridLines="0" view="pageBreakPreview" zoomScale="60" zoomScaleNormal="100" workbookViewId="0">
      <selection activeCell="F55" sqref="F55"/>
    </sheetView>
  </sheetViews>
  <sheetFormatPr defaultColWidth="9.7109375" defaultRowHeight="12"/>
  <cols>
    <col min="1" max="1" width="8.7109375" customWidth="1"/>
    <col min="2" max="12" width="7.7109375" style="186" customWidth="1"/>
    <col min="13" max="13" width="7.7109375" customWidth="1"/>
  </cols>
  <sheetData>
    <row r="1" spans="1:17" ht="12" customHeight="1">
      <c r="A1" s="299" t="s">
        <v>211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1"/>
      <c r="N1" s="302"/>
      <c r="O1" s="274"/>
      <c r="P1" s="274"/>
      <c r="Q1" s="274"/>
    </row>
    <row r="2" spans="1:17" ht="11.65" customHeight="1">
      <c r="A2" s="303" t="s">
        <v>161</v>
      </c>
      <c r="B2" s="304" t="s">
        <v>138</v>
      </c>
      <c r="C2" s="304" t="s">
        <v>139</v>
      </c>
      <c r="D2" s="304" t="s">
        <v>140</v>
      </c>
      <c r="E2" s="304" t="s">
        <v>129</v>
      </c>
      <c r="F2" s="304" t="s">
        <v>130</v>
      </c>
      <c r="G2" s="304" t="s">
        <v>131</v>
      </c>
      <c r="H2" s="304" t="s">
        <v>132</v>
      </c>
      <c r="I2" s="304" t="s">
        <v>133</v>
      </c>
      <c r="J2" s="304" t="s">
        <v>134</v>
      </c>
      <c r="K2" s="304" t="s">
        <v>135</v>
      </c>
      <c r="L2" s="304" t="s">
        <v>136</v>
      </c>
      <c r="M2" s="305" t="s">
        <v>137</v>
      </c>
      <c r="N2" s="302"/>
      <c r="O2" s="274"/>
      <c r="P2" s="274"/>
      <c r="Q2" s="274"/>
    </row>
    <row r="3" spans="1:17" ht="3.95" customHeight="1">
      <c r="A3" s="306"/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8"/>
      <c r="N3" s="302"/>
      <c r="O3" s="274"/>
      <c r="P3" s="274"/>
      <c r="Q3" s="274"/>
    </row>
    <row r="4" spans="1:17" ht="11.45" customHeight="1">
      <c r="A4" s="309"/>
      <c r="B4" s="310" t="s">
        <v>212</v>
      </c>
      <c r="C4" s="311"/>
      <c r="D4" s="311"/>
      <c r="E4" s="311"/>
      <c r="F4" s="311"/>
      <c r="G4" s="312"/>
      <c r="H4" s="311"/>
      <c r="I4" s="311"/>
      <c r="J4" s="311"/>
      <c r="K4" s="311"/>
      <c r="L4" s="311"/>
      <c r="M4" s="313"/>
      <c r="N4" s="302"/>
      <c r="O4" s="274"/>
      <c r="P4" s="274"/>
      <c r="Q4" s="274"/>
    </row>
    <row r="5" spans="1:17" ht="3" customHeight="1">
      <c r="A5" s="309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09"/>
      <c r="N5" s="302"/>
      <c r="O5" s="274"/>
      <c r="P5" s="274"/>
      <c r="Q5" s="274"/>
    </row>
    <row r="6" spans="1:17" ht="10.5" customHeight="1">
      <c r="A6" s="315" t="s">
        <v>14</v>
      </c>
      <c r="B6" s="316">
        <v>8.99</v>
      </c>
      <c r="C6" s="316">
        <v>5.74</v>
      </c>
      <c r="D6" s="316">
        <v>4.13</v>
      </c>
      <c r="E6" s="316">
        <v>2.37</v>
      </c>
      <c r="F6" s="316">
        <v>1.1499999999999999</v>
      </c>
      <c r="G6" s="316">
        <v>0.62</v>
      </c>
      <c r="H6" s="316">
        <v>0.22</v>
      </c>
      <c r="I6" s="316">
        <v>0.4</v>
      </c>
      <c r="J6" s="316">
        <v>0.66</v>
      </c>
      <c r="K6" s="316">
        <v>1</v>
      </c>
      <c r="L6" s="316">
        <v>1.88</v>
      </c>
      <c r="M6" s="316">
        <v>6.89</v>
      </c>
      <c r="N6" s="302"/>
      <c r="O6" s="274"/>
      <c r="P6" s="274"/>
      <c r="Q6" s="274"/>
    </row>
    <row r="7" spans="1:17" ht="10.5" customHeight="1">
      <c r="A7" s="315" t="s">
        <v>15</v>
      </c>
      <c r="B7" s="316">
        <v>7.3</v>
      </c>
      <c r="C7" s="316">
        <v>6.69</v>
      </c>
      <c r="D7" s="316">
        <v>0.51</v>
      </c>
      <c r="E7" s="316">
        <v>0.76</v>
      </c>
      <c r="F7" s="317">
        <v>0.48</v>
      </c>
      <c r="G7" s="316">
        <v>0.75</v>
      </c>
      <c r="H7" s="316">
        <v>1.53</v>
      </c>
      <c r="I7" s="316">
        <v>0.26</v>
      </c>
      <c r="J7" s="316">
        <v>1.19</v>
      </c>
      <c r="K7" s="316">
        <v>2.57</v>
      </c>
      <c r="L7" s="316">
        <v>2.95</v>
      </c>
      <c r="M7" s="316">
        <v>7.47</v>
      </c>
      <c r="N7" s="302"/>
      <c r="O7" s="274"/>
      <c r="P7" s="274"/>
      <c r="Q7" s="274"/>
    </row>
    <row r="8" spans="1:17" ht="10.5" customHeight="1">
      <c r="A8" s="315" t="s">
        <v>16</v>
      </c>
      <c r="B8" s="316">
        <v>6.5</v>
      </c>
      <c r="C8" s="316">
        <v>6.03</v>
      </c>
      <c r="D8" s="316">
        <v>1.64</v>
      </c>
      <c r="E8" s="316">
        <v>1.07</v>
      </c>
      <c r="F8" s="317">
        <v>0.35</v>
      </c>
      <c r="G8" s="316">
        <v>0.68</v>
      </c>
      <c r="H8" s="316">
        <v>0.82</v>
      </c>
      <c r="I8" s="316">
        <v>0.41</v>
      </c>
      <c r="J8" s="316">
        <v>0.89</v>
      </c>
      <c r="K8" s="316">
        <v>0.55000000000000004</v>
      </c>
      <c r="L8" s="316">
        <v>2.67</v>
      </c>
      <c r="M8" s="316">
        <v>7.27</v>
      </c>
      <c r="N8" s="302"/>
      <c r="O8" s="274"/>
      <c r="P8" s="274"/>
      <c r="Q8" s="274"/>
    </row>
    <row r="9" spans="1:17" ht="10.5" customHeight="1">
      <c r="A9" s="315" t="s">
        <v>17</v>
      </c>
      <c r="B9" s="316">
        <v>6.66</v>
      </c>
      <c r="C9" s="316">
        <v>6.2</v>
      </c>
      <c r="D9" s="316">
        <v>4.1900000000000004</v>
      </c>
      <c r="E9" s="316">
        <v>1.08</v>
      </c>
      <c r="F9" s="317">
        <v>0.31</v>
      </c>
      <c r="G9" s="316">
        <v>0.44</v>
      </c>
      <c r="H9" s="316">
        <v>0.6</v>
      </c>
      <c r="I9" s="316">
        <v>0.15</v>
      </c>
      <c r="J9" s="316">
        <v>1.36</v>
      </c>
      <c r="K9" s="316">
        <v>5.33</v>
      </c>
      <c r="L9" s="316">
        <v>11.69</v>
      </c>
      <c r="M9" s="316">
        <v>11.3</v>
      </c>
      <c r="N9" s="302"/>
      <c r="O9" s="274"/>
      <c r="P9" s="274"/>
      <c r="Q9" s="274"/>
    </row>
    <row r="10" spans="1:17" ht="10.5" customHeight="1">
      <c r="A10" s="315" t="s">
        <v>18</v>
      </c>
      <c r="B10" s="316">
        <v>12.11</v>
      </c>
      <c r="C10" s="316">
        <v>8.9499999999999993</v>
      </c>
      <c r="D10" s="316">
        <v>3.35</v>
      </c>
      <c r="E10" s="316">
        <v>1.52</v>
      </c>
      <c r="F10" s="316">
        <v>2.27</v>
      </c>
      <c r="G10" s="316">
        <v>1.75</v>
      </c>
      <c r="H10" s="316">
        <v>1.0900000000000001</v>
      </c>
      <c r="I10" s="316">
        <v>1.06</v>
      </c>
      <c r="J10" s="316">
        <v>1.59</v>
      </c>
      <c r="K10" s="316">
        <v>4.16</v>
      </c>
      <c r="L10" s="316">
        <v>7.47</v>
      </c>
      <c r="M10" s="316">
        <v>12.09</v>
      </c>
      <c r="N10" s="302"/>
      <c r="O10" s="274"/>
      <c r="P10" s="274"/>
      <c r="Q10" s="274"/>
    </row>
    <row r="11" spans="1:17" ht="10.5" customHeight="1">
      <c r="A11" s="315" t="s">
        <v>19</v>
      </c>
      <c r="B11" s="316">
        <v>22.09</v>
      </c>
      <c r="C11" s="316">
        <v>23.6</v>
      </c>
      <c r="D11" s="316">
        <v>23.9</v>
      </c>
      <c r="E11" s="316">
        <v>10.52</v>
      </c>
      <c r="F11" s="316">
        <v>7.48</v>
      </c>
      <c r="G11" s="316">
        <v>6.59</v>
      </c>
      <c r="H11" s="316">
        <v>4.3899999999999997</v>
      </c>
      <c r="I11" s="316">
        <v>4.0599999999999996</v>
      </c>
      <c r="J11" s="316">
        <v>4.43</v>
      </c>
      <c r="K11" s="316">
        <v>4.6500000000000004</v>
      </c>
      <c r="L11" s="316">
        <v>7.78</v>
      </c>
      <c r="M11" s="316">
        <v>8.92</v>
      </c>
      <c r="N11" s="302"/>
      <c r="O11" s="274"/>
      <c r="P11" s="274"/>
      <c r="Q11" s="274"/>
    </row>
    <row r="12" spans="1:17" ht="3" customHeight="1">
      <c r="A12" s="315"/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02"/>
      <c r="O12" s="274"/>
      <c r="P12" s="274"/>
      <c r="Q12" s="274"/>
    </row>
    <row r="13" spans="1:17" ht="10.5" customHeight="1">
      <c r="A13" s="315" t="s">
        <v>20</v>
      </c>
      <c r="B13" s="316">
        <v>4.0599999999999996</v>
      </c>
      <c r="C13" s="316">
        <v>1.41</v>
      </c>
      <c r="D13" s="316">
        <v>3.19</v>
      </c>
      <c r="E13" s="316">
        <v>2.48</v>
      </c>
      <c r="F13" s="316">
        <v>1.86</v>
      </c>
      <c r="G13" s="316">
        <v>1.68</v>
      </c>
      <c r="H13" s="316">
        <v>2.09</v>
      </c>
      <c r="I13" s="316">
        <v>2.57</v>
      </c>
      <c r="J13" s="316">
        <v>3.09</v>
      </c>
      <c r="K13" s="316">
        <v>4.76</v>
      </c>
      <c r="L13" s="316">
        <v>8.58</v>
      </c>
      <c r="M13" s="316">
        <v>10.76</v>
      </c>
      <c r="N13" s="302"/>
      <c r="O13" s="274"/>
      <c r="P13" s="274"/>
      <c r="Q13" s="274"/>
    </row>
    <row r="14" spans="1:17" ht="10.5" customHeight="1">
      <c r="A14" s="315" t="s">
        <v>21</v>
      </c>
      <c r="B14" s="316">
        <v>12.26</v>
      </c>
      <c r="C14" s="316">
        <v>9.26</v>
      </c>
      <c r="D14" s="316">
        <v>8.7899999999999991</v>
      </c>
      <c r="E14" s="316">
        <v>5.49</v>
      </c>
      <c r="F14" s="316">
        <v>3.09</v>
      </c>
      <c r="G14" s="316">
        <v>1.62</v>
      </c>
      <c r="H14" s="316">
        <v>2.27</v>
      </c>
      <c r="I14" s="316">
        <v>5.91</v>
      </c>
      <c r="J14" s="316">
        <v>6.56</v>
      </c>
      <c r="K14" s="316">
        <v>8.0399999999999991</v>
      </c>
      <c r="L14" s="316">
        <v>12.09</v>
      </c>
      <c r="M14" s="316">
        <v>13.42</v>
      </c>
      <c r="N14" s="302"/>
      <c r="O14" s="274"/>
      <c r="P14" s="274"/>
      <c r="Q14" s="274"/>
    </row>
    <row r="15" spans="1:17" ht="10.5" customHeight="1">
      <c r="A15" s="315" t="s">
        <v>142</v>
      </c>
      <c r="B15" s="316">
        <v>16.100000000000001</v>
      </c>
      <c r="C15" s="316">
        <v>12.23</v>
      </c>
      <c r="D15" s="316">
        <v>7.9</v>
      </c>
      <c r="E15" s="316">
        <v>5.87</v>
      </c>
      <c r="F15" s="316">
        <v>4.43</v>
      </c>
      <c r="G15" s="316">
        <v>4.33</v>
      </c>
      <c r="H15" s="316">
        <v>4.75</v>
      </c>
      <c r="I15" s="316">
        <v>5.87</v>
      </c>
      <c r="J15" s="316">
        <v>8.0299999999999994</v>
      </c>
      <c r="K15" s="316">
        <v>11.96</v>
      </c>
      <c r="L15" s="316">
        <v>14.95</v>
      </c>
      <c r="M15" s="316">
        <v>15.57</v>
      </c>
      <c r="N15" s="302"/>
      <c r="O15" s="274"/>
      <c r="P15" s="274"/>
      <c r="Q15" s="274"/>
    </row>
    <row r="16" spans="1:17" ht="10.5" customHeight="1">
      <c r="A16" s="315" t="s">
        <v>143</v>
      </c>
      <c r="B16" s="316">
        <v>16.7</v>
      </c>
      <c r="C16" s="316">
        <v>17.22</v>
      </c>
      <c r="D16" s="316">
        <v>15.11</v>
      </c>
      <c r="E16" s="316">
        <v>9.7100000000000009</v>
      </c>
      <c r="F16" s="316">
        <v>7.17</v>
      </c>
      <c r="G16" s="316">
        <v>8.67</v>
      </c>
      <c r="H16" s="316">
        <v>9.89</v>
      </c>
      <c r="I16" s="316">
        <v>10.24</v>
      </c>
      <c r="J16" s="316">
        <v>11.19</v>
      </c>
      <c r="K16" s="316">
        <v>12.2</v>
      </c>
      <c r="L16" s="316">
        <v>13.24</v>
      </c>
      <c r="M16" s="316">
        <v>13.4</v>
      </c>
      <c r="N16" s="302"/>
      <c r="O16" s="274"/>
      <c r="P16" s="274"/>
      <c r="Q16" s="274"/>
    </row>
    <row r="17" spans="1:17" ht="10.5" customHeight="1">
      <c r="A17" s="315" t="s">
        <v>144</v>
      </c>
      <c r="B17" s="316">
        <v>10.9</v>
      </c>
      <c r="C17" s="316">
        <v>12.52</v>
      </c>
      <c r="D17" s="316">
        <v>11.2</v>
      </c>
      <c r="E17" s="316">
        <v>8.84</v>
      </c>
      <c r="F17" s="316">
        <v>3.05</v>
      </c>
      <c r="G17" s="316">
        <v>7.32</v>
      </c>
      <c r="H17" s="316">
        <v>9.77</v>
      </c>
      <c r="I17" s="316">
        <v>13.98</v>
      </c>
      <c r="J17" s="316">
        <v>17.7</v>
      </c>
      <c r="K17" s="316">
        <v>20.69</v>
      </c>
      <c r="L17" s="316">
        <v>18.47</v>
      </c>
      <c r="M17" s="316">
        <v>22.04</v>
      </c>
      <c r="N17" s="302"/>
      <c r="O17" s="274"/>
      <c r="P17" s="274"/>
      <c r="Q17" s="274"/>
    </row>
    <row r="18" spans="1:17" ht="10.5" customHeight="1">
      <c r="A18" s="315" t="s">
        <v>25</v>
      </c>
      <c r="B18" s="316">
        <v>19.829999999999998</v>
      </c>
      <c r="C18" s="316">
        <v>22.65</v>
      </c>
      <c r="D18" s="316">
        <v>19.98</v>
      </c>
      <c r="E18" s="316">
        <v>12.18</v>
      </c>
      <c r="F18" s="316">
        <v>4.4000000000000004</v>
      </c>
      <c r="G18" s="316">
        <v>3.93</v>
      </c>
      <c r="H18" s="316">
        <v>3.68</v>
      </c>
      <c r="I18" s="316">
        <v>5.67</v>
      </c>
      <c r="J18" s="316">
        <v>6.72</v>
      </c>
      <c r="K18" s="316">
        <v>7.14</v>
      </c>
      <c r="L18" s="316">
        <v>8.65</v>
      </c>
      <c r="M18" s="316">
        <v>8.9</v>
      </c>
      <c r="N18" s="302"/>
      <c r="O18" s="274"/>
      <c r="P18" s="274"/>
      <c r="Q18" s="274"/>
    </row>
    <row r="19" spans="1:17" ht="3" customHeight="1">
      <c r="A19" s="315"/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02"/>
      <c r="O19" s="274"/>
      <c r="P19" s="274"/>
      <c r="Q19" s="274"/>
    </row>
    <row r="20" spans="1:17" ht="10.5" customHeight="1">
      <c r="A20" s="315" t="s">
        <v>26</v>
      </c>
      <c r="B20" s="316">
        <v>9.56</v>
      </c>
      <c r="C20" s="316">
        <v>11.67</v>
      </c>
      <c r="D20" s="316">
        <v>6.01</v>
      </c>
      <c r="E20" s="316">
        <v>2.2400000000000002</v>
      </c>
      <c r="F20" s="316">
        <v>2.54</v>
      </c>
      <c r="G20" s="316">
        <v>2.96</v>
      </c>
      <c r="H20" s="316">
        <v>2.67</v>
      </c>
      <c r="I20" s="316">
        <v>2.65</v>
      </c>
      <c r="J20" s="316">
        <v>3.56</v>
      </c>
      <c r="K20" s="316">
        <v>6.82</v>
      </c>
      <c r="L20" s="316">
        <v>15.56</v>
      </c>
      <c r="M20" s="316">
        <v>17.66</v>
      </c>
      <c r="N20" s="302"/>
      <c r="O20" s="274"/>
      <c r="P20" s="274"/>
      <c r="Q20" s="274"/>
    </row>
    <row r="21" spans="1:17" ht="10.5" customHeight="1">
      <c r="A21" s="315" t="s">
        <v>27</v>
      </c>
      <c r="B21" s="316">
        <v>22.92</v>
      </c>
      <c r="C21" s="316">
        <v>24.48</v>
      </c>
      <c r="D21" s="316">
        <v>14.26</v>
      </c>
      <c r="E21" s="316">
        <v>5.52</v>
      </c>
      <c r="F21" s="316">
        <v>2.2200000000000002</v>
      </c>
      <c r="G21" s="316">
        <v>0.65</v>
      </c>
      <c r="H21" s="317">
        <v>0.08</v>
      </c>
      <c r="I21" s="316">
        <v>0.79</v>
      </c>
      <c r="J21" s="316">
        <v>2.64</v>
      </c>
      <c r="K21" s="316">
        <v>4.43</v>
      </c>
      <c r="L21" s="316">
        <v>9.7899999999999991</v>
      </c>
      <c r="M21" s="316">
        <v>10.4</v>
      </c>
      <c r="N21" s="302"/>
      <c r="O21" s="274"/>
      <c r="P21" s="274"/>
      <c r="Q21" s="274"/>
    </row>
    <row r="22" spans="1:17" ht="10.5" customHeight="1">
      <c r="A22" s="315" t="s">
        <v>28</v>
      </c>
      <c r="B22" s="316">
        <v>28.01</v>
      </c>
      <c r="C22" s="317">
        <v>22.01</v>
      </c>
      <c r="D22" s="316">
        <v>9.4499999999999993</v>
      </c>
      <c r="E22" s="316">
        <v>5.83</v>
      </c>
      <c r="F22" s="316">
        <v>3.16</v>
      </c>
      <c r="G22" s="316">
        <v>3.88</v>
      </c>
      <c r="H22" s="316">
        <v>1.99</v>
      </c>
      <c r="I22" s="316">
        <v>2.64</v>
      </c>
      <c r="J22" s="316">
        <v>3.6</v>
      </c>
      <c r="K22" s="316">
        <v>9.24</v>
      </c>
      <c r="L22" s="316">
        <v>18.89</v>
      </c>
      <c r="M22" s="316">
        <v>20.23</v>
      </c>
      <c r="N22" s="302"/>
      <c r="O22" s="274"/>
      <c r="P22" s="274"/>
      <c r="Q22" s="274"/>
    </row>
    <row r="23" spans="1:17" ht="10.5" customHeight="1">
      <c r="A23" s="306" t="s">
        <v>30</v>
      </c>
      <c r="B23" s="318">
        <v>19.18</v>
      </c>
      <c r="C23" s="319">
        <v>17.510000000000002</v>
      </c>
      <c r="D23" s="318">
        <v>10.54</v>
      </c>
      <c r="E23" s="318">
        <v>5.84</v>
      </c>
      <c r="F23" s="318">
        <v>3.39</v>
      </c>
      <c r="G23" s="318">
        <v>1.88</v>
      </c>
      <c r="H23" s="318">
        <v>1.44</v>
      </c>
      <c r="I23" s="316">
        <v>2.2799999999999998</v>
      </c>
      <c r="J23" s="318">
        <v>4.8</v>
      </c>
      <c r="K23" s="318">
        <v>7.09</v>
      </c>
      <c r="L23" s="318">
        <v>11.4</v>
      </c>
      <c r="M23" s="318">
        <v>13.52</v>
      </c>
      <c r="N23" s="302"/>
      <c r="O23" s="274"/>
      <c r="P23" s="274"/>
      <c r="Q23" s="274"/>
    </row>
    <row r="24" spans="1:17" ht="10.5" customHeight="1">
      <c r="A24" s="320" t="s">
        <v>31</v>
      </c>
      <c r="B24" s="318">
        <v>15.24</v>
      </c>
      <c r="C24" s="319">
        <v>14.36</v>
      </c>
      <c r="D24" s="318">
        <v>10.35</v>
      </c>
      <c r="E24" s="318">
        <v>8.15</v>
      </c>
      <c r="F24" s="318">
        <v>6.45</v>
      </c>
      <c r="G24" s="319">
        <v>4.3</v>
      </c>
      <c r="H24" s="319">
        <v>1.86</v>
      </c>
      <c r="I24" s="318">
        <v>1.97</v>
      </c>
      <c r="J24" s="318">
        <v>5.28</v>
      </c>
      <c r="K24" s="319">
        <v>15.34</v>
      </c>
      <c r="L24" s="318">
        <v>25.14</v>
      </c>
      <c r="M24" s="318">
        <v>29.44</v>
      </c>
      <c r="N24" s="302"/>
      <c r="O24" s="274"/>
      <c r="P24" s="274"/>
      <c r="Q24" s="274"/>
    </row>
    <row r="25" spans="1:17" ht="10.5" customHeight="1">
      <c r="A25" s="320" t="s">
        <v>32</v>
      </c>
      <c r="B25" s="318">
        <v>23.66</v>
      </c>
      <c r="C25" s="319">
        <v>20.77</v>
      </c>
      <c r="D25" s="318">
        <v>11.39</v>
      </c>
      <c r="E25" s="318">
        <v>4.5199999999999996</v>
      </c>
      <c r="F25" s="318">
        <v>2.8</v>
      </c>
      <c r="G25" s="319">
        <v>1.98</v>
      </c>
      <c r="H25" s="319">
        <v>1.67</v>
      </c>
      <c r="I25" s="318">
        <v>1.72</v>
      </c>
      <c r="J25" s="318">
        <v>2.79</v>
      </c>
      <c r="K25" s="319">
        <v>6.88</v>
      </c>
      <c r="L25" s="318">
        <v>16.45</v>
      </c>
      <c r="M25" s="318">
        <v>23.33</v>
      </c>
      <c r="N25" s="302"/>
      <c r="O25" s="274"/>
      <c r="P25" s="274"/>
      <c r="Q25" s="274"/>
    </row>
    <row r="26" spans="1:17" ht="3" customHeight="1">
      <c r="A26" s="320"/>
      <c r="B26" s="318"/>
      <c r="C26" s="319"/>
      <c r="D26" s="318"/>
      <c r="E26" s="318"/>
      <c r="F26" s="318"/>
      <c r="G26" s="319"/>
      <c r="H26" s="319"/>
      <c r="I26" s="318"/>
      <c r="J26" s="318"/>
      <c r="K26" s="319"/>
      <c r="L26" s="318"/>
      <c r="M26" s="318"/>
      <c r="N26" s="302"/>
      <c r="O26" s="274"/>
      <c r="P26" s="274"/>
      <c r="Q26" s="274"/>
    </row>
    <row r="27" spans="1:17" ht="10.5" customHeight="1">
      <c r="A27" s="320" t="s">
        <v>33</v>
      </c>
      <c r="B27" s="318">
        <v>23.03</v>
      </c>
      <c r="C27" s="319">
        <v>18.52</v>
      </c>
      <c r="D27" s="318">
        <v>20.62</v>
      </c>
      <c r="E27" s="318">
        <v>11.94</v>
      </c>
      <c r="F27" s="318">
        <v>6.66</v>
      </c>
      <c r="G27" s="319">
        <v>7.39</v>
      </c>
      <c r="H27" s="319">
        <v>4.46</v>
      </c>
      <c r="I27" s="318">
        <v>4.32</v>
      </c>
      <c r="J27" s="318">
        <v>5.97</v>
      </c>
      <c r="K27" s="319">
        <v>7.87</v>
      </c>
      <c r="L27" s="318">
        <v>10.07</v>
      </c>
      <c r="M27" s="318">
        <v>13.76</v>
      </c>
      <c r="N27" s="302"/>
      <c r="O27" s="274"/>
      <c r="P27" s="274"/>
      <c r="Q27" s="274"/>
    </row>
    <row r="28" spans="1:17" ht="10.5" customHeight="1">
      <c r="A28" s="320" t="s">
        <v>34</v>
      </c>
      <c r="B28" s="318">
        <v>16.97</v>
      </c>
      <c r="C28" s="319">
        <v>20.69</v>
      </c>
      <c r="D28" s="318">
        <v>16.52</v>
      </c>
      <c r="E28" s="318">
        <v>10.08</v>
      </c>
      <c r="F28" s="318">
        <v>10.72</v>
      </c>
      <c r="G28" s="319">
        <v>9.8000000000000007</v>
      </c>
      <c r="H28" s="319">
        <v>8.65</v>
      </c>
      <c r="I28" s="318">
        <v>8.51</v>
      </c>
      <c r="J28" s="318">
        <v>5.47</v>
      </c>
      <c r="K28" s="319">
        <v>3.65</v>
      </c>
      <c r="L28" s="318">
        <v>6.85</v>
      </c>
      <c r="M28" s="318">
        <v>11.91</v>
      </c>
      <c r="N28" s="302"/>
      <c r="O28" s="274"/>
      <c r="P28" s="274"/>
      <c r="Q28" s="274"/>
    </row>
    <row r="29" spans="1:17" ht="10.5" customHeight="1">
      <c r="A29" s="320" t="s">
        <v>35</v>
      </c>
      <c r="B29" s="318">
        <v>13.44</v>
      </c>
      <c r="C29" s="319">
        <v>9.77</v>
      </c>
      <c r="D29" s="318">
        <v>4.9400000000000004</v>
      </c>
      <c r="E29" s="318">
        <v>2.3199999999999998</v>
      </c>
      <c r="F29" s="318">
        <v>1.78</v>
      </c>
      <c r="G29" s="319">
        <v>0.76</v>
      </c>
      <c r="H29" s="319">
        <v>0.49</v>
      </c>
      <c r="I29" s="318">
        <v>1.27</v>
      </c>
      <c r="J29" s="318">
        <v>3.7</v>
      </c>
      <c r="K29" s="319">
        <v>5.44</v>
      </c>
      <c r="L29" s="318">
        <v>9.0500000000000007</v>
      </c>
      <c r="M29" s="318">
        <v>15.86</v>
      </c>
      <c r="N29" s="302"/>
      <c r="O29" s="274"/>
      <c r="P29" s="274"/>
      <c r="Q29" s="274"/>
    </row>
    <row r="30" spans="1:17" ht="10.5" customHeight="1">
      <c r="A30" s="306" t="s">
        <v>36</v>
      </c>
      <c r="B30" s="318">
        <v>18.46</v>
      </c>
      <c r="C30" s="319">
        <v>15.43</v>
      </c>
      <c r="D30" s="318">
        <v>19.149999999999999</v>
      </c>
      <c r="E30" s="318">
        <v>14.95</v>
      </c>
      <c r="F30" s="318">
        <v>9.34</v>
      </c>
      <c r="G30" s="319">
        <v>6.91</v>
      </c>
      <c r="H30" s="319">
        <v>4.5999999999999996</v>
      </c>
      <c r="I30" s="318">
        <v>5.88</v>
      </c>
      <c r="J30" s="318">
        <v>8.4700000000000006</v>
      </c>
      <c r="K30" s="319">
        <v>10.58</v>
      </c>
      <c r="L30" s="318">
        <v>15.5</v>
      </c>
      <c r="M30" s="318">
        <v>17.72</v>
      </c>
      <c r="N30" s="302"/>
      <c r="O30" s="274"/>
      <c r="P30" s="274"/>
      <c r="Q30" s="274"/>
    </row>
    <row r="31" spans="1:17" ht="10.5" customHeight="1">
      <c r="A31" s="320" t="s">
        <v>37</v>
      </c>
      <c r="B31" s="318">
        <v>20.28</v>
      </c>
      <c r="C31" s="319">
        <v>18.43</v>
      </c>
      <c r="D31" s="318">
        <v>15.19</v>
      </c>
      <c r="E31" s="318">
        <v>9.43</v>
      </c>
      <c r="F31" s="318">
        <v>6.02</v>
      </c>
      <c r="G31" s="319">
        <v>3.35</v>
      </c>
      <c r="H31" s="319">
        <v>0.69</v>
      </c>
      <c r="I31" s="318">
        <v>0.47</v>
      </c>
      <c r="J31" s="318">
        <v>4.5999999999999996</v>
      </c>
      <c r="K31" s="319">
        <v>5.46</v>
      </c>
      <c r="L31" s="318">
        <v>5.77</v>
      </c>
      <c r="M31" s="318">
        <v>6.24</v>
      </c>
      <c r="N31" s="302"/>
      <c r="O31" s="274"/>
      <c r="P31" s="274"/>
      <c r="Q31" s="274"/>
    </row>
    <row r="32" spans="1:17" ht="10.5" customHeight="1">
      <c r="A32" s="306" t="s">
        <v>38</v>
      </c>
      <c r="B32" s="318">
        <v>12.39</v>
      </c>
      <c r="C32" s="319">
        <v>10.220000000000001</v>
      </c>
      <c r="D32" s="318">
        <v>7.91</v>
      </c>
      <c r="E32" s="318">
        <v>5.0599999999999996</v>
      </c>
      <c r="F32" s="318">
        <v>3.29</v>
      </c>
      <c r="G32" s="319">
        <v>2.06</v>
      </c>
      <c r="H32" s="319">
        <v>3.3</v>
      </c>
      <c r="I32" s="318">
        <v>6.75</v>
      </c>
      <c r="J32" s="318">
        <v>9.08</v>
      </c>
      <c r="K32" s="319">
        <v>11.81</v>
      </c>
      <c r="L32" s="318">
        <v>14.31</v>
      </c>
      <c r="M32" s="318">
        <v>14.04</v>
      </c>
      <c r="N32" s="302"/>
      <c r="O32" s="274"/>
      <c r="P32" s="274"/>
      <c r="Q32" s="274"/>
    </row>
    <row r="33" spans="1:17" ht="5.25" customHeight="1">
      <c r="A33" s="320"/>
      <c r="B33" s="318"/>
      <c r="C33" s="319"/>
      <c r="D33" s="318"/>
      <c r="E33" s="318"/>
      <c r="F33" s="318"/>
      <c r="G33" s="319"/>
      <c r="H33" s="319"/>
      <c r="I33" s="318"/>
      <c r="J33" s="318"/>
      <c r="K33" s="319"/>
      <c r="L33" s="318"/>
      <c r="M33" s="318"/>
      <c r="N33" s="302"/>
      <c r="O33" s="274"/>
      <c r="P33" s="274"/>
      <c r="Q33" s="274"/>
    </row>
    <row r="34" spans="1:17" ht="10.5" customHeight="1">
      <c r="A34" s="306" t="s">
        <v>39</v>
      </c>
      <c r="B34" s="318">
        <v>17.86</v>
      </c>
      <c r="C34" s="319">
        <v>17.14</v>
      </c>
      <c r="D34" s="318">
        <v>15.65</v>
      </c>
      <c r="E34" s="318">
        <v>9.25</v>
      </c>
      <c r="F34" s="318">
        <v>7.39</v>
      </c>
      <c r="G34" s="319">
        <v>7.16</v>
      </c>
      <c r="H34" s="319">
        <v>5.86</v>
      </c>
      <c r="I34" s="318">
        <v>4.79</v>
      </c>
      <c r="J34" s="318">
        <v>5.64</v>
      </c>
      <c r="K34" s="319">
        <v>4.16</v>
      </c>
      <c r="L34" s="318">
        <v>12.86</v>
      </c>
      <c r="M34" s="318">
        <v>10.75</v>
      </c>
      <c r="N34" s="302"/>
      <c r="O34" s="274"/>
      <c r="P34" s="274"/>
      <c r="Q34" s="274"/>
    </row>
    <row r="35" spans="1:17" ht="10.5" customHeight="1">
      <c r="A35" s="306" t="s">
        <v>40</v>
      </c>
      <c r="B35" s="318">
        <v>12.32</v>
      </c>
      <c r="C35" s="319">
        <v>10.86</v>
      </c>
      <c r="D35" s="318">
        <v>9.2799999999999994</v>
      </c>
      <c r="E35" s="318">
        <v>8.16</v>
      </c>
      <c r="F35" s="318">
        <v>5.63</v>
      </c>
      <c r="G35" s="319">
        <v>3.82</v>
      </c>
      <c r="H35" s="319">
        <v>9.48</v>
      </c>
      <c r="I35" s="318">
        <v>9.44</v>
      </c>
      <c r="J35" s="318">
        <v>13.49</v>
      </c>
      <c r="K35" s="319">
        <v>15.09</v>
      </c>
      <c r="L35" s="318">
        <v>16.989999999999998</v>
      </c>
      <c r="M35" s="318">
        <v>18.89</v>
      </c>
      <c r="N35" s="302"/>
      <c r="O35" s="274"/>
      <c r="P35" s="274"/>
      <c r="Q35" s="274"/>
    </row>
    <row r="36" spans="1:17" ht="10.5" customHeight="1">
      <c r="A36" s="306" t="s">
        <v>41</v>
      </c>
      <c r="B36" s="318">
        <v>22.32</v>
      </c>
      <c r="C36" s="319">
        <v>27.02</v>
      </c>
      <c r="D36" s="318">
        <v>25.78</v>
      </c>
      <c r="E36" s="318">
        <v>21.74</v>
      </c>
      <c r="F36" s="318">
        <v>13.25</v>
      </c>
      <c r="G36" s="319">
        <v>12.38</v>
      </c>
      <c r="H36" s="319">
        <v>28.23</v>
      </c>
      <c r="I36" s="318">
        <v>10.29</v>
      </c>
      <c r="J36" s="318">
        <v>9.6300000000000008</v>
      </c>
      <c r="K36" s="319">
        <v>9.6199999999999992</v>
      </c>
      <c r="L36" s="318">
        <v>13.04</v>
      </c>
      <c r="M36" s="318">
        <v>15.41</v>
      </c>
      <c r="N36" s="302"/>
      <c r="O36" s="274"/>
      <c r="P36" s="274"/>
      <c r="Q36" s="274"/>
    </row>
    <row r="37" spans="1:17" ht="10.5" customHeight="1">
      <c r="A37" s="306" t="s">
        <v>42</v>
      </c>
      <c r="B37" s="318">
        <v>33.53</v>
      </c>
      <c r="C37" s="319">
        <v>33.08</v>
      </c>
      <c r="D37" s="318">
        <v>37.090000000000003</v>
      </c>
      <c r="E37" s="318">
        <v>31.34</v>
      </c>
      <c r="F37" s="318">
        <v>22.69</v>
      </c>
      <c r="G37" s="319">
        <v>23.9</v>
      </c>
      <c r="H37" s="319">
        <v>28.15</v>
      </c>
      <c r="I37" s="318">
        <v>24.06</v>
      </c>
      <c r="J37" s="318">
        <v>24.29</v>
      </c>
      <c r="K37" s="319">
        <v>20.7</v>
      </c>
      <c r="L37" s="318">
        <v>26.79</v>
      </c>
      <c r="M37" s="318">
        <v>25.72</v>
      </c>
      <c r="N37" s="302"/>
      <c r="O37" s="274"/>
      <c r="P37" s="274"/>
      <c r="Q37" s="274"/>
    </row>
    <row r="38" spans="1:17" ht="10.5" customHeight="1">
      <c r="A38" s="306" t="s">
        <v>43</v>
      </c>
      <c r="B38" s="318">
        <v>28</v>
      </c>
      <c r="C38" s="319">
        <v>25.21</v>
      </c>
      <c r="D38" s="318">
        <v>11.87</v>
      </c>
      <c r="E38" s="318">
        <v>9.86</v>
      </c>
      <c r="F38" s="318">
        <v>7</v>
      </c>
      <c r="G38" s="319">
        <v>5.69</v>
      </c>
      <c r="H38" s="319">
        <v>2.38</v>
      </c>
      <c r="I38" s="318">
        <v>1.8</v>
      </c>
      <c r="J38" s="318">
        <v>4.3</v>
      </c>
      <c r="K38" s="319">
        <v>6.01</v>
      </c>
      <c r="L38" s="318">
        <v>11.3</v>
      </c>
      <c r="M38" s="318">
        <v>13.33</v>
      </c>
      <c r="N38" s="302"/>
      <c r="O38" s="274"/>
      <c r="P38" s="274"/>
      <c r="Q38" s="274"/>
    </row>
    <row r="39" spans="1:17" s="59" customFormat="1" ht="10.5" customHeight="1">
      <c r="A39" s="306" t="s">
        <v>44</v>
      </c>
      <c r="B39" s="318">
        <v>10.63</v>
      </c>
      <c r="C39" s="319">
        <v>17.600000000000001</v>
      </c>
      <c r="D39" s="318">
        <v>16.39</v>
      </c>
      <c r="E39" s="318">
        <v>15.29</v>
      </c>
      <c r="F39" s="318">
        <v>12.31</v>
      </c>
      <c r="G39" s="319">
        <v>10.39</v>
      </c>
      <c r="H39" s="319">
        <v>9.09</v>
      </c>
      <c r="I39" s="318">
        <v>9.14</v>
      </c>
      <c r="J39" s="318">
        <v>9.48</v>
      </c>
      <c r="K39" s="319">
        <v>8.59</v>
      </c>
      <c r="L39" s="318">
        <v>11.24</v>
      </c>
      <c r="M39" s="318">
        <v>13.73</v>
      </c>
      <c r="N39" s="321"/>
      <c r="O39" s="291"/>
      <c r="P39" s="291"/>
      <c r="Q39" s="291"/>
    </row>
    <row r="40" spans="1:17" s="59" customFormat="1" ht="10.5" customHeight="1">
      <c r="A40" s="306" t="s">
        <v>46</v>
      </c>
      <c r="B40" s="318">
        <v>17.010000000000002</v>
      </c>
      <c r="C40" s="319">
        <v>17.579999999999998</v>
      </c>
      <c r="D40" s="318">
        <v>20.84</v>
      </c>
      <c r="E40" s="318">
        <v>18.95</v>
      </c>
      <c r="F40" s="318">
        <v>9.51</v>
      </c>
      <c r="G40" s="319">
        <v>8.43</v>
      </c>
      <c r="H40" s="319">
        <v>3.91</v>
      </c>
      <c r="I40" s="318">
        <v>5.7</v>
      </c>
      <c r="J40" s="318">
        <v>8.5399999999999991</v>
      </c>
      <c r="K40" s="319">
        <v>10.61</v>
      </c>
      <c r="L40" s="318">
        <v>12.32</v>
      </c>
      <c r="M40" s="318">
        <v>15.83</v>
      </c>
      <c r="N40" s="321"/>
      <c r="O40" s="291"/>
      <c r="P40" s="291"/>
      <c r="Q40" s="291"/>
    </row>
    <row r="41" spans="1:17" s="59" customFormat="1" ht="3" customHeight="1">
      <c r="A41" s="306"/>
      <c r="B41" s="318"/>
      <c r="C41" s="319"/>
      <c r="D41" s="318"/>
      <c r="E41" s="318"/>
      <c r="F41" s="318"/>
      <c r="G41" s="319"/>
      <c r="H41" s="319"/>
      <c r="I41" s="318"/>
      <c r="J41" s="318"/>
      <c r="K41" s="319"/>
      <c r="L41" s="318"/>
      <c r="M41" s="318"/>
      <c r="N41" s="321"/>
      <c r="O41" s="291"/>
      <c r="P41" s="291"/>
      <c r="Q41" s="291"/>
    </row>
    <row r="42" spans="1:17" s="59" customFormat="1" ht="10.5" customHeight="1">
      <c r="A42" s="306" t="s">
        <v>47</v>
      </c>
      <c r="B42" s="318">
        <v>22.77</v>
      </c>
      <c r="C42" s="319">
        <v>17.98</v>
      </c>
      <c r="D42" s="318">
        <v>12.87</v>
      </c>
      <c r="E42" s="318">
        <v>14.1</v>
      </c>
      <c r="F42" s="318">
        <v>14.29</v>
      </c>
      <c r="G42" s="319">
        <v>12.97</v>
      </c>
      <c r="H42" s="319">
        <v>11.38</v>
      </c>
      <c r="I42" s="318">
        <v>12.51</v>
      </c>
      <c r="J42" s="318">
        <v>15.55</v>
      </c>
      <c r="K42" s="319">
        <v>17.190000000000001</v>
      </c>
      <c r="L42" s="318">
        <v>16.100000000000001</v>
      </c>
      <c r="M42" s="318">
        <v>17.29</v>
      </c>
      <c r="N42" s="321"/>
      <c r="O42" s="291"/>
      <c r="P42" s="291"/>
      <c r="Q42" s="291"/>
    </row>
    <row r="43" spans="1:17" s="59" customFormat="1" ht="10.5" customHeight="1">
      <c r="A43" s="306" t="s">
        <v>48</v>
      </c>
      <c r="B43" s="318">
        <v>14.03</v>
      </c>
      <c r="C43" s="319">
        <v>15.52</v>
      </c>
      <c r="D43" s="318">
        <v>15.34</v>
      </c>
      <c r="E43" s="318">
        <v>14.14</v>
      </c>
      <c r="F43" s="318">
        <v>11.6</v>
      </c>
      <c r="G43" s="319">
        <v>10.65</v>
      </c>
      <c r="H43" s="319">
        <v>7.28</v>
      </c>
      <c r="I43" s="318">
        <v>7.35</v>
      </c>
      <c r="J43" s="318">
        <v>8.83</v>
      </c>
      <c r="K43" s="319">
        <v>14.77</v>
      </c>
      <c r="L43" s="318">
        <v>15.89</v>
      </c>
      <c r="M43" s="318">
        <v>18.350000000000001</v>
      </c>
      <c r="N43" s="321"/>
      <c r="O43" s="291"/>
      <c r="P43" s="291"/>
      <c r="Q43" s="291"/>
    </row>
    <row r="44" spans="1:17" s="59" customFormat="1" ht="10.5" customHeight="1">
      <c r="A44" s="306" t="s">
        <v>51</v>
      </c>
      <c r="B44" s="318">
        <v>26.86</v>
      </c>
      <c r="C44" s="319">
        <v>27.85</v>
      </c>
      <c r="D44" s="318">
        <v>32.770000000000003</v>
      </c>
      <c r="E44" s="318">
        <v>26.28</v>
      </c>
      <c r="F44" s="318">
        <v>23.52</v>
      </c>
      <c r="G44" s="319">
        <v>21.17</v>
      </c>
      <c r="H44" s="319">
        <v>21.69</v>
      </c>
      <c r="I44" s="318">
        <v>20.59</v>
      </c>
      <c r="J44" s="318">
        <v>22.39</v>
      </c>
      <c r="K44" s="319">
        <v>24.54</v>
      </c>
      <c r="L44" s="318">
        <v>29.91</v>
      </c>
      <c r="M44" s="318">
        <v>40.4</v>
      </c>
      <c r="N44" s="321"/>
      <c r="O44" s="291"/>
      <c r="P44" s="291"/>
      <c r="Q44" s="291"/>
    </row>
    <row r="45" spans="1:17" ht="10.5" customHeight="1">
      <c r="A45" s="306" t="s">
        <v>52</v>
      </c>
      <c r="B45" s="318">
        <v>33.68</v>
      </c>
      <c r="C45" s="319">
        <v>37.4</v>
      </c>
      <c r="D45" s="318">
        <v>38.47</v>
      </c>
      <c r="E45" s="318">
        <v>29.54</v>
      </c>
      <c r="F45" s="318">
        <v>21.15</v>
      </c>
      <c r="G45" s="319">
        <v>18.53</v>
      </c>
      <c r="H45" s="319">
        <v>13.44</v>
      </c>
      <c r="I45" s="318">
        <v>15.65</v>
      </c>
      <c r="J45" s="318">
        <v>21.65</v>
      </c>
      <c r="K45" s="319">
        <v>31.76</v>
      </c>
      <c r="L45" s="318">
        <v>37.43</v>
      </c>
      <c r="M45" s="318">
        <v>37.67</v>
      </c>
      <c r="N45" s="302"/>
      <c r="O45" s="274"/>
      <c r="P45" s="274"/>
      <c r="Q45" s="274"/>
    </row>
    <row r="46" spans="1:17" ht="10.5" customHeight="1">
      <c r="A46" s="306" t="s">
        <v>291</v>
      </c>
      <c r="B46" s="420" t="s">
        <v>300</v>
      </c>
      <c r="C46" s="319">
        <v>31.78</v>
      </c>
      <c r="D46" s="318">
        <v>34.31</v>
      </c>
      <c r="E46" s="318">
        <v>30.74</v>
      </c>
      <c r="F46" s="318">
        <v>25.25</v>
      </c>
      <c r="G46" s="319">
        <v>23.96</v>
      </c>
      <c r="H46" s="319">
        <v>22.3</v>
      </c>
      <c r="I46" s="318">
        <v>24.93</v>
      </c>
      <c r="J46" s="318">
        <v>25.09</v>
      </c>
      <c r="K46" s="319">
        <v>31.67</v>
      </c>
      <c r="L46" s="318">
        <v>30.43</v>
      </c>
      <c r="M46" s="318">
        <v>28.37</v>
      </c>
      <c r="N46" s="302"/>
      <c r="O46" s="274"/>
      <c r="P46" s="274"/>
      <c r="Q46" s="274"/>
    </row>
    <row r="47" spans="1:17" ht="10.5" customHeight="1">
      <c r="A47" s="306" t="s">
        <v>298</v>
      </c>
      <c r="B47" s="420" t="s">
        <v>300</v>
      </c>
      <c r="C47" s="319">
        <v>31.59</v>
      </c>
      <c r="D47" s="318">
        <v>31.14</v>
      </c>
      <c r="E47" s="318">
        <v>27.14</v>
      </c>
      <c r="F47" s="318">
        <v>22.36</v>
      </c>
      <c r="G47" s="319">
        <v>22.78</v>
      </c>
      <c r="H47" s="319">
        <v>24.88</v>
      </c>
      <c r="I47" s="318">
        <v>24.65</v>
      </c>
      <c r="J47" s="318">
        <v>27.1</v>
      </c>
      <c r="K47" s="319">
        <v>31.3</v>
      </c>
      <c r="L47" s="318">
        <v>40.9</v>
      </c>
      <c r="M47" s="318">
        <v>41.85</v>
      </c>
      <c r="N47" s="302"/>
      <c r="O47" s="274"/>
      <c r="P47" s="274"/>
      <c r="Q47" s="274"/>
    </row>
    <row r="48" spans="1:17" ht="10.5" customHeight="1">
      <c r="A48" s="306" t="s">
        <v>312</v>
      </c>
      <c r="B48" s="420" t="s">
        <v>300</v>
      </c>
      <c r="C48" s="319">
        <v>29.58</v>
      </c>
      <c r="D48" s="318">
        <v>25.49</v>
      </c>
      <c r="E48" s="318">
        <v>28.32</v>
      </c>
      <c r="F48" s="318">
        <v>30.84</v>
      </c>
      <c r="G48" s="319">
        <v>30.17</v>
      </c>
      <c r="H48" s="319">
        <v>23.65</v>
      </c>
      <c r="I48" s="318">
        <v>20.72</v>
      </c>
      <c r="J48" s="318">
        <v>18.2</v>
      </c>
      <c r="K48" s="319">
        <v>21.73</v>
      </c>
      <c r="L48" s="318">
        <v>29.14</v>
      </c>
      <c r="M48" s="318">
        <v>40.340000000000003</v>
      </c>
      <c r="N48" s="302"/>
      <c r="O48" s="274"/>
      <c r="P48" s="274"/>
      <c r="Q48" s="274"/>
    </row>
    <row r="49" spans="1:17" ht="10.5" customHeight="1">
      <c r="A49" s="322" t="s">
        <v>319</v>
      </c>
      <c r="B49" s="419">
        <v>45.2</v>
      </c>
      <c r="C49" s="324">
        <v>49.63</v>
      </c>
      <c r="D49" s="323">
        <v>41.29</v>
      </c>
      <c r="E49" s="323">
        <v>31.76</v>
      </c>
      <c r="F49" s="323">
        <v>26.23</v>
      </c>
      <c r="G49" s="324">
        <v>22.58</v>
      </c>
      <c r="H49" s="324">
        <v>15.76</v>
      </c>
      <c r="I49" s="323">
        <v>15.54</v>
      </c>
      <c r="J49" s="323">
        <v>13.38</v>
      </c>
      <c r="K49" s="324">
        <v>16.25</v>
      </c>
      <c r="L49" s="323">
        <v>19.43</v>
      </c>
      <c r="M49" s="323">
        <v>22.12</v>
      </c>
      <c r="N49" s="302"/>
      <c r="O49" s="274"/>
      <c r="P49" s="274"/>
      <c r="Q49" s="274"/>
    </row>
    <row r="50" spans="1:17" ht="10.5" customHeight="1">
      <c r="A50" s="265" t="s">
        <v>301</v>
      </c>
      <c r="B50" s="318"/>
      <c r="C50" s="319"/>
      <c r="D50" s="318"/>
      <c r="E50" s="318"/>
      <c r="F50" s="318"/>
      <c r="G50" s="319"/>
      <c r="H50" s="319"/>
      <c r="I50" s="318"/>
      <c r="J50" s="318"/>
      <c r="K50" s="319"/>
      <c r="L50" s="318"/>
      <c r="M50" s="318"/>
      <c r="N50" s="302"/>
      <c r="O50" s="274"/>
      <c r="P50" s="274"/>
      <c r="Q50" s="274"/>
    </row>
    <row r="51" spans="1:17" s="98" customFormat="1" ht="12" customHeight="1">
      <c r="A51" s="296" t="s">
        <v>210</v>
      </c>
      <c r="B51" s="325"/>
      <c r="C51" s="325"/>
      <c r="D51" s="325"/>
      <c r="E51" s="325"/>
      <c r="F51" s="325"/>
      <c r="G51" s="325"/>
      <c r="H51" s="325"/>
      <c r="I51" s="325"/>
      <c r="J51" s="325"/>
      <c r="K51" s="325"/>
      <c r="L51" s="325"/>
      <c r="M51" s="326"/>
      <c r="N51" s="327"/>
      <c r="O51" s="297"/>
      <c r="P51" s="297"/>
      <c r="Q51" s="297"/>
    </row>
    <row r="52" spans="1:17" s="98" customFormat="1" ht="10.9" customHeight="1">
      <c r="A52" s="39" t="s">
        <v>127</v>
      </c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26"/>
      <c r="N52" s="327"/>
      <c r="O52" s="297"/>
      <c r="P52" s="297"/>
      <c r="Q52" s="297"/>
    </row>
  </sheetData>
  <pageMargins left="0.66700000000000004" right="0.66700000000000004" top="0.66700000000000004" bottom="0.72" header="0" footer="0"/>
  <pageSetup firstPageNumber="88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 fitToPage="1"/>
  </sheetPr>
  <dimension ref="A1:Q57"/>
  <sheetViews>
    <sheetView showGridLines="0" zoomScaleNormal="100" workbookViewId="0">
      <pane xSplit="2" ySplit="7" topLeftCell="C45" activePane="bottomRight" state="frozen"/>
      <selection pane="topRight" activeCell="C1" sqref="C1"/>
      <selection pane="bottomLeft" activeCell="A8" sqref="A8"/>
      <selection pane="bottomRight" activeCell="J60" sqref="J60"/>
    </sheetView>
  </sheetViews>
  <sheetFormatPr defaultColWidth="9.7109375" defaultRowHeight="12"/>
  <cols>
    <col min="1" max="1" width="8" customWidth="1"/>
    <col min="2" max="2" width="2.7109375" customWidth="1"/>
    <col min="3" max="4" width="7.85546875" customWidth="1"/>
    <col min="5" max="5" width="3.140625" customWidth="1"/>
    <col min="6" max="7" width="7.85546875" customWidth="1"/>
    <col min="8" max="8" width="3.140625" customWidth="1"/>
    <col min="9" max="10" width="7.85546875" customWidth="1"/>
    <col min="11" max="11" width="3.140625" customWidth="1"/>
    <col min="12" max="13" width="7.85546875" customWidth="1"/>
    <col min="14" max="14" width="3.140625" customWidth="1"/>
    <col min="15" max="16" width="7.85546875" customWidth="1"/>
  </cols>
  <sheetData>
    <row r="1" spans="1:1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/>
      <c r="B2" s="5"/>
      <c r="C2" s="6" t="s">
        <v>1</v>
      </c>
      <c r="D2" s="6"/>
      <c r="E2" s="5"/>
      <c r="F2" s="6" t="s">
        <v>2</v>
      </c>
      <c r="G2" s="6"/>
      <c r="H2" s="5"/>
      <c r="I2" s="6" t="s">
        <v>3</v>
      </c>
      <c r="J2" s="6"/>
      <c r="K2" s="5"/>
      <c r="L2" s="6" t="s">
        <v>4</v>
      </c>
      <c r="M2" s="6"/>
      <c r="N2" s="5"/>
      <c r="O2" s="6" t="s">
        <v>5</v>
      </c>
      <c r="P2" s="6"/>
    </row>
    <row r="3" spans="1:16">
      <c r="A3" s="7"/>
      <c r="B3" s="5"/>
      <c r="C3" s="7" t="s">
        <v>6</v>
      </c>
      <c r="D3" s="7" t="s">
        <v>7</v>
      </c>
      <c r="E3" s="4"/>
      <c r="F3" s="7" t="s">
        <v>6</v>
      </c>
      <c r="G3" s="7" t="s">
        <v>7</v>
      </c>
      <c r="H3" s="4"/>
      <c r="I3" s="7" t="s">
        <v>6</v>
      </c>
      <c r="J3" s="7" t="s">
        <v>7</v>
      </c>
      <c r="K3" s="4"/>
      <c r="L3" s="7" t="s">
        <v>6</v>
      </c>
      <c r="M3" s="7" t="s">
        <v>7</v>
      </c>
      <c r="N3" s="4"/>
      <c r="O3" s="7" t="s">
        <v>6</v>
      </c>
      <c r="P3" s="7" t="s">
        <v>7</v>
      </c>
    </row>
    <row r="4" spans="1:16">
      <c r="A4" s="8" t="s">
        <v>53</v>
      </c>
      <c r="B4" s="3"/>
      <c r="C4" s="9" t="s">
        <v>8</v>
      </c>
      <c r="D4" s="9" t="s">
        <v>9</v>
      </c>
      <c r="E4" s="3"/>
      <c r="F4" s="9" t="s">
        <v>8</v>
      </c>
      <c r="G4" s="9" t="s">
        <v>9</v>
      </c>
      <c r="H4" s="3"/>
      <c r="I4" s="9" t="s">
        <v>8</v>
      </c>
      <c r="J4" s="9" t="s">
        <v>9</v>
      </c>
      <c r="K4" s="3"/>
      <c r="L4" s="9" t="s">
        <v>8</v>
      </c>
      <c r="M4" s="9" t="s">
        <v>9</v>
      </c>
      <c r="N4" s="3"/>
      <c r="O4" s="9" t="s">
        <v>8</v>
      </c>
      <c r="P4" s="9" t="s">
        <v>9</v>
      </c>
    </row>
    <row r="5" spans="1:16" ht="3.95" customHeight="1">
      <c r="A5" s="10"/>
      <c r="B5" s="5"/>
      <c r="C5" s="10"/>
      <c r="D5" s="10"/>
      <c r="E5" s="5"/>
      <c r="F5" s="10"/>
      <c r="G5" s="10"/>
      <c r="H5" s="5"/>
      <c r="I5" s="10"/>
      <c r="J5" s="10"/>
      <c r="K5" s="5"/>
      <c r="L5" s="10"/>
      <c r="M5" s="10"/>
      <c r="N5" s="5"/>
      <c r="O5" s="10"/>
      <c r="P5" s="10"/>
    </row>
    <row r="6" spans="1:16">
      <c r="A6" s="4"/>
      <c r="B6" s="4"/>
      <c r="C6" s="11" t="s">
        <v>10</v>
      </c>
      <c r="D6" s="12" t="s">
        <v>11</v>
      </c>
      <c r="E6" s="13"/>
      <c r="F6" s="11" t="s">
        <v>10</v>
      </c>
      <c r="G6" s="12" t="s">
        <v>11</v>
      </c>
      <c r="H6" s="13"/>
      <c r="I6" s="11" t="s">
        <v>10</v>
      </c>
      <c r="J6" s="12" t="s">
        <v>11</v>
      </c>
      <c r="K6" s="13"/>
      <c r="L6" s="11" t="s">
        <v>10</v>
      </c>
      <c r="M6" s="12" t="s">
        <v>11</v>
      </c>
      <c r="N6" s="13"/>
      <c r="O6" s="11" t="s">
        <v>10</v>
      </c>
      <c r="P6" s="12" t="s">
        <v>11</v>
      </c>
    </row>
    <row r="7" spans="1:16" ht="10.15" customHeight="1">
      <c r="A7" s="4"/>
      <c r="B7" s="4"/>
      <c r="C7" s="12" t="s">
        <v>12</v>
      </c>
      <c r="D7" s="12" t="s">
        <v>13</v>
      </c>
      <c r="E7" s="13"/>
      <c r="F7" s="12" t="s">
        <v>12</v>
      </c>
      <c r="G7" s="12" t="s">
        <v>13</v>
      </c>
      <c r="H7" s="13"/>
      <c r="I7" s="12" t="s">
        <v>12</v>
      </c>
      <c r="J7" s="12" t="s">
        <v>13</v>
      </c>
      <c r="K7" s="13"/>
      <c r="L7" s="12" t="s">
        <v>12</v>
      </c>
      <c r="M7" s="12" t="s">
        <v>13</v>
      </c>
      <c r="N7" s="13"/>
      <c r="O7" s="12" t="s">
        <v>12</v>
      </c>
      <c r="P7" s="12" t="s">
        <v>13</v>
      </c>
    </row>
    <row r="8" spans="1:16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0.15" customHeight="1">
      <c r="A9" s="14" t="s">
        <v>14</v>
      </c>
      <c r="B9" s="4"/>
      <c r="C9" s="15">
        <v>125.6</v>
      </c>
      <c r="D9" s="16">
        <v>17.022292993630575</v>
      </c>
      <c r="E9" s="4"/>
      <c r="F9" s="15">
        <v>21.8</v>
      </c>
      <c r="G9" s="16">
        <v>12.064220183486238</v>
      </c>
      <c r="H9" s="4"/>
      <c r="I9" s="15">
        <v>41.5</v>
      </c>
      <c r="J9" s="16">
        <v>6.4578313253012052</v>
      </c>
      <c r="K9" s="4"/>
      <c r="L9" s="15">
        <v>8.1</v>
      </c>
      <c r="M9" s="16">
        <v>11.111111111111111</v>
      </c>
      <c r="N9" s="4"/>
      <c r="O9" s="15">
        <v>197</v>
      </c>
      <c r="P9" s="16">
        <v>14.00507614213198</v>
      </c>
    </row>
    <row r="10" spans="1:16" ht="10.15" customHeight="1">
      <c r="A10" s="14" t="s">
        <v>15</v>
      </c>
      <c r="B10" s="4"/>
      <c r="C10" s="15">
        <v>127.8</v>
      </c>
      <c r="D10" s="16">
        <v>15.993740219092333</v>
      </c>
      <c r="E10" s="4"/>
      <c r="F10" s="15">
        <v>22</v>
      </c>
      <c r="G10" s="16">
        <v>9.1363636363636367</v>
      </c>
      <c r="H10" s="4"/>
      <c r="I10" s="15">
        <v>41.1</v>
      </c>
      <c r="J10" s="16">
        <v>13.527980535279806</v>
      </c>
      <c r="K10" s="4"/>
      <c r="L10" s="15">
        <v>8.1999999999999993</v>
      </c>
      <c r="M10" s="16">
        <v>9.3902439024390247</v>
      </c>
      <c r="N10" s="4"/>
      <c r="O10" s="15">
        <v>199.1</v>
      </c>
      <c r="P10" s="16">
        <v>14.455047714716223</v>
      </c>
    </row>
    <row r="11" spans="1:16" ht="10.15" customHeight="1">
      <c r="A11" s="14" t="s">
        <v>16</v>
      </c>
      <c r="B11" s="4"/>
      <c r="C11" s="15">
        <v>128.6</v>
      </c>
      <c r="D11" s="16">
        <v>13.01710730948678</v>
      </c>
      <c r="E11" s="4"/>
      <c r="F11" s="15">
        <v>21.7</v>
      </c>
      <c r="G11" s="16">
        <v>10.967741935483872</v>
      </c>
      <c r="H11" s="4"/>
      <c r="I11" s="15">
        <v>42.2</v>
      </c>
      <c r="J11" s="16">
        <v>10.616113744075829</v>
      </c>
      <c r="K11" s="4"/>
      <c r="L11" s="15">
        <v>6.8</v>
      </c>
      <c r="M11" s="16">
        <v>15.44</v>
      </c>
      <c r="N11" s="4"/>
      <c r="O11" s="15">
        <v>199.3</v>
      </c>
      <c r="P11" s="16">
        <v>12.37</v>
      </c>
    </row>
    <row r="12" spans="1:16" ht="10.15" customHeight="1">
      <c r="A12" s="14" t="s">
        <v>17</v>
      </c>
      <c r="B12" s="4"/>
      <c r="C12" s="15">
        <v>119.6</v>
      </c>
      <c r="D12" s="16">
        <v>14.531772575250837</v>
      </c>
      <c r="E12" s="4"/>
      <c r="F12" s="15">
        <v>21.9</v>
      </c>
      <c r="G12" s="16">
        <v>10.87</v>
      </c>
      <c r="H12" s="4"/>
      <c r="I12" s="15">
        <v>43.3</v>
      </c>
      <c r="J12" s="16">
        <v>2.956120092378753</v>
      </c>
      <c r="K12" s="4"/>
      <c r="L12" s="15">
        <v>6.8</v>
      </c>
      <c r="M12" s="16">
        <v>11.77</v>
      </c>
      <c r="N12" s="4"/>
      <c r="O12" s="15">
        <v>191.6</v>
      </c>
      <c r="P12" s="16">
        <v>11.4</v>
      </c>
    </row>
    <row r="13" spans="1:16">
      <c r="A13" s="14" t="s">
        <v>18</v>
      </c>
      <c r="B13" s="4"/>
      <c r="C13" s="15">
        <v>115.5</v>
      </c>
      <c r="D13" s="16">
        <v>16.19047619047619</v>
      </c>
      <c r="E13" s="4"/>
      <c r="F13" s="15">
        <v>21.1</v>
      </c>
      <c r="G13" s="16">
        <v>13.696682464454975</v>
      </c>
      <c r="H13" s="4"/>
      <c r="I13" s="15">
        <v>19.100000000000001</v>
      </c>
      <c r="J13" s="45" t="s">
        <v>276</v>
      </c>
      <c r="K13" s="4"/>
      <c r="L13" s="15">
        <v>7.1</v>
      </c>
      <c r="M13" s="16">
        <v>15.07</v>
      </c>
      <c r="N13" s="4"/>
      <c r="O13" s="15">
        <v>162.80000000000001</v>
      </c>
      <c r="P13" s="16">
        <v>13.92</v>
      </c>
    </row>
    <row r="14" spans="1:16" ht="10.15" customHeight="1">
      <c r="A14" s="14" t="s">
        <v>19</v>
      </c>
      <c r="B14" s="4"/>
      <c r="C14" s="15">
        <v>105.1</v>
      </c>
      <c r="D14" s="16">
        <v>18.905803996194102</v>
      </c>
      <c r="E14" s="4"/>
      <c r="F14" s="15">
        <v>20.9</v>
      </c>
      <c r="G14" s="16">
        <v>12.727272727272728</v>
      </c>
      <c r="H14" s="4"/>
      <c r="I14" s="15">
        <v>13.5</v>
      </c>
      <c r="J14" s="16">
        <v>0.67</v>
      </c>
      <c r="K14" s="4"/>
      <c r="L14" s="15">
        <v>5.7</v>
      </c>
      <c r="M14" s="16">
        <v>15.79</v>
      </c>
      <c r="N14" s="4"/>
      <c r="O14" s="15">
        <v>145.19999999999999</v>
      </c>
      <c r="P14" s="16">
        <v>16.2</v>
      </c>
    </row>
    <row r="15" spans="1:16" ht="3" customHeight="1">
      <c r="A15" s="14"/>
      <c r="B15" s="4"/>
      <c r="C15" s="15"/>
      <c r="D15" s="16"/>
      <c r="E15" s="4"/>
      <c r="F15" s="15"/>
      <c r="G15" s="16"/>
      <c r="H15" s="4"/>
      <c r="I15" s="15"/>
      <c r="J15" s="16"/>
      <c r="K15" s="4"/>
      <c r="L15" s="15"/>
      <c r="M15" s="16"/>
      <c r="N15" s="4"/>
      <c r="O15" s="15"/>
      <c r="P15" s="16"/>
    </row>
    <row r="16" spans="1:16" ht="10.15" customHeight="1">
      <c r="A16" s="14" t="s">
        <v>20</v>
      </c>
      <c r="B16" s="4"/>
      <c r="C16" s="15">
        <v>106</v>
      </c>
      <c r="D16" s="16">
        <v>19.962264150943398</v>
      </c>
      <c r="E16" s="4"/>
      <c r="F16" s="15">
        <v>20.8</v>
      </c>
      <c r="G16" s="16">
        <v>14.663461538461538</v>
      </c>
      <c r="H16" s="4"/>
      <c r="I16" s="15">
        <v>15.2</v>
      </c>
      <c r="J16" s="16">
        <v>5.16</v>
      </c>
      <c r="K16" s="4"/>
      <c r="L16" s="15">
        <v>5.9</v>
      </c>
      <c r="M16" s="16">
        <v>14.92</v>
      </c>
      <c r="N16" s="4"/>
      <c r="O16" s="15">
        <v>147.9</v>
      </c>
      <c r="P16" s="16">
        <v>17.489999999999998</v>
      </c>
    </row>
    <row r="17" spans="1:17" ht="10.15" customHeight="1">
      <c r="A17" s="14" t="s">
        <v>21</v>
      </c>
      <c r="B17" s="4"/>
      <c r="C17" s="15">
        <v>106</v>
      </c>
      <c r="D17" s="16">
        <v>21.59433962264151</v>
      </c>
      <c r="E17" s="4"/>
      <c r="F17" s="15">
        <v>20.7</v>
      </c>
      <c r="G17" s="16">
        <v>14.396135265700483</v>
      </c>
      <c r="H17" s="4"/>
      <c r="I17" s="15">
        <v>16</v>
      </c>
      <c r="J17" s="16">
        <v>9.5</v>
      </c>
      <c r="K17" s="4"/>
      <c r="L17" s="15">
        <v>6</v>
      </c>
      <c r="M17" s="16">
        <v>10.333333333333334</v>
      </c>
      <c r="N17" s="4"/>
      <c r="O17" s="15">
        <v>148.69999999999999</v>
      </c>
      <c r="P17" s="16">
        <v>18.836583725622059</v>
      </c>
    </row>
    <row r="18" spans="1:17" ht="10.15" customHeight="1">
      <c r="A18" s="14" t="s">
        <v>22</v>
      </c>
      <c r="B18" s="4"/>
      <c r="C18" s="15">
        <v>106.9</v>
      </c>
      <c r="D18" s="16">
        <v>21.76800748362956</v>
      </c>
      <c r="E18" s="4"/>
      <c r="F18" s="15">
        <v>19.899999999999999</v>
      </c>
      <c r="G18" s="16">
        <v>13.216080402010052</v>
      </c>
      <c r="H18" s="4"/>
      <c r="I18" s="15">
        <v>16.899999999999999</v>
      </c>
      <c r="J18" s="16">
        <v>11.360946745562131</v>
      </c>
      <c r="K18" s="4"/>
      <c r="L18" s="15">
        <v>6.5</v>
      </c>
      <c r="M18" s="16">
        <v>9.5384615384615383</v>
      </c>
      <c r="N18" s="4"/>
      <c r="O18" s="15">
        <v>150.19999999999999</v>
      </c>
      <c r="P18" s="16">
        <v>18.934753661784285</v>
      </c>
    </row>
    <row r="19" spans="1:17" ht="10.15" customHeight="1">
      <c r="A19" s="14" t="s">
        <v>23</v>
      </c>
      <c r="B19" s="4"/>
      <c r="C19" s="15">
        <v>103</v>
      </c>
      <c r="D19" s="16">
        <v>14.737864077669903</v>
      </c>
      <c r="E19" s="4"/>
      <c r="F19" s="15">
        <v>19.2</v>
      </c>
      <c r="G19" s="16">
        <v>16.145833333333336</v>
      </c>
      <c r="H19" s="4"/>
      <c r="I19" s="15">
        <v>18.7</v>
      </c>
      <c r="J19" s="16">
        <v>4.2780748663101607</v>
      </c>
      <c r="K19" s="4"/>
      <c r="L19" s="15">
        <v>6.4</v>
      </c>
      <c r="M19" s="16">
        <v>10.9375</v>
      </c>
      <c r="N19" s="4"/>
      <c r="O19" s="15">
        <v>147.30000000000001</v>
      </c>
      <c r="P19" s="16">
        <v>13.428377460964018</v>
      </c>
    </row>
    <row r="20" spans="1:17" ht="12" customHeight="1">
      <c r="A20" s="14" t="s">
        <v>24</v>
      </c>
      <c r="B20" s="4"/>
      <c r="C20" s="15">
        <v>104.2</v>
      </c>
      <c r="D20" s="16">
        <v>18.397312859884835</v>
      </c>
      <c r="E20" s="4"/>
      <c r="F20" s="15">
        <v>18.3</v>
      </c>
      <c r="G20" s="16">
        <v>14.316939890710382</v>
      </c>
      <c r="H20" s="4"/>
      <c r="I20" s="15">
        <v>4.5</v>
      </c>
      <c r="J20" s="45" t="s">
        <v>277</v>
      </c>
      <c r="K20" s="4"/>
      <c r="L20" s="15">
        <v>6.2</v>
      </c>
      <c r="M20" s="16">
        <v>12.419354838709678</v>
      </c>
      <c r="N20" s="4"/>
      <c r="O20" s="15">
        <v>133.19999999999999</v>
      </c>
      <c r="P20" s="16">
        <v>16.936936936936938</v>
      </c>
    </row>
    <row r="21" spans="1:17" ht="10.15" customHeight="1">
      <c r="A21" s="14" t="s">
        <v>25</v>
      </c>
      <c r="B21" s="4"/>
      <c r="C21" s="15">
        <v>104.7</v>
      </c>
      <c r="D21" s="16">
        <f>405*85/2000</f>
        <v>17.212499999999999</v>
      </c>
      <c r="E21" s="4"/>
      <c r="F21" s="15">
        <v>18.5</v>
      </c>
      <c r="G21" s="16">
        <f>541*67/2000</f>
        <v>18.1235</v>
      </c>
      <c r="H21" s="4"/>
      <c r="I21" s="15">
        <v>7.5</v>
      </c>
      <c r="J21" s="16">
        <f>9*80/2000</f>
        <v>0.36</v>
      </c>
      <c r="K21" s="4"/>
      <c r="L21" s="15">
        <v>5.9</v>
      </c>
      <c r="M21" s="16">
        <f>475*67/2000</f>
        <v>15.9125</v>
      </c>
      <c r="N21" s="4"/>
      <c r="O21" s="15">
        <v>136.6</v>
      </c>
      <c r="P21" s="16">
        <f>2224/O21</f>
        <v>16.281112737920939</v>
      </c>
    </row>
    <row r="22" spans="1:17" ht="3" customHeight="1">
      <c r="A22" s="14"/>
      <c r="B22" s="4"/>
      <c r="C22" s="15"/>
      <c r="D22" s="16"/>
      <c r="E22" s="4"/>
      <c r="F22" s="15"/>
      <c r="G22" s="16"/>
      <c r="H22" s="4"/>
      <c r="I22" s="15"/>
      <c r="J22" s="16"/>
      <c r="K22" s="4"/>
      <c r="L22" s="15"/>
      <c r="M22" s="16"/>
      <c r="N22" s="4"/>
      <c r="O22" s="15"/>
      <c r="P22" s="16"/>
    </row>
    <row r="23" spans="1:17" ht="10.15" customHeight="1">
      <c r="A23" s="14" t="s">
        <v>26</v>
      </c>
      <c r="B23" s="4"/>
      <c r="C23" s="15">
        <v>111.9</v>
      </c>
      <c r="D23" s="16">
        <f>493*85/2000</f>
        <v>20.952500000000001</v>
      </c>
      <c r="E23" s="4"/>
      <c r="F23" s="15">
        <v>17.8</v>
      </c>
      <c r="G23" s="16">
        <f>517*67/2000</f>
        <v>17.319500000000001</v>
      </c>
      <c r="H23" s="4"/>
      <c r="I23" s="15">
        <v>10.09</v>
      </c>
      <c r="J23" s="16">
        <f>186*80/2000</f>
        <v>7.44</v>
      </c>
      <c r="K23" s="4"/>
      <c r="L23" s="15">
        <v>5.8</v>
      </c>
      <c r="M23" s="16">
        <f>371*67/2000</f>
        <v>12.4285</v>
      </c>
      <c r="N23" s="4"/>
      <c r="O23" s="15">
        <v>145.6</v>
      </c>
      <c r="P23" s="16">
        <f>2791/O23</f>
        <v>19.168956043956044</v>
      </c>
    </row>
    <row r="24" spans="1:17" ht="10.15" customHeight="1">
      <c r="A24" s="14" t="s">
        <v>27</v>
      </c>
      <c r="B24" s="4"/>
      <c r="C24" s="15">
        <v>118.3</v>
      </c>
      <c r="D24" s="16">
        <f>432*85/2000</f>
        <v>18.36</v>
      </c>
      <c r="E24" s="4"/>
      <c r="F24" s="15">
        <v>18</v>
      </c>
      <c r="G24" s="16">
        <f>517*67/2000</f>
        <v>17.319500000000001</v>
      </c>
      <c r="H24" s="4"/>
      <c r="I24" s="15">
        <v>12.76</v>
      </c>
      <c r="J24" s="16">
        <f>235*80/2000</f>
        <v>9.4</v>
      </c>
      <c r="K24" s="4"/>
      <c r="L24" s="15">
        <v>5.6</v>
      </c>
      <c r="M24" s="16">
        <f>313*67/2000</f>
        <v>10.4855</v>
      </c>
      <c r="N24" s="4"/>
      <c r="O24" s="15">
        <v>154.69999999999999</v>
      </c>
      <c r="P24" s="16">
        <f>2661/O24</f>
        <v>17.201034259857792</v>
      </c>
    </row>
    <row r="25" spans="1:17" ht="10.15" customHeight="1">
      <c r="A25" s="14" t="s">
        <v>28</v>
      </c>
      <c r="B25" s="4"/>
      <c r="C25" s="15">
        <v>127.3</v>
      </c>
      <c r="D25" s="16">
        <v>18.62</v>
      </c>
      <c r="E25" s="4"/>
      <c r="F25" s="17">
        <v>18.399999999999999</v>
      </c>
      <c r="G25" s="16">
        <f>505*67/2000</f>
        <v>16.9175</v>
      </c>
      <c r="H25" s="7" t="s">
        <v>29</v>
      </c>
      <c r="I25" s="15">
        <v>15</v>
      </c>
      <c r="J25" s="16">
        <f>311*80/2000</f>
        <v>12.44</v>
      </c>
      <c r="K25" s="4"/>
      <c r="L25" s="17">
        <v>5.4</v>
      </c>
      <c r="M25" s="16">
        <f>259*67/2000</f>
        <v>8.6765000000000008</v>
      </c>
      <c r="N25" s="4"/>
      <c r="O25" s="15">
        <v>166.1</v>
      </c>
      <c r="P25" s="16">
        <f>2912/O25</f>
        <v>17.531607465382301</v>
      </c>
    </row>
    <row r="26" spans="1:17" ht="10.15" customHeight="1">
      <c r="A26" s="18" t="s">
        <v>30</v>
      </c>
      <c r="B26" s="5"/>
      <c r="C26" s="19">
        <v>132.80000000000001</v>
      </c>
      <c r="D26" s="20">
        <f>394*85/2000</f>
        <v>16.745000000000001</v>
      </c>
      <c r="E26" s="5"/>
      <c r="F26" s="19">
        <v>18.8</v>
      </c>
      <c r="G26" s="20">
        <f>431*67/2000</f>
        <v>14.438499999999999</v>
      </c>
      <c r="H26" s="5"/>
      <c r="I26" s="19">
        <v>17.7</v>
      </c>
      <c r="J26" s="20">
        <f>257*80/2000</f>
        <v>10.28</v>
      </c>
      <c r="K26" s="5"/>
      <c r="L26" s="19">
        <v>5</v>
      </c>
      <c r="M26" s="20">
        <f>240*67/2000</f>
        <v>8.0399999999999991</v>
      </c>
      <c r="N26" s="5"/>
      <c r="O26" s="19">
        <v>174.3</v>
      </c>
      <c r="P26" s="20">
        <f>2718/O26</f>
        <v>15.59380378657487</v>
      </c>
    </row>
    <row r="27" spans="1:17" ht="10.15" customHeight="1">
      <c r="A27" s="18" t="s">
        <v>31</v>
      </c>
      <c r="B27" s="5"/>
      <c r="C27" s="19">
        <v>139.19999999999999</v>
      </c>
      <c r="D27" s="20">
        <f>401*85/2000</f>
        <v>17.0425</v>
      </c>
      <c r="E27" s="5"/>
      <c r="F27" s="19">
        <v>18</v>
      </c>
      <c r="G27" s="20">
        <f>456*67/2000</f>
        <v>15.276</v>
      </c>
      <c r="H27" s="5"/>
      <c r="I27" s="19">
        <v>20.399999999999999</v>
      </c>
      <c r="J27" s="20">
        <f>260*80/2000</f>
        <v>10.4</v>
      </c>
      <c r="K27" s="5"/>
      <c r="L27" s="19">
        <v>4.4000000000000004</v>
      </c>
      <c r="M27" s="20">
        <f>182*67/2000</f>
        <v>6.0970000000000004</v>
      </c>
      <c r="N27" s="5"/>
      <c r="O27" s="19">
        <v>182</v>
      </c>
      <c r="P27" s="20">
        <f>2885/O27</f>
        <v>15.851648351648352</v>
      </c>
      <c r="Q27" s="21"/>
    </row>
    <row r="28" spans="1:17" ht="10.15" customHeight="1">
      <c r="A28" s="18" t="s">
        <v>32</v>
      </c>
      <c r="B28" s="5"/>
      <c r="C28" s="19">
        <v>127.8</v>
      </c>
      <c r="D28" s="20">
        <f>388*85/2000</f>
        <v>16.489999999999998</v>
      </c>
      <c r="E28" s="5"/>
      <c r="F28" s="19">
        <v>16.8</v>
      </c>
      <c r="G28" s="20">
        <f>476*67/2000</f>
        <v>15.946</v>
      </c>
      <c r="H28" s="5"/>
      <c r="I28" s="19">
        <v>21.3</v>
      </c>
      <c r="J28" s="20">
        <f>225*80/2000</f>
        <v>9</v>
      </c>
      <c r="K28" s="5"/>
      <c r="L28" s="19">
        <v>4</v>
      </c>
      <c r="M28" s="20">
        <f>200*67/2000</f>
        <v>6.7</v>
      </c>
      <c r="N28" s="5"/>
      <c r="O28" s="19">
        <v>169.9</v>
      </c>
      <c r="P28" s="20">
        <f>2593/O28</f>
        <v>15.261918775750441</v>
      </c>
      <c r="Q28" s="21"/>
    </row>
    <row r="29" spans="1:17" ht="3" customHeight="1">
      <c r="A29" s="18"/>
      <c r="B29" s="5"/>
      <c r="C29" s="19"/>
      <c r="D29" s="20"/>
      <c r="E29" s="5"/>
      <c r="F29" s="19"/>
      <c r="G29" s="20"/>
      <c r="H29" s="5"/>
      <c r="I29" s="19"/>
      <c r="J29" s="20"/>
      <c r="K29" s="5"/>
      <c r="L29" s="19"/>
      <c r="M29" s="20"/>
      <c r="N29" s="5"/>
      <c r="O29" s="19"/>
      <c r="P29" s="20"/>
      <c r="Q29" s="21"/>
    </row>
    <row r="30" spans="1:17" ht="10.35" customHeight="1">
      <c r="A30" s="18" t="s">
        <v>33</v>
      </c>
      <c r="B30" s="5"/>
      <c r="C30" s="19">
        <v>116.6</v>
      </c>
      <c r="D30" s="20">
        <f>404*85/2000</f>
        <v>17.170000000000002</v>
      </c>
      <c r="E30" s="5"/>
      <c r="F30" s="19">
        <v>16.600000000000001</v>
      </c>
      <c r="G30" s="20">
        <f>440*67/2000</f>
        <v>14.74</v>
      </c>
      <c r="H30" s="5"/>
      <c r="I30" s="19">
        <v>20</v>
      </c>
      <c r="J30" s="20">
        <f>305*80/2000</f>
        <v>12.2</v>
      </c>
      <c r="K30" s="5"/>
      <c r="L30" s="19">
        <v>3.3</v>
      </c>
      <c r="M30" s="20">
        <f>227*67/2000</f>
        <v>7.6044999999999998</v>
      </c>
      <c r="N30" s="5"/>
      <c r="O30" s="19">
        <v>156.5</v>
      </c>
      <c r="P30" s="20">
        <f>2513/O30</f>
        <v>16.057507987220447</v>
      </c>
      <c r="Q30" s="21"/>
    </row>
    <row r="31" spans="1:17" ht="10.35" customHeight="1">
      <c r="A31" s="22" t="s">
        <v>34</v>
      </c>
      <c r="B31" s="5"/>
      <c r="C31" s="19">
        <v>114.1</v>
      </c>
      <c r="D31" s="20">
        <f>468*85/2000</f>
        <v>19.89</v>
      </c>
      <c r="E31" s="5"/>
      <c r="F31" s="19">
        <v>16.600000000000001</v>
      </c>
      <c r="G31" s="20">
        <f>434*67/2000</f>
        <v>14.539</v>
      </c>
      <c r="H31" s="5"/>
      <c r="I31" s="19">
        <v>20</v>
      </c>
      <c r="J31" s="20">
        <f>297*80/2000</f>
        <v>11.88</v>
      </c>
      <c r="K31" s="5"/>
      <c r="L31" s="19">
        <v>2.8</v>
      </c>
      <c r="M31" s="20">
        <f>161*67/2000</f>
        <v>5.3935000000000004</v>
      </c>
      <c r="N31" s="5"/>
      <c r="O31" s="19">
        <v>153.5</v>
      </c>
      <c r="P31" s="20">
        <f>2763/O31</f>
        <v>18</v>
      </c>
      <c r="Q31" s="21"/>
    </row>
    <row r="32" spans="1:17" ht="10.35" customHeight="1">
      <c r="A32" s="22" t="s">
        <v>35</v>
      </c>
      <c r="B32" s="5"/>
      <c r="C32" s="19">
        <v>107.8</v>
      </c>
      <c r="D32" s="20">
        <f>427*85/2000</f>
        <v>18.147500000000001</v>
      </c>
      <c r="E32" s="5"/>
      <c r="F32" s="19">
        <v>15.4</v>
      </c>
      <c r="G32" s="20">
        <f>409*67/2000</f>
        <v>13.701499999999999</v>
      </c>
      <c r="H32" s="5"/>
      <c r="I32" s="19">
        <v>20</v>
      </c>
      <c r="J32" s="20">
        <f>360*80/2000</f>
        <v>14.4</v>
      </c>
      <c r="K32" s="5"/>
      <c r="L32" s="19">
        <v>2</v>
      </c>
      <c r="M32" s="20">
        <f>125*67/2000</f>
        <v>4.1875</v>
      </c>
      <c r="N32" s="5"/>
      <c r="O32" s="19">
        <v>145.19999999999999</v>
      </c>
      <c r="P32" s="20">
        <f>2462/O32</f>
        <v>16.955922865013775</v>
      </c>
      <c r="Q32" s="21"/>
    </row>
    <row r="33" spans="1:17" ht="10.35" customHeight="1">
      <c r="A33" s="22" t="s">
        <v>36</v>
      </c>
      <c r="B33" s="5"/>
      <c r="C33" s="19">
        <v>101.3</v>
      </c>
      <c r="D33" s="20">
        <f>461*85/2000</f>
        <v>19.592500000000001</v>
      </c>
      <c r="E33" s="5"/>
      <c r="F33" s="19">
        <v>14</v>
      </c>
      <c r="G33" s="20">
        <f>421*67/2000</f>
        <v>14.1035</v>
      </c>
      <c r="H33" s="5"/>
      <c r="I33" s="19">
        <v>19</v>
      </c>
      <c r="J33" s="20">
        <f>311*80/2000</f>
        <v>12.44</v>
      </c>
      <c r="K33" s="5"/>
      <c r="L33" s="19">
        <v>2</v>
      </c>
      <c r="M33" s="20">
        <f>80*67/2000</f>
        <v>2.68</v>
      </c>
      <c r="N33" s="5"/>
      <c r="O33" s="19">
        <v>136.30000000000001</v>
      </c>
      <c r="P33" s="20">
        <f>2424/O33</f>
        <v>17.784299339691856</v>
      </c>
      <c r="Q33" s="21"/>
    </row>
    <row r="34" spans="1:17" ht="10.35" customHeight="1">
      <c r="A34" s="22" t="s">
        <v>37</v>
      </c>
      <c r="B34" s="5"/>
      <c r="C34" s="19">
        <v>95.5</v>
      </c>
      <c r="D34" s="20">
        <f>405*85/2000</f>
        <v>17.212499999999999</v>
      </c>
      <c r="E34" s="5"/>
      <c r="F34" s="19">
        <v>13</v>
      </c>
      <c r="G34" s="20">
        <f>431*67/2000</f>
        <v>14.438499999999999</v>
      </c>
      <c r="H34" s="5"/>
      <c r="I34" s="19">
        <v>18.5</v>
      </c>
      <c r="J34" s="20">
        <f>305*80/2000</f>
        <v>12.2</v>
      </c>
      <c r="K34" s="5"/>
      <c r="L34" s="19">
        <v>1.4</v>
      </c>
      <c r="M34" s="20">
        <f>93*67/2000</f>
        <v>3.1154999999999999</v>
      </c>
      <c r="N34" s="5"/>
      <c r="O34" s="19">
        <v>128.4</v>
      </c>
      <c r="P34" s="20">
        <f>2063/O34</f>
        <v>16.066978193146415</v>
      </c>
      <c r="Q34" s="21"/>
    </row>
    <row r="35" spans="1:17" ht="10.35" customHeight="1">
      <c r="A35" s="18" t="s">
        <v>38</v>
      </c>
      <c r="B35" s="5"/>
      <c r="C35" s="19">
        <v>82.3</v>
      </c>
      <c r="D35" s="20">
        <f>497*85/2000</f>
        <v>21.122499999999999</v>
      </c>
      <c r="E35" s="5"/>
      <c r="F35" s="19">
        <v>12</v>
      </c>
      <c r="G35" s="20">
        <f>483*67/2000</f>
        <v>16.180499999999999</v>
      </c>
      <c r="H35" s="5"/>
      <c r="I35" s="19">
        <v>18.5</v>
      </c>
      <c r="J35" s="20">
        <f>308*80/2000</f>
        <v>12.32</v>
      </c>
      <c r="K35" s="5"/>
      <c r="L35" s="19">
        <v>1.2</v>
      </c>
      <c r="M35" s="20">
        <f>117*67/2000</f>
        <v>3.9195000000000002</v>
      </c>
      <c r="N35" s="5"/>
      <c r="O35" s="19">
        <v>114</v>
      </c>
      <c r="P35" s="20">
        <f>2165/O35</f>
        <v>18.991228070175438</v>
      </c>
    </row>
    <row r="36" spans="1:17" ht="4.5" customHeight="1">
      <c r="A36" s="22"/>
      <c r="B36" s="5"/>
      <c r="C36" s="19"/>
      <c r="D36" s="20"/>
      <c r="E36" s="5"/>
      <c r="F36" s="19"/>
      <c r="G36" s="20"/>
      <c r="H36" s="5"/>
      <c r="I36" s="19"/>
      <c r="J36" s="20"/>
      <c r="K36" s="5"/>
      <c r="L36" s="19"/>
      <c r="M36" s="20"/>
      <c r="N36" s="5"/>
      <c r="O36" s="19"/>
      <c r="P36" s="20"/>
      <c r="Q36" s="21"/>
    </row>
    <row r="37" spans="1:17" ht="10.35" customHeight="1">
      <c r="A37" s="18" t="s">
        <v>39</v>
      </c>
      <c r="B37" s="5"/>
      <c r="C37" s="19">
        <v>71</v>
      </c>
      <c r="D37" s="20">
        <f>180*85/2000</f>
        <v>7.65</v>
      </c>
      <c r="E37" s="5"/>
      <c r="F37" s="19">
        <v>11</v>
      </c>
      <c r="G37" s="20">
        <f>555*67/2000</f>
        <v>18.592500000000001</v>
      </c>
      <c r="H37" s="5"/>
      <c r="I37" s="19">
        <v>18.5</v>
      </c>
      <c r="J37" s="20">
        <f>357*80/2000</f>
        <v>14.28</v>
      </c>
      <c r="K37" s="5"/>
      <c r="L37" s="19">
        <v>1</v>
      </c>
      <c r="M37" s="20">
        <f>140*67/2000</f>
        <v>4.6900000000000004</v>
      </c>
      <c r="N37" s="5"/>
      <c r="O37" s="19">
        <v>101.5</v>
      </c>
      <c r="P37" s="20">
        <f>1018/O37</f>
        <v>10.029556650246306</v>
      </c>
    </row>
    <row r="38" spans="1:17" ht="10.35" customHeight="1">
      <c r="A38" s="18" t="s">
        <v>40</v>
      </c>
      <c r="B38" s="5"/>
      <c r="C38" s="19">
        <v>59.8</v>
      </c>
      <c r="D38" s="20">
        <f>323*85/2000</f>
        <v>13.727499999999999</v>
      </c>
      <c r="E38" s="5"/>
      <c r="F38" s="19">
        <v>10</v>
      </c>
      <c r="G38" s="20">
        <f>600*67/2000</f>
        <v>20.100000000000001</v>
      </c>
      <c r="H38" s="5"/>
      <c r="I38" s="19">
        <v>18.5</v>
      </c>
      <c r="J38" s="20">
        <f>281*80/2000</f>
        <v>11.24</v>
      </c>
      <c r="K38" s="5"/>
      <c r="L38" s="19">
        <v>0.8</v>
      </c>
      <c r="M38" s="20">
        <f>125*67/2000</f>
        <v>4.1875</v>
      </c>
      <c r="N38" s="5"/>
      <c r="O38" s="19">
        <v>89.1</v>
      </c>
      <c r="P38" s="20">
        <f>1232/O38</f>
        <v>13.827160493827162</v>
      </c>
    </row>
    <row r="39" spans="1:17" ht="10.35" customHeight="1">
      <c r="A39" s="18" t="s">
        <v>41</v>
      </c>
      <c r="B39" s="5"/>
      <c r="C39" s="19">
        <v>57.4</v>
      </c>
      <c r="D39" s="20">
        <f>474*85/2000</f>
        <v>20.145</v>
      </c>
      <c r="E39" s="5"/>
      <c r="F39" s="19">
        <v>9.6</v>
      </c>
      <c r="G39" s="20">
        <f>573*67/2000</f>
        <v>19.195499999999999</v>
      </c>
      <c r="H39" s="5"/>
      <c r="I39" s="19">
        <v>18.5</v>
      </c>
      <c r="J39" s="20">
        <f>384*80/2000</f>
        <v>15.36</v>
      </c>
      <c r="K39" s="5"/>
      <c r="L39" s="19">
        <v>0.6</v>
      </c>
      <c r="M39" s="20">
        <f>167*67/2000</f>
        <v>5.5945</v>
      </c>
      <c r="N39" s="5"/>
      <c r="O39" s="19">
        <v>86.1</v>
      </c>
      <c r="P39" s="20">
        <f>1627/O39</f>
        <v>18.896631823461092</v>
      </c>
    </row>
    <row r="40" spans="1:17" ht="10.35" customHeight="1">
      <c r="A40" s="18" t="s">
        <v>42</v>
      </c>
      <c r="B40" s="5"/>
      <c r="C40" s="19">
        <v>54.8</v>
      </c>
      <c r="D40" s="20">
        <f>485*85/2000</f>
        <v>20.612500000000001</v>
      </c>
      <c r="E40" s="5"/>
      <c r="F40" s="19">
        <v>9.6</v>
      </c>
      <c r="G40" s="20">
        <f>542*67/2000</f>
        <v>18.157</v>
      </c>
      <c r="H40" s="5"/>
      <c r="I40" s="19">
        <v>18.5</v>
      </c>
      <c r="J40" s="20">
        <f>324*80/2000</f>
        <v>12.96</v>
      </c>
      <c r="K40" s="5"/>
      <c r="L40" s="19">
        <v>0.5</v>
      </c>
      <c r="M40" s="20">
        <f>200*67/2000</f>
        <v>6.7</v>
      </c>
      <c r="N40" s="5"/>
      <c r="O40" s="19">
        <v>83.4</v>
      </c>
      <c r="P40" s="20">
        <f>1548/O40</f>
        <v>18.561151079136689</v>
      </c>
    </row>
    <row r="41" spans="1:17" s="27" customFormat="1" ht="10.35" customHeight="1">
      <c r="A41" s="23" t="s">
        <v>43</v>
      </c>
      <c r="B41" s="24"/>
      <c r="C41" s="25">
        <v>51.9</v>
      </c>
      <c r="D41" s="26">
        <f>418*85/2000</f>
        <v>17.765000000000001</v>
      </c>
      <c r="E41" s="24"/>
      <c r="F41" s="25">
        <v>9.6</v>
      </c>
      <c r="G41" s="26">
        <f>500*67/2000</f>
        <v>16.75</v>
      </c>
      <c r="H41" s="24"/>
      <c r="I41" s="25">
        <v>18.5</v>
      </c>
      <c r="J41" s="26">
        <f>297*80/2000</f>
        <v>11.88</v>
      </c>
      <c r="K41" s="24"/>
      <c r="L41" s="25">
        <v>0.4</v>
      </c>
      <c r="M41" s="26">
        <f>63*67/2000</f>
        <v>2.1105</v>
      </c>
      <c r="N41" s="24"/>
      <c r="O41" s="25">
        <v>80.400000000000006</v>
      </c>
      <c r="P41" s="26">
        <f>1304/O41</f>
        <v>16.218905472636816</v>
      </c>
    </row>
    <row r="42" spans="1:17" s="29" customFormat="1" ht="10.35" customHeight="1">
      <c r="A42" s="23" t="s">
        <v>44</v>
      </c>
      <c r="B42" s="24"/>
      <c r="C42" s="25">
        <v>48.1</v>
      </c>
      <c r="D42" s="26">
        <f>422*85/2000</f>
        <v>17.934999999999999</v>
      </c>
      <c r="E42" s="24"/>
      <c r="F42" s="25">
        <v>9.6</v>
      </c>
      <c r="G42" s="26">
        <f>469*67/2000</f>
        <v>15.711499999999999</v>
      </c>
      <c r="H42" s="24"/>
      <c r="I42" s="25">
        <v>18</v>
      </c>
      <c r="J42" s="26">
        <f>311*80/2000</f>
        <v>12.44</v>
      </c>
      <c r="K42" s="24"/>
      <c r="L42" s="28" t="s">
        <v>45</v>
      </c>
      <c r="M42" s="28" t="s">
        <v>45</v>
      </c>
      <c r="N42" s="24"/>
      <c r="O42" s="25">
        <v>75.7</v>
      </c>
      <c r="P42" s="26">
        <f>1238/O42</f>
        <v>16.354029062087186</v>
      </c>
    </row>
    <row r="43" spans="1:17" s="27" customFormat="1" ht="10.35" customHeight="1">
      <c r="A43" s="23" t="s">
        <v>46</v>
      </c>
      <c r="B43" s="24"/>
      <c r="C43" s="25">
        <v>46.5</v>
      </c>
      <c r="D43" s="26">
        <f>425*85/2000</f>
        <v>18.0625</v>
      </c>
      <c r="E43" s="24"/>
      <c r="F43" s="25">
        <v>9.6</v>
      </c>
      <c r="G43" s="26">
        <f>449*80/2000</f>
        <v>17.96</v>
      </c>
      <c r="H43" s="24"/>
      <c r="I43" s="25">
        <v>17.5</v>
      </c>
      <c r="J43" s="26">
        <f>360*80/2000</f>
        <v>14.4</v>
      </c>
      <c r="K43" s="24"/>
      <c r="L43" s="28" t="s">
        <v>45</v>
      </c>
      <c r="M43" s="28" t="s">
        <v>45</v>
      </c>
      <c r="N43" s="24"/>
      <c r="O43" s="25">
        <v>73.599999999999994</v>
      </c>
      <c r="P43" s="26">
        <f>1264/O43</f>
        <v>17.173913043478262</v>
      </c>
    </row>
    <row r="44" spans="1:17" s="27" customFormat="1" ht="3" customHeight="1">
      <c r="A44" s="23"/>
      <c r="B44" s="24"/>
      <c r="C44" s="25"/>
      <c r="D44" s="26"/>
      <c r="E44" s="24"/>
      <c r="F44" s="25"/>
      <c r="G44" s="26"/>
      <c r="H44" s="24"/>
      <c r="I44" s="25"/>
      <c r="J44" s="26"/>
      <c r="K44" s="24"/>
      <c r="L44" s="28"/>
      <c r="M44" s="28"/>
      <c r="N44" s="24"/>
      <c r="O44" s="25"/>
      <c r="P44" s="26"/>
    </row>
    <row r="45" spans="1:17" s="27" customFormat="1" ht="10.35" customHeight="1">
      <c r="A45" s="23" t="s">
        <v>47</v>
      </c>
      <c r="B45" s="24"/>
      <c r="C45" s="25">
        <v>45.5</v>
      </c>
      <c r="D45" s="26">
        <v>17.59</v>
      </c>
      <c r="E45" s="24"/>
      <c r="F45" s="25">
        <v>9.6999999999999993</v>
      </c>
      <c r="G45" s="26">
        <v>16.48</v>
      </c>
      <c r="H45" s="24"/>
      <c r="I45" s="25">
        <v>17</v>
      </c>
      <c r="J45" s="26">
        <v>11.28</v>
      </c>
      <c r="K45" s="24"/>
      <c r="L45" s="28" t="s">
        <v>45</v>
      </c>
      <c r="M45" s="28" t="s">
        <v>45</v>
      </c>
      <c r="N45" s="24"/>
      <c r="O45" s="25">
        <v>72.2</v>
      </c>
      <c r="P45" s="26">
        <v>15.97</v>
      </c>
    </row>
    <row r="46" spans="1:17" s="27" customFormat="1" ht="10.35" customHeight="1">
      <c r="A46" s="43" t="s">
        <v>48</v>
      </c>
      <c r="B46" s="24"/>
      <c r="C46" s="25">
        <v>44.9</v>
      </c>
      <c r="D46" s="26">
        <v>17.38</v>
      </c>
      <c r="E46" s="24"/>
      <c r="F46" s="25">
        <v>10</v>
      </c>
      <c r="G46" s="26">
        <v>18</v>
      </c>
      <c r="H46" s="24"/>
      <c r="I46" s="25">
        <v>16.5</v>
      </c>
      <c r="J46" s="26">
        <v>14.8</v>
      </c>
      <c r="K46" s="24"/>
      <c r="L46" s="28" t="s">
        <v>45</v>
      </c>
      <c r="M46" s="28" t="s">
        <v>45</v>
      </c>
      <c r="N46" s="24"/>
      <c r="O46" s="25">
        <v>71.400000000000006</v>
      </c>
      <c r="P46" s="26">
        <v>16.86</v>
      </c>
    </row>
    <row r="47" spans="1:17" s="27" customFormat="1" ht="10.35" customHeight="1">
      <c r="A47" s="43" t="s">
        <v>51</v>
      </c>
      <c r="B47" s="24"/>
      <c r="C47" s="25">
        <v>43.1</v>
      </c>
      <c r="D47" s="26">
        <v>15.43</v>
      </c>
      <c r="E47" s="24"/>
      <c r="F47" s="25">
        <v>9.8000000000000007</v>
      </c>
      <c r="G47" s="26">
        <v>15.72</v>
      </c>
      <c r="H47" s="24"/>
      <c r="I47" s="25">
        <v>16.600000000000001</v>
      </c>
      <c r="J47" s="26">
        <v>13.72</v>
      </c>
      <c r="K47" s="24"/>
      <c r="L47" s="28" t="s">
        <v>45</v>
      </c>
      <c r="M47" s="28" t="s">
        <v>45</v>
      </c>
      <c r="N47" s="24"/>
      <c r="O47" s="25">
        <v>69.5</v>
      </c>
      <c r="P47" s="26">
        <v>15.46</v>
      </c>
    </row>
    <row r="48" spans="1:17" s="27" customFormat="1" ht="10.35" customHeight="1">
      <c r="A48" s="43" t="s">
        <v>52</v>
      </c>
      <c r="B48" s="24"/>
      <c r="C48" s="25">
        <v>40.4</v>
      </c>
      <c r="D48" s="26">
        <f>319*85/2000</f>
        <v>13.557499999999999</v>
      </c>
      <c r="E48" s="24"/>
      <c r="F48" s="25">
        <v>9.8000000000000007</v>
      </c>
      <c r="G48" s="26">
        <f>490*80/2000</f>
        <v>19.600000000000001</v>
      </c>
      <c r="H48" s="24"/>
      <c r="I48" s="25">
        <v>17.100000000000001</v>
      </c>
      <c r="J48" s="26">
        <f>249*80/2000</f>
        <v>9.9600000000000009</v>
      </c>
      <c r="K48" s="24"/>
      <c r="L48" s="28" t="s">
        <v>45</v>
      </c>
      <c r="M48" s="28" t="s">
        <v>45</v>
      </c>
      <c r="N48" s="24"/>
      <c r="O48" s="25">
        <v>67.3</v>
      </c>
      <c r="P48" s="26">
        <f>910/O48</f>
        <v>13.521545319465082</v>
      </c>
    </row>
    <row r="49" spans="1:16" s="27" customFormat="1" ht="10.35" customHeight="1">
      <c r="A49" s="43" t="s">
        <v>291</v>
      </c>
      <c r="B49" s="24"/>
      <c r="C49" s="25">
        <v>37.5</v>
      </c>
      <c r="D49" s="26">
        <f>288*85/2000</f>
        <v>12.24</v>
      </c>
      <c r="E49" s="24"/>
      <c r="F49" s="25">
        <v>9.5</v>
      </c>
      <c r="G49" s="26">
        <f>400*80/2000</f>
        <v>16</v>
      </c>
      <c r="H49" s="24"/>
      <c r="I49" s="25">
        <v>17.100000000000001</v>
      </c>
      <c r="J49" s="26">
        <f>281*80/2000</f>
        <v>11.24</v>
      </c>
      <c r="K49" s="24"/>
      <c r="L49" s="28" t="s">
        <v>45</v>
      </c>
      <c r="M49" s="28" t="s">
        <v>45</v>
      </c>
      <c r="N49" s="24"/>
      <c r="O49" s="25">
        <v>64.099999999999994</v>
      </c>
      <c r="P49" s="26">
        <f>803/O49</f>
        <v>12.527301092043682</v>
      </c>
    </row>
    <row r="50" spans="1:16" s="27" customFormat="1" ht="10.35" customHeight="1">
      <c r="A50" s="43" t="s">
        <v>298</v>
      </c>
      <c r="B50" s="24"/>
      <c r="C50" s="25">
        <v>33.799999999999997</v>
      </c>
      <c r="D50" s="26">
        <f>230*85/2000</f>
        <v>9.7750000000000004</v>
      </c>
      <c r="E50" s="24"/>
      <c r="F50" s="25">
        <v>9.4</v>
      </c>
      <c r="G50" s="26">
        <f>468*80/2000</f>
        <v>18.72</v>
      </c>
      <c r="H50" s="24"/>
      <c r="I50" s="25">
        <v>16.399999999999999</v>
      </c>
      <c r="J50" s="26">
        <f>293*80/2000</f>
        <v>11.72</v>
      </c>
      <c r="K50" s="24"/>
      <c r="L50" s="28" t="s">
        <v>45</v>
      </c>
      <c r="M50" s="28" t="s">
        <v>45</v>
      </c>
      <c r="N50" s="24"/>
      <c r="O50" s="25">
        <v>59.6</v>
      </c>
      <c r="P50" s="26">
        <f>698/O50</f>
        <v>11.711409395973154</v>
      </c>
    </row>
    <row r="51" spans="1:16" s="27" customFormat="1" ht="10.35" customHeight="1">
      <c r="A51" s="43" t="s">
        <v>312</v>
      </c>
      <c r="B51" s="24"/>
      <c r="C51" s="25">
        <v>29.8</v>
      </c>
      <c r="D51" s="26">
        <f>130*85/2000</f>
        <v>5.5250000000000004</v>
      </c>
      <c r="E51" s="24"/>
      <c r="F51" s="25">
        <v>9.3000000000000007</v>
      </c>
      <c r="G51" s="26">
        <f>409*80/2000</f>
        <v>16.36</v>
      </c>
      <c r="H51" s="24"/>
      <c r="I51" s="25">
        <v>15.7</v>
      </c>
      <c r="J51" s="26">
        <f>306*80/2000</f>
        <v>12.24</v>
      </c>
      <c r="K51" s="24"/>
      <c r="L51" s="28" t="s">
        <v>45</v>
      </c>
      <c r="M51" s="28" t="s">
        <v>45</v>
      </c>
      <c r="N51" s="24"/>
      <c r="O51" s="25">
        <v>54.8</v>
      </c>
      <c r="P51" s="26">
        <f>509/O51</f>
        <v>9.2883211678832129</v>
      </c>
    </row>
    <row r="52" spans="1:16" s="27" customFormat="1" ht="10.35" customHeight="1">
      <c r="A52" s="44" t="s">
        <v>319</v>
      </c>
      <c r="B52" s="30"/>
      <c r="C52" s="31">
        <v>24.7</v>
      </c>
      <c r="D52" s="32">
        <f>183*85/2000</f>
        <v>7.7774999999999999</v>
      </c>
      <c r="E52" s="30"/>
      <c r="F52" s="31">
        <v>9</v>
      </c>
      <c r="G52" s="32">
        <f>356*80/2000</f>
        <v>14.24</v>
      </c>
      <c r="H52" s="30"/>
      <c r="I52" s="31">
        <v>16</v>
      </c>
      <c r="J52" s="32">
        <f>381*80/2000</f>
        <v>15.24</v>
      </c>
      <c r="K52" s="30"/>
      <c r="L52" s="33" t="s">
        <v>45</v>
      </c>
      <c r="M52" s="33" t="s">
        <v>45</v>
      </c>
      <c r="N52" s="30"/>
      <c r="O52" s="31">
        <v>49.7</v>
      </c>
      <c r="P52" s="32">
        <f>564/O52</f>
        <v>11.348088531187122</v>
      </c>
    </row>
    <row r="53" spans="1:16">
      <c r="A53" s="34" t="s">
        <v>49</v>
      </c>
      <c r="B53" s="35"/>
      <c r="C53" s="36"/>
      <c r="D53" s="37"/>
      <c r="E53" s="35"/>
      <c r="F53" s="36"/>
      <c r="G53" s="37"/>
      <c r="H53" s="35"/>
      <c r="I53" s="36"/>
      <c r="J53" s="37"/>
      <c r="K53" s="35"/>
      <c r="L53" s="38"/>
      <c r="M53" s="38"/>
      <c r="N53" s="35"/>
      <c r="O53" s="19"/>
      <c r="P53" s="20"/>
    </row>
    <row r="54" spans="1:16">
      <c r="A54" s="39" t="s">
        <v>55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"/>
      <c r="P54" s="4"/>
    </row>
    <row r="55" spans="1:16">
      <c r="A55" s="39" t="s">
        <v>278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"/>
      <c r="P55" s="4"/>
    </row>
    <row r="56" spans="1:16">
      <c r="A56" s="39" t="s">
        <v>50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4"/>
    </row>
    <row r="57" spans="1:16">
      <c r="O57" s="42"/>
    </row>
  </sheetData>
  <pageMargins left="0.66700000000000004" right="0.66700000000000004" top="0.66700000000000004" bottom="0.72" header="0" footer="0"/>
  <pageSetup firstPageNumber="71" orientation="portrait" useFirstPageNumber="1" r:id="rId1"/>
  <headerFooter alignWithMargins="0"/>
  <ignoredErrors>
    <ignoredError sqref="C6:O6 J13 J20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P56"/>
  <sheetViews>
    <sheetView showGridLines="0" view="pageBreakPreview" zoomScale="60" zoomScaleNormal="100" workbookViewId="0">
      <pane xSplit="2" ySplit="6" topLeftCell="C45" activePane="bottomRight" state="frozen"/>
      <selection pane="topRight" activeCell="C1" sqref="C1"/>
      <selection pane="bottomLeft" activeCell="A7" sqref="A7"/>
      <selection pane="bottomRight" activeCell="I65" sqref="I65"/>
    </sheetView>
  </sheetViews>
  <sheetFormatPr defaultColWidth="9.7109375" defaultRowHeight="12"/>
  <cols>
    <col min="1" max="1" width="8" customWidth="1"/>
    <col min="2" max="2" width="2.7109375" customWidth="1"/>
    <col min="3" max="4" width="7.85546875" customWidth="1"/>
    <col min="5" max="5" width="3.140625" customWidth="1"/>
    <col min="6" max="7" width="7.85546875" customWidth="1"/>
    <col min="8" max="8" width="3.140625" customWidth="1"/>
    <col min="9" max="10" width="7.85546875" customWidth="1"/>
    <col min="11" max="11" width="3.140625" customWidth="1"/>
    <col min="12" max="13" width="7.85546875" customWidth="1"/>
    <col min="14" max="14" width="3.140625" customWidth="1"/>
    <col min="15" max="16" width="7.85546875" customWidth="1"/>
  </cols>
  <sheetData>
    <row r="1" spans="1:16">
      <c r="A1" s="149" t="s">
        <v>213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/>
      <c r="B2" s="5"/>
      <c r="C2" s="6" t="s">
        <v>1</v>
      </c>
      <c r="D2" s="6"/>
      <c r="E2" s="5"/>
      <c r="F2" s="6" t="s">
        <v>2</v>
      </c>
      <c r="G2" s="6"/>
      <c r="H2" s="5"/>
      <c r="I2" s="6" t="s">
        <v>3</v>
      </c>
      <c r="J2" s="6"/>
      <c r="K2" s="5"/>
      <c r="L2" s="6" t="s">
        <v>4</v>
      </c>
      <c r="M2" s="6"/>
      <c r="N2" s="5"/>
      <c r="O2" s="6" t="s">
        <v>5</v>
      </c>
      <c r="P2" s="6"/>
    </row>
    <row r="3" spans="1:16">
      <c r="A3" s="7"/>
      <c r="B3" s="5"/>
      <c r="C3" s="7" t="s">
        <v>6</v>
      </c>
      <c r="D3" s="7" t="s">
        <v>7</v>
      </c>
      <c r="E3" s="4"/>
      <c r="F3" s="7" t="s">
        <v>6</v>
      </c>
      <c r="G3" s="7" t="s">
        <v>7</v>
      </c>
      <c r="H3" s="4"/>
      <c r="I3" s="7" t="s">
        <v>6</v>
      </c>
      <c r="J3" s="7" t="s">
        <v>7</v>
      </c>
      <c r="K3" s="4"/>
      <c r="L3" s="7" t="s">
        <v>6</v>
      </c>
      <c r="M3" s="7" t="s">
        <v>7</v>
      </c>
      <c r="N3" s="4"/>
      <c r="O3" s="7" t="s">
        <v>6</v>
      </c>
      <c r="P3" s="7" t="s">
        <v>7</v>
      </c>
    </row>
    <row r="4" spans="1:16">
      <c r="A4" s="8" t="s">
        <v>53</v>
      </c>
      <c r="B4" s="3"/>
      <c r="C4" s="9" t="s">
        <v>8</v>
      </c>
      <c r="D4" s="9" t="s">
        <v>9</v>
      </c>
      <c r="E4" s="3"/>
      <c r="F4" s="9" t="s">
        <v>8</v>
      </c>
      <c r="G4" s="9" t="s">
        <v>9</v>
      </c>
      <c r="H4" s="3"/>
      <c r="I4" s="9" t="s">
        <v>8</v>
      </c>
      <c r="J4" s="9" t="s">
        <v>9</v>
      </c>
      <c r="K4" s="3"/>
      <c r="L4" s="9" t="s">
        <v>8</v>
      </c>
      <c r="M4" s="9" t="s">
        <v>9</v>
      </c>
      <c r="N4" s="3"/>
      <c r="O4" s="9" t="s">
        <v>8</v>
      </c>
      <c r="P4" s="9" t="s">
        <v>9</v>
      </c>
    </row>
    <row r="5" spans="1:16" ht="3.95" customHeight="1">
      <c r="A5" s="10"/>
      <c r="B5" s="5"/>
      <c r="C5" s="10"/>
      <c r="D5" s="10"/>
      <c r="E5" s="5"/>
      <c r="F5" s="10"/>
      <c r="G5" s="10"/>
      <c r="H5" s="5"/>
      <c r="I5" s="10"/>
      <c r="J5" s="10"/>
      <c r="K5" s="5"/>
      <c r="L5" s="10"/>
      <c r="M5" s="10"/>
      <c r="N5" s="5"/>
      <c r="O5" s="10"/>
      <c r="P5" s="10"/>
    </row>
    <row r="6" spans="1:16">
      <c r="A6" s="4"/>
      <c r="B6" s="4"/>
      <c r="C6" s="11" t="s">
        <v>10</v>
      </c>
      <c r="D6" s="12" t="s">
        <v>11</v>
      </c>
      <c r="E6" s="13"/>
      <c r="F6" s="11" t="s">
        <v>10</v>
      </c>
      <c r="G6" s="12" t="s">
        <v>11</v>
      </c>
      <c r="H6" s="13"/>
      <c r="I6" s="11" t="s">
        <v>10</v>
      </c>
      <c r="J6" s="12" t="s">
        <v>11</v>
      </c>
      <c r="K6" s="13"/>
      <c r="L6" s="11" t="s">
        <v>10</v>
      </c>
      <c r="M6" s="12" t="s">
        <v>11</v>
      </c>
      <c r="N6" s="13"/>
      <c r="O6" s="11" t="s">
        <v>10</v>
      </c>
      <c r="P6" s="12" t="s">
        <v>11</v>
      </c>
    </row>
    <row r="7" spans="1:16" ht="10.9" customHeight="1">
      <c r="A7" s="4"/>
      <c r="B7" s="4"/>
      <c r="C7" s="12" t="s">
        <v>12</v>
      </c>
      <c r="D7" s="12" t="s">
        <v>13</v>
      </c>
      <c r="E7" s="13"/>
      <c r="F7" s="12" t="s">
        <v>12</v>
      </c>
      <c r="G7" s="12" t="s">
        <v>13</v>
      </c>
      <c r="H7" s="13"/>
      <c r="I7" s="12" t="s">
        <v>12</v>
      </c>
      <c r="J7" s="12" t="s">
        <v>13</v>
      </c>
      <c r="K7" s="13"/>
      <c r="L7" s="12" t="s">
        <v>12</v>
      </c>
      <c r="M7" s="12" t="s">
        <v>13</v>
      </c>
      <c r="N7" s="13"/>
      <c r="O7" s="12" t="s">
        <v>12</v>
      </c>
      <c r="P7" s="12" t="s">
        <v>13</v>
      </c>
    </row>
    <row r="8" spans="1:16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0.5" customHeight="1">
      <c r="A9" s="14" t="s">
        <v>14</v>
      </c>
      <c r="B9" s="4"/>
      <c r="C9" s="15">
        <v>573.4</v>
      </c>
      <c r="D9" s="16">
        <v>13.529822113707709</v>
      </c>
      <c r="E9" s="4"/>
      <c r="F9" s="15">
        <v>182.7</v>
      </c>
      <c r="G9" s="16">
        <v>13.393541324575809</v>
      </c>
      <c r="H9" s="4"/>
      <c r="I9" s="41">
        <v>25.3</v>
      </c>
      <c r="J9" s="16">
        <v>7.2727272727272725</v>
      </c>
      <c r="K9" s="4"/>
      <c r="L9" s="15">
        <v>13.2</v>
      </c>
      <c r="M9" s="16">
        <v>7.4242424242424248</v>
      </c>
      <c r="N9" s="4"/>
      <c r="O9" s="15">
        <v>794.6</v>
      </c>
      <c r="P9" s="16">
        <v>13.197835388874907</v>
      </c>
    </row>
    <row r="10" spans="1:16" ht="10.5" customHeight="1">
      <c r="A10" s="14" t="s">
        <v>15</v>
      </c>
      <c r="B10" s="4"/>
      <c r="C10" s="15">
        <v>560.20000000000005</v>
      </c>
      <c r="D10" s="16">
        <v>10.105319528739734</v>
      </c>
      <c r="E10" s="4"/>
      <c r="F10" s="15">
        <v>180.2</v>
      </c>
      <c r="G10" s="16">
        <v>8.7236403995560501</v>
      </c>
      <c r="H10" s="4"/>
      <c r="I10" s="41">
        <v>23.7</v>
      </c>
      <c r="J10" s="16">
        <v>10.632911392405063</v>
      </c>
      <c r="K10" s="4"/>
      <c r="L10" s="15">
        <v>13.6</v>
      </c>
      <c r="M10" s="16">
        <v>8.4558823529411775</v>
      </c>
      <c r="N10" s="4"/>
      <c r="O10" s="15">
        <v>777.7</v>
      </c>
      <c r="P10" s="16">
        <v>9.7724058120097705</v>
      </c>
    </row>
    <row r="11" spans="1:16" ht="10.5" customHeight="1">
      <c r="A11" s="14" t="s">
        <v>16</v>
      </c>
      <c r="B11" s="4"/>
      <c r="C11" s="15">
        <v>536.79999999999995</v>
      </c>
      <c r="D11" s="16">
        <v>11.702682563338302</v>
      </c>
      <c r="E11" s="4"/>
      <c r="F11" s="15">
        <v>177.4</v>
      </c>
      <c r="G11" s="16">
        <v>16.087936865839911</v>
      </c>
      <c r="H11" s="4"/>
      <c r="I11" s="41">
        <v>24</v>
      </c>
      <c r="J11" s="16">
        <v>10.041666666666666</v>
      </c>
      <c r="K11" s="4"/>
      <c r="L11" s="15">
        <v>12.6</v>
      </c>
      <c r="M11" s="16">
        <v>11.269841269841271</v>
      </c>
      <c r="N11" s="4"/>
      <c r="O11" s="15">
        <v>750.8</v>
      </c>
      <c r="P11" s="16">
        <v>12.678476291955249</v>
      </c>
    </row>
    <row r="12" spans="1:16" ht="10.5" customHeight="1">
      <c r="A12" s="14" t="s">
        <v>17</v>
      </c>
      <c r="B12" s="4"/>
      <c r="C12" s="15">
        <v>474.2</v>
      </c>
      <c r="D12" s="16">
        <v>11.075495571488824</v>
      </c>
      <c r="E12" s="4"/>
      <c r="F12" s="15">
        <v>177.1</v>
      </c>
      <c r="G12" s="16">
        <v>10.271033314511575</v>
      </c>
      <c r="H12" s="4"/>
      <c r="I12" s="41">
        <v>24.3</v>
      </c>
      <c r="J12" s="16">
        <v>4.4032921810699586</v>
      </c>
      <c r="K12" s="4"/>
      <c r="L12" s="15">
        <v>12.6</v>
      </c>
      <c r="M12" s="16">
        <v>5.1587301587301591</v>
      </c>
      <c r="N12" s="4"/>
      <c r="O12" s="15">
        <v>688.2</v>
      </c>
      <c r="P12" s="16">
        <v>10.524556814879396</v>
      </c>
    </row>
    <row r="13" spans="1:16" ht="12" customHeight="1">
      <c r="A13" s="14" t="s">
        <v>18</v>
      </c>
      <c r="B13" s="4"/>
      <c r="C13" s="15">
        <v>420.1</v>
      </c>
      <c r="D13" s="16">
        <v>11.130683170673649</v>
      </c>
      <c r="E13" s="4"/>
      <c r="F13" s="15">
        <v>175.3</v>
      </c>
      <c r="G13" s="16">
        <v>11.215059897318881</v>
      </c>
      <c r="H13" s="4"/>
      <c r="I13" s="41">
        <v>11.4</v>
      </c>
      <c r="J13" s="328" t="s">
        <v>316</v>
      </c>
      <c r="K13" s="4"/>
      <c r="L13" s="15">
        <v>10.9</v>
      </c>
      <c r="M13" s="16">
        <v>7.0642201834862384</v>
      </c>
      <c r="N13" s="4"/>
      <c r="O13" s="15">
        <v>617.70000000000005</v>
      </c>
      <c r="P13" s="16">
        <v>10.87744859964384</v>
      </c>
    </row>
    <row r="14" spans="1:16" ht="10.5" customHeight="1">
      <c r="A14" s="14" t="s">
        <v>19</v>
      </c>
      <c r="B14" s="4"/>
      <c r="C14" s="15">
        <v>367.6</v>
      </c>
      <c r="D14" s="16">
        <v>14.591947769314471</v>
      </c>
      <c r="E14" s="4"/>
      <c r="F14" s="15">
        <v>174.6</v>
      </c>
      <c r="G14" s="16">
        <v>11.580756013745704</v>
      </c>
      <c r="H14" s="4"/>
      <c r="I14" s="41">
        <v>8.3000000000000007</v>
      </c>
      <c r="J14" s="16">
        <v>1.6867469879518071</v>
      </c>
      <c r="K14" s="4"/>
      <c r="L14" s="15">
        <v>11</v>
      </c>
      <c r="M14" s="16">
        <v>6.9090909090909092</v>
      </c>
      <c r="N14" s="4"/>
      <c r="O14" s="15">
        <v>561.5</v>
      </c>
      <c r="P14" s="16">
        <v>13.314336598397151</v>
      </c>
    </row>
    <row r="15" spans="1:16" ht="3" customHeight="1">
      <c r="A15" s="14"/>
      <c r="B15" s="4"/>
      <c r="C15" s="15"/>
      <c r="D15" s="16"/>
      <c r="E15" s="4"/>
      <c r="F15" s="15"/>
      <c r="G15" s="16"/>
      <c r="H15" s="4"/>
      <c r="I15" s="41"/>
      <c r="J15" s="16"/>
      <c r="K15" s="4"/>
      <c r="L15" s="15"/>
      <c r="M15" s="16"/>
      <c r="N15" s="4"/>
      <c r="O15" s="15"/>
      <c r="P15" s="16"/>
    </row>
    <row r="16" spans="1:16" ht="10.5" customHeight="1">
      <c r="A16" s="14" t="s">
        <v>20</v>
      </c>
      <c r="B16" s="4"/>
      <c r="C16" s="15">
        <v>375.4</v>
      </c>
      <c r="D16" s="16">
        <v>14.350026638252531</v>
      </c>
      <c r="E16" s="4"/>
      <c r="F16" s="15">
        <v>172.9</v>
      </c>
      <c r="G16" s="16">
        <v>12.562174667437825</v>
      </c>
      <c r="H16" s="4"/>
      <c r="I16" s="41">
        <v>10.3</v>
      </c>
      <c r="J16" s="16">
        <v>3.5922330097087376</v>
      </c>
      <c r="K16" s="4"/>
      <c r="L16" s="15">
        <v>10.9</v>
      </c>
      <c r="M16" s="16">
        <v>9.2660550458715587</v>
      </c>
      <c r="N16" s="4"/>
      <c r="O16" s="15">
        <v>569.5</v>
      </c>
      <c r="P16" s="16">
        <v>13.515364354697105</v>
      </c>
    </row>
    <row r="17" spans="1:16" ht="10.5" customHeight="1">
      <c r="A17" s="14" t="s">
        <v>21</v>
      </c>
      <c r="B17" s="4"/>
      <c r="C17" s="15">
        <v>380.2</v>
      </c>
      <c r="D17" s="16">
        <v>16.333508679642293</v>
      </c>
      <c r="E17" s="4"/>
      <c r="F17" s="15">
        <v>172.6</v>
      </c>
      <c r="G17" s="16">
        <v>12.815758980301275</v>
      </c>
      <c r="H17" s="4"/>
      <c r="I17" s="41">
        <v>11.1</v>
      </c>
      <c r="J17" s="16">
        <v>5.4954954954954953</v>
      </c>
      <c r="K17" s="4"/>
      <c r="L17" s="15">
        <v>10.6</v>
      </c>
      <c r="M17" s="16">
        <v>6.4150943396226419</v>
      </c>
      <c r="N17" s="4"/>
      <c r="O17" s="15">
        <v>574.5</v>
      </c>
      <c r="P17" s="16">
        <v>14.884247171453438</v>
      </c>
    </row>
    <row r="18" spans="1:16" ht="10.5" customHeight="1">
      <c r="A18" s="14" t="s">
        <v>22</v>
      </c>
      <c r="B18" s="4"/>
      <c r="C18" s="15">
        <v>388.7</v>
      </c>
      <c r="D18" s="16">
        <v>16.971957808078209</v>
      </c>
      <c r="E18" s="4"/>
      <c r="F18" s="15">
        <v>177.6</v>
      </c>
      <c r="G18" s="16">
        <v>12.438063063063064</v>
      </c>
      <c r="H18" s="4"/>
      <c r="I18" s="41">
        <v>12</v>
      </c>
      <c r="J18" s="16">
        <v>6.583333333333333</v>
      </c>
      <c r="K18" s="4"/>
      <c r="L18" s="15">
        <v>10.4</v>
      </c>
      <c r="M18" s="16">
        <v>6.1538461538461533</v>
      </c>
      <c r="N18" s="4"/>
      <c r="O18" s="15">
        <v>588.70000000000005</v>
      </c>
      <c r="P18" s="16">
        <v>15.201290980125702</v>
      </c>
    </row>
    <row r="19" spans="1:16" ht="10.5" customHeight="1">
      <c r="A19" s="14" t="s">
        <v>23</v>
      </c>
      <c r="B19" s="4"/>
      <c r="C19" s="15">
        <v>399.5</v>
      </c>
      <c r="D19" s="16">
        <v>12.410513141426783</v>
      </c>
      <c r="E19" s="4"/>
      <c r="F19" s="15">
        <v>175.1</v>
      </c>
      <c r="G19" s="16">
        <v>15.288406624785837</v>
      </c>
      <c r="H19" s="4"/>
      <c r="I19" s="41">
        <v>13</v>
      </c>
      <c r="J19" s="16">
        <v>3.9230769230769229</v>
      </c>
      <c r="K19" s="4"/>
      <c r="L19" s="15">
        <v>10.199999999999999</v>
      </c>
      <c r="M19" s="16">
        <v>5.7843137254901968</v>
      </c>
      <c r="N19" s="4"/>
      <c r="O19" s="15">
        <v>597.79999999999995</v>
      </c>
      <c r="P19" s="16">
        <v>12.955838072934091</v>
      </c>
    </row>
    <row r="20" spans="1:16" ht="12" customHeight="1">
      <c r="A20" s="14" t="s">
        <v>24</v>
      </c>
      <c r="B20" s="4"/>
      <c r="C20" s="15">
        <v>420.9</v>
      </c>
      <c r="D20" s="16">
        <v>16.208125445473986</v>
      </c>
      <c r="E20" s="4"/>
      <c r="F20" s="15">
        <v>178.4</v>
      </c>
      <c r="G20" s="16">
        <v>5.3867713004484301</v>
      </c>
      <c r="H20" s="4"/>
      <c r="I20" s="41">
        <v>3.5</v>
      </c>
      <c r="J20" s="328" t="s">
        <v>317</v>
      </c>
      <c r="K20" s="4"/>
      <c r="L20" s="15">
        <v>9.9</v>
      </c>
      <c r="M20" s="16">
        <v>6.5656565656565657</v>
      </c>
      <c r="N20" s="4"/>
      <c r="O20" s="15">
        <v>612.70000000000005</v>
      </c>
      <c r="P20" s="16">
        <v>12.808878733474783</v>
      </c>
    </row>
    <row r="21" spans="1:16" ht="10.5" customHeight="1">
      <c r="A21" s="14" t="s">
        <v>25</v>
      </c>
      <c r="B21" s="4"/>
      <c r="C21" s="15">
        <v>444.4</v>
      </c>
      <c r="D21" s="16">
        <f>315*90/2000</f>
        <v>14.175000000000001</v>
      </c>
      <c r="E21" s="4"/>
      <c r="F21" s="15">
        <v>181.8</v>
      </c>
      <c r="G21" s="16">
        <f>371*75/2000</f>
        <v>13.9125</v>
      </c>
      <c r="H21" s="4"/>
      <c r="I21" s="41">
        <v>3.5</v>
      </c>
      <c r="J21" s="16">
        <f>9*85/2000</f>
        <v>0.38250000000000001</v>
      </c>
      <c r="K21" s="4"/>
      <c r="L21" s="15">
        <v>10.4</v>
      </c>
      <c r="M21" s="16">
        <f>229*75/2000</f>
        <v>8.5875000000000004</v>
      </c>
      <c r="N21" s="4"/>
      <c r="O21" s="15">
        <v>640.1</v>
      </c>
      <c r="P21" s="16">
        <f>8909/O21</f>
        <v>13.91813779097016</v>
      </c>
    </row>
    <row r="22" spans="1:16" ht="3" customHeight="1">
      <c r="A22" s="14"/>
      <c r="B22" s="4"/>
      <c r="C22" s="15"/>
      <c r="D22" s="16"/>
      <c r="E22" s="4"/>
      <c r="F22" s="15"/>
      <c r="G22" s="16"/>
      <c r="H22" s="4"/>
      <c r="I22" s="41"/>
      <c r="J22" s="16"/>
      <c r="K22" s="4"/>
      <c r="L22" s="15"/>
      <c r="M22" s="16"/>
      <c r="N22" s="4"/>
      <c r="O22" s="15"/>
      <c r="P22" s="16"/>
    </row>
    <row r="23" spans="1:16" ht="10.5" customHeight="1">
      <c r="A23" s="14" t="s">
        <v>26</v>
      </c>
      <c r="B23" s="4"/>
      <c r="C23" s="15">
        <v>489.2</v>
      </c>
      <c r="D23" s="16">
        <f>381*90/2000</f>
        <v>17.145</v>
      </c>
      <c r="E23" s="4"/>
      <c r="F23" s="15">
        <v>184</v>
      </c>
      <c r="G23" s="16">
        <f>363*75/2000</f>
        <v>13.612500000000001</v>
      </c>
      <c r="H23" s="4"/>
      <c r="I23" s="41">
        <v>4.42</v>
      </c>
      <c r="J23" s="16">
        <f>115*85/2000</f>
        <v>4.8875000000000002</v>
      </c>
      <c r="K23" s="4"/>
      <c r="L23" s="15">
        <v>10.6</v>
      </c>
      <c r="M23" s="16">
        <f>175*75/2000</f>
        <v>6.5625</v>
      </c>
      <c r="N23" s="4"/>
      <c r="O23" s="15">
        <v>688.2</v>
      </c>
      <c r="P23" s="16">
        <f>10992/O23</f>
        <v>15.972101133391455</v>
      </c>
    </row>
    <row r="24" spans="1:16" ht="10.5" customHeight="1">
      <c r="A24" s="14" t="s">
        <v>27</v>
      </c>
      <c r="B24" s="4"/>
      <c r="C24" s="15">
        <v>510.8</v>
      </c>
      <c r="D24" s="16">
        <f>341*90/2000</f>
        <v>15.345000000000001</v>
      </c>
      <c r="E24" s="4"/>
      <c r="F24" s="15">
        <v>185</v>
      </c>
      <c r="G24" s="16">
        <f>344*75/2000</f>
        <v>12.9</v>
      </c>
      <c r="H24" s="4"/>
      <c r="I24" s="41">
        <v>5.45</v>
      </c>
      <c r="J24" s="16">
        <f>101*85/2000</f>
        <v>4.2925000000000004</v>
      </c>
      <c r="K24" s="4"/>
      <c r="L24" s="15">
        <v>10.6</v>
      </c>
      <c r="M24" s="16">
        <f>179*75/2000</f>
        <v>6.7125000000000004</v>
      </c>
      <c r="N24" s="4"/>
      <c r="O24" s="15">
        <v>711.85</v>
      </c>
      <c r="P24" s="16">
        <f>10329/O24</f>
        <v>14.51007937065393</v>
      </c>
    </row>
    <row r="25" spans="1:16" ht="10.5" customHeight="1">
      <c r="A25" s="14" t="s">
        <v>28</v>
      </c>
      <c r="B25" s="4"/>
      <c r="C25" s="15">
        <v>562.79999999999995</v>
      </c>
      <c r="D25" s="16">
        <f>365*90/2000</f>
        <v>16.425000000000001</v>
      </c>
      <c r="E25" s="4"/>
      <c r="F25" s="15">
        <v>191</v>
      </c>
      <c r="G25" s="16">
        <f>293*75/2000</f>
        <v>10.987500000000001</v>
      </c>
      <c r="H25" s="4"/>
      <c r="I25" s="41">
        <v>6.97</v>
      </c>
      <c r="J25" s="16">
        <f>151*85/2000</f>
        <v>6.4175000000000004</v>
      </c>
      <c r="K25" s="4"/>
      <c r="L25" s="15">
        <v>10.4</v>
      </c>
      <c r="M25" s="16">
        <f>101*75/2000</f>
        <v>3.7875000000000001</v>
      </c>
      <c r="N25" s="4"/>
      <c r="O25" s="15">
        <v>771.17</v>
      </c>
      <c r="P25" s="16">
        <f>11432/O25</f>
        <v>14.824228120907193</v>
      </c>
    </row>
    <row r="26" spans="1:16" ht="10.5" customHeight="1">
      <c r="A26" s="18" t="s">
        <v>30</v>
      </c>
      <c r="B26" s="5"/>
      <c r="C26" s="19">
        <v>594.79999999999995</v>
      </c>
      <c r="D26" s="20">
        <f>342*90/2000</f>
        <v>15.39</v>
      </c>
      <c r="E26" s="5"/>
      <c r="F26" s="19">
        <v>196</v>
      </c>
      <c r="G26" s="20">
        <f>296*75/2000</f>
        <v>11.1</v>
      </c>
      <c r="H26" s="5"/>
      <c r="I26" s="329">
        <v>7.9</v>
      </c>
      <c r="J26" s="20">
        <f>120*85/2000</f>
        <v>5.0999999999999996</v>
      </c>
      <c r="K26" s="5"/>
      <c r="L26" s="19">
        <v>10.1</v>
      </c>
      <c r="M26" s="20">
        <f>163*75/2000</f>
        <v>6.1124999999999998</v>
      </c>
      <c r="N26" s="5"/>
      <c r="O26" s="19">
        <v>808.8</v>
      </c>
      <c r="P26" s="20">
        <f>11426/O26</f>
        <v>14.1271018793274</v>
      </c>
    </row>
    <row r="27" spans="1:16" ht="10.5" customHeight="1">
      <c r="A27" s="18" t="s">
        <v>31</v>
      </c>
      <c r="B27" s="5"/>
      <c r="C27" s="19">
        <v>624.9</v>
      </c>
      <c r="D27" s="20">
        <f>362*90/2000</f>
        <v>16.29</v>
      </c>
      <c r="E27" s="5"/>
      <c r="F27" s="19">
        <v>200</v>
      </c>
      <c r="G27" s="20">
        <f>320*75/2000</f>
        <v>12</v>
      </c>
      <c r="H27" s="5"/>
      <c r="I27" s="329">
        <v>8.6999999999999993</v>
      </c>
      <c r="J27" s="20">
        <f>163*85/2000</f>
        <v>6.9275000000000002</v>
      </c>
      <c r="K27" s="5"/>
      <c r="L27" s="19">
        <v>10</v>
      </c>
      <c r="M27" s="20">
        <f>140*75/2000</f>
        <v>5.25</v>
      </c>
      <c r="N27" s="5"/>
      <c r="O27" s="19">
        <v>843.6</v>
      </c>
      <c r="P27" s="20">
        <f>12692/O27</f>
        <v>15.045045045045045</v>
      </c>
    </row>
    <row r="28" spans="1:16" ht="10.5" customHeight="1">
      <c r="A28" s="18" t="s">
        <v>32</v>
      </c>
      <c r="B28" s="5"/>
      <c r="C28" s="19">
        <v>609.20000000000005</v>
      </c>
      <c r="D28" s="20">
        <f>401*90/2000</f>
        <v>18.045000000000002</v>
      </c>
      <c r="E28" s="5"/>
      <c r="F28" s="19">
        <v>202.2</v>
      </c>
      <c r="G28" s="20">
        <f>341*75/2000</f>
        <v>12.7875</v>
      </c>
      <c r="H28" s="5"/>
      <c r="I28" s="329">
        <v>9.5</v>
      </c>
      <c r="J28" s="20">
        <f>161*85/2000</f>
        <v>6.8425000000000002</v>
      </c>
      <c r="K28" s="5"/>
      <c r="L28" s="19">
        <v>9.1</v>
      </c>
      <c r="M28" s="20">
        <f>110*75/2000</f>
        <v>4.125</v>
      </c>
      <c r="N28" s="5"/>
      <c r="O28" s="19">
        <v>830</v>
      </c>
      <c r="P28" s="20">
        <f>13670/O28</f>
        <v>16.46987951807229</v>
      </c>
    </row>
    <row r="29" spans="1:16" ht="3" customHeight="1">
      <c r="A29" s="18"/>
      <c r="B29" s="5"/>
      <c r="C29" s="19"/>
      <c r="D29" s="20"/>
      <c r="E29" s="5"/>
      <c r="F29" s="19"/>
      <c r="G29" s="20"/>
      <c r="H29" s="5"/>
      <c r="I29" s="329"/>
      <c r="J29" s="20"/>
      <c r="K29" s="5"/>
      <c r="L29" s="19"/>
      <c r="M29" s="20"/>
      <c r="N29" s="5"/>
      <c r="O29" s="19"/>
      <c r="P29" s="20"/>
    </row>
    <row r="30" spans="1:16" ht="10.5" customHeight="1">
      <c r="A30" s="18" t="s">
        <v>33</v>
      </c>
      <c r="B30" s="5"/>
      <c r="C30" s="19">
        <v>612.6</v>
      </c>
      <c r="D30" s="20">
        <f>304*90/2000</f>
        <v>13.68</v>
      </c>
      <c r="E30" s="5"/>
      <c r="F30" s="19">
        <v>203.5</v>
      </c>
      <c r="G30" s="20">
        <f>177*75/2000</f>
        <v>6.6375000000000002</v>
      </c>
      <c r="H30" s="5"/>
      <c r="I30" s="329">
        <v>9.3000000000000007</v>
      </c>
      <c r="J30" s="20">
        <f>154*85/2000</f>
        <v>6.5449999999999999</v>
      </c>
      <c r="K30" s="5"/>
      <c r="L30" s="19">
        <v>6.9</v>
      </c>
      <c r="M30" s="20">
        <f>167*75/2000</f>
        <v>6.2625000000000002</v>
      </c>
      <c r="N30" s="5"/>
      <c r="O30" s="19">
        <v>832.3</v>
      </c>
      <c r="P30" s="20">
        <f>9824/O30</f>
        <v>11.803436260963595</v>
      </c>
    </row>
    <row r="31" spans="1:16" ht="10.5" customHeight="1">
      <c r="A31" s="22" t="s">
        <v>34</v>
      </c>
      <c r="B31" s="5"/>
      <c r="C31" s="19">
        <v>602.1</v>
      </c>
      <c r="D31" s="20">
        <f>387*90/2000</f>
        <v>17.414999999999999</v>
      </c>
      <c r="E31" s="5"/>
      <c r="F31" s="19">
        <v>199</v>
      </c>
      <c r="G31" s="20">
        <f>322*75/2000</f>
        <v>12.074999999999999</v>
      </c>
      <c r="H31" s="5"/>
      <c r="I31" s="329">
        <v>9.3000000000000007</v>
      </c>
      <c r="J31" s="20">
        <f>178*85/2000</f>
        <v>7.5650000000000004</v>
      </c>
      <c r="K31" s="5"/>
      <c r="L31" s="19">
        <v>6.2</v>
      </c>
      <c r="M31" s="20">
        <f>177*75/2000</f>
        <v>6.6375000000000002</v>
      </c>
      <c r="N31" s="5"/>
      <c r="O31" s="19">
        <v>816.6</v>
      </c>
      <c r="P31" s="20">
        <f>12997/O31</f>
        <v>15.91599314229733</v>
      </c>
    </row>
    <row r="32" spans="1:16" ht="10.5" customHeight="1">
      <c r="A32" s="22" t="s">
        <v>35</v>
      </c>
      <c r="B32" s="5"/>
      <c r="C32" s="19">
        <v>605</v>
      </c>
      <c r="D32" s="20">
        <f>369*90/2000</f>
        <v>16.605</v>
      </c>
      <c r="E32" s="5"/>
      <c r="F32" s="19">
        <v>198</v>
      </c>
      <c r="G32" s="20">
        <f>275*75/2000</f>
        <v>10.3125</v>
      </c>
      <c r="H32" s="5"/>
      <c r="I32" s="329">
        <v>9.3000000000000007</v>
      </c>
      <c r="J32" s="20">
        <f>240*85/2000</f>
        <v>10.199999999999999</v>
      </c>
      <c r="K32" s="5"/>
      <c r="L32" s="19">
        <v>6.4</v>
      </c>
      <c r="M32" s="20">
        <f>141*75/2000</f>
        <v>5.2874999999999996</v>
      </c>
      <c r="N32" s="5"/>
      <c r="O32" s="19">
        <v>818.7</v>
      </c>
      <c r="P32" s="20">
        <f>12221/O32</f>
        <v>14.927323806033955</v>
      </c>
    </row>
    <row r="33" spans="1:16" ht="10.5" customHeight="1">
      <c r="A33" s="18" t="s">
        <v>36</v>
      </c>
      <c r="B33" s="5"/>
      <c r="C33" s="19">
        <v>586.9</v>
      </c>
      <c r="D33" s="20">
        <f>392*90/2000</f>
        <v>17.64</v>
      </c>
      <c r="E33" s="5"/>
      <c r="F33" s="19">
        <v>195</v>
      </c>
      <c r="G33" s="20">
        <f>264*75/2000</f>
        <v>9.9</v>
      </c>
      <c r="H33" s="5"/>
      <c r="I33" s="329">
        <v>9.3000000000000007</v>
      </c>
      <c r="J33" s="20">
        <f>187*85/2000</f>
        <v>7.9474999999999998</v>
      </c>
      <c r="K33" s="5"/>
      <c r="L33" s="19">
        <v>6.4</v>
      </c>
      <c r="M33" s="20">
        <f>81*75/2000</f>
        <v>3.0375000000000001</v>
      </c>
      <c r="N33" s="5"/>
      <c r="O33" s="19">
        <v>797.6</v>
      </c>
      <c r="P33" s="20">
        <f>12374/O33</f>
        <v>15.514042126379136</v>
      </c>
    </row>
    <row r="34" spans="1:16" ht="10.5" customHeight="1">
      <c r="A34" s="22" t="s">
        <v>37</v>
      </c>
      <c r="B34" s="5"/>
      <c r="C34" s="19">
        <v>587.6</v>
      </c>
      <c r="D34" s="20">
        <f>345*90/2000</f>
        <v>15.525</v>
      </c>
      <c r="E34" s="5"/>
      <c r="F34" s="19">
        <v>198</v>
      </c>
      <c r="G34" s="20">
        <f>313*75/2000</f>
        <v>11.737500000000001</v>
      </c>
      <c r="H34" s="5"/>
      <c r="I34" s="329">
        <v>8.8000000000000007</v>
      </c>
      <c r="J34" s="20">
        <f>178*85/2000</f>
        <v>7.5650000000000004</v>
      </c>
      <c r="K34" s="5"/>
      <c r="L34" s="19">
        <v>5.6</v>
      </c>
      <c r="M34" s="20">
        <f>84*75/2000</f>
        <v>3.15</v>
      </c>
      <c r="N34" s="5"/>
      <c r="O34" s="19">
        <v>800</v>
      </c>
      <c r="P34" s="20">
        <f>11545/O34</f>
        <v>14.43125</v>
      </c>
    </row>
    <row r="35" spans="1:16" ht="10.5" customHeight="1">
      <c r="A35" s="18" t="s">
        <v>38</v>
      </c>
      <c r="B35" s="5"/>
      <c r="C35" s="19">
        <v>564.79999999999995</v>
      </c>
      <c r="D35" s="20">
        <f>428*90/2000</f>
        <v>19.260000000000002</v>
      </c>
      <c r="E35" s="5"/>
      <c r="F35" s="19">
        <v>193</v>
      </c>
      <c r="G35" s="20">
        <f>262*75/2000</f>
        <v>9.8249999999999993</v>
      </c>
      <c r="H35" s="5"/>
      <c r="I35" s="329">
        <v>8.8000000000000007</v>
      </c>
      <c r="J35" s="20">
        <f>188*85/2000</f>
        <v>7.99</v>
      </c>
      <c r="K35" s="5"/>
      <c r="L35" s="19">
        <v>4.9000000000000004</v>
      </c>
      <c r="M35" s="20">
        <f>96*75/2000</f>
        <v>3.6</v>
      </c>
      <c r="N35" s="5"/>
      <c r="O35" s="19">
        <v>771.5</v>
      </c>
      <c r="P35" s="20">
        <f>12872/O35</f>
        <v>16.684381075826312</v>
      </c>
    </row>
    <row r="36" spans="1:16" ht="4.5" customHeight="1">
      <c r="A36" s="22"/>
      <c r="B36" s="5"/>
      <c r="C36" s="19"/>
      <c r="D36" s="20"/>
      <c r="E36" s="5"/>
      <c r="F36" s="19"/>
      <c r="G36" s="20"/>
      <c r="H36" s="5"/>
      <c r="I36" s="329"/>
      <c r="J36" s="20"/>
      <c r="K36" s="5"/>
      <c r="L36" s="19"/>
      <c r="M36" s="20"/>
      <c r="N36" s="5"/>
      <c r="O36" s="19"/>
      <c r="P36" s="20"/>
    </row>
    <row r="37" spans="1:16" ht="10.5" customHeight="1">
      <c r="A37" s="18" t="s">
        <v>39</v>
      </c>
      <c r="B37" s="5"/>
      <c r="C37" s="19">
        <v>541.79999999999995</v>
      </c>
      <c r="D37" s="20">
        <f>276*90/2000</f>
        <v>12.42</v>
      </c>
      <c r="E37" s="5"/>
      <c r="F37" s="19">
        <v>191</v>
      </c>
      <c r="G37" s="20">
        <f>338*75/2000</f>
        <v>12.675000000000001</v>
      </c>
      <c r="H37" s="5"/>
      <c r="I37" s="329">
        <v>8.8000000000000007</v>
      </c>
      <c r="J37" s="20">
        <f>201*85/2000</f>
        <v>8.5425000000000004</v>
      </c>
      <c r="K37" s="5"/>
      <c r="L37" s="19">
        <v>4.2</v>
      </c>
      <c r="M37" s="20">
        <f>102*75/2000</f>
        <v>3.8250000000000002</v>
      </c>
      <c r="N37" s="5"/>
      <c r="O37" s="19">
        <v>745.8</v>
      </c>
      <c r="P37" s="20">
        <f>9251/O37</f>
        <v>12.404129793510325</v>
      </c>
    </row>
    <row r="38" spans="1:16" ht="10.5" customHeight="1">
      <c r="A38" s="18" t="s">
        <v>40</v>
      </c>
      <c r="B38" s="5"/>
      <c r="C38" s="19">
        <v>491</v>
      </c>
      <c r="D38" s="20">
        <f>301*90/2000</f>
        <v>13.545</v>
      </c>
      <c r="E38" s="5"/>
      <c r="F38" s="19">
        <v>190</v>
      </c>
      <c r="G38" s="20">
        <f>321*75/2000</f>
        <v>12.0375</v>
      </c>
      <c r="H38" s="5"/>
      <c r="I38" s="329">
        <v>8.8000000000000007</v>
      </c>
      <c r="J38" s="20">
        <f>182*85/2000</f>
        <v>7.7350000000000003</v>
      </c>
      <c r="K38" s="5"/>
      <c r="L38" s="19">
        <v>3.3</v>
      </c>
      <c r="M38" s="20">
        <f>136*75/2000</f>
        <v>5.0999999999999996</v>
      </c>
      <c r="N38" s="5"/>
      <c r="O38" s="19">
        <v>693.1</v>
      </c>
      <c r="P38" s="20">
        <f>9020/O38</f>
        <v>13.013995094502958</v>
      </c>
    </row>
    <row r="39" spans="1:16" ht="10.5" customHeight="1">
      <c r="A39" s="18" t="s">
        <v>41</v>
      </c>
      <c r="B39" s="5"/>
      <c r="C39" s="19">
        <v>475.9</v>
      </c>
      <c r="D39" s="20">
        <f>271*90/2000</f>
        <v>12.195</v>
      </c>
      <c r="E39" s="5"/>
      <c r="F39" s="19">
        <v>190</v>
      </c>
      <c r="G39" s="20">
        <f>242*75/2000</f>
        <v>9.0749999999999993</v>
      </c>
      <c r="H39" s="5"/>
      <c r="I39" s="329">
        <v>8.8000000000000007</v>
      </c>
      <c r="J39" s="20">
        <f>225*85/2000</f>
        <v>9.5625</v>
      </c>
      <c r="K39" s="5"/>
      <c r="L39" s="19">
        <v>2.6</v>
      </c>
      <c r="M39" s="20">
        <f>115*75/2000</f>
        <v>4.3125</v>
      </c>
      <c r="N39" s="5"/>
      <c r="O39" s="19">
        <v>677.3</v>
      </c>
      <c r="P39" s="20">
        <f>7625/O39</f>
        <v>11.257935922043409</v>
      </c>
    </row>
    <row r="40" spans="1:16" ht="10.5" customHeight="1">
      <c r="A40" s="18" t="s">
        <v>42</v>
      </c>
      <c r="B40" s="5"/>
      <c r="C40" s="19">
        <v>463.9</v>
      </c>
      <c r="D40" s="20">
        <f>367*90/2000</f>
        <v>16.515000000000001</v>
      </c>
      <c r="E40" s="5"/>
      <c r="F40" s="19">
        <v>188</v>
      </c>
      <c r="G40" s="20">
        <f>330*75/2000</f>
        <v>12.375</v>
      </c>
      <c r="H40" s="5"/>
      <c r="I40" s="329">
        <v>8.5</v>
      </c>
      <c r="J40" s="20">
        <f>211*85/2000</f>
        <v>8.9674999999999994</v>
      </c>
      <c r="K40" s="5"/>
      <c r="L40" s="19">
        <v>2.4</v>
      </c>
      <c r="M40" s="20">
        <f>158*75/2000</f>
        <v>5.9249999999999998</v>
      </c>
      <c r="N40" s="5"/>
      <c r="O40" s="19">
        <v>662.8</v>
      </c>
      <c r="P40" s="20">
        <f>10076/O40</f>
        <v>15.202172601086302</v>
      </c>
    </row>
    <row r="41" spans="1:16" ht="10.5" customHeight="1">
      <c r="A41" s="18" t="s">
        <v>43</v>
      </c>
      <c r="B41" s="5"/>
      <c r="C41" s="19">
        <v>459.1</v>
      </c>
      <c r="D41" s="20">
        <f>354*90/2000</f>
        <v>15.93</v>
      </c>
      <c r="E41" s="5"/>
      <c r="F41" s="19">
        <v>186</v>
      </c>
      <c r="G41" s="20">
        <f>250*75/2000</f>
        <v>9.375</v>
      </c>
      <c r="H41" s="5"/>
      <c r="I41" s="329">
        <v>8.5</v>
      </c>
      <c r="J41" s="20">
        <f>172*85/2000</f>
        <v>7.31</v>
      </c>
      <c r="K41" s="5"/>
      <c r="L41" s="19">
        <v>2.4</v>
      </c>
      <c r="M41" s="20">
        <f>104*75/2000</f>
        <v>3.9</v>
      </c>
      <c r="N41" s="5"/>
      <c r="O41" s="19">
        <v>656</v>
      </c>
      <c r="P41" s="20">
        <f>9128/O41</f>
        <v>13.914634146341463</v>
      </c>
    </row>
    <row r="42" spans="1:16" s="59" customFormat="1" ht="10.5" customHeight="1">
      <c r="A42" s="18" t="s">
        <v>44</v>
      </c>
      <c r="B42" s="5"/>
      <c r="C42" s="19">
        <v>451</v>
      </c>
      <c r="D42" s="20">
        <f>296*90/2000</f>
        <v>13.32</v>
      </c>
      <c r="E42" s="5"/>
      <c r="F42" s="19">
        <v>183</v>
      </c>
      <c r="G42" s="20">
        <f>314*75/2000</f>
        <v>11.775</v>
      </c>
      <c r="H42" s="5"/>
      <c r="I42" s="329">
        <v>8</v>
      </c>
      <c r="J42" s="20">
        <f>204*85/2000</f>
        <v>8.67</v>
      </c>
      <c r="K42" s="5"/>
      <c r="L42" s="330" t="s">
        <v>90</v>
      </c>
      <c r="M42" s="330" t="s">
        <v>90</v>
      </c>
      <c r="N42" s="5"/>
      <c r="O42" s="19">
        <v>642</v>
      </c>
      <c r="P42" s="20">
        <f>8243/O42</f>
        <v>12.839563862928349</v>
      </c>
    </row>
    <row r="43" spans="1:16" ht="10.5" customHeight="1">
      <c r="A43" s="18" t="s">
        <v>46</v>
      </c>
      <c r="B43" s="5"/>
      <c r="C43" s="19">
        <v>440</v>
      </c>
      <c r="D43" s="20">
        <f>319*90/2000</f>
        <v>14.355</v>
      </c>
      <c r="E43" s="5"/>
      <c r="F43" s="19">
        <v>180</v>
      </c>
      <c r="G43" s="20">
        <f>347*80/2000</f>
        <v>13.88</v>
      </c>
      <c r="H43" s="5"/>
      <c r="I43" s="329">
        <v>8</v>
      </c>
      <c r="J43" s="20">
        <f>244*85/2000</f>
        <v>10.37</v>
      </c>
      <c r="K43" s="5"/>
      <c r="L43" s="330" t="s">
        <v>90</v>
      </c>
      <c r="M43" s="330" t="s">
        <v>90</v>
      </c>
      <c r="N43" s="5"/>
      <c r="O43" s="19">
        <v>628</v>
      </c>
      <c r="P43" s="20">
        <f>8905/O43</f>
        <v>14.179936305732484</v>
      </c>
    </row>
    <row r="44" spans="1:16" ht="3" customHeight="1">
      <c r="A44" s="18"/>
      <c r="B44" s="5"/>
      <c r="C44" s="19"/>
      <c r="D44" s="20"/>
      <c r="E44" s="5"/>
      <c r="F44" s="19"/>
      <c r="G44" s="20"/>
      <c r="H44" s="5"/>
      <c r="I44" s="329"/>
      <c r="J44" s="20"/>
      <c r="K44" s="5"/>
      <c r="L44" s="330"/>
      <c r="M44" s="330"/>
      <c r="N44" s="5"/>
      <c r="O44" s="19"/>
      <c r="P44" s="20"/>
    </row>
    <row r="45" spans="1:16" ht="10.5" customHeight="1">
      <c r="A45" s="18" t="s">
        <v>47</v>
      </c>
      <c r="B45" s="5"/>
      <c r="C45" s="19">
        <v>433.4</v>
      </c>
      <c r="D45" s="20">
        <f>338*90/2000</f>
        <v>15.21</v>
      </c>
      <c r="E45" s="5"/>
      <c r="F45" s="19">
        <v>177</v>
      </c>
      <c r="G45" s="20">
        <f>328*80/2000</f>
        <v>13.12</v>
      </c>
      <c r="H45" s="5"/>
      <c r="I45" s="329">
        <v>8</v>
      </c>
      <c r="J45" s="20">
        <f>177*85/2000</f>
        <v>7.5225</v>
      </c>
      <c r="K45" s="5"/>
      <c r="L45" s="330" t="s">
        <v>90</v>
      </c>
      <c r="M45" s="330" t="s">
        <v>90</v>
      </c>
      <c r="N45" s="5"/>
      <c r="O45" s="19">
        <v>618.4</v>
      </c>
      <c r="P45" s="20">
        <f>8982/O45</f>
        <v>14.524579560155241</v>
      </c>
    </row>
    <row r="46" spans="1:16" ht="10.5" customHeight="1">
      <c r="A46" s="18" t="s">
        <v>48</v>
      </c>
      <c r="B46" s="5"/>
      <c r="C46" s="19">
        <v>429.2</v>
      </c>
      <c r="D46" s="20">
        <f>311*90/2000</f>
        <v>13.994999999999999</v>
      </c>
      <c r="E46" s="5"/>
      <c r="F46" s="19">
        <v>171</v>
      </c>
      <c r="G46" s="20">
        <f>319*80/2000</f>
        <v>12.76</v>
      </c>
      <c r="H46" s="5"/>
      <c r="I46" s="329">
        <v>7</v>
      </c>
      <c r="J46" s="20">
        <f>256*85/2000</f>
        <v>10.88</v>
      </c>
      <c r="K46" s="5"/>
      <c r="L46" s="330" t="s">
        <v>90</v>
      </c>
      <c r="M46" s="330" t="s">
        <v>90</v>
      </c>
      <c r="N46" s="5"/>
      <c r="O46" s="19">
        <v>607.20000000000005</v>
      </c>
      <c r="P46" s="20">
        <f>8269/O46</f>
        <v>13.61824769433465</v>
      </c>
    </row>
    <row r="47" spans="1:16" ht="10.5" customHeight="1">
      <c r="A47" s="18" t="s">
        <v>51</v>
      </c>
      <c r="B47" s="5"/>
      <c r="C47" s="19">
        <v>418.7</v>
      </c>
      <c r="D47" s="20">
        <f>250*90/2000</f>
        <v>11.25</v>
      </c>
      <c r="E47" s="5"/>
      <c r="F47" s="19">
        <v>166</v>
      </c>
      <c r="G47" s="20">
        <f>298*80/2000</f>
        <v>11.92</v>
      </c>
      <c r="H47" s="5"/>
      <c r="I47" s="329">
        <v>7.1</v>
      </c>
      <c r="J47" s="20">
        <f>250*85/2000</f>
        <v>10.625</v>
      </c>
      <c r="K47" s="5"/>
      <c r="L47" s="330" t="s">
        <v>90</v>
      </c>
      <c r="M47" s="330" t="s">
        <v>90</v>
      </c>
      <c r="N47" s="5"/>
      <c r="O47" s="19">
        <v>591.79999999999995</v>
      </c>
      <c r="P47" s="20">
        <f>6768/O47</f>
        <v>11.436296045961475</v>
      </c>
    </row>
    <row r="48" spans="1:16" ht="10.5" customHeight="1">
      <c r="A48" s="18" t="s">
        <v>52</v>
      </c>
      <c r="B48" s="5"/>
      <c r="C48" s="19">
        <v>405.5</v>
      </c>
      <c r="D48" s="20">
        <f>239*90/2000</f>
        <v>10.755000000000001</v>
      </c>
      <c r="E48" s="5"/>
      <c r="F48" s="19">
        <v>163</v>
      </c>
      <c r="G48" s="20">
        <f>296*80/2000</f>
        <v>11.84</v>
      </c>
      <c r="H48" s="5"/>
      <c r="I48" s="329">
        <v>7.4</v>
      </c>
      <c r="J48" s="20">
        <f>196*85/2000</f>
        <v>8.33</v>
      </c>
      <c r="K48" s="5"/>
      <c r="L48" s="330" t="s">
        <v>90</v>
      </c>
      <c r="M48" s="330" t="s">
        <v>90</v>
      </c>
      <c r="N48" s="5"/>
      <c r="O48" s="19">
        <v>575.9</v>
      </c>
      <c r="P48" s="26">
        <f>6353/O48</f>
        <v>11.031429067546449</v>
      </c>
    </row>
    <row r="49" spans="1:16" ht="10.5" customHeight="1">
      <c r="A49" s="18" t="s">
        <v>291</v>
      </c>
      <c r="B49" s="5"/>
      <c r="C49" s="19">
        <v>387</v>
      </c>
      <c r="D49" s="20">
        <f>211*90/2000</f>
        <v>9.4949999999999992</v>
      </c>
      <c r="E49" s="5"/>
      <c r="F49" s="19">
        <v>157</v>
      </c>
      <c r="G49" s="20">
        <f>373*80/2000</f>
        <v>14.92</v>
      </c>
      <c r="H49" s="5"/>
      <c r="I49" s="329">
        <v>7.4</v>
      </c>
      <c r="J49" s="20">
        <f>229*85/2000</f>
        <v>9.7324999999999999</v>
      </c>
      <c r="K49" s="5"/>
      <c r="L49" s="330" t="s">
        <v>90</v>
      </c>
      <c r="M49" s="330" t="s">
        <v>90</v>
      </c>
      <c r="N49" s="5"/>
      <c r="O49" s="19">
        <v>551.4</v>
      </c>
      <c r="P49" s="26">
        <f>6088/O49</f>
        <v>11.040986579615524</v>
      </c>
    </row>
    <row r="50" spans="1:16" ht="10.5" customHeight="1">
      <c r="A50" s="18" t="s">
        <v>298</v>
      </c>
      <c r="B50" s="5"/>
      <c r="C50" s="19">
        <v>367.5</v>
      </c>
      <c r="D50" s="20">
        <f>187*90/2000</f>
        <v>8.4149999999999991</v>
      </c>
      <c r="E50" s="5"/>
      <c r="F50" s="19">
        <v>152</v>
      </c>
      <c r="G50" s="20">
        <f>318*80/2000</f>
        <v>12.72</v>
      </c>
      <c r="H50" s="5"/>
      <c r="I50" s="329">
        <v>8</v>
      </c>
      <c r="J50" s="20">
        <f>171*85/2000</f>
        <v>7.2675000000000001</v>
      </c>
      <c r="K50" s="5"/>
      <c r="L50" s="330" t="s">
        <v>90</v>
      </c>
      <c r="M50" s="330" t="s">
        <v>90</v>
      </c>
      <c r="N50" s="5"/>
      <c r="O50" s="19">
        <v>527.5</v>
      </c>
      <c r="P50" s="26">
        <f>5088/O50</f>
        <v>9.6454976303317537</v>
      </c>
    </row>
    <row r="51" spans="1:16" ht="10.5" customHeight="1">
      <c r="A51" s="18" t="s">
        <v>312</v>
      </c>
      <c r="B51" s="5"/>
      <c r="C51" s="19">
        <v>361.8</v>
      </c>
      <c r="D51" s="20">
        <f>125*90/2000</f>
        <v>5.625</v>
      </c>
      <c r="E51" s="5"/>
      <c r="F51" s="19">
        <v>147</v>
      </c>
      <c r="G51" s="20">
        <f>301*80/2000</f>
        <v>12.04</v>
      </c>
      <c r="H51" s="5"/>
      <c r="I51" s="329">
        <v>8.6999999999999993</v>
      </c>
      <c r="J51" s="20">
        <f>216*85/2000</f>
        <v>9.18</v>
      </c>
      <c r="K51" s="5"/>
      <c r="L51" s="330" t="s">
        <v>90</v>
      </c>
      <c r="M51" s="330" t="s">
        <v>90</v>
      </c>
      <c r="N51" s="5"/>
      <c r="O51" s="19">
        <v>517.5</v>
      </c>
      <c r="P51" s="26">
        <f>3875/O51</f>
        <v>7.4879227053140101</v>
      </c>
    </row>
    <row r="52" spans="1:16" ht="10.5" customHeight="1">
      <c r="A52" s="140" t="s">
        <v>319</v>
      </c>
      <c r="B52" s="2"/>
      <c r="C52" s="331">
        <v>354.1</v>
      </c>
      <c r="D52" s="332">
        <f>203*90/2000</f>
        <v>9.1349999999999998</v>
      </c>
      <c r="E52" s="2"/>
      <c r="F52" s="331">
        <v>147</v>
      </c>
      <c r="G52" s="332">
        <f>339*80/2000</f>
        <v>13.56</v>
      </c>
      <c r="H52" s="2"/>
      <c r="I52" s="333">
        <v>8.8000000000000007</v>
      </c>
      <c r="J52" s="332">
        <f>284*85/2000</f>
        <v>12.07</v>
      </c>
      <c r="K52" s="2"/>
      <c r="L52" s="334" t="s">
        <v>90</v>
      </c>
      <c r="M52" s="334" t="s">
        <v>90</v>
      </c>
      <c r="N52" s="2"/>
      <c r="O52" s="331">
        <v>509.9</v>
      </c>
      <c r="P52" s="32">
        <f>5927/O52</f>
        <v>11.623847813296726</v>
      </c>
    </row>
    <row r="53" spans="1:16">
      <c r="A53" s="95" t="s">
        <v>109</v>
      </c>
      <c r="B53" s="5"/>
      <c r="C53" s="19"/>
      <c r="D53" s="20"/>
      <c r="E53" s="5"/>
      <c r="F53" s="19"/>
      <c r="G53" s="20"/>
      <c r="H53" s="5"/>
      <c r="I53" s="329"/>
      <c r="J53" s="20"/>
      <c r="K53" s="5"/>
      <c r="L53" s="335"/>
      <c r="M53" s="335"/>
      <c r="N53" s="5"/>
      <c r="O53" s="19"/>
      <c r="P53" s="20"/>
    </row>
    <row r="54" spans="1:16">
      <c r="A54" s="97" t="s">
        <v>214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>
      <c r="A55" s="39" t="s">
        <v>318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1"/>
      <c r="P55" s="4"/>
    </row>
    <row r="56" spans="1:16">
      <c r="A56" s="39" t="s">
        <v>127</v>
      </c>
      <c r="O56" s="42"/>
    </row>
  </sheetData>
  <pageMargins left="0.66700000000000004" right="0.66700000000000004" top="0.66700000000000004" bottom="0.72" header="0" footer="0"/>
  <pageSetup firstPageNumber="89" orientation="portrait" useFirstPageNumber="1" r:id="rId1"/>
  <headerFooter alignWithMargins="0"/>
  <ignoredErrors>
    <ignoredError sqref="C6 F6 I6 L6 O6 J13 J20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4"/>
  <sheetViews>
    <sheetView showGridLines="0" view="pageBreakPreview" zoomScale="60" zoomScaleNormal="100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D72" sqref="D72"/>
    </sheetView>
  </sheetViews>
  <sheetFormatPr defaultColWidth="9.7109375" defaultRowHeight="12"/>
  <cols>
    <col min="1" max="1" width="10.85546875" customWidth="1"/>
    <col min="2" max="6" width="18.140625" customWidth="1"/>
    <col min="7" max="7" width="12" bestFit="1" customWidth="1"/>
  </cols>
  <sheetData>
    <row r="1" spans="1:6">
      <c r="A1" s="160" t="s">
        <v>215</v>
      </c>
      <c r="B1" s="3"/>
      <c r="C1" s="3"/>
      <c r="D1" s="3"/>
      <c r="E1" s="3"/>
      <c r="F1" s="3"/>
    </row>
    <row r="2" spans="1:6">
      <c r="A2" s="1" t="s">
        <v>57</v>
      </c>
      <c r="B2" s="9" t="s">
        <v>1</v>
      </c>
      <c r="C2" s="9" t="s">
        <v>2</v>
      </c>
      <c r="D2" s="9" t="s">
        <v>3</v>
      </c>
      <c r="E2" s="9" t="s">
        <v>4</v>
      </c>
      <c r="F2" s="104" t="s">
        <v>58</v>
      </c>
    </row>
    <row r="3" spans="1:6" ht="3.95" customHeight="1">
      <c r="A3" s="18"/>
      <c r="B3" s="10"/>
      <c r="C3" s="10"/>
      <c r="D3" s="10"/>
      <c r="E3" s="10"/>
      <c r="F3" s="105"/>
    </row>
    <row r="4" spans="1:6">
      <c r="A4" s="4"/>
      <c r="B4" s="46" t="s">
        <v>59</v>
      </c>
      <c r="C4" s="47"/>
      <c r="D4" s="47"/>
      <c r="E4" s="47"/>
      <c r="F4" s="47"/>
    </row>
    <row r="5" spans="1:6" ht="3" customHeight="1">
      <c r="A5" s="4"/>
      <c r="B5" s="4"/>
      <c r="C5" s="4"/>
      <c r="D5" s="4"/>
      <c r="E5" s="4"/>
      <c r="F5" s="4"/>
    </row>
    <row r="6" spans="1:6" ht="10.5" customHeight="1">
      <c r="A6" s="14" t="s">
        <v>60</v>
      </c>
      <c r="B6" s="49">
        <v>7758</v>
      </c>
      <c r="C6" s="49">
        <v>2446.875</v>
      </c>
      <c r="D6" s="50">
        <v>184.02500000000001</v>
      </c>
      <c r="E6" s="50">
        <v>97.5</v>
      </c>
      <c r="F6" s="49">
        <v>10487</v>
      </c>
    </row>
    <row r="7" spans="1:6" ht="10.5" customHeight="1">
      <c r="A7" s="14" t="s">
        <v>61</v>
      </c>
      <c r="B7" s="49">
        <v>5661</v>
      </c>
      <c r="C7" s="49">
        <v>1572</v>
      </c>
      <c r="D7" s="50">
        <v>252.45</v>
      </c>
      <c r="E7" s="50">
        <v>115</v>
      </c>
      <c r="F7" s="49">
        <v>7600.45</v>
      </c>
    </row>
    <row r="8" spans="1:6" ht="10.5" customHeight="1">
      <c r="A8" s="14" t="s">
        <v>62</v>
      </c>
      <c r="B8" s="49">
        <v>6282</v>
      </c>
      <c r="C8" s="49">
        <v>2853.75</v>
      </c>
      <c r="D8" s="50">
        <v>241.4</v>
      </c>
      <c r="E8" s="50">
        <v>142</v>
      </c>
      <c r="F8" s="49">
        <v>9519.15</v>
      </c>
    </row>
    <row r="9" spans="1:6" ht="10.5" customHeight="1">
      <c r="A9" s="14" t="s">
        <v>63</v>
      </c>
      <c r="B9" s="49">
        <v>5252</v>
      </c>
      <c r="C9" s="49">
        <v>1819</v>
      </c>
      <c r="D9" s="50">
        <v>107</v>
      </c>
      <c r="E9" s="50">
        <v>65</v>
      </c>
      <c r="F9" s="49">
        <v>7243</v>
      </c>
    </row>
    <row r="10" spans="1:6" ht="12.95" customHeight="1">
      <c r="A10" s="14" t="s">
        <v>64</v>
      </c>
      <c r="B10" s="49">
        <v>4675.5</v>
      </c>
      <c r="C10" s="49">
        <v>1966</v>
      </c>
      <c r="D10" s="45" t="s">
        <v>216</v>
      </c>
      <c r="E10" s="50">
        <v>77</v>
      </c>
      <c r="F10" s="49">
        <v>6718.5</v>
      </c>
    </row>
    <row r="11" spans="1:6" ht="10.5" customHeight="1">
      <c r="A11" s="14" t="s">
        <v>65</v>
      </c>
      <c r="B11" s="49">
        <v>5364</v>
      </c>
      <c r="C11" s="49">
        <v>2022</v>
      </c>
      <c r="D11" s="50">
        <v>14</v>
      </c>
      <c r="E11" s="50">
        <v>76</v>
      </c>
      <c r="F11" s="49">
        <v>7476</v>
      </c>
    </row>
    <row r="12" spans="1:6" ht="3" customHeight="1">
      <c r="A12" s="14"/>
      <c r="B12" s="49"/>
      <c r="C12" s="49"/>
      <c r="D12" s="50"/>
      <c r="E12" s="50"/>
      <c r="F12" s="49"/>
    </row>
    <row r="13" spans="1:6" ht="10.5" customHeight="1">
      <c r="A13" s="14" t="s">
        <v>66</v>
      </c>
      <c r="B13" s="49">
        <v>5387</v>
      </c>
      <c r="C13" s="49">
        <v>2172</v>
      </c>
      <c r="D13" s="50">
        <v>37</v>
      </c>
      <c r="E13" s="50">
        <v>101</v>
      </c>
      <c r="F13" s="49">
        <v>7697</v>
      </c>
    </row>
    <row r="14" spans="1:6" ht="10.5" customHeight="1">
      <c r="A14" s="14" t="s">
        <v>200</v>
      </c>
      <c r="B14" s="49">
        <v>6210</v>
      </c>
      <c r="C14" s="49">
        <v>2212</v>
      </c>
      <c r="D14" s="50">
        <v>60.774999999999999</v>
      </c>
      <c r="E14" s="50">
        <v>67.875</v>
      </c>
      <c r="F14" s="49">
        <v>8550.65</v>
      </c>
    </row>
    <row r="15" spans="1:6" ht="10.5" customHeight="1">
      <c r="A15" s="14" t="s">
        <v>68</v>
      </c>
      <c r="B15" s="49">
        <v>6597</v>
      </c>
      <c r="C15" s="49">
        <v>2209</v>
      </c>
      <c r="D15" s="50">
        <v>79</v>
      </c>
      <c r="E15" s="50">
        <v>64</v>
      </c>
      <c r="F15" s="49">
        <v>8949</v>
      </c>
    </row>
    <row r="16" spans="1:6" ht="10.5" customHeight="1">
      <c r="A16" s="14" t="s">
        <v>201</v>
      </c>
      <c r="B16" s="49">
        <v>4958</v>
      </c>
      <c r="C16" s="49">
        <v>2677</v>
      </c>
      <c r="D16" s="50">
        <v>51</v>
      </c>
      <c r="E16" s="50">
        <v>59</v>
      </c>
      <c r="F16" s="49">
        <v>7745</v>
      </c>
    </row>
    <row r="17" spans="1:6" ht="12.95" customHeight="1">
      <c r="A17" s="14" t="s">
        <v>202</v>
      </c>
      <c r="B17" s="49">
        <v>6822</v>
      </c>
      <c r="C17" s="49">
        <v>961</v>
      </c>
      <c r="D17" s="45" t="s">
        <v>217</v>
      </c>
      <c r="E17" s="50">
        <v>65</v>
      </c>
      <c r="F17" s="49">
        <v>7848</v>
      </c>
    </row>
    <row r="18" spans="1:6" ht="10.5" customHeight="1">
      <c r="A18" s="14" t="s">
        <v>71</v>
      </c>
      <c r="B18" s="49">
        <f>139800*90/2000</f>
        <v>6291</v>
      </c>
      <c r="C18" s="49">
        <f>67400*75/2000</f>
        <v>2527.5</v>
      </c>
      <c r="D18" s="50">
        <f>30*85/2000</f>
        <v>1.2749999999999999</v>
      </c>
      <c r="E18" s="50">
        <f>2380*75/2000</f>
        <v>89.25</v>
      </c>
      <c r="F18" s="49">
        <v>8909.0249999999996</v>
      </c>
    </row>
    <row r="19" spans="1:6" ht="3" customHeight="1">
      <c r="A19" s="14"/>
      <c r="B19" s="49"/>
      <c r="C19" s="49"/>
      <c r="D19" s="50"/>
      <c r="E19" s="50"/>
      <c r="F19" s="49"/>
    </row>
    <row r="20" spans="1:6" ht="10.5" customHeight="1">
      <c r="A20" s="14" t="s">
        <v>72</v>
      </c>
      <c r="B20" s="49">
        <f>186600*90/2000</f>
        <v>8397</v>
      </c>
      <c r="C20" s="49">
        <f>66800*75/2000</f>
        <v>2505</v>
      </c>
      <c r="D20" s="50">
        <f>510*85/2000</f>
        <v>21.675000000000001</v>
      </c>
      <c r="E20" s="50">
        <f>1850*75/2000</f>
        <v>69.375</v>
      </c>
      <c r="F20" s="49">
        <v>10992</v>
      </c>
    </row>
    <row r="21" spans="1:6" ht="10.5" customHeight="1">
      <c r="A21" s="14" t="s">
        <v>73</v>
      </c>
      <c r="B21" s="49">
        <f>174400*90/2000</f>
        <v>7848</v>
      </c>
      <c r="C21" s="49">
        <f>63600*75/2000</f>
        <v>2385</v>
      </c>
      <c r="D21" s="50">
        <f>550*85/2000</f>
        <v>23.375</v>
      </c>
      <c r="E21" s="50">
        <f>1900*75/2000</f>
        <v>71.25</v>
      </c>
      <c r="F21" s="49">
        <v>10329</v>
      </c>
    </row>
    <row r="22" spans="1:6" ht="10.5" customHeight="1">
      <c r="A22" s="14" t="s">
        <v>74</v>
      </c>
      <c r="B22" s="49">
        <f>205500*90/2000</f>
        <v>9247.5</v>
      </c>
      <c r="C22" s="49">
        <f>56000*75/2000</f>
        <v>2100</v>
      </c>
      <c r="D22" s="50">
        <f>1055*85/2000</f>
        <v>44.837499999999999</v>
      </c>
      <c r="E22" s="50">
        <f>1050*75/2000</f>
        <v>39.375</v>
      </c>
      <c r="F22" s="49">
        <v>11432</v>
      </c>
    </row>
    <row r="23" spans="1:6" ht="10.5" customHeight="1">
      <c r="A23" s="18" t="s">
        <v>75</v>
      </c>
      <c r="B23" s="53">
        <f>203300*90/2000</f>
        <v>9148.5</v>
      </c>
      <c r="C23" s="53">
        <f>58000*75/2000</f>
        <v>2175</v>
      </c>
      <c r="D23" s="54">
        <f>940*85/2000</f>
        <v>39.950000000000003</v>
      </c>
      <c r="E23" s="54">
        <f>1650*75/2000</f>
        <v>61.875</v>
      </c>
      <c r="F23" s="53">
        <v>11426</v>
      </c>
    </row>
    <row r="24" spans="1:6" ht="10.5" customHeight="1">
      <c r="A24" s="22" t="s">
        <v>76</v>
      </c>
      <c r="B24" s="53">
        <f>226200*90/2000</f>
        <v>10179</v>
      </c>
      <c r="C24" s="53">
        <f>64000*75/2000</f>
        <v>2400</v>
      </c>
      <c r="D24" s="54">
        <f>1420*85/2000</f>
        <v>60.35</v>
      </c>
      <c r="E24" s="54">
        <f>1400*75/2000</f>
        <v>52.5</v>
      </c>
      <c r="F24" s="53">
        <v>12692</v>
      </c>
    </row>
    <row r="25" spans="1:6" ht="10.5" customHeight="1">
      <c r="A25" s="22" t="s">
        <v>77</v>
      </c>
      <c r="B25" s="53">
        <f>244000*90/2000</f>
        <v>10980</v>
      </c>
      <c r="C25" s="53">
        <f>69000*75/2000</f>
        <v>2587.5</v>
      </c>
      <c r="D25" s="54">
        <f>1525*85/2000</f>
        <v>64.8125</v>
      </c>
      <c r="E25" s="54">
        <f>1000*75/2000</f>
        <v>37.5</v>
      </c>
      <c r="F25" s="53">
        <v>13670</v>
      </c>
    </row>
    <row r="26" spans="1:6" ht="3" customHeight="1">
      <c r="A26" s="22"/>
      <c r="B26" s="53"/>
      <c r="C26" s="53"/>
      <c r="D26" s="54"/>
      <c r="E26" s="54"/>
      <c r="F26" s="53"/>
    </row>
    <row r="27" spans="1:6" ht="10.5" customHeight="1">
      <c r="A27" s="22" t="s">
        <v>78</v>
      </c>
      <c r="B27" s="53">
        <f>186000*90/2000</f>
        <v>8370</v>
      </c>
      <c r="C27" s="53">
        <f>36000*75/2000</f>
        <v>1350</v>
      </c>
      <c r="D27" s="54">
        <f>1430*85/2000</f>
        <v>60.774999999999999</v>
      </c>
      <c r="E27" s="54">
        <f>1150*75/2000</f>
        <v>43.125</v>
      </c>
      <c r="F27" s="53">
        <v>9824</v>
      </c>
    </row>
    <row r="28" spans="1:6" ht="10.5" customHeight="1">
      <c r="A28" s="22" t="s">
        <v>79</v>
      </c>
      <c r="B28" s="53">
        <f>233000*90/2000</f>
        <v>10485</v>
      </c>
      <c r="C28" s="53">
        <f>64000*75/2000</f>
        <v>2400</v>
      </c>
      <c r="D28" s="54">
        <f>1660*85/2000</f>
        <v>70.55</v>
      </c>
      <c r="E28" s="54">
        <f>1100*75/2000</f>
        <v>41.25</v>
      </c>
      <c r="F28" s="53">
        <v>12997</v>
      </c>
    </row>
    <row r="29" spans="1:6" ht="10.5" customHeight="1">
      <c r="A29" s="22" t="s">
        <v>80</v>
      </c>
      <c r="B29" s="53">
        <f>223300*90/2000</f>
        <v>10048.5</v>
      </c>
      <c r="C29" s="53">
        <f>54500*75/2000</f>
        <v>2043.75</v>
      </c>
      <c r="D29" s="54">
        <f>2235*85/2000</f>
        <v>94.987499999999997</v>
      </c>
      <c r="E29" s="54">
        <f>900*75/2000</f>
        <v>33.75</v>
      </c>
      <c r="F29" s="53">
        <v>12221</v>
      </c>
    </row>
    <row r="30" spans="1:6" ht="10.5" customHeight="1">
      <c r="A30" s="22" t="s">
        <v>81</v>
      </c>
      <c r="B30" s="53">
        <f>230000*90/2000</f>
        <v>10350</v>
      </c>
      <c r="C30" s="53">
        <f>51500*75/2000</f>
        <v>1931.25</v>
      </c>
      <c r="D30" s="54">
        <f>1740*85/2000</f>
        <v>73.95</v>
      </c>
      <c r="E30" s="54">
        <f>520*85/2000</f>
        <v>22.1</v>
      </c>
      <c r="F30" s="53">
        <v>12374</v>
      </c>
    </row>
    <row r="31" spans="1:6" ht="10.5" customHeight="1">
      <c r="A31" s="22" t="s">
        <v>82</v>
      </c>
      <c r="B31" s="53">
        <f>203000*90/2000</f>
        <v>9135</v>
      </c>
      <c r="C31" s="53">
        <f>62000*75/2000</f>
        <v>2325</v>
      </c>
      <c r="D31" s="54">
        <f>1570*85/2000</f>
        <v>66.724999999999994</v>
      </c>
      <c r="E31" s="54">
        <f>470*75/2000</f>
        <v>17.625</v>
      </c>
      <c r="F31" s="53">
        <v>11545</v>
      </c>
    </row>
    <row r="32" spans="1:6" ht="10.5" customHeight="1">
      <c r="A32" s="18" t="s">
        <v>83</v>
      </c>
      <c r="B32" s="53">
        <f>242000*90/2000</f>
        <v>10890</v>
      </c>
      <c r="C32" s="53">
        <f>50500*75/2000</f>
        <v>1893.75</v>
      </c>
      <c r="D32" s="54">
        <f>1650*85/2000</f>
        <v>70.125</v>
      </c>
      <c r="E32" s="54">
        <f>470*75/2000</f>
        <v>17.625</v>
      </c>
      <c r="F32" s="53">
        <v>12872</v>
      </c>
    </row>
    <row r="33" spans="1:7" ht="5.25" customHeight="1">
      <c r="A33" s="22"/>
      <c r="B33" s="53"/>
      <c r="C33" s="53"/>
      <c r="D33" s="54"/>
      <c r="E33" s="54"/>
      <c r="F33" s="53"/>
    </row>
    <row r="34" spans="1:7" ht="10.5" customHeight="1">
      <c r="A34" s="18" t="s">
        <v>84</v>
      </c>
      <c r="B34" s="53">
        <f>149800*90/2000</f>
        <v>6741</v>
      </c>
      <c r="C34" s="53">
        <f>64500*75/2000</f>
        <v>2418.75</v>
      </c>
      <c r="D34" s="54">
        <f>1770*85/2000</f>
        <v>75.224999999999994</v>
      </c>
      <c r="E34" s="54">
        <f>430*75/2000</f>
        <v>16.125</v>
      </c>
      <c r="F34" s="53">
        <v>9251</v>
      </c>
    </row>
    <row r="35" spans="1:7" ht="10.5" customHeight="1">
      <c r="A35" s="18" t="s">
        <v>85</v>
      </c>
      <c r="B35" s="53">
        <f>147700*90/2000</f>
        <v>6646.5</v>
      </c>
      <c r="C35" s="53">
        <f>61000*75/2000</f>
        <v>2287.5</v>
      </c>
      <c r="D35" s="54">
        <f>1600*85/2000</f>
        <v>68</v>
      </c>
      <c r="E35" s="54">
        <f>450*75/2000</f>
        <v>16.875</v>
      </c>
      <c r="F35" s="53">
        <v>9020</v>
      </c>
    </row>
    <row r="36" spans="1:7" ht="10.5" customHeight="1">
      <c r="A36" s="18" t="s">
        <v>86</v>
      </c>
      <c r="B36" s="53">
        <f>129000*90/2000</f>
        <v>5805</v>
      </c>
      <c r="C36" s="53">
        <f>46000*75/2000</f>
        <v>1725</v>
      </c>
      <c r="D36" s="54">
        <f>1980*85/2000</f>
        <v>84.15</v>
      </c>
      <c r="E36" s="54">
        <f>300*75/2000</f>
        <v>11.25</v>
      </c>
      <c r="F36" s="53">
        <v>7625</v>
      </c>
    </row>
    <row r="37" spans="1:7" ht="10.5" customHeight="1">
      <c r="A37" s="18" t="s">
        <v>87</v>
      </c>
      <c r="B37" s="53">
        <f>170200*90/2000</f>
        <v>7659</v>
      </c>
      <c r="C37" s="53">
        <f>62000*75/2000</f>
        <v>2325</v>
      </c>
      <c r="D37" s="54">
        <f>1796*85/2000</f>
        <v>76.33</v>
      </c>
      <c r="E37" s="54">
        <f>380*75/2000</f>
        <v>14.25</v>
      </c>
      <c r="F37" s="53">
        <f t="shared" ref="F37:F40" si="0">SUM(B37:D37)</f>
        <v>10060.33</v>
      </c>
    </row>
    <row r="38" spans="1:7" ht="10.5" customHeight="1">
      <c r="A38" s="18" t="s">
        <v>88</v>
      </c>
      <c r="B38" s="53">
        <f>162500*90/2000</f>
        <v>7312.5</v>
      </c>
      <c r="C38" s="53">
        <f>46500*75/2000</f>
        <v>1743.75</v>
      </c>
      <c r="D38" s="54">
        <f>1459*85/2000</f>
        <v>62.0075</v>
      </c>
      <c r="E38" s="54">
        <f>250*75/2000</f>
        <v>9.375</v>
      </c>
      <c r="F38" s="53">
        <f t="shared" si="0"/>
        <v>9118.2574999999997</v>
      </c>
      <c r="G38" s="56"/>
    </row>
    <row r="39" spans="1:7" s="59" customFormat="1" ht="10.5" customHeight="1">
      <c r="A39" s="18" t="s">
        <v>89</v>
      </c>
      <c r="B39" s="53">
        <f>133700*90/2000</f>
        <v>6016.5</v>
      </c>
      <c r="C39" s="53">
        <f>57500*75/2000</f>
        <v>2156.25</v>
      </c>
      <c r="D39" s="54">
        <f>1635*85/2000</f>
        <v>69.487499999999997</v>
      </c>
      <c r="E39" s="57" t="s">
        <v>218</v>
      </c>
      <c r="F39" s="53">
        <f t="shared" si="0"/>
        <v>8242.2374999999993</v>
      </c>
      <c r="G39" s="56"/>
    </row>
    <row r="40" spans="1:7" ht="10.5" customHeight="1">
      <c r="A40" s="18" t="s">
        <v>91</v>
      </c>
      <c r="B40" s="53">
        <f>140500*90/2000</f>
        <v>6322.5</v>
      </c>
      <c r="C40" s="53">
        <f>62500*80/2000</f>
        <v>2500</v>
      </c>
      <c r="D40" s="54">
        <f>1949*85/2000</f>
        <v>82.832499999999996</v>
      </c>
      <c r="E40" s="57" t="s">
        <v>218</v>
      </c>
      <c r="F40" s="53">
        <f t="shared" si="0"/>
        <v>8905.3325000000004</v>
      </c>
      <c r="G40" s="56"/>
    </row>
    <row r="41" spans="1:7" ht="3" customHeight="1">
      <c r="A41" s="18"/>
      <c r="B41" s="53"/>
      <c r="C41" s="53"/>
      <c r="D41" s="54"/>
      <c r="E41" s="57"/>
      <c r="F41" s="53"/>
      <c r="G41" s="56"/>
    </row>
    <row r="42" spans="1:7" ht="10.5" customHeight="1">
      <c r="A42" s="18" t="s">
        <v>92</v>
      </c>
      <c r="B42" s="53">
        <f>146700*90/2000</f>
        <v>6601.5</v>
      </c>
      <c r="C42" s="53">
        <f>58000*80/2000</f>
        <v>2320</v>
      </c>
      <c r="D42" s="54">
        <f>1419*85/2000</f>
        <v>60.307499999999997</v>
      </c>
      <c r="E42" s="57" t="s">
        <v>218</v>
      </c>
      <c r="F42" s="53">
        <f>SUM(B42:D42)</f>
        <v>8981.8075000000008</v>
      </c>
      <c r="G42" s="56"/>
    </row>
    <row r="43" spans="1:7" ht="10.5" customHeight="1">
      <c r="A43" s="18" t="s">
        <v>93</v>
      </c>
      <c r="B43" s="53">
        <f>133600*90/2000</f>
        <v>6012</v>
      </c>
      <c r="C43" s="53">
        <f>54500*80/2000</f>
        <v>2180</v>
      </c>
      <c r="D43" s="54">
        <f>1793*85/2000</f>
        <v>76.202500000000001</v>
      </c>
      <c r="E43" s="57" t="s">
        <v>218</v>
      </c>
      <c r="F43" s="53">
        <f t="shared" ref="F43" si="1">SUM(B43:D43)</f>
        <v>8268.2024999999994</v>
      </c>
      <c r="G43" s="56"/>
    </row>
    <row r="44" spans="1:7" ht="10.5" customHeight="1">
      <c r="A44" s="18" t="s">
        <v>94</v>
      </c>
      <c r="B44" s="53">
        <f>104700*90/2000</f>
        <v>4711.5</v>
      </c>
      <c r="C44" s="53">
        <f>49500*80/2000</f>
        <v>1980</v>
      </c>
      <c r="D44" s="54">
        <f>1777*85/2000</f>
        <v>75.522499999999994</v>
      </c>
      <c r="E44" s="57" t="s">
        <v>218</v>
      </c>
      <c r="F44" s="53">
        <v>6768</v>
      </c>
      <c r="G44" s="56"/>
    </row>
    <row r="45" spans="1:7" ht="10.5" customHeight="1">
      <c r="A45" s="18" t="s">
        <v>95</v>
      </c>
      <c r="B45" s="53">
        <f>96950*90/2000</f>
        <v>4362.75</v>
      </c>
      <c r="C45" s="53">
        <f>48200*80/2000</f>
        <v>1928</v>
      </c>
      <c r="D45" s="54">
        <f>1452*85/2000</f>
        <v>61.71</v>
      </c>
      <c r="E45" s="57" t="s">
        <v>218</v>
      </c>
      <c r="F45" s="53">
        <v>6353</v>
      </c>
      <c r="G45" s="56"/>
    </row>
    <row r="46" spans="1:7" ht="10.5" customHeight="1">
      <c r="A46" s="18" t="s">
        <v>290</v>
      </c>
      <c r="B46" s="53">
        <f>81700*90/2000</f>
        <v>3676.5</v>
      </c>
      <c r="C46" s="53">
        <f>58500*80/2000</f>
        <v>2340</v>
      </c>
      <c r="D46" s="54">
        <f>1691*85/2000</f>
        <v>71.867500000000007</v>
      </c>
      <c r="E46" s="57" t="s">
        <v>218</v>
      </c>
      <c r="F46" s="53">
        <f t="shared" ref="F46:F49" si="2">SUM(B46:D46)</f>
        <v>6088.3675000000003</v>
      </c>
      <c r="G46" s="56"/>
    </row>
    <row r="47" spans="1:7" ht="10.5" customHeight="1">
      <c r="A47" s="18" t="s">
        <v>299</v>
      </c>
      <c r="B47" s="53">
        <f>68850*90/2000</f>
        <v>3098.25</v>
      </c>
      <c r="C47" s="53">
        <f>48300*80/2000</f>
        <v>1932</v>
      </c>
      <c r="D47" s="54">
        <f>1370*85/2000</f>
        <v>58.225000000000001</v>
      </c>
      <c r="E47" s="57" t="s">
        <v>218</v>
      </c>
      <c r="F47" s="53">
        <f t="shared" si="2"/>
        <v>5088.4750000000004</v>
      </c>
      <c r="G47" s="56"/>
    </row>
    <row r="48" spans="1:7" ht="10.5" customHeight="1">
      <c r="A48" s="18" t="s">
        <v>313</v>
      </c>
      <c r="B48" s="53">
        <f>45050*90/2000</f>
        <v>2027.25</v>
      </c>
      <c r="C48" s="53">
        <f>44200*80/2000</f>
        <v>1768</v>
      </c>
      <c r="D48" s="54">
        <f>1880*85/2000</f>
        <v>79.900000000000006</v>
      </c>
      <c r="E48" s="57" t="s">
        <v>218</v>
      </c>
      <c r="F48" s="53">
        <f t="shared" si="2"/>
        <v>3875.15</v>
      </c>
      <c r="G48" s="56"/>
    </row>
    <row r="49" spans="1:7" ht="10.5" customHeight="1">
      <c r="A49" s="140" t="s">
        <v>320</v>
      </c>
      <c r="B49" s="61">
        <f>71750*90/2000</f>
        <v>3228.75</v>
      </c>
      <c r="C49" s="61">
        <f>49800*80/2000</f>
        <v>1992</v>
      </c>
      <c r="D49" s="62">
        <f>2500*85/2000</f>
        <v>106.25</v>
      </c>
      <c r="E49" s="63" t="s">
        <v>218</v>
      </c>
      <c r="F49" s="61">
        <f t="shared" si="2"/>
        <v>5327</v>
      </c>
      <c r="G49" s="56"/>
    </row>
    <row r="50" spans="1:7">
      <c r="A50" s="95" t="s">
        <v>109</v>
      </c>
      <c r="B50" s="53"/>
      <c r="C50" s="53"/>
      <c r="D50" s="54"/>
      <c r="E50" s="57"/>
      <c r="F50" s="53"/>
    </row>
    <row r="51" spans="1:7">
      <c r="A51" s="336" t="s">
        <v>219</v>
      </c>
      <c r="B51" s="4"/>
      <c r="C51" s="4"/>
      <c r="D51" s="4"/>
      <c r="E51" s="4"/>
      <c r="F51" s="4"/>
    </row>
    <row r="52" spans="1:7">
      <c r="A52" s="337" t="s">
        <v>220</v>
      </c>
      <c r="B52" s="4"/>
      <c r="C52" s="4"/>
      <c r="D52" s="4"/>
      <c r="E52" s="4"/>
      <c r="F52" s="4"/>
    </row>
    <row r="53" spans="1:7">
      <c r="A53" s="338" t="s">
        <v>221</v>
      </c>
      <c r="B53" s="4"/>
      <c r="C53" s="4"/>
      <c r="D53" s="4"/>
      <c r="E53" s="4"/>
      <c r="F53" s="4"/>
    </row>
    <row r="54" spans="1:7" ht="13.15" customHeight="1">
      <c r="A54" s="39" t="s">
        <v>50</v>
      </c>
      <c r="B54" s="4"/>
      <c r="C54" s="4"/>
      <c r="D54" s="4"/>
      <c r="E54" s="4"/>
      <c r="F54" s="4"/>
    </row>
  </sheetData>
  <pageMargins left="0.66700000000000004" right="0.66700000000000004" top="0.66700000000000004" bottom="0.72" header="0" footer="0"/>
  <pageSetup firstPageNumber="90" orientation="portrait" useFirstPageNumber="1" r:id="rId1"/>
  <headerFooter alignWithMargins="0"/>
  <ignoredErrors>
    <ignoredError sqref="D10:D1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56"/>
  <sheetViews>
    <sheetView showGridLines="0" view="pageBreakPreview" zoomScaleNormal="100" zoomScaleSheetLayoutView="100" workbookViewId="0">
      <pane xSplit="1" ySplit="4" topLeftCell="B19" activePane="bottomRight" state="frozen"/>
      <selection pane="topRight" activeCell="B1" sqref="B1"/>
      <selection pane="bottomLeft" activeCell="A5" sqref="A5"/>
      <selection pane="bottomRight"/>
    </sheetView>
  </sheetViews>
  <sheetFormatPr defaultColWidth="9.7109375" defaultRowHeight="12"/>
  <cols>
    <col min="1" max="1" width="8.28515625" customWidth="1"/>
    <col min="2" max="2" width="8.5703125" customWidth="1"/>
    <col min="3" max="3" width="9.42578125" customWidth="1"/>
    <col min="4" max="4" width="0.5703125" customWidth="1"/>
    <col min="5" max="5" width="8.5703125" customWidth="1"/>
    <col min="6" max="6" width="9.42578125" customWidth="1"/>
    <col min="7" max="7" width="0.5703125" customWidth="1"/>
    <col min="8" max="8" width="8.5703125" customWidth="1"/>
    <col min="9" max="9" width="9.42578125" customWidth="1"/>
    <col min="10" max="10" width="0.5703125" customWidth="1"/>
    <col min="11" max="11" width="8.5703125" customWidth="1"/>
    <col min="12" max="12" width="9.42578125" customWidth="1"/>
    <col min="13" max="13" width="0.5703125" customWidth="1"/>
    <col min="14" max="14" width="8.5703125" customWidth="1"/>
    <col min="15" max="15" width="9.42578125" customWidth="1"/>
  </cols>
  <sheetData>
    <row r="1" spans="1:16">
      <c r="A1" s="339" t="s">
        <v>222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68"/>
    </row>
    <row r="2" spans="1:16">
      <c r="A2" s="14"/>
      <c r="B2" s="6" t="s">
        <v>1</v>
      </c>
      <c r="C2" s="6"/>
      <c r="D2" s="5"/>
      <c r="E2" s="6" t="s">
        <v>2</v>
      </c>
      <c r="F2" s="6"/>
      <c r="G2" s="5"/>
      <c r="H2" s="6" t="s">
        <v>4</v>
      </c>
      <c r="I2" s="6"/>
      <c r="J2" s="5"/>
      <c r="K2" s="6" t="s">
        <v>3</v>
      </c>
      <c r="L2" s="6"/>
      <c r="M2" s="5"/>
      <c r="N2" s="6" t="s">
        <v>58</v>
      </c>
      <c r="O2" s="6"/>
      <c r="P2" s="68"/>
    </row>
    <row r="3" spans="1:16">
      <c r="A3" s="340" t="s">
        <v>57</v>
      </c>
      <c r="B3" s="9" t="s">
        <v>101</v>
      </c>
      <c r="C3" s="9" t="s">
        <v>102</v>
      </c>
      <c r="D3" s="3"/>
      <c r="E3" s="9" t="s">
        <v>101</v>
      </c>
      <c r="F3" s="9" t="s">
        <v>102</v>
      </c>
      <c r="G3" s="3"/>
      <c r="H3" s="9" t="s">
        <v>101</v>
      </c>
      <c r="I3" s="9" t="s">
        <v>102</v>
      </c>
      <c r="J3" s="3"/>
      <c r="K3" s="9" t="s">
        <v>101</v>
      </c>
      <c r="L3" s="9" t="s">
        <v>102</v>
      </c>
      <c r="M3" s="3"/>
      <c r="N3" s="9" t="s">
        <v>101</v>
      </c>
      <c r="O3" s="9" t="s">
        <v>102</v>
      </c>
      <c r="P3" s="68"/>
    </row>
    <row r="4" spans="1:16" ht="3.95" customHeight="1">
      <c r="A4" s="341"/>
      <c r="B4" s="10"/>
      <c r="C4" s="10"/>
      <c r="D4" s="5"/>
      <c r="E4" s="10"/>
      <c r="F4" s="10"/>
      <c r="G4" s="5"/>
      <c r="H4" s="10"/>
      <c r="I4" s="10"/>
      <c r="J4" s="5"/>
      <c r="K4" s="10"/>
      <c r="L4" s="10"/>
      <c r="M4" s="5"/>
      <c r="N4" s="10"/>
      <c r="O4" s="10"/>
      <c r="P4" s="68"/>
    </row>
    <row r="5" spans="1:16">
      <c r="A5" s="4"/>
      <c r="B5" s="69" t="s">
        <v>103</v>
      </c>
      <c r="C5" s="47"/>
      <c r="D5" s="47"/>
      <c r="E5" s="47"/>
      <c r="F5" s="47"/>
      <c r="G5" s="47"/>
      <c r="H5" s="70"/>
      <c r="I5" s="47"/>
      <c r="J5" s="47"/>
      <c r="K5" s="47"/>
      <c r="L5" s="47"/>
      <c r="M5" s="47"/>
      <c r="N5" s="47"/>
      <c r="O5" s="47"/>
      <c r="P5" s="68"/>
    </row>
    <row r="6" spans="1:16" ht="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8"/>
    </row>
    <row r="7" spans="1:16" ht="10.5" customHeight="1">
      <c r="A7" s="14" t="s">
        <v>60</v>
      </c>
      <c r="B7" s="342">
        <v>372.42</v>
      </c>
      <c r="C7" s="342">
        <v>7385.58</v>
      </c>
      <c r="D7" s="343"/>
      <c r="E7" s="342">
        <v>1411.125</v>
      </c>
      <c r="F7" s="342">
        <v>1035.75</v>
      </c>
      <c r="G7" s="344"/>
      <c r="H7" s="342">
        <v>63</v>
      </c>
      <c r="I7" s="342">
        <v>34.5</v>
      </c>
      <c r="J7" s="343"/>
      <c r="K7" s="342">
        <v>121.125</v>
      </c>
      <c r="L7" s="342">
        <v>62.9</v>
      </c>
      <c r="M7" s="343"/>
      <c r="N7" s="345">
        <v>1967.67</v>
      </c>
      <c r="O7" s="342">
        <v>8518.73</v>
      </c>
      <c r="P7" s="68"/>
    </row>
    <row r="8" spans="1:16" ht="10.5" customHeight="1">
      <c r="A8" s="14" t="s">
        <v>61</v>
      </c>
      <c r="B8" s="342">
        <v>342.9</v>
      </c>
      <c r="C8" s="342">
        <v>5318.1</v>
      </c>
      <c r="D8" s="343"/>
      <c r="E8" s="342">
        <v>1252.5</v>
      </c>
      <c r="F8" s="342">
        <v>318.75</v>
      </c>
      <c r="G8" s="344"/>
      <c r="H8" s="342">
        <v>79.5</v>
      </c>
      <c r="I8" s="342">
        <v>34.875</v>
      </c>
      <c r="J8" s="343"/>
      <c r="K8" s="342">
        <v>141.1</v>
      </c>
      <c r="L8" s="342">
        <v>111.35</v>
      </c>
      <c r="M8" s="343"/>
      <c r="N8" s="345">
        <v>1816</v>
      </c>
      <c r="O8" s="342">
        <v>5783.0750000000007</v>
      </c>
      <c r="P8" s="68"/>
    </row>
    <row r="9" spans="1:16" ht="10.5" customHeight="1">
      <c r="A9" s="14" t="s">
        <v>62</v>
      </c>
      <c r="B9" s="342">
        <v>464.4</v>
      </c>
      <c r="C9" s="342">
        <v>5817.6</v>
      </c>
      <c r="D9" s="343"/>
      <c r="E9" s="342">
        <v>1621.875</v>
      </c>
      <c r="F9" s="342">
        <v>1231.875</v>
      </c>
      <c r="G9" s="344"/>
      <c r="H9" s="342">
        <v>95.4375</v>
      </c>
      <c r="I9" s="342">
        <v>47.0625</v>
      </c>
      <c r="J9" s="343"/>
      <c r="K9" s="342">
        <v>141.94999999999999</v>
      </c>
      <c r="L9" s="342">
        <v>99.45</v>
      </c>
      <c r="M9" s="343"/>
      <c r="N9" s="345">
        <v>2323.6624999999999</v>
      </c>
      <c r="O9" s="342">
        <v>7195.9875000000002</v>
      </c>
      <c r="P9" s="68"/>
    </row>
    <row r="10" spans="1:16" ht="10.5" customHeight="1">
      <c r="A10" s="14" t="s">
        <v>63</v>
      </c>
      <c r="B10" s="342">
        <v>343.8</v>
      </c>
      <c r="C10" s="342">
        <v>4907.7</v>
      </c>
      <c r="D10" s="343"/>
      <c r="E10" s="342">
        <v>1408.125</v>
      </c>
      <c r="F10" s="342">
        <v>410.625</v>
      </c>
      <c r="G10" s="344"/>
      <c r="H10" s="342">
        <v>54.375</v>
      </c>
      <c r="I10" s="342">
        <v>10.5</v>
      </c>
      <c r="J10" s="343"/>
      <c r="K10" s="342">
        <v>59.075000000000003</v>
      </c>
      <c r="L10" s="342">
        <v>47.6</v>
      </c>
      <c r="M10" s="343"/>
      <c r="N10" s="345">
        <v>1865.375</v>
      </c>
      <c r="O10" s="342">
        <v>5376.4250000000002</v>
      </c>
      <c r="P10" s="68"/>
    </row>
    <row r="11" spans="1:16" ht="12.95" customHeight="1">
      <c r="A11" s="14" t="s">
        <v>64</v>
      </c>
      <c r="B11" s="342">
        <v>299.33999999999997</v>
      </c>
      <c r="C11" s="342">
        <v>4376.16</v>
      </c>
      <c r="D11" s="343"/>
      <c r="E11" s="342">
        <v>1515</v>
      </c>
      <c r="F11" s="342">
        <v>450</v>
      </c>
      <c r="G11" s="344"/>
      <c r="H11" s="342">
        <v>60.1875</v>
      </c>
      <c r="I11" s="342">
        <v>16.6875</v>
      </c>
      <c r="J11" s="343"/>
      <c r="K11" s="73" t="s">
        <v>283</v>
      </c>
      <c r="L11" s="73" t="s">
        <v>104</v>
      </c>
      <c r="M11" s="343"/>
      <c r="N11" s="345">
        <v>1874.5274999999999</v>
      </c>
      <c r="O11" s="342">
        <v>4842.8474999999999</v>
      </c>
      <c r="P11" s="68"/>
    </row>
    <row r="12" spans="1:16" ht="10.5" customHeight="1">
      <c r="A12" s="14" t="s">
        <v>65</v>
      </c>
      <c r="B12" s="342">
        <v>403.2</v>
      </c>
      <c r="C12" s="342">
        <v>4960.8</v>
      </c>
      <c r="D12" s="343"/>
      <c r="E12" s="342">
        <v>1635</v>
      </c>
      <c r="F12" s="342">
        <v>386.25</v>
      </c>
      <c r="G12" s="344"/>
      <c r="H12" s="342">
        <v>61.6875</v>
      </c>
      <c r="I12" s="342">
        <v>14.4375</v>
      </c>
      <c r="J12" s="343"/>
      <c r="K12" s="342">
        <v>12.324999999999999</v>
      </c>
      <c r="L12" s="342">
        <v>0.85</v>
      </c>
      <c r="M12" s="343"/>
      <c r="N12" s="345">
        <v>2112.2124999999996</v>
      </c>
      <c r="O12" s="342">
        <v>5362.3375000000005</v>
      </c>
      <c r="P12" s="68"/>
    </row>
    <row r="13" spans="1:16" ht="3" customHeight="1">
      <c r="A13" s="14"/>
      <c r="B13" s="342"/>
      <c r="C13" s="342"/>
      <c r="D13" s="343"/>
      <c r="E13" s="342"/>
      <c r="F13" s="342"/>
      <c r="G13" s="344"/>
      <c r="H13" s="342"/>
      <c r="I13" s="342"/>
      <c r="J13" s="343"/>
      <c r="K13" s="342"/>
      <c r="L13" s="342"/>
      <c r="M13" s="343"/>
      <c r="N13" s="345"/>
      <c r="O13" s="342"/>
      <c r="P13" s="68"/>
    </row>
    <row r="14" spans="1:16" ht="10.5" customHeight="1">
      <c r="A14" s="14" t="s">
        <v>66</v>
      </c>
      <c r="B14" s="342">
        <v>399.15</v>
      </c>
      <c r="C14" s="342">
        <v>4987.3500000000004</v>
      </c>
      <c r="D14" s="343"/>
      <c r="E14" s="342">
        <v>1563.75</v>
      </c>
      <c r="F14" s="342">
        <v>607.5</v>
      </c>
      <c r="G14" s="344"/>
      <c r="H14" s="342">
        <v>73.5</v>
      </c>
      <c r="I14" s="342">
        <v>27.75</v>
      </c>
      <c r="J14" s="343"/>
      <c r="K14" s="342">
        <v>33.362499999999997</v>
      </c>
      <c r="L14" s="342">
        <v>3.8250000000000002</v>
      </c>
      <c r="M14" s="343"/>
      <c r="N14" s="345">
        <v>2069.7625000000003</v>
      </c>
      <c r="O14" s="342">
        <v>5626.4250000000002</v>
      </c>
      <c r="P14" s="68"/>
    </row>
    <row r="15" spans="1:16" ht="10.5" customHeight="1">
      <c r="A15" s="14" t="s">
        <v>67</v>
      </c>
      <c r="B15" s="342">
        <v>428.4</v>
      </c>
      <c r="C15" s="342">
        <v>5781.6</v>
      </c>
      <c r="D15" s="343"/>
      <c r="E15" s="342">
        <v>1548.75</v>
      </c>
      <c r="F15" s="342">
        <v>663.75</v>
      </c>
      <c r="G15" s="344"/>
      <c r="H15" s="342">
        <v>53.4375</v>
      </c>
      <c r="I15" s="342">
        <v>14.8125</v>
      </c>
      <c r="J15" s="343"/>
      <c r="K15" s="342">
        <v>54.23</v>
      </c>
      <c r="L15" s="342">
        <v>6.5449999999999999</v>
      </c>
      <c r="M15" s="343"/>
      <c r="N15" s="345">
        <v>2084.8175000000001</v>
      </c>
      <c r="O15" s="342">
        <v>6466.7075000000004</v>
      </c>
      <c r="P15" s="68"/>
    </row>
    <row r="16" spans="1:16" ht="10.5" customHeight="1">
      <c r="A16" s="14" t="s">
        <v>105</v>
      </c>
      <c r="B16" s="342">
        <v>381.96</v>
      </c>
      <c r="C16" s="342">
        <v>6215.04</v>
      </c>
      <c r="D16" s="343"/>
      <c r="E16" s="342">
        <v>1522.5</v>
      </c>
      <c r="F16" s="342">
        <v>686.25</v>
      </c>
      <c r="G16" s="344"/>
      <c r="H16" s="342">
        <v>45.5625</v>
      </c>
      <c r="I16" s="342">
        <v>18.1875</v>
      </c>
      <c r="J16" s="343"/>
      <c r="K16" s="342">
        <v>66.13</v>
      </c>
      <c r="L16" s="342">
        <v>12.494999999999999</v>
      </c>
      <c r="M16" s="343"/>
      <c r="N16" s="345">
        <v>2016.1525000000001</v>
      </c>
      <c r="O16" s="342">
        <v>6931.9724999999999</v>
      </c>
      <c r="P16" s="68"/>
    </row>
    <row r="17" spans="1:18" ht="10.5" customHeight="1">
      <c r="A17" s="14" t="s">
        <v>69</v>
      </c>
      <c r="B17" s="342">
        <v>266.49</v>
      </c>
      <c r="C17" s="342">
        <v>4692.51</v>
      </c>
      <c r="D17" s="343"/>
      <c r="E17" s="342">
        <v>1766.25</v>
      </c>
      <c r="F17" s="342">
        <v>911.25</v>
      </c>
      <c r="G17" s="344"/>
      <c r="H17" s="342">
        <v>43.462499999999999</v>
      </c>
      <c r="I17" s="342">
        <v>16.912500000000001</v>
      </c>
      <c r="J17" s="343"/>
      <c r="K17" s="342">
        <v>28.177499999999998</v>
      </c>
      <c r="L17" s="342">
        <v>23.035</v>
      </c>
      <c r="M17" s="343"/>
      <c r="N17" s="345">
        <v>2103</v>
      </c>
      <c r="O17" s="342">
        <v>5643.7075000000004</v>
      </c>
      <c r="P17" s="68"/>
    </row>
    <row r="18" spans="1:18" ht="12.95" customHeight="1">
      <c r="A18" s="14" t="s">
        <v>70</v>
      </c>
      <c r="B18" s="342">
        <v>560.29499999999996</v>
      </c>
      <c r="C18" s="342">
        <v>6261.7049999999999</v>
      </c>
      <c r="D18" s="343"/>
      <c r="E18" s="342">
        <v>607.5</v>
      </c>
      <c r="F18" s="342">
        <v>352.5</v>
      </c>
      <c r="G18" s="344"/>
      <c r="H18" s="342">
        <v>53.174999999999997</v>
      </c>
      <c r="I18" s="342">
        <v>12.45</v>
      </c>
      <c r="J18" s="343"/>
      <c r="K18" s="73" t="s">
        <v>284</v>
      </c>
      <c r="L18" s="73" t="s">
        <v>106</v>
      </c>
      <c r="M18" s="343"/>
      <c r="N18" s="345">
        <v>1220.97</v>
      </c>
      <c r="O18" s="342">
        <v>6626.6549999999997</v>
      </c>
      <c r="P18" s="68"/>
    </row>
    <row r="19" spans="1:18" ht="10.5" customHeight="1">
      <c r="A19" s="14" t="s">
        <v>71</v>
      </c>
      <c r="B19" s="342">
        <f>11552*90/2000</f>
        <v>519.84</v>
      </c>
      <c r="C19" s="342">
        <f>128248*90/2000</f>
        <v>5771.16</v>
      </c>
      <c r="D19" s="343"/>
      <c r="E19" s="342">
        <f>41350*75/2000</f>
        <v>1550.625</v>
      </c>
      <c r="F19" s="342">
        <f>26050*75/2000</f>
        <v>976.875</v>
      </c>
      <c r="G19" s="344"/>
      <c r="H19" s="342">
        <f>1806*75/2000</f>
        <v>67.724999999999994</v>
      </c>
      <c r="I19" s="342">
        <f>574*75/2000</f>
        <v>21.524999999999999</v>
      </c>
      <c r="J19" s="343"/>
      <c r="K19" s="342">
        <f>30*85/2000</f>
        <v>1.2749999999999999</v>
      </c>
      <c r="L19" s="342">
        <v>0</v>
      </c>
      <c r="M19" s="343"/>
      <c r="N19" s="345">
        <v>2139.4650000000001</v>
      </c>
      <c r="O19" s="342">
        <v>6769.56</v>
      </c>
      <c r="P19" s="68"/>
    </row>
    <row r="20" spans="1:18" ht="3" customHeight="1">
      <c r="A20" s="14"/>
      <c r="B20" s="342"/>
      <c r="C20" s="342"/>
      <c r="D20" s="343"/>
      <c r="E20" s="342"/>
      <c r="F20" s="342"/>
      <c r="G20" s="344"/>
      <c r="H20" s="342"/>
      <c r="I20" s="342"/>
      <c r="J20" s="343"/>
      <c r="K20" s="342"/>
      <c r="L20" s="342"/>
      <c r="M20" s="343"/>
      <c r="N20" s="345"/>
      <c r="O20" s="342"/>
      <c r="P20" s="68"/>
    </row>
    <row r="21" spans="1:18" ht="10.5" customHeight="1">
      <c r="A21" s="14" t="s">
        <v>72</v>
      </c>
      <c r="B21" s="342">
        <f>10724*90/2000</f>
        <v>482.58</v>
      </c>
      <c r="C21" s="342">
        <f>175876*90/2000</f>
        <v>7914.42</v>
      </c>
      <c r="D21" s="343"/>
      <c r="E21" s="342">
        <f>49100*75/2000</f>
        <v>1841.25</v>
      </c>
      <c r="F21" s="342">
        <f>17700*75/2000</f>
        <v>663.75</v>
      </c>
      <c r="G21" s="344"/>
      <c r="H21" s="342">
        <f>1496*75/2000</f>
        <v>56.1</v>
      </c>
      <c r="I21" s="342">
        <f>354*75/2000</f>
        <v>13.275</v>
      </c>
      <c r="J21" s="343"/>
      <c r="K21" s="342">
        <f>448*85/2000</f>
        <v>19.04</v>
      </c>
      <c r="L21" s="342">
        <f>62*85/2000</f>
        <v>2.6349999999999998</v>
      </c>
      <c r="M21" s="343"/>
      <c r="N21" s="345">
        <v>2398</v>
      </c>
      <c r="O21" s="342">
        <v>8594.08</v>
      </c>
      <c r="P21" s="68"/>
      <c r="Q21" s="75"/>
      <c r="R21" s="75"/>
    </row>
    <row r="22" spans="1:18" ht="10.5" customHeight="1">
      <c r="A22" s="14" t="s">
        <v>73</v>
      </c>
      <c r="B22" s="342">
        <f>9898*90/2000</f>
        <v>445.41</v>
      </c>
      <c r="C22" s="342">
        <f>164502*90/2000</f>
        <v>7402.59</v>
      </c>
      <c r="D22" s="343"/>
      <c r="E22" s="342">
        <f>46100*75/2000</f>
        <v>1728.75</v>
      </c>
      <c r="F22" s="342">
        <f>17500*75/2000</f>
        <v>656.25</v>
      </c>
      <c r="G22" s="344"/>
      <c r="H22" s="342">
        <f>1513*75/2000</f>
        <v>56.737499999999997</v>
      </c>
      <c r="I22" s="342">
        <f>387*75/2000</f>
        <v>14.512499999999999</v>
      </c>
      <c r="J22" s="343"/>
      <c r="K22" s="342">
        <f>504*85/2000</f>
        <v>21.42</v>
      </c>
      <c r="L22" s="342">
        <f>46*85/2000</f>
        <v>1.9550000000000001</v>
      </c>
      <c r="M22" s="343"/>
      <c r="N22" s="345">
        <v>2254</v>
      </c>
      <c r="O22" s="342">
        <v>8075</v>
      </c>
      <c r="P22" s="68"/>
      <c r="Q22" s="75"/>
      <c r="R22" s="75"/>
    </row>
    <row r="23" spans="1:18" ht="10.5" customHeight="1">
      <c r="A23" s="14" t="s">
        <v>74</v>
      </c>
      <c r="B23" s="342">
        <f>10441*90/2000</f>
        <v>469.84500000000003</v>
      </c>
      <c r="C23" s="342">
        <f>195059*90/2000</f>
        <v>8777.6550000000007</v>
      </c>
      <c r="D23" s="343"/>
      <c r="E23" s="342">
        <f>44100*75/2000</f>
        <v>1653.75</v>
      </c>
      <c r="F23" s="342">
        <f>11900*75/2000</f>
        <v>446.25</v>
      </c>
      <c r="G23" s="344"/>
      <c r="H23" s="342">
        <f>995*75/2000</f>
        <v>37.3125</v>
      </c>
      <c r="I23" s="342">
        <f>55*75/2000</f>
        <v>2.0625</v>
      </c>
      <c r="J23" s="343"/>
      <c r="K23" s="342">
        <f>718*85/2000</f>
        <v>30.515000000000001</v>
      </c>
      <c r="L23" s="342">
        <f>337*85/2000</f>
        <v>14.3225</v>
      </c>
      <c r="M23" s="343"/>
      <c r="N23" s="345">
        <v>2191</v>
      </c>
      <c r="O23" s="342">
        <v>9241</v>
      </c>
      <c r="P23" s="68"/>
      <c r="Q23" s="75"/>
      <c r="R23" s="75"/>
    </row>
    <row r="24" spans="1:18" ht="10.5" customHeight="1">
      <c r="A24" s="18" t="s">
        <v>75</v>
      </c>
      <c r="B24" s="346">
        <f>9969*90/2000</f>
        <v>448.60500000000002</v>
      </c>
      <c r="C24" s="346">
        <f>193331*90/2000</f>
        <v>8699.8950000000004</v>
      </c>
      <c r="D24" s="347"/>
      <c r="E24" s="346">
        <f>44500*75/2000</f>
        <v>1668.75</v>
      </c>
      <c r="F24" s="346">
        <f>13500*75/2000</f>
        <v>506.25</v>
      </c>
      <c r="G24" s="348"/>
      <c r="H24" s="346">
        <f>1268*75/2000</f>
        <v>47.55</v>
      </c>
      <c r="I24" s="346">
        <f>382*75/2000</f>
        <v>14.324999999999999</v>
      </c>
      <c r="J24" s="347"/>
      <c r="K24" s="346">
        <f>788*85/2000</f>
        <v>33.49</v>
      </c>
      <c r="L24" s="346">
        <f>152*85/2000</f>
        <v>6.46</v>
      </c>
      <c r="M24" s="347"/>
      <c r="N24" s="349">
        <v>2199</v>
      </c>
      <c r="O24" s="346">
        <v>9227</v>
      </c>
      <c r="P24" s="68"/>
      <c r="Q24" s="75"/>
      <c r="R24" s="75"/>
    </row>
    <row r="25" spans="1:18" ht="10.5" customHeight="1">
      <c r="A25" s="22" t="s">
        <v>76</v>
      </c>
      <c r="B25" s="346">
        <f>10696*90/2000</f>
        <v>481.32</v>
      </c>
      <c r="C25" s="346">
        <f>215504*90/2000</f>
        <v>9697.68</v>
      </c>
      <c r="D25" s="347"/>
      <c r="E25" s="346">
        <f>51500*75/2000</f>
        <v>1931.25</v>
      </c>
      <c r="F25" s="346">
        <v>468.75</v>
      </c>
      <c r="G25" s="348"/>
      <c r="H25" s="346">
        <f>1303*75/2000</f>
        <v>48.862499999999997</v>
      </c>
      <c r="I25" s="346">
        <f>97*75/2000</f>
        <v>3.6375000000000002</v>
      </c>
      <c r="J25" s="347"/>
      <c r="K25" s="346">
        <f>956*85/2000</f>
        <v>40.630000000000003</v>
      </c>
      <c r="L25" s="346">
        <f>464*85/2000</f>
        <v>19.72</v>
      </c>
      <c r="M25" s="347"/>
      <c r="N25" s="349">
        <v>2502</v>
      </c>
      <c r="O25" s="346">
        <v>10190</v>
      </c>
      <c r="P25" s="68"/>
      <c r="Q25" s="75"/>
      <c r="R25" s="75"/>
    </row>
    <row r="26" spans="1:18" ht="10.5" customHeight="1">
      <c r="A26" s="22" t="s">
        <v>77</v>
      </c>
      <c r="B26" s="346">
        <f>11010*90/2000</f>
        <v>495.45</v>
      </c>
      <c r="C26" s="346">
        <f>232990*90/2000</f>
        <v>10484.549999999999</v>
      </c>
      <c r="D26" s="347"/>
      <c r="E26" s="346">
        <f>55500*75/2000</f>
        <v>2081.25</v>
      </c>
      <c r="F26" s="346">
        <f>13500*75/2000</f>
        <v>506.25</v>
      </c>
      <c r="G26" s="348"/>
      <c r="H26" s="346">
        <f>882*75/2000</f>
        <v>33.075000000000003</v>
      </c>
      <c r="I26" s="346">
        <f>118*75/2000</f>
        <v>4.4249999999999998</v>
      </c>
      <c r="J26" s="347"/>
      <c r="K26" s="346">
        <f>1129*85/2000</f>
        <v>47.982500000000002</v>
      </c>
      <c r="L26" s="346">
        <f>396*85/2000</f>
        <v>16.829999999999998</v>
      </c>
      <c r="M26" s="347"/>
      <c r="N26" s="349">
        <v>2658</v>
      </c>
      <c r="O26" s="346">
        <v>11012</v>
      </c>
      <c r="P26" s="68"/>
      <c r="Q26" s="75"/>
      <c r="R26" s="75"/>
    </row>
    <row r="27" spans="1:18" ht="3" customHeight="1">
      <c r="A27" s="22"/>
      <c r="B27" s="346"/>
      <c r="C27" s="346"/>
      <c r="D27" s="347"/>
      <c r="E27" s="346"/>
      <c r="F27" s="346"/>
      <c r="G27" s="348"/>
      <c r="H27" s="346"/>
      <c r="I27" s="346"/>
      <c r="J27" s="347"/>
      <c r="K27" s="346"/>
      <c r="L27" s="346"/>
      <c r="M27" s="347"/>
      <c r="N27" s="349"/>
      <c r="O27" s="346"/>
      <c r="P27" s="68"/>
      <c r="Q27" s="75"/>
      <c r="R27" s="75"/>
    </row>
    <row r="28" spans="1:18" ht="10.5" customHeight="1">
      <c r="A28" s="22" t="s">
        <v>78</v>
      </c>
      <c r="B28" s="346">
        <f>10860*90/2000</f>
        <v>488.7</v>
      </c>
      <c r="C28" s="346">
        <f>175140*90/2000</f>
        <v>7881.3</v>
      </c>
      <c r="D28" s="347"/>
      <c r="E28" s="346">
        <f>19500*75/2000</f>
        <v>731.25</v>
      </c>
      <c r="F28" s="346">
        <f>16500*75/2000</f>
        <v>618.75</v>
      </c>
      <c r="G28" s="348"/>
      <c r="H28" s="346">
        <f>908*75/2000</f>
        <v>34.049999999999997</v>
      </c>
      <c r="I28" s="346">
        <f>242*75/2000</f>
        <v>9.0749999999999993</v>
      </c>
      <c r="J28" s="347"/>
      <c r="K28" s="346">
        <f>1118*85/2000</f>
        <v>47.515000000000001</v>
      </c>
      <c r="L28" s="346">
        <f>312*85/2000</f>
        <v>13.26</v>
      </c>
      <c r="M28" s="347"/>
      <c r="N28" s="349">
        <v>1300</v>
      </c>
      <c r="O28" s="346">
        <v>8524</v>
      </c>
      <c r="P28" s="68"/>
      <c r="Q28" s="75"/>
      <c r="R28" s="75"/>
    </row>
    <row r="29" spans="1:18" ht="10.5" customHeight="1">
      <c r="A29" s="22" t="s">
        <v>79</v>
      </c>
      <c r="B29" s="346">
        <f>9393*90/2000</f>
        <v>422.685</v>
      </c>
      <c r="C29" s="346">
        <f>223607*90/2000</f>
        <v>10062.315000000001</v>
      </c>
      <c r="D29" s="347"/>
      <c r="E29" s="346">
        <f>43700*75/2000</f>
        <v>1638.75</v>
      </c>
      <c r="F29" s="346">
        <f>20300*75/2000</f>
        <v>761.25</v>
      </c>
      <c r="G29" s="348"/>
      <c r="H29" s="346">
        <f>806*75/2000</f>
        <v>30.225000000000001</v>
      </c>
      <c r="I29" s="346">
        <f>294*75/2000</f>
        <v>11.025</v>
      </c>
      <c r="J29" s="347"/>
      <c r="K29" s="346">
        <f>1279*85/2000</f>
        <v>54.357500000000002</v>
      </c>
      <c r="L29" s="346">
        <f>381*85/2000</f>
        <v>16.192499999999999</v>
      </c>
      <c r="M29" s="347"/>
      <c r="N29" s="349">
        <v>2146</v>
      </c>
      <c r="O29" s="346">
        <v>10851</v>
      </c>
      <c r="P29" s="68"/>
      <c r="Q29" s="75"/>
      <c r="R29" s="75"/>
    </row>
    <row r="30" spans="1:18" ht="10.5" customHeight="1">
      <c r="A30" s="22" t="s">
        <v>80</v>
      </c>
      <c r="B30" s="346">
        <f>9702*90/2000</f>
        <v>436.59</v>
      </c>
      <c r="C30" s="346">
        <f>213598*90/2000</f>
        <v>9611.91</v>
      </c>
      <c r="D30" s="347"/>
      <c r="E30" s="346">
        <f>46000*75/2000</f>
        <v>1725</v>
      </c>
      <c r="F30" s="346">
        <f>8500*75/2000</f>
        <v>318.75</v>
      </c>
      <c r="G30" s="348"/>
      <c r="H30" s="346">
        <f>730*75/2000</f>
        <v>27.375</v>
      </c>
      <c r="I30" s="346">
        <f>170*75/2000</f>
        <v>6.375</v>
      </c>
      <c r="J30" s="347"/>
      <c r="K30" s="346">
        <f>1271*85/2000</f>
        <v>54.017499999999998</v>
      </c>
      <c r="L30" s="346">
        <f>964*85/2000</f>
        <v>40.97</v>
      </c>
      <c r="M30" s="347"/>
      <c r="N30" s="349">
        <v>2244</v>
      </c>
      <c r="O30" s="346">
        <v>9977</v>
      </c>
      <c r="P30" s="68"/>
      <c r="Q30" s="75"/>
      <c r="R30" s="75"/>
    </row>
    <row r="31" spans="1:18" ht="10.5" customHeight="1">
      <c r="A31" s="22" t="s">
        <v>81</v>
      </c>
      <c r="B31" s="346">
        <f>9381*90/2000</f>
        <v>422.14499999999998</v>
      </c>
      <c r="C31" s="346">
        <f>220619*90/2000</f>
        <v>9927.8549999999996</v>
      </c>
      <c r="D31" s="347"/>
      <c r="E31" s="346">
        <f>44250*75/2000</f>
        <v>1659.375</v>
      </c>
      <c r="F31" s="346">
        <f>7250*75/2000</f>
        <v>271.875</v>
      </c>
      <c r="G31" s="348"/>
      <c r="H31" s="346">
        <f>459*75/2000</f>
        <v>17.212499999999999</v>
      </c>
      <c r="I31" s="346">
        <f>61*75/2000</f>
        <v>2.2875000000000001</v>
      </c>
      <c r="J31" s="347"/>
      <c r="K31" s="346">
        <f>1394*85/2000</f>
        <v>59.244999999999997</v>
      </c>
      <c r="L31" s="346">
        <f>346*85/2000</f>
        <v>14.705</v>
      </c>
      <c r="M31" s="347"/>
      <c r="N31" s="349">
        <v>2157</v>
      </c>
      <c r="O31" s="346">
        <v>10217</v>
      </c>
      <c r="P31" s="68"/>
      <c r="Q31" s="75"/>
      <c r="R31" s="75"/>
    </row>
    <row r="32" spans="1:18" ht="10.5" customHeight="1">
      <c r="A32" s="18" t="s">
        <v>82</v>
      </c>
      <c r="B32" s="346">
        <f>9713*90/2000</f>
        <v>437.08499999999998</v>
      </c>
      <c r="C32" s="346">
        <f>193287*90/2000</f>
        <v>8697.9150000000009</v>
      </c>
      <c r="D32" s="347"/>
      <c r="E32" s="346">
        <f>49800*75/2000</f>
        <v>1867.5</v>
      </c>
      <c r="F32" s="346">
        <f>12200*75/2000</f>
        <v>457.5</v>
      </c>
      <c r="G32" s="348"/>
      <c r="H32" s="346">
        <f>399*75/2000</f>
        <v>14.9625</v>
      </c>
      <c r="I32" s="346">
        <f>71*75/2000</f>
        <v>2.6625000000000001</v>
      </c>
      <c r="J32" s="347"/>
      <c r="K32" s="346">
        <f>1128*85/2000</f>
        <v>47.94</v>
      </c>
      <c r="L32" s="346">
        <f>442*85/2000</f>
        <v>18.785</v>
      </c>
      <c r="M32" s="347"/>
      <c r="N32" s="349">
        <v>2368</v>
      </c>
      <c r="O32" s="346">
        <v>9177</v>
      </c>
      <c r="P32" s="68"/>
      <c r="Q32" s="75"/>
      <c r="R32" s="75"/>
    </row>
    <row r="33" spans="1:18" ht="10.5" customHeight="1">
      <c r="A33" s="18" t="s">
        <v>83</v>
      </c>
      <c r="B33" s="346">
        <f>9893*90/2000</f>
        <v>445.185</v>
      </c>
      <c r="C33" s="346">
        <f>232107*90/2000</f>
        <v>10444.815000000001</v>
      </c>
      <c r="D33" s="347"/>
      <c r="E33" s="346">
        <f>44500*75/2000</f>
        <v>1668.75</v>
      </c>
      <c r="F33" s="346">
        <f>6000*75/2000</f>
        <v>225</v>
      </c>
      <c r="G33" s="348"/>
      <c r="H33" s="346">
        <f>368*75/2000</f>
        <v>13.8</v>
      </c>
      <c r="I33" s="346">
        <f>102*75/2000</f>
        <v>3.8250000000000002</v>
      </c>
      <c r="J33" s="347"/>
      <c r="K33" s="346">
        <f>1169*85/2000</f>
        <v>49.682499999999997</v>
      </c>
      <c r="L33" s="346">
        <f>481*85/2000</f>
        <v>20.442499999999999</v>
      </c>
      <c r="M33" s="347"/>
      <c r="N33" s="349">
        <v>2177</v>
      </c>
      <c r="O33" s="346">
        <v>10695</v>
      </c>
      <c r="P33" s="68"/>
      <c r="Q33" s="75"/>
      <c r="R33" s="75"/>
    </row>
    <row r="34" spans="1:18" ht="4.5" customHeight="1">
      <c r="A34" s="18"/>
      <c r="B34" s="346"/>
      <c r="C34" s="346"/>
      <c r="D34" s="347"/>
      <c r="E34" s="346"/>
      <c r="F34" s="346"/>
      <c r="G34" s="348"/>
      <c r="H34" s="346"/>
      <c r="I34" s="346"/>
      <c r="J34" s="347"/>
      <c r="K34" s="346"/>
      <c r="L34" s="346"/>
      <c r="M34" s="347"/>
      <c r="N34" s="349"/>
      <c r="O34" s="346"/>
      <c r="P34" s="68"/>
      <c r="Q34" s="75"/>
      <c r="R34" s="75"/>
    </row>
    <row r="35" spans="1:18" ht="10.5" customHeight="1">
      <c r="A35" s="18" t="s">
        <v>84</v>
      </c>
      <c r="B35" s="346">
        <f>7397*90/2000</f>
        <v>332.86500000000001</v>
      </c>
      <c r="C35" s="346">
        <f>142403*90/2000</f>
        <v>6408.1350000000002</v>
      </c>
      <c r="D35" s="347"/>
      <c r="E35" s="346">
        <f>49200*75/2000</f>
        <v>1845</v>
      </c>
      <c r="F35" s="346">
        <f>15300*75/2000</f>
        <v>573.75</v>
      </c>
      <c r="G35" s="348"/>
      <c r="H35" s="346">
        <f>333*75/2000</f>
        <v>12.487500000000001</v>
      </c>
      <c r="I35" s="346">
        <f>97*75/2000</f>
        <v>3.6375000000000002</v>
      </c>
      <c r="J35" s="347"/>
      <c r="K35" s="346">
        <f>1232*85/2000</f>
        <v>52.36</v>
      </c>
      <c r="L35" s="346">
        <f>538*85/2000</f>
        <v>22.864999999999998</v>
      </c>
      <c r="M35" s="347"/>
      <c r="N35" s="349">
        <v>2242</v>
      </c>
      <c r="O35" s="346">
        <v>7009</v>
      </c>
      <c r="P35" s="68"/>
      <c r="Q35" s="75"/>
      <c r="R35" s="75"/>
    </row>
    <row r="36" spans="1:18" ht="10.5" customHeight="1">
      <c r="A36" s="18" t="s">
        <v>85</v>
      </c>
      <c r="B36" s="346">
        <f>7314*90/2000</f>
        <v>329.13</v>
      </c>
      <c r="C36" s="346">
        <f>140386*90/2000</f>
        <v>6317.37</v>
      </c>
      <c r="D36" s="347"/>
      <c r="E36" s="346">
        <f>44000*75/2000</f>
        <v>1650</v>
      </c>
      <c r="F36" s="346">
        <f>17000*75/2000</f>
        <v>637.5</v>
      </c>
      <c r="G36" s="348"/>
      <c r="H36" s="346">
        <f>236*75/2000</f>
        <v>8.85</v>
      </c>
      <c r="I36" s="346">
        <f>214*75/2000</f>
        <v>8.0250000000000004</v>
      </c>
      <c r="J36" s="347"/>
      <c r="K36" s="346">
        <f>1270*85/2000</f>
        <v>53.975000000000001</v>
      </c>
      <c r="L36" s="346">
        <f>330*85/2000</f>
        <v>14.025</v>
      </c>
      <c r="M36" s="347"/>
      <c r="N36" s="349">
        <v>2042</v>
      </c>
      <c r="O36" s="346">
        <v>6978</v>
      </c>
      <c r="P36" s="68"/>
      <c r="Q36" s="75"/>
      <c r="R36" s="75"/>
    </row>
    <row r="37" spans="1:18" ht="10.5" customHeight="1">
      <c r="A37" s="18" t="s">
        <v>86</v>
      </c>
      <c r="B37" s="346">
        <f>6396*90/2000</f>
        <v>287.82</v>
      </c>
      <c r="C37" s="346">
        <f>122604*90/2000</f>
        <v>5517.18</v>
      </c>
      <c r="D37" s="347"/>
      <c r="E37" s="346">
        <f>27200*75/2000</f>
        <v>1020</v>
      </c>
      <c r="F37" s="346">
        <f>18800*75/2000</f>
        <v>705</v>
      </c>
      <c r="G37" s="348"/>
      <c r="H37" s="346">
        <f>182*75/2000</f>
        <v>6.8250000000000002</v>
      </c>
      <c r="I37" s="346">
        <f>118*75/2000</f>
        <v>4.4249999999999998</v>
      </c>
      <c r="J37" s="347"/>
      <c r="K37" s="346">
        <f>1472*85/2000</f>
        <v>62.56</v>
      </c>
      <c r="L37" s="346">
        <f>508*85/2000</f>
        <v>21.59</v>
      </c>
      <c r="M37" s="347"/>
      <c r="N37" s="349">
        <f t="shared" ref="N37:O45" si="0">SUM(K37,E37,B37)</f>
        <v>1370.3799999999999</v>
      </c>
      <c r="O37" s="346">
        <f t="shared" si="0"/>
        <v>6243.77</v>
      </c>
      <c r="P37" s="68"/>
      <c r="Q37" s="75"/>
      <c r="R37" s="75"/>
    </row>
    <row r="38" spans="1:18" ht="10.5" customHeight="1">
      <c r="A38" s="18" t="s">
        <v>87</v>
      </c>
      <c r="B38" s="346">
        <f>5795*90/2000</f>
        <v>260.77499999999998</v>
      </c>
      <c r="C38" s="346">
        <f>164405*90/2000</f>
        <v>7398.2250000000004</v>
      </c>
      <c r="D38" s="347"/>
      <c r="E38" s="346">
        <f>47200*75/2000</f>
        <v>1770</v>
      </c>
      <c r="F38" s="346">
        <f>14800*75/2000</f>
        <v>555</v>
      </c>
      <c r="G38" s="348"/>
      <c r="H38" s="346">
        <f>255*75/2000</f>
        <v>9.5625</v>
      </c>
      <c r="I38" s="346">
        <f>125*75/2000</f>
        <v>4.6875</v>
      </c>
      <c r="J38" s="347"/>
      <c r="K38" s="346">
        <f>1381*85/2000</f>
        <v>58.692500000000003</v>
      </c>
      <c r="L38" s="346">
        <f>415*85/2000</f>
        <v>17.637499999999999</v>
      </c>
      <c r="M38" s="347"/>
      <c r="N38" s="349">
        <f t="shared" si="0"/>
        <v>2089.4675000000002</v>
      </c>
      <c r="O38" s="346">
        <f t="shared" si="0"/>
        <v>7970.8625000000002</v>
      </c>
      <c r="P38" s="68"/>
      <c r="Q38" s="75"/>
      <c r="R38" s="75"/>
    </row>
    <row r="39" spans="1:18" ht="10.5" customHeight="1">
      <c r="A39" s="18" t="s">
        <v>88</v>
      </c>
      <c r="B39" s="346">
        <f>6927*90/2000</f>
        <v>311.71499999999997</v>
      </c>
      <c r="C39" s="346">
        <f>155573*90/2000</f>
        <v>7000.7849999999999</v>
      </c>
      <c r="D39" s="347"/>
      <c r="E39" s="346">
        <f>39100*75/2000</f>
        <v>1466.25</v>
      </c>
      <c r="F39" s="346">
        <f>7400*75/2000</f>
        <v>277.5</v>
      </c>
      <c r="G39" s="348"/>
      <c r="H39" s="346">
        <f>162*75/2000</f>
        <v>6.0750000000000002</v>
      </c>
      <c r="I39" s="346">
        <f>88*75/2000</f>
        <v>3.3</v>
      </c>
      <c r="J39" s="347"/>
      <c r="K39" s="346">
        <f>1243*85/2000</f>
        <v>52.827500000000001</v>
      </c>
      <c r="L39" s="346">
        <f>216*85/2000</f>
        <v>9.18</v>
      </c>
      <c r="M39" s="347"/>
      <c r="N39" s="349">
        <f t="shared" si="0"/>
        <v>1830.7925</v>
      </c>
      <c r="O39" s="346">
        <f t="shared" si="0"/>
        <v>7287.4650000000001</v>
      </c>
      <c r="P39" s="68"/>
      <c r="Q39" s="75"/>
      <c r="R39" s="75"/>
    </row>
    <row r="40" spans="1:18" s="59" customFormat="1" ht="10.5" customHeight="1">
      <c r="A40" s="18" t="s">
        <v>89</v>
      </c>
      <c r="B40" s="346">
        <f>5860*90/2000</f>
        <v>263.7</v>
      </c>
      <c r="C40" s="346">
        <f>127840*90/2000</f>
        <v>5752.8</v>
      </c>
      <c r="D40" s="347"/>
      <c r="E40" s="346">
        <f>47900*75/2000</f>
        <v>1796.25</v>
      </c>
      <c r="F40" s="346">
        <f>9600*75/2000</f>
        <v>360</v>
      </c>
      <c r="G40" s="348"/>
      <c r="H40" s="350" t="s">
        <v>218</v>
      </c>
      <c r="I40" s="350" t="s">
        <v>218</v>
      </c>
      <c r="J40" s="347"/>
      <c r="K40" s="346">
        <f>1447*85/2000</f>
        <v>61.497500000000002</v>
      </c>
      <c r="L40" s="346">
        <f>188*85/2000</f>
        <v>7.99</v>
      </c>
      <c r="M40" s="347"/>
      <c r="N40" s="349">
        <f t="shared" si="0"/>
        <v>2121.4474999999998</v>
      </c>
      <c r="O40" s="346">
        <f t="shared" si="0"/>
        <v>6120.79</v>
      </c>
      <c r="P40" s="351"/>
      <c r="Q40" s="352"/>
      <c r="R40" s="352"/>
    </row>
    <row r="41" spans="1:18" ht="10.5" customHeight="1">
      <c r="A41" s="18" t="s">
        <v>91</v>
      </c>
      <c r="B41" s="346">
        <f>5959*90/2000</f>
        <v>268.15499999999997</v>
      </c>
      <c r="C41" s="346">
        <f>134541*90/2000</f>
        <v>6054.3450000000003</v>
      </c>
      <c r="D41" s="347"/>
      <c r="E41" s="346">
        <f>49100*80/2000</f>
        <v>1964</v>
      </c>
      <c r="F41" s="346">
        <f>13400*80/2000</f>
        <v>536</v>
      </c>
      <c r="G41" s="348"/>
      <c r="H41" s="350" t="s">
        <v>218</v>
      </c>
      <c r="I41" s="350" t="s">
        <v>218</v>
      </c>
      <c r="J41" s="347"/>
      <c r="K41" s="346">
        <f>1653*85/2000</f>
        <v>70.252499999999998</v>
      </c>
      <c r="L41" s="346">
        <f>296*85/2000</f>
        <v>12.58</v>
      </c>
      <c r="M41" s="347"/>
      <c r="N41" s="349">
        <f t="shared" si="0"/>
        <v>2302.4075000000003</v>
      </c>
      <c r="O41" s="346">
        <f t="shared" si="0"/>
        <v>6602.9250000000002</v>
      </c>
      <c r="P41" s="68"/>
      <c r="Q41" s="75"/>
      <c r="R41" s="75"/>
    </row>
    <row r="42" spans="1:18" ht="3" customHeight="1">
      <c r="A42" s="18"/>
      <c r="B42" s="346"/>
      <c r="C42" s="346"/>
      <c r="D42" s="347"/>
      <c r="E42" s="346"/>
      <c r="F42" s="346"/>
      <c r="G42" s="348"/>
      <c r="H42" s="350"/>
      <c r="I42" s="350"/>
      <c r="J42" s="347"/>
      <c r="K42" s="346"/>
      <c r="L42" s="346"/>
      <c r="M42" s="347"/>
      <c r="N42" s="349"/>
      <c r="O42" s="346"/>
      <c r="P42" s="68"/>
      <c r="Q42" s="75"/>
      <c r="R42" s="75"/>
    </row>
    <row r="43" spans="1:18" ht="10.5" customHeight="1">
      <c r="A43" s="18" t="s">
        <v>92</v>
      </c>
      <c r="B43" s="346">
        <f>6088*90/2000</f>
        <v>273.95999999999998</v>
      </c>
      <c r="C43" s="346">
        <f>140612*90/2000</f>
        <v>6327.54</v>
      </c>
      <c r="D43" s="347"/>
      <c r="E43" s="346">
        <f>48800*80/2000</f>
        <v>1952</v>
      </c>
      <c r="F43" s="346">
        <f>9200*80/2000</f>
        <v>368</v>
      </c>
      <c r="G43" s="348"/>
      <c r="H43" s="350" t="s">
        <v>218</v>
      </c>
      <c r="I43" s="350" t="s">
        <v>218</v>
      </c>
      <c r="J43" s="347"/>
      <c r="K43" s="346">
        <f>1259*85/2000</f>
        <v>53.5075</v>
      </c>
      <c r="L43" s="346">
        <f>160*85/2000</f>
        <v>6.8</v>
      </c>
      <c r="M43" s="347"/>
      <c r="N43" s="349">
        <f>SUM(K43,E43,B43)</f>
        <v>2279.4674999999997</v>
      </c>
      <c r="O43" s="346">
        <f t="shared" si="0"/>
        <v>6702.34</v>
      </c>
      <c r="P43" s="68"/>
      <c r="Q43" s="75"/>
      <c r="R43" s="75"/>
    </row>
    <row r="44" spans="1:18" ht="10.5" customHeight="1">
      <c r="A44" s="18" t="s">
        <v>93</v>
      </c>
      <c r="B44" s="346">
        <f>5974*90/2000</f>
        <v>268.83</v>
      </c>
      <c r="C44" s="346">
        <f>127626*90/2000</f>
        <v>5743.17</v>
      </c>
      <c r="D44" s="347"/>
      <c r="E44" s="346">
        <f>47600*80/2000</f>
        <v>1904</v>
      </c>
      <c r="F44" s="346">
        <f>6900*80/2000</f>
        <v>276</v>
      </c>
      <c r="G44" s="348"/>
      <c r="H44" s="350" t="s">
        <v>218</v>
      </c>
      <c r="I44" s="350" t="s">
        <v>218</v>
      </c>
      <c r="J44" s="347"/>
      <c r="K44" s="346">
        <f>1520*85/2000</f>
        <v>64.599999999999994</v>
      </c>
      <c r="L44" s="346">
        <f>273*85/2000</f>
        <v>11.602499999999999</v>
      </c>
      <c r="M44" s="347"/>
      <c r="N44" s="349">
        <f t="shared" ref="N44:N48" si="1">SUM(K44,E44,B44)</f>
        <v>2237.4299999999998</v>
      </c>
      <c r="O44" s="346">
        <f t="shared" si="0"/>
        <v>6030.7725</v>
      </c>
      <c r="P44" s="68"/>
      <c r="Q44" s="75"/>
      <c r="R44" s="75"/>
    </row>
    <row r="45" spans="1:18" ht="10.5" customHeight="1">
      <c r="A45" s="18" t="s">
        <v>94</v>
      </c>
      <c r="B45" s="346">
        <f>5500*90/2000</f>
        <v>247.5</v>
      </c>
      <c r="C45" s="346">
        <f>99200*90/2000</f>
        <v>4464</v>
      </c>
      <c r="D45" s="347"/>
      <c r="E45" s="346">
        <f>39600*80/2000</f>
        <v>1584</v>
      </c>
      <c r="F45" s="346">
        <f>9900*80/2000</f>
        <v>396</v>
      </c>
      <c r="G45" s="348"/>
      <c r="H45" s="350" t="s">
        <v>218</v>
      </c>
      <c r="I45" s="350" t="s">
        <v>218</v>
      </c>
      <c r="J45" s="347"/>
      <c r="K45" s="346">
        <f>1501*85/2000</f>
        <v>63.792499999999997</v>
      </c>
      <c r="L45" s="346">
        <f>276*85/2000</f>
        <v>11.73</v>
      </c>
      <c r="M45" s="347"/>
      <c r="N45" s="349">
        <v>1896</v>
      </c>
      <c r="O45" s="346">
        <f t="shared" si="0"/>
        <v>4871.7299999999996</v>
      </c>
      <c r="P45" s="68"/>
      <c r="Q45" s="75"/>
      <c r="R45" s="75"/>
    </row>
    <row r="46" spans="1:18" ht="10.5" customHeight="1">
      <c r="A46" s="18" t="s">
        <v>95</v>
      </c>
      <c r="B46" s="346">
        <f>4970*90/2000</f>
        <v>223.65</v>
      </c>
      <c r="C46" s="346">
        <f>91980*90/2000</f>
        <v>4139.1000000000004</v>
      </c>
      <c r="D46" s="347"/>
      <c r="E46" s="346">
        <f>38000*80/2000</f>
        <v>1520</v>
      </c>
      <c r="F46" s="346">
        <f>10200*80/2000</f>
        <v>408</v>
      </c>
      <c r="G46" s="348"/>
      <c r="H46" s="350" t="s">
        <v>218</v>
      </c>
      <c r="I46" s="350" t="s">
        <v>218</v>
      </c>
      <c r="J46" s="347"/>
      <c r="K46" s="346">
        <f>1244*85/2000</f>
        <v>52.87</v>
      </c>
      <c r="L46" s="346">
        <f>208*85/2000</f>
        <v>8.84</v>
      </c>
      <c r="M46" s="347"/>
      <c r="N46" s="349">
        <f t="shared" si="1"/>
        <v>1796.52</v>
      </c>
      <c r="O46" s="346">
        <f>SUM(L46,F46,C46)</f>
        <v>4555.9400000000005</v>
      </c>
      <c r="P46" s="68"/>
      <c r="Q46" s="75"/>
      <c r="R46" s="75"/>
    </row>
    <row r="47" spans="1:18" ht="10.5" customHeight="1">
      <c r="A47" s="18" t="s">
        <v>290</v>
      </c>
      <c r="B47" s="346">
        <f>3930*90/2000</f>
        <v>176.85</v>
      </c>
      <c r="C47" s="346">
        <f>77770*90/2000</f>
        <v>3499.65</v>
      </c>
      <c r="D47" s="347"/>
      <c r="E47" s="346">
        <f>44800*80/2000</f>
        <v>1792</v>
      </c>
      <c r="F47" s="346">
        <f>13700*80/2000</f>
        <v>548</v>
      </c>
      <c r="G47" s="348"/>
      <c r="H47" s="350" t="s">
        <v>218</v>
      </c>
      <c r="I47" s="350" t="s">
        <v>218</v>
      </c>
      <c r="J47" s="347"/>
      <c r="K47" s="346">
        <f>1370*85/2000</f>
        <v>58.225000000000001</v>
      </c>
      <c r="L47" s="346">
        <f>321*85/2000</f>
        <v>13.6425</v>
      </c>
      <c r="M47" s="347"/>
      <c r="N47" s="349">
        <f t="shared" si="1"/>
        <v>2027.0749999999998</v>
      </c>
      <c r="O47" s="346">
        <f>SUM(L47,F47,C47)</f>
        <v>4061.2925</v>
      </c>
      <c r="P47" s="68"/>
      <c r="Q47" s="75"/>
      <c r="R47" s="75"/>
    </row>
    <row r="48" spans="1:18" ht="10.5" customHeight="1">
      <c r="A48" s="18" t="s">
        <v>299</v>
      </c>
      <c r="B48" s="346">
        <f>2803*90/2000</f>
        <v>126.13500000000001</v>
      </c>
      <c r="C48" s="346">
        <f>66047*90/2000</f>
        <v>2972.1149999999998</v>
      </c>
      <c r="D48" s="347"/>
      <c r="E48" s="346">
        <f>40100*80/2000</f>
        <v>1604</v>
      </c>
      <c r="F48" s="346">
        <f>8200*80/2000</f>
        <v>328</v>
      </c>
      <c r="G48" s="348"/>
      <c r="H48" s="350" t="s">
        <v>218</v>
      </c>
      <c r="I48" s="350" t="s">
        <v>218</v>
      </c>
      <c r="J48" s="347"/>
      <c r="K48" s="346">
        <f>1180*85/2000</f>
        <v>50.15</v>
      </c>
      <c r="L48" s="346">
        <f>190*85/2000</f>
        <v>8.0749999999999993</v>
      </c>
      <c r="M48" s="347"/>
      <c r="N48" s="349">
        <f t="shared" si="1"/>
        <v>1780.2850000000001</v>
      </c>
      <c r="O48" s="346">
        <f>SUM(L48,F48,C48)</f>
        <v>3308.1899999999996</v>
      </c>
      <c r="P48" s="68"/>
      <c r="Q48" s="75"/>
      <c r="R48" s="75"/>
    </row>
    <row r="49" spans="1:18" ht="10.5" customHeight="1">
      <c r="A49" s="18" t="s">
        <v>313</v>
      </c>
      <c r="B49" s="346">
        <f>2759*90/2000</f>
        <v>124.155</v>
      </c>
      <c r="C49" s="346">
        <f>42291*90/2000</f>
        <v>1903.095</v>
      </c>
      <c r="D49" s="347"/>
      <c r="E49" s="346">
        <f>36800*80/2000</f>
        <v>1472</v>
      </c>
      <c r="F49" s="346">
        <f>7400*80/2000</f>
        <v>296</v>
      </c>
      <c r="G49" s="348"/>
      <c r="H49" s="350" t="s">
        <v>218</v>
      </c>
      <c r="I49" s="350" t="s">
        <v>218</v>
      </c>
      <c r="J49" s="347"/>
      <c r="K49" s="346">
        <f>1490*85/2000</f>
        <v>63.325000000000003</v>
      </c>
      <c r="L49" s="346">
        <f>390*85/2000</f>
        <v>16.574999999999999</v>
      </c>
      <c r="M49" s="347"/>
      <c r="N49" s="349">
        <f t="shared" ref="N49:N50" si="2">SUM(K49,E49,B49)</f>
        <v>1659.48</v>
      </c>
      <c r="O49" s="346">
        <f t="shared" ref="O49:O50" si="3">SUM(L49,F49,C49)</f>
        <v>2215.67</v>
      </c>
      <c r="P49" s="68"/>
      <c r="Q49" s="75"/>
      <c r="R49" s="75"/>
    </row>
    <row r="50" spans="1:18" ht="10.5" customHeight="1">
      <c r="A50" s="140" t="s">
        <v>320</v>
      </c>
      <c r="B50" s="353">
        <f>2765*90/2000</f>
        <v>124.425</v>
      </c>
      <c r="C50" s="353">
        <f>68985*90/2000</f>
        <v>3104.3249999999998</v>
      </c>
      <c r="D50" s="354"/>
      <c r="E50" s="353">
        <f>37100*80/2000</f>
        <v>1484</v>
      </c>
      <c r="F50" s="353">
        <f>12700*80/2000</f>
        <v>508</v>
      </c>
      <c r="G50" s="355"/>
      <c r="H50" s="356" t="s">
        <v>218</v>
      </c>
      <c r="I50" s="356" t="s">
        <v>218</v>
      </c>
      <c r="J50" s="354"/>
      <c r="K50" s="353">
        <f>1070*85/2000</f>
        <v>45.475000000000001</v>
      </c>
      <c r="L50" s="353">
        <f>1430*85/2000</f>
        <v>60.774999999999999</v>
      </c>
      <c r="M50" s="354"/>
      <c r="N50" s="357">
        <f t="shared" si="2"/>
        <v>1653.8999999999999</v>
      </c>
      <c r="O50" s="353">
        <f t="shared" si="3"/>
        <v>3673.1</v>
      </c>
      <c r="P50" s="68"/>
      <c r="Q50" s="75"/>
      <c r="R50" s="75"/>
    </row>
    <row r="51" spans="1:18">
      <c r="A51" s="95" t="s">
        <v>109</v>
      </c>
      <c r="B51" s="346"/>
      <c r="C51" s="346"/>
      <c r="D51" s="347"/>
      <c r="E51" s="346"/>
      <c r="F51" s="346"/>
      <c r="G51" s="348"/>
      <c r="H51" s="350"/>
      <c r="I51" s="350"/>
      <c r="J51" s="347"/>
      <c r="K51" s="346"/>
      <c r="L51" s="346"/>
      <c r="M51" s="347"/>
      <c r="N51" s="349"/>
      <c r="O51" s="346"/>
      <c r="P51" s="68"/>
      <c r="Q51" s="75"/>
      <c r="R51" s="75"/>
    </row>
    <row r="52" spans="1:18">
      <c r="A52" s="358" t="s">
        <v>223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68"/>
      <c r="Q52" s="75"/>
      <c r="R52" s="75"/>
    </row>
    <row r="53" spans="1:18">
      <c r="A53" s="359" t="s">
        <v>224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68"/>
      <c r="Q53" s="75"/>
      <c r="R53" s="75"/>
    </row>
    <row r="54" spans="1:18">
      <c r="A54" s="360" t="s">
        <v>225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68"/>
    </row>
    <row r="55" spans="1:18">
      <c r="A55" s="39" t="s">
        <v>50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</row>
    <row r="56" spans="1:18" ht="8.1" customHeight="1">
      <c r="A56" s="99"/>
    </row>
  </sheetData>
  <pageMargins left="0.66700000000000004" right="0.66700000000000004" top="0.66700000000000004" bottom="0.72" header="0" footer="0"/>
  <pageSetup firstPageNumber="91" orientation="portrait" useFirstPageNumber="1" r:id="rId1"/>
  <headerFooter alignWithMargins="0"/>
  <ignoredErrors>
    <ignoredError sqref="K11:L11 K18:L18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U57"/>
  <sheetViews>
    <sheetView showGridLines="0" zoomScaleNormal="100" workbookViewId="0">
      <pane xSplit="1" ySplit="6" topLeftCell="B49" activePane="bottomRight" state="frozen"/>
      <selection pane="topRight" activeCell="B1" sqref="B1"/>
      <selection pane="bottomLeft" activeCell="A7" sqref="A7"/>
      <selection pane="bottomRight" activeCell="Y72" sqref="Y72"/>
    </sheetView>
  </sheetViews>
  <sheetFormatPr defaultColWidth="9.7109375" defaultRowHeight="12"/>
  <cols>
    <col min="1" max="1" width="9.140625" customWidth="1"/>
    <col min="2" max="2" width="5.5703125" customWidth="1"/>
    <col min="3" max="3" width="6.5703125" customWidth="1"/>
    <col min="4" max="4" width="5.140625" customWidth="1"/>
    <col min="5" max="5" width="1.28515625" customWidth="1"/>
    <col min="6" max="6" width="5.5703125" customWidth="1"/>
    <col min="7" max="7" width="6.42578125" customWidth="1"/>
    <col min="8" max="8" width="5.140625" customWidth="1"/>
    <col min="9" max="9" width="1.28515625" customWidth="1"/>
    <col min="10" max="10" width="5.5703125" customWidth="1"/>
    <col min="11" max="11" width="6.42578125" customWidth="1"/>
    <col min="12" max="12" width="5.140625" customWidth="1"/>
    <col min="13" max="13" width="1.28515625" customWidth="1"/>
    <col min="14" max="14" width="5.5703125" customWidth="1"/>
    <col min="15" max="15" width="6.42578125" customWidth="1"/>
    <col min="16" max="16" width="5.140625" customWidth="1"/>
    <col min="17" max="17" width="1.28515625" customWidth="1"/>
    <col min="18" max="18" width="5.5703125" customWidth="1"/>
    <col min="19" max="19" width="6.5703125" customWidth="1"/>
    <col min="20" max="20" width="5.140625" customWidth="1"/>
  </cols>
  <sheetData>
    <row r="1" spans="1:21" ht="12" customHeight="1">
      <c r="A1" s="421" t="s">
        <v>226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3"/>
    </row>
    <row r="2" spans="1:21" ht="12" customHeight="1">
      <c r="A2" s="424"/>
      <c r="B2" s="425" t="s">
        <v>1</v>
      </c>
      <c r="C2" s="426"/>
      <c r="D2" s="425"/>
      <c r="E2" s="427"/>
      <c r="F2" s="428" t="s">
        <v>2</v>
      </c>
      <c r="G2" s="428"/>
      <c r="H2" s="428"/>
      <c r="I2" s="429"/>
      <c r="J2" s="428" t="s">
        <v>3</v>
      </c>
      <c r="K2" s="426"/>
      <c r="L2" s="428"/>
      <c r="M2" s="427"/>
      <c r="N2" s="428" t="s">
        <v>4</v>
      </c>
      <c r="O2" s="426"/>
      <c r="P2" s="428"/>
      <c r="Q2" s="427"/>
      <c r="R2" s="428" t="s">
        <v>5</v>
      </c>
      <c r="S2" s="428"/>
      <c r="T2" s="428"/>
      <c r="U2" s="423"/>
    </row>
    <row r="3" spans="1:21" ht="12" customHeight="1">
      <c r="A3" s="430" t="s">
        <v>57</v>
      </c>
      <c r="B3" s="431"/>
      <c r="C3" s="431" t="s">
        <v>114</v>
      </c>
      <c r="D3" s="431"/>
      <c r="E3" s="427"/>
      <c r="F3" s="431"/>
      <c r="G3" s="431" t="s">
        <v>114</v>
      </c>
      <c r="H3" s="431"/>
      <c r="I3" s="427"/>
      <c r="J3" s="431"/>
      <c r="K3" s="431" t="s">
        <v>114</v>
      </c>
      <c r="L3" s="431"/>
      <c r="M3" s="427"/>
      <c r="N3" s="431"/>
      <c r="O3" s="431" t="s">
        <v>114</v>
      </c>
      <c r="P3" s="431"/>
      <c r="Q3" s="427"/>
      <c r="R3" s="431"/>
      <c r="S3" s="431" t="s">
        <v>114</v>
      </c>
      <c r="T3" s="431"/>
      <c r="U3" s="423"/>
    </row>
    <row r="4" spans="1:21" ht="12" customHeight="1">
      <c r="A4" s="432"/>
      <c r="B4" s="433" t="s">
        <v>101</v>
      </c>
      <c r="C4" s="434" t="s">
        <v>115</v>
      </c>
      <c r="D4" s="434" t="s">
        <v>116</v>
      </c>
      <c r="E4" s="435"/>
      <c r="F4" s="433" t="s">
        <v>101</v>
      </c>
      <c r="G4" s="434" t="s">
        <v>115</v>
      </c>
      <c r="H4" s="434" t="s">
        <v>116</v>
      </c>
      <c r="I4" s="435"/>
      <c r="J4" s="433" t="s">
        <v>101</v>
      </c>
      <c r="K4" s="434" t="s">
        <v>115</v>
      </c>
      <c r="L4" s="434" t="s">
        <v>116</v>
      </c>
      <c r="M4" s="435"/>
      <c r="N4" s="433" t="s">
        <v>101</v>
      </c>
      <c r="O4" s="434" t="s">
        <v>115</v>
      </c>
      <c r="P4" s="434" t="s">
        <v>116</v>
      </c>
      <c r="Q4" s="435"/>
      <c r="R4" s="433" t="s">
        <v>101</v>
      </c>
      <c r="S4" s="434" t="s">
        <v>115</v>
      </c>
      <c r="T4" s="434" t="s">
        <v>116</v>
      </c>
      <c r="U4" s="423"/>
    </row>
    <row r="5" spans="1:21" ht="3.95" customHeight="1">
      <c r="A5" s="436"/>
      <c r="B5" s="437"/>
      <c r="C5" s="431"/>
      <c r="D5" s="431"/>
      <c r="E5" s="438"/>
      <c r="F5" s="437"/>
      <c r="G5" s="431"/>
      <c r="H5" s="431"/>
      <c r="I5" s="438"/>
      <c r="J5" s="437"/>
      <c r="K5" s="431"/>
      <c r="L5" s="431"/>
      <c r="M5" s="438"/>
      <c r="N5" s="437"/>
      <c r="O5" s="431"/>
      <c r="P5" s="431"/>
      <c r="Q5" s="438"/>
      <c r="R5" s="437"/>
      <c r="S5" s="431"/>
      <c r="T5" s="431"/>
      <c r="U5" s="423"/>
    </row>
    <row r="6" spans="1:21" ht="12" customHeight="1">
      <c r="A6" s="439"/>
      <c r="B6" s="440" t="s">
        <v>302</v>
      </c>
      <c r="C6" s="429"/>
      <c r="D6" s="429"/>
      <c r="E6" s="429"/>
      <c r="F6" s="429"/>
      <c r="G6" s="429"/>
      <c r="H6" s="429"/>
      <c r="I6" s="429"/>
      <c r="J6" s="441"/>
      <c r="K6" s="429"/>
      <c r="L6" s="429"/>
      <c r="M6" s="429"/>
      <c r="N6" s="429"/>
      <c r="O6" s="429"/>
      <c r="P6" s="429"/>
      <c r="Q6" s="429"/>
      <c r="R6" s="429"/>
      <c r="S6" s="429"/>
      <c r="T6" s="429"/>
      <c r="U6" s="423"/>
    </row>
    <row r="7" spans="1:21" ht="3" customHeight="1">
      <c r="A7" s="439"/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23"/>
    </row>
    <row r="8" spans="1:21" ht="11.45" customHeight="1">
      <c r="A8" s="427" t="s">
        <v>60</v>
      </c>
      <c r="B8" s="442">
        <v>5.79</v>
      </c>
      <c r="C8" s="443">
        <v>3.96</v>
      </c>
      <c r="D8" s="442">
        <v>4.04</v>
      </c>
      <c r="E8" s="444"/>
      <c r="F8" s="442">
        <v>5.46</v>
      </c>
      <c r="G8" s="445">
        <v>-0.28000000000000003</v>
      </c>
      <c r="H8" s="442">
        <v>3.03</v>
      </c>
      <c r="I8" s="444"/>
      <c r="J8" s="442">
        <v>4.13</v>
      </c>
      <c r="K8" s="446">
        <v>3.07</v>
      </c>
      <c r="L8" s="442">
        <v>3.76</v>
      </c>
      <c r="M8" s="444"/>
      <c r="N8" s="442">
        <v>4.1100000000000003</v>
      </c>
      <c r="O8" s="447">
        <v>-0.71</v>
      </c>
      <c r="P8" s="442">
        <v>2.41</v>
      </c>
      <c r="Q8" s="444"/>
      <c r="R8" s="442">
        <v>5.39</v>
      </c>
      <c r="S8" s="443">
        <v>3.3</v>
      </c>
      <c r="T8" s="442">
        <v>3.75</v>
      </c>
      <c r="U8" s="423"/>
    </row>
    <row r="9" spans="1:21" ht="11.45" customHeight="1">
      <c r="A9" s="427" t="s">
        <v>61</v>
      </c>
      <c r="B9" s="442">
        <v>6.51</v>
      </c>
      <c r="C9" s="443">
        <v>4.1399999999999997</v>
      </c>
      <c r="D9" s="442">
        <v>4.28</v>
      </c>
      <c r="E9" s="444"/>
      <c r="F9" s="442">
        <v>9.1</v>
      </c>
      <c r="G9" s="445">
        <v>-0.59</v>
      </c>
      <c r="H9" s="442">
        <v>7.13</v>
      </c>
      <c r="I9" s="444"/>
      <c r="J9" s="442">
        <v>4.01</v>
      </c>
      <c r="K9" s="446">
        <v>3.28</v>
      </c>
      <c r="L9" s="442">
        <v>3.69</v>
      </c>
      <c r="M9" s="444"/>
      <c r="N9" s="442">
        <v>6.22</v>
      </c>
      <c r="O9" s="447">
        <v>-0.05</v>
      </c>
      <c r="P9" s="442">
        <v>4.3099999999999996</v>
      </c>
      <c r="Q9" s="444"/>
      <c r="R9" s="442">
        <v>8.18</v>
      </c>
      <c r="S9" s="443">
        <v>3.78</v>
      </c>
      <c r="T9" s="442">
        <v>4.9400000000000004</v>
      </c>
      <c r="U9" s="423"/>
    </row>
    <row r="10" spans="1:21" ht="11.45" customHeight="1">
      <c r="A10" s="427" t="s">
        <v>62</v>
      </c>
      <c r="B10" s="442">
        <v>5.94</v>
      </c>
      <c r="C10" s="443">
        <v>5.08</v>
      </c>
      <c r="D10" s="442">
        <v>5.15</v>
      </c>
      <c r="E10" s="444"/>
      <c r="F10" s="442">
        <v>4.37</v>
      </c>
      <c r="G10" s="445">
        <v>-0.16</v>
      </c>
      <c r="H10" s="442">
        <v>2.42</v>
      </c>
      <c r="I10" s="444"/>
      <c r="J10" s="442">
        <v>4.16</v>
      </c>
      <c r="K10" s="446">
        <v>2.93</v>
      </c>
      <c r="L10" s="442">
        <v>3.65</v>
      </c>
      <c r="M10" s="444"/>
      <c r="N10" s="442">
        <v>4.5199999999999996</v>
      </c>
      <c r="O10" s="447">
        <v>-0.01</v>
      </c>
      <c r="P10" s="442">
        <v>3.02</v>
      </c>
      <c r="Q10" s="444"/>
      <c r="R10" s="442">
        <v>4.6500000000000004</v>
      </c>
      <c r="S10" s="443">
        <v>3.98</v>
      </c>
      <c r="T10" s="442">
        <v>4.1500000000000004</v>
      </c>
      <c r="U10" s="423"/>
    </row>
    <row r="11" spans="1:21" ht="11.45" customHeight="1">
      <c r="A11" s="427" t="s">
        <v>63</v>
      </c>
      <c r="B11" s="442">
        <v>7.75</v>
      </c>
      <c r="C11" s="443">
        <v>5.61</v>
      </c>
      <c r="D11" s="442">
        <v>5.75</v>
      </c>
      <c r="E11" s="444"/>
      <c r="F11" s="442">
        <v>8.73</v>
      </c>
      <c r="G11" s="445">
        <v>-0.9</v>
      </c>
      <c r="H11" s="442">
        <v>6.55</v>
      </c>
      <c r="I11" s="444"/>
      <c r="J11" s="442">
        <v>3.99</v>
      </c>
      <c r="K11" s="446">
        <v>2.7</v>
      </c>
      <c r="L11" s="442">
        <v>3.41</v>
      </c>
      <c r="M11" s="444"/>
      <c r="N11" s="442">
        <v>7.44</v>
      </c>
      <c r="O11" s="447">
        <v>-0.12</v>
      </c>
      <c r="P11" s="442">
        <v>6.22</v>
      </c>
      <c r="Q11" s="444"/>
      <c r="R11" s="442">
        <v>8.3699999999999992</v>
      </c>
      <c r="S11" s="443">
        <v>5.07</v>
      </c>
      <c r="T11" s="442">
        <v>5.95</v>
      </c>
      <c r="U11" s="423"/>
    </row>
    <row r="12" spans="1:21" ht="12" customHeight="1">
      <c r="A12" s="427" t="s">
        <v>64</v>
      </c>
      <c r="B12" s="442">
        <v>11.11</v>
      </c>
      <c r="C12" s="443">
        <v>6.83</v>
      </c>
      <c r="D12" s="442">
        <v>7.1</v>
      </c>
      <c r="E12" s="444"/>
      <c r="F12" s="442">
        <v>10.01</v>
      </c>
      <c r="G12" s="445">
        <v>1.23</v>
      </c>
      <c r="H12" s="442">
        <v>8</v>
      </c>
      <c r="I12" s="444"/>
      <c r="J12" s="471" t="s">
        <v>306</v>
      </c>
      <c r="K12" s="471" t="s">
        <v>306</v>
      </c>
      <c r="L12" s="471" t="s">
        <v>306</v>
      </c>
      <c r="M12" s="444"/>
      <c r="N12" s="442">
        <v>9.5</v>
      </c>
      <c r="O12" s="447">
        <v>1.3</v>
      </c>
      <c r="P12" s="442">
        <v>7.72</v>
      </c>
      <c r="Q12" s="444"/>
      <c r="R12" s="442">
        <v>10.17</v>
      </c>
      <c r="S12" s="443">
        <v>6.29</v>
      </c>
      <c r="T12" s="442">
        <v>7.37</v>
      </c>
      <c r="U12" s="423"/>
    </row>
    <row r="13" spans="1:21" ht="11.45" customHeight="1">
      <c r="A13" s="427" t="s">
        <v>65</v>
      </c>
      <c r="B13" s="442">
        <v>5.33</v>
      </c>
      <c r="C13" s="443">
        <v>3.83</v>
      </c>
      <c r="D13" s="442">
        <v>3.94</v>
      </c>
      <c r="E13" s="444"/>
      <c r="F13" s="442">
        <v>6.6</v>
      </c>
      <c r="G13" s="445">
        <v>-1.46</v>
      </c>
      <c r="H13" s="442">
        <v>5.0599999999999996</v>
      </c>
      <c r="I13" s="444"/>
      <c r="J13" s="442">
        <v>9.23</v>
      </c>
      <c r="K13" s="446">
        <v>4</v>
      </c>
      <c r="L13" s="442">
        <v>8.89</v>
      </c>
      <c r="M13" s="444"/>
      <c r="N13" s="442">
        <v>6.67</v>
      </c>
      <c r="O13" s="447">
        <v>-1.49</v>
      </c>
      <c r="P13" s="442">
        <v>5.12</v>
      </c>
      <c r="Q13" s="444"/>
      <c r="R13" s="442">
        <v>6.38</v>
      </c>
      <c r="S13" s="443">
        <v>3.43</v>
      </c>
      <c r="T13" s="442">
        <v>4.2699999999999996</v>
      </c>
      <c r="U13" s="423"/>
    </row>
    <row r="14" spans="1:21" ht="3" customHeight="1">
      <c r="A14" s="427"/>
      <c r="B14" s="442"/>
      <c r="C14" s="443"/>
      <c r="D14" s="442"/>
      <c r="E14" s="444"/>
      <c r="F14" s="442"/>
      <c r="G14" s="445"/>
      <c r="H14" s="442"/>
      <c r="I14" s="444"/>
      <c r="J14" s="442"/>
      <c r="K14" s="446"/>
      <c r="L14" s="442"/>
      <c r="M14" s="444"/>
      <c r="N14" s="442"/>
      <c r="O14" s="447"/>
      <c r="P14" s="442"/>
      <c r="Q14" s="444"/>
      <c r="R14" s="442"/>
      <c r="S14" s="443"/>
      <c r="T14" s="442"/>
      <c r="U14" s="423"/>
    </row>
    <row r="15" spans="1:21" ht="11.45" customHeight="1">
      <c r="A15" s="427" t="s">
        <v>66</v>
      </c>
      <c r="B15" s="442">
        <v>6.18</v>
      </c>
      <c r="C15" s="443">
        <v>5.14</v>
      </c>
      <c r="D15" s="442">
        <v>5.22</v>
      </c>
      <c r="E15" s="444"/>
      <c r="F15" s="442">
        <v>8.5</v>
      </c>
      <c r="G15" s="445">
        <v>-1.03</v>
      </c>
      <c r="H15" s="442">
        <v>5.83</v>
      </c>
      <c r="I15" s="444"/>
      <c r="J15" s="442">
        <v>7.69</v>
      </c>
      <c r="K15" s="446">
        <v>2.4700000000000002</v>
      </c>
      <c r="L15" s="442">
        <v>7.15</v>
      </c>
      <c r="M15" s="444"/>
      <c r="N15" s="442">
        <v>6.45</v>
      </c>
      <c r="O15" s="447">
        <v>-0.59</v>
      </c>
      <c r="P15" s="442">
        <v>4.5199999999999996</v>
      </c>
      <c r="Q15" s="444"/>
      <c r="R15" s="442">
        <v>7.97</v>
      </c>
      <c r="S15" s="443">
        <v>4.45</v>
      </c>
      <c r="T15" s="442">
        <v>5.39</v>
      </c>
      <c r="U15" s="423"/>
    </row>
    <row r="16" spans="1:21" ht="11.45" customHeight="1">
      <c r="A16" s="427" t="s">
        <v>67</v>
      </c>
      <c r="B16" s="442">
        <v>7.96</v>
      </c>
      <c r="C16" s="443">
        <v>7.56</v>
      </c>
      <c r="D16" s="442">
        <v>7.58</v>
      </c>
      <c r="E16" s="444"/>
      <c r="F16" s="442">
        <v>8.5500000000000007</v>
      </c>
      <c r="G16" s="445">
        <v>0.15</v>
      </c>
      <c r="H16" s="442">
        <v>6.03</v>
      </c>
      <c r="I16" s="444"/>
      <c r="J16" s="442">
        <v>8.0500000000000007</v>
      </c>
      <c r="K16" s="446">
        <v>3.27</v>
      </c>
      <c r="L16" s="442">
        <v>7.53</v>
      </c>
      <c r="M16" s="444"/>
      <c r="N16" s="442">
        <v>8.1300000000000008</v>
      </c>
      <c r="O16" s="447">
        <v>0.4</v>
      </c>
      <c r="P16" s="442">
        <v>6.45</v>
      </c>
      <c r="Q16" s="444"/>
      <c r="R16" s="442">
        <v>8.41</v>
      </c>
      <c r="S16" s="443">
        <v>6.78</v>
      </c>
      <c r="T16" s="442">
        <v>7.18</v>
      </c>
      <c r="U16" s="423"/>
    </row>
    <row r="17" spans="1:21" ht="11.45" customHeight="1">
      <c r="A17" s="427" t="s">
        <v>105</v>
      </c>
      <c r="B17" s="442">
        <v>7.61</v>
      </c>
      <c r="C17" s="443">
        <v>7.4</v>
      </c>
      <c r="D17" s="442">
        <v>7.41</v>
      </c>
      <c r="E17" s="444"/>
      <c r="F17" s="442">
        <v>8.3699999999999992</v>
      </c>
      <c r="G17" s="445">
        <v>1.1499999999999999</v>
      </c>
      <c r="H17" s="442">
        <v>6.12</v>
      </c>
      <c r="I17" s="444"/>
      <c r="J17" s="442">
        <v>6.92</v>
      </c>
      <c r="K17" s="446">
        <v>3.67</v>
      </c>
      <c r="L17" s="442">
        <v>6.4</v>
      </c>
      <c r="M17" s="444"/>
      <c r="N17" s="442">
        <v>9.4</v>
      </c>
      <c r="O17" s="447">
        <v>0.87</v>
      </c>
      <c r="P17" s="442">
        <v>6.97</v>
      </c>
      <c r="Q17" s="444"/>
      <c r="R17" s="442">
        <v>8.2100000000000009</v>
      </c>
      <c r="S17" s="443">
        <v>6.76</v>
      </c>
      <c r="T17" s="442">
        <v>7.08</v>
      </c>
      <c r="U17" s="423"/>
    </row>
    <row r="18" spans="1:21" ht="11.45" customHeight="1">
      <c r="A18" s="427" t="s">
        <v>69</v>
      </c>
      <c r="B18" s="442">
        <v>10.31</v>
      </c>
      <c r="C18" s="443">
        <v>5.98</v>
      </c>
      <c r="D18" s="442">
        <v>6.21</v>
      </c>
      <c r="E18" s="444"/>
      <c r="F18" s="442">
        <v>8.2200000000000006</v>
      </c>
      <c r="G18" s="445">
        <v>1.63</v>
      </c>
      <c r="H18" s="442">
        <v>5.98</v>
      </c>
      <c r="I18" s="444"/>
      <c r="J18" s="442">
        <v>7.92</v>
      </c>
      <c r="K18" s="446">
        <v>3</v>
      </c>
      <c r="L18" s="442">
        <v>5.71</v>
      </c>
      <c r="M18" s="444"/>
      <c r="N18" s="442">
        <v>8.3000000000000007</v>
      </c>
      <c r="O18" s="447">
        <v>2.21</v>
      </c>
      <c r="P18" s="442">
        <v>6.6</v>
      </c>
      <c r="Q18" s="444"/>
      <c r="R18" s="442">
        <v>8.49</v>
      </c>
      <c r="S18" s="443">
        <v>5.25</v>
      </c>
      <c r="T18" s="442">
        <v>6.13</v>
      </c>
      <c r="U18" s="423"/>
    </row>
    <row r="19" spans="1:21" ht="12" customHeight="1">
      <c r="A19" s="427" t="s">
        <v>70</v>
      </c>
      <c r="B19" s="442">
        <v>8.4600000000000009</v>
      </c>
      <c r="C19" s="443">
        <v>5.66</v>
      </c>
      <c r="D19" s="442">
        <v>5.89</v>
      </c>
      <c r="E19" s="444"/>
      <c r="F19" s="442">
        <v>20.29</v>
      </c>
      <c r="G19" s="448">
        <v>-0.98</v>
      </c>
      <c r="H19" s="442">
        <v>12.48</v>
      </c>
      <c r="I19" s="444"/>
      <c r="J19" s="471" t="s">
        <v>307</v>
      </c>
      <c r="K19" s="471" t="s">
        <v>307</v>
      </c>
      <c r="L19" s="471" t="s">
        <v>307</v>
      </c>
      <c r="M19" s="444"/>
      <c r="N19" s="442">
        <v>19.86</v>
      </c>
      <c r="O19" s="447">
        <v>-1.25</v>
      </c>
      <c r="P19" s="442">
        <v>15.85</v>
      </c>
      <c r="Q19" s="444"/>
      <c r="R19" s="442">
        <v>14.84</v>
      </c>
      <c r="S19" s="443">
        <v>5.29</v>
      </c>
      <c r="T19" s="442">
        <v>6.78</v>
      </c>
      <c r="U19" s="423"/>
    </row>
    <row r="20" spans="1:21" ht="11.45" customHeight="1">
      <c r="A20" s="427" t="s">
        <v>71</v>
      </c>
      <c r="B20" s="442">
        <v>8.52</v>
      </c>
      <c r="C20" s="443">
        <v>5.69</v>
      </c>
      <c r="D20" s="442">
        <v>5.93</v>
      </c>
      <c r="E20" s="444"/>
      <c r="F20" s="442">
        <v>7.96</v>
      </c>
      <c r="G20" s="445">
        <v>-0.9</v>
      </c>
      <c r="H20" s="442">
        <v>4.53</v>
      </c>
      <c r="I20" s="444"/>
      <c r="J20" s="442">
        <v>12.77</v>
      </c>
      <c r="K20" s="446">
        <v>0</v>
      </c>
      <c r="L20" s="442">
        <v>12.77</v>
      </c>
      <c r="M20" s="444"/>
      <c r="N20" s="442">
        <v>6.71</v>
      </c>
      <c r="O20" s="447">
        <v>-0.59</v>
      </c>
      <c r="P20" s="442">
        <v>4.95</v>
      </c>
      <c r="Q20" s="444"/>
      <c r="R20" s="442">
        <v>8.06</v>
      </c>
      <c r="S20" s="443">
        <v>4.72</v>
      </c>
      <c r="T20" s="442">
        <v>5.52</v>
      </c>
      <c r="U20" s="423"/>
    </row>
    <row r="21" spans="1:21" ht="3" customHeight="1">
      <c r="A21" s="427"/>
      <c r="B21" s="442"/>
      <c r="C21" s="443"/>
      <c r="D21" s="442"/>
      <c r="E21" s="444"/>
      <c r="F21" s="442"/>
      <c r="G21" s="445"/>
      <c r="H21" s="442"/>
      <c r="I21" s="444"/>
      <c r="J21" s="442"/>
      <c r="K21" s="446"/>
      <c r="L21" s="442"/>
      <c r="M21" s="444"/>
      <c r="N21" s="442"/>
      <c r="O21" s="447"/>
      <c r="P21" s="442"/>
      <c r="Q21" s="444"/>
      <c r="R21" s="442"/>
      <c r="S21" s="443"/>
      <c r="T21" s="442"/>
      <c r="U21" s="423"/>
    </row>
    <row r="22" spans="1:21" ht="11.45" customHeight="1">
      <c r="A22" s="427" t="s">
        <v>72</v>
      </c>
      <c r="B22" s="449">
        <v>3.81</v>
      </c>
      <c r="C22" s="450">
        <v>3.46</v>
      </c>
      <c r="D22" s="449">
        <v>3.48</v>
      </c>
      <c r="E22" s="444"/>
      <c r="F22" s="442">
        <v>7.8</v>
      </c>
      <c r="G22" s="445">
        <v>-2.0499999999999998</v>
      </c>
      <c r="H22" s="442">
        <v>5.19</v>
      </c>
      <c r="I22" s="444"/>
      <c r="J22" s="442">
        <v>6.94</v>
      </c>
      <c r="K22" s="446">
        <v>1.1000000000000001</v>
      </c>
      <c r="L22" s="442">
        <v>6.23</v>
      </c>
      <c r="M22" s="444"/>
      <c r="N22" s="442">
        <v>4.5199999999999996</v>
      </c>
      <c r="O22" s="447">
        <v>-2.38</v>
      </c>
      <c r="P22" s="442">
        <v>3.2</v>
      </c>
      <c r="Q22" s="444"/>
      <c r="R22" s="442">
        <v>6.92</v>
      </c>
      <c r="S22" s="443">
        <v>3.03</v>
      </c>
      <c r="T22" s="442">
        <v>3.88</v>
      </c>
      <c r="U22" s="423"/>
    </row>
    <row r="23" spans="1:21" ht="11.45" customHeight="1">
      <c r="A23" s="427" t="s">
        <v>73</v>
      </c>
      <c r="B23" s="449">
        <v>5.98</v>
      </c>
      <c r="C23" s="450">
        <v>3.98</v>
      </c>
      <c r="D23" s="442">
        <v>4.09</v>
      </c>
      <c r="E23" s="444"/>
      <c r="F23" s="442">
        <v>8.14</v>
      </c>
      <c r="G23" s="445">
        <v>-1.97</v>
      </c>
      <c r="H23" s="442">
        <v>5.36</v>
      </c>
      <c r="I23" s="444"/>
      <c r="J23" s="442">
        <v>8.41</v>
      </c>
      <c r="K23" s="446">
        <v>1.76</v>
      </c>
      <c r="L23" s="442">
        <v>7.85</v>
      </c>
      <c r="M23" s="444"/>
      <c r="N23" s="442">
        <v>6.36</v>
      </c>
      <c r="O23" s="447">
        <v>-2</v>
      </c>
      <c r="P23" s="442">
        <v>4.66</v>
      </c>
      <c r="Q23" s="444"/>
      <c r="R23" s="442">
        <v>7.67</v>
      </c>
      <c r="S23" s="443">
        <v>3.48</v>
      </c>
      <c r="T23" s="442">
        <v>4.4000000000000004</v>
      </c>
      <c r="U23" s="423"/>
    </row>
    <row r="24" spans="1:21" ht="11.45" customHeight="1">
      <c r="A24" s="427" t="s">
        <v>74</v>
      </c>
      <c r="B24" s="449">
        <v>4.07</v>
      </c>
      <c r="C24" s="450">
        <v>3.72</v>
      </c>
      <c r="D24" s="442">
        <v>3.74</v>
      </c>
      <c r="E24" s="444"/>
      <c r="F24" s="442">
        <v>8.75</v>
      </c>
      <c r="G24" s="445">
        <v>-2.39</v>
      </c>
      <c r="H24" s="442">
        <v>6.38</v>
      </c>
      <c r="I24" s="444"/>
      <c r="J24" s="442">
        <v>4.0199999999999996</v>
      </c>
      <c r="K24" s="446">
        <v>2.1800000000000002</v>
      </c>
      <c r="L24" s="442">
        <v>3.43</v>
      </c>
      <c r="M24" s="444"/>
      <c r="N24" s="442">
        <v>5.6</v>
      </c>
      <c r="O24" s="447">
        <v>-2.2200000000000002</v>
      </c>
      <c r="P24" s="442">
        <v>5.19</v>
      </c>
      <c r="Q24" s="444"/>
      <c r="R24" s="442">
        <v>7.63</v>
      </c>
      <c r="S24" s="443">
        <v>3.42</v>
      </c>
      <c r="T24" s="442">
        <v>4.2300000000000004</v>
      </c>
      <c r="U24" s="423"/>
    </row>
    <row r="25" spans="1:21" ht="11.45" customHeight="1">
      <c r="A25" s="438" t="s">
        <v>75</v>
      </c>
      <c r="B25" s="451">
        <v>5.46</v>
      </c>
      <c r="C25" s="452">
        <v>4.3499999999999996</v>
      </c>
      <c r="D25" s="453">
        <v>4.4000000000000004</v>
      </c>
      <c r="E25" s="454"/>
      <c r="F25" s="453">
        <v>9.1300000000000008</v>
      </c>
      <c r="G25" s="448">
        <v>-2.4900000000000002</v>
      </c>
      <c r="H25" s="453">
        <v>6.43</v>
      </c>
      <c r="I25" s="454"/>
      <c r="J25" s="453">
        <v>7.55</v>
      </c>
      <c r="K25" s="455">
        <v>1.87</v>
      </c>
      <c r="L25" s="453">
        <v>6.64</v>
      </c>
      <c r="M25" s="454"/>
      <c r="N25" s="453">
        <v>4.9000000000000004</v>
      </c>
      <c r="O25" s="447">
        <v>-2.52</v>
      </c>
      <c r="P25" s="453">
        <v>3.18</v>
      </c>
      <c r="Q25" s="454"/>
      <c r="R25" s="453">
        <v>8.27</v>
      </c>
      <c r="S25" s="456">
        <v>3.96</v>
      </c>
      <c r="T25" s="453">
        <v>4.79</v>
      </c>
      <c r="U25" s="423"/>
    </row>
    <row r="26" spans="1:21" ht="11.45" customHeight="1">
      <c r="A26" s="457" t="s">
        <v>76</v>
      </c>
      <c r="B26" s="451">
        <v>4.57</v>
      </c>
      <c r="C26" s="452">
        <v>3.49</v>
      </c>
      <c r="D26" s="453">
        <v>3.54</v>
      </c>
      <c r="E26" s="454"/>
      <c r="F26" s="453">
        <v>8.94</v>
      </c>
      <c r="G26" s="448">
        <v>-0.42</v>
      </c>
      <c r="H26" s="453">
        <v>7.11</v>
      </c>
      <c r="I26" s="454"/>
      <c r="J26" s="453">
        <v>5.0599999999999996</v>
      </c>
      <c r="K26" s="455">
        <v>1.94</v>
      </c>
      <c r="L26" s="453">
        <v>4.04</v>
      </c>
      <c r="M26" s="454"/>
      <c r="N26" s="453">
        <v>5.09</v>
      </c>
      <c r="O26" s="447">
        <v>-2.0499999999999998</v>
      </c>
      <c r="P26" s="453">
        <v>4.5999999999999996</v>
      </c>
      <c r="Q26" s="454"/>
      <c r="R26" s="453">
        <v>7.96</v>
      </c>
      <c r="S26" s="456">
        <v>3.31</v>
      </c>
      <c r="T26" s="453">
        <v>4.22</v>
      </c>
      <c r="U26" s="423"/>
    </row>
    <row r="27" spans="1:21" ht="11.45" customHeight="1">
      <c r="A27" s="457" t="s">
        <v>77</v>
      </c>
      <c r="B27" s="451">
        <v>3.85</v>
      </c>
      <c r="C27" s="452">
        <v>3.68</v>
      </c>
      <c r="D27" s="453">
        <v>3.69</v>
      </c>
      <c r="E27" s="454"/>
      <c r="F27" s="453">
        <v>8.7100000000000009</v>
      </c>
      <c r="G27" s="448">
        <v>-0.57999999999999996</v>
      </c>
      <c r="H27" s="453">
        <v>6.89</v>
      </c>
      <c r="I27" s="454"/>
      <c r="J27" s="453">
        <v>3</v>
      </c>
      <c r="K27" s="455">
        <v>1.32</v>
      </c>
      <c r="L27" s="453">
        <v>2.56</v>
      </c>
      <c r="M27" s="454"/>
      <c r="N27" s="453">
        <v>4.01</v>
      </c>
      <c r="O27" s="458">
        <v>-2.0299999999999998</v>
      </c>
      <c r="P27" s="453">
        <v>3.3</v>
      </c>
      <c r="Q27" s="454"/>
      <c r="R27" s="453">
        <v>7.64</v>
      </c>
      <c r="S27" s="456">
        <v>3.48</v>
      </c>
      <c r="T27" s="453">
        <v>4.29</v>
      </c>
      <c r="U27" s="423"/>
    </row>
    <row r="28" spans="1:21" ht="3" customHeight="1">
      <c r="A28" s="457"/>
      <c r="B28" s="451"/>
      <c r="C28" s="452"/>
      <c r="D28" s="453"/>
      <c r="E28" s="454"/>
      <c r="F28" s="453"/>
      <c r="G28" s="448"/>
      <c r="H28" s="453"/>
      <c r="I28" s="454"/>
      <c r="J28" s="453"/>
      <c r="K28" s="455"/>
      <c r="L28" s="453"/>
      <c r="M28" s="454"/>
      <c r="N28" s="453"/>
      <c r="O28" s="458"/>
      <c r="P28" s="453"/>
      <c r="Q28" s="454"/>
      <c r="R28" s="453"/>
      <c r="S28" s="456"/>
      <c r="T28" s="453"/>
      <c r="U28" s="423"/>
    </row>
    <row r="29" spans="1:21" ht="11.45" customHeight="1">
      <c r="A29" s="457" t="s">
        <v>78</v>
      </c>
      <c r="B29" s="451">
        <v>8.7799999999999994</v>
      </c>
      <c r="C29" s="452">
        <v>4.59</v>
      </c>
      <c r="D29" s="453">
        <v>4.84</v>
      </c>
      <c r="E29" s="454"/>
      <c r="F29" s="453">
        <v>17.23</v>
      </c>
      <c r="G29" s="448">
        <v>-0.76</v>
      </c>
      <c r="H29" s="453">
        <v>8.99</v>
      </c>
      <c r="I29" s="454"/>
      <c r="J29" s="453">
        <v>7.9</v>
      </c>
      <c r="K29" s="455">
        <v>1.52</v>
      </c>
      <c r="L29" s="453">
        <v>6.51</v>
      </c>
      <c r="M29" s="454"/>
      <c r="N29" s="453">
        <v>19.55</v>
      </c>
      <c r="O29" s="458">
        <v>-0.4</v>
      </c>
      <c r="P29" s="453">
        <v>15.35</v>
      </c>
      <c r="Q29" s="454"/>
      <c r="R29" s="453">
        <v>13.78</v>
      </c>
      <c r="S29" s="456">
        <v>4.2</v>
      </c>
      <c r="T29" s="453">
        <v>5.47</v>
      </c>
      <c r="U29" s="423"/>
    </row>
    <row r="30" spans="1:21" ht="11.45" customHeight="1">
      <c r="A30" s="457" t="s">
        <v>79</v>
      </c>
      <c r="B30" s="451">
        <v>5.37</v>
      </c>
      <c r="C30" s="452">
        <v>3.6</v>
      </c>
      <c r="D30" s="453">
        <v>3.67</v>
      </c>
      <c r="E30" s="454"/>
      <c r="F30" s="453">
        <v>5.69</v>
      </c>
      <c r="G30" s="448">
        <v>-2.39</v>
      </c>
      <c r="H30" s="453">
        <v>3.13</v>
      </c>
      <c r="I30" s="454"/>
      <c r="J30" s="453">
        <v>5.79</v>
      </c>
      <c r="K30" s="455">
        <v>1.65</v>
      </c>
      <c r="L30" s="453">
        <v>4.84</v>
      </c>
      <c r="M30" s="454"/>
      <c r="N30" s="453">
        <v>4.34</v>
      </c>
      <c r="O30" s="458">
        <v>-2.38</v>
      </c>
      <c r="P30" s="453">
        <v>2.5499999999999998</v>
      </c>
      <c r="Q30" s="454"/>
      <c r="R30" s="453">
        <v>5.61</v>
      </c>
      <c r="S30" s="456">
        <v>3.17</v>
      </c>
      <c r="T30" s="453">
        <v>3.58</v>
      </c>
      <c r="U30" s="423"/>
    </row>
    <row r="31" spans="1:21" ht="11.45" customHeight="1">
      <c r="A31" s="457" t="s">
        <v>80</v>
      </c>
      <c r="B31" s="451">
        <v>4.29</v>
      </c>
      <c r="C31" s="452">
        <v>3.16</v>
      </c>
      <c r="D31" s="453">
        <v>3.21</v>
      </c>
      <c r="E31" s="454"/>
      <c r="F31" s="453">
        <v>8.82</v>
      </c>
      <c r="G31" s="448">
        <v>-2.09</v>
      </c>
      <c r="H31" s="453">
        <v>7.12</v>
      </c>
      <c r="I31" s="454"/>
      <c r="J31" s="453">
        <v>1.45</v>
      </c>
      <c r="K31" s="455">
        <v>0.87</v>
      </c>
      <c r="L31" s="453">
        <v>1.2</v>
      </c>
      <c r="M31" s="454"/>
      <c r="N31" s="453">
        <v>4.9000000000000004</v>
      </c>
      <c r="O31" s="458">
        <v>-2.4500000000000002</v>
      </c>
      <c r="P31" s="453">
        <v>3.51</v>
      </c>
      <c r="Q31" s="454"/>
      <c r="R31" s="453">
        <v>7.71</v>
      </c>
      <c r="S31" s="456">
        <v>2.98</v>
      </c>
      <c r="T31" s="453">
        <v>3.85</v>
      </c>
      <c r="U31" s="423"/>
    </row>
    <row r="32" spans="1:21" ht="11.45" customHeight="1">
      <c r="A32" s="457" t="s">
        <v>81</v>
      </c>
      <c r="B32" s="451">
        <v>4.84</v>
      </c>
      <c r="C32" s="452">
        <v>3.41</v>
      </c>
      <c r="D32" s="453">
        <v>3.47</v>
      </c>
      <c r="E32" s="454"/>
      <c r="F32" s="453">
        <v>10.23</v>
      </c>
      <c r="G32" s="448">
        <v>-2.13</v>
      </c>
      <c r="H32" s="453">
        <v>8.49</v>
      </c>
      <c r="I32" s="454"/>
      <c r="J32" s="453">
        <v>3.86</v>
      </c>
      <c r="K32" s="455">
        <v>1.3</v>
      </c>
      <c r="L32" s="453">
        <v>3.35</v>
      </c>
      <c r="M32" s="454"/>
      <c r="N32" s="453">
        <v>7</v>
      </c>
      <c r="O32" s="458">
        <v>-2.5099999999999998</v>
      </c>
      <c r="P32" s="453">
        <v>5.89</v>
      </c>
      <c r="Q32" s="454"/>
      <c r="R32" s="453">
        <v>8.9700000000000006</v>
      </c>
      <c r="S32" s="456">
        <v>3.26</v>
      </c>
      <c r="T32" s="453">
        <v>4.25</v>
      </c>
      <c r="U32" s="423"/>
    </row>
    <row r="33" spans="1:21" ht="11.45" customHeight="1">
      <c r="A33" s="457" t="s">
        <v>82</v>
      </c>
      <c r="B33" s="451">
        <v>5.61</v>
      </c>
      <c r="C33" s="452">
        <v>3.05</v>
      </c>
      <c r="D33" s="453">
        <v>3.17</v>
      </c>
      <c r="E33" s="454"/>
      <c r="F33" s="453">
        <v>6.84</v>
      </c>
      <c r="G33" s="448">
        <v>-2.04</v>
      </c>
      <c r="H33" s="453">
        <v>5.09</v>
      </c>
      <c r="I33" s="454"/>
      <c r="J33" s="453">
        <v>3.44</v>
      </c>
      <c r="K33" s="455">
        <v>1.7</v>
      </c>
      <c r="L33" s="453">
        <v>2.95</v>
      </c>
      <c r="M33" s="454"/>
      <c r="N33" s="453">
        <v>2.99</v>
      </c>
      <c r="O33" s="458">
        <v>-2.0299999999999998</v>
      </c>
      <c r="P33" s="453">
        <v>2.23</v>
      </c>
      <c r="Q33" s="454"/>
      <c r="R33" s="453">
        <v>6.52</v>
      </c>
      <c r="S33" s="456">
        <v>2.79</v>
      </c>
      <c r="T33" s="453">
        <v>3.56</v>
      </c>
      <c r="U33" s="423"/>
    </row>
    <row r="34" spans="1:21" ht="11.45" customHeight="1">
      <c r="A34" s="438" t="s">
        <v>83</v>
      </c>
      <c r="B34" s="451">
        <v>3.87</v>
      </c>
      <c r="C34" s="452">
        <v>2.85</v>
      </c>
      <c r="D34" s="453">
        <v>2.89</v>
      </c>
      <c r="E34" s="454"/>
      <c r="F34" s="453">
        <v>10.08</v>
      </c>
      <c r="G34" s="448">
        <v>-1.97</v>
      </c>
      <c r="H34" s="453">
        <v>8.65</v>
      </c>
      <c r="I34" s="454"/>
      <c r="J34" s="453">
        <v>3.66</v>
      </c>
      <c r="K34" s="455">
        <v>1.25</v>
      </c>
      <c r="L34" s="453">
        <v>2.96</v>
      </c>
      <c r="M34" s="454"/>
      <c r="N34" s="453">
        <v>4.78</v>
      </c>
      <c r="O34" s="458">
        <v>-1.96</v>
      </c>
      <c r="P34" s="453">
        <v>3.31</v>
      </c>
      <c r="Q34" s="454"/>
      <c r="R34" s="453">
        <v>8.6300000000000008</v>
      </c>
      <c r="S34" s="456">
        <v>2.74</v>
      </c>
      <c r="T34" s="453">
        <v>3.74</v>
      </c>
      <c r="U34" s="423"/>
    </row>
    <row r="35" spans="1:21" ht="5.25" customHeight="1">
      <c r="A35" s="457"/>
      <c r="B35" s="451"/>
      <c r="C35" s="452"/>
      <c r="D35" s="453"/>
      <c r="E35" s="454"/>
      <c r="F35" s="453"/>
      <c r="G35" s="448"/>
      <c r="H35" s="453"/>
      <c r="I35" s="454"/>
      <c r="J35" s="453"/>
      <c r="K35" s="455"/>
      <c r="L35" s="453"/>
      <c r="M35" s="454"/>
      <c r="N35" s="453"/>
      <c r="O35" s="458"/>
      <c r="P35" s="453"/>
      <c r="Q35" s="454"/>
      <c r="R35" s="453"/>
      <c r="S35" s="456"/>
      <c r="T35" s="453"/>
      <c r="U35" s="423"/>
    </row>
    <row r="36" spans="1:21" ht="11.45" customHeight="1">
      <c r="A36" s="438" t="s">
        <v>84</v>
      </c>
      <c r="B36" s="451">
        <v>6.87</v>
      </c>
      <c r="C36" s="452">
        <v>3.31</v>
      </c>
      <c r="D36" s="453">
        <v>3.49</v>
      </c>
      <c r="E36" s="454"/>
      <c r="F36" s="453">
        <v>9.75</v>
      </c>
      <c r="G36" s="448">
        <v>-2.06</v>
      </c>
      <c r="H36" s="453">
        <v>6.95</v>
      </c>
      <c r="I36" s="454"/>
      <c r="J36" s="453">
        <v>7.47</v>
      </c>
      <c r="K36" s="455">
        <v>0.71</v>
      </c>
      <c r="L36" s="453">
        <v>5.41</v>
      </c>
      <c r="M36" s="454"/>
      <c r="N36" s="453">
        <v>4.93</v>
      </c>
      <c r="O36" s="458">
        <v>-2.02</v>
      </c>
      <c r="P36" s="453">
        <v>3.37</v>
      </c>
      <c r="Q36" s="454"/>
      <c r="R36" s="453">
        <v>9.24</v>
      </c>
      <c r="S36" s="456">
        <v>2.86</v>
      </c>
      <c r="T36" s="453">
        <v>4.41</v>
      </c>
      <c r="U36" s="423"/>
    </row>
    <row r="37" spans="1:21" ht="11.45" customHeight="1">
      <c r="A37" s="438" t="s">
        <v>85</v>
      </c>
      <c r="B37" s="451">
        <v>5.8</v>
      </c>
      <c r="C37" s="452">
        <v>5.49</v>
      </c>
      <c r="D37" s="453">
        <v>5.51</v>
      </c>
      <c r="E37" s="454"/>
      <c r="F37" s="453">
        <v>11.36</v>
      </c>
      <c r="G37" s="448">
        <v>-0.97</v>
      </c>
      <c r="H37" s="453">
        <v>7.92</v>
      </c>
      <c r="I37" s="454"/>
      <c r="J37" s="453">
        <v>6.09</v>
      </c>
      <c r="K37" s="455">
        <v>1.94</v>
      </c>
      <c r="L37" s="453">
        <v>5.23</v>
      </c>
      <c r="M37" s="454"/>
      <c r="N37" s="453">
        <v>7.14</v>
      </c>
      <c r="O37" s="458">
        <v>-1.02</v>
      </c>
      <c r="P37" s="453">
        <v>3.26</v>
      </c>
      <c r="Q37" s="454"/>
      <c r="R37" s="453">
        <v>10.31</v>
      </c>
      <c r="S37" s="456">
        <v>4.8899999999999997</v>
      </c>
      <c r="T37" s="453">
        <v>6.11</v>
      </c>
      <c r="U37" s="423"/>
    </row>
    <row r="38" spans="1:21" ht="11.45" customHeight="1">
      <c r="A38" s="438" t="s">
        <v>86</v>
      </c>
      <c r="B38" s="451">
        <v>13.25</v>
      </c>
      <c r="C38" s="452">
        <v>10</v>
      </c>
      <c r="D38" s="453">
        <v>10.16</v>
      </c>
      <c r="E38" s="454"/>
      <c r="F38" s="453">
        <v>15.5</v>
      </c>
      <c r="G38" s="448">
        <v>-0.99</v>
      </c>
      <c r="H38" s="453">
        <v>8.76</v>
      </c>
      <c r="I38" s="454"/>
      <c r="J38" s="453">
        <v>13.98</v>
      </c>
      <c r="K38" s="455">
        <v>1.55</v>
      </c>
      <c r="L38" s="453">
        <v>10.79</v>
      </c>
      <c r="M38" s="454"/>
      <c r="N38" s="453">
        <v>10.98</v>
      </c>
      <c r="O38" s="458">
        <v>-0.93</v>
      </c>
      <c r="P38" s="453">
        <v>6.29</v>
      </c>
      <c r="Q38" s="454"/>
      <c r="R38" s="453">
        <v>14.94</v>
      </c>
      <c r="S38" s="456">
        <v>8.7200000000000006</v>
      </c>
      <c r="T38" s="453">
        <v>9.84</v>
      </c>
      <c r="U38" s="423"/>
    </row>
    <row r="39" spans="1:21" ht="11.45" customHeight="1">
      <c r="A39" s="438" t="s">
        <v>87</v>
      </c>
      <c r="B39" s="451">
        <v>7.83</v>
      </c>
      <c r="C39" s="452">
        <v>6.57</v>
      </c>
      <c r="D39" s="453">
        <v>6.61</v>
      </c>
      <c r="E39" s="454"/>
      <c r="F39" s="453">
        <v>9.86</v>
      </c>
      <c r="G39" s="448">
        <v>-1.05</v>
      </c>
      <c r="H39" s="453">
        <v>7.26</v>
      </c>
      <c r="I39" s="454"/>
      <c r="J39" s="453">
        <v>4.78</v>
      </c>
      <c r="K39" s="455">
        <v>0.98</v>
      </c>
      <c r="L39" s="453">
        <v>3.9</v>
      </c>
      <c r="M39" s="454"/>
      <c r="N39" s="453">
        <v>5.95</v>
      </c>
      <c r="O39" s="458">
        <v>-1.1399999999999999</v>
      </c>
      <c r="P39" s="453">
        <v>3.61</v>
      </c>
      <c r="Q39" s="454"/>
      <c r="R39" s="453">
        <v>9.4499999999999993</v>
      </c>
      <c r="S39" s="456">
        <v>6.02</v>
      </c>
      <c r="T39" s="453">
        <v>6.74</v>
      </c>
      <c r="U39" s="423"/>
    </row>
    <row r="40" spans="1:21" ht="11.45" customHeight="1">
      <c r="A40" s="438" t="s">
        <v>88</v>
      </c>
      <c r="B40" s="451">
        <v>5.36</v>
      </c>
      <c r="C40" s="452">
        <v>5.78</v>
      </c>
      <c r="D40" s="453">
        <v>5.77</v>
      </c>
      <c r="E40" s="454"/>
      <c r="F40" s="453">
        <v>12.33</v>
      </c>
      <c r="G40" s="459" t="s">
        <v>227</v>
      </c>
      <c r="H40" s="453">
        <v>10.199999999999999</v>
      </c>
      <c r="I40" s="454"/>
      <c r="J40" s="453">
        <v>6.63</v>
      </c>
      <c r="K40" s="455">
        <v>0.84</v>
      </c>
      <c r="L40" s="453">
        <v>5.77</v>
      </c>
      <c r="M40" s="454"/>
      <c r="N40" s="453">
        <v>10.95</v>
      </c>
      <c r="O40" s="459" t="s">
        <v>227</v>
      </c>
      <c r="P40" s="453">
        <v>6.83</v>
      </c>
      <c r="Q40" s="454"/>
      <c r="R40" s="453">
        <v>10.98</v>
      </c>
      <c r="S40" s="456">
        <v>5.52</v>
      </c>
      <c r="T40" s="453">
        <v>6.62</v>
      </c>
      <c r="U40" s="423"/>
    </row>
    <row r="41" spans="1:21" s="59" customFormat="1" ht="11.45" customHeight="1">
      <c r="A41" s="438" t="s">
        <v>89</v>
      </c>
      <c r="B41" s="451">
        <v>10.3</v>
      </c>
      <c r="C41" s="452">
        <v>6.72</v>
      </c>
      <c r="D41" s="453">
        <v>6.87</v>
      </c>
      <c r="E41" s="454"/>
      <c r="F41" s="459" t="s">
        <v>227</v>
      </c>
      <c r="G41" s="459" t="s">
        <v>227</v>
      </c>
      <c r="H41" s="453">
        <v>9.8800000000000008</v>
      </c>
      <c r="I41" s="454"/>
      <c r="J41" s="453">
        <v>9.84</v>
      </c>
      <c r="K41" s="455">
        <v>0.8</v>
      </c>
      <c r="L41" s="453">
        <v>8.8000000000000007</v>
      </c>
      <c r="M41" s="454"/>
      <c r="N41" s="459" t="s">
        <v>227</v>
      </c>
      <c r="O41" s="459" t="s">
        <v>227</v>
      </c>
      <c r="P41" s="459" t="s">
        <v>227</v>
      </c>
      <c r="Q41" s="454"/>
      <c r="R41" s="453">
        <v>11.68</v>
      </c>
      <c r="S41" s="456">
        <v>6.29</v>
      </c>
      <c r="T41" s="453">
        <v>7.67</v>
      </c>
      <c r="U41" s="436"/>
    </row>
    <row r="42" spans="1:21" s="59" customFormat="1" ht="11.45" customHeight="1">
      <c r="A42" s="438" t="s">
        <v>91</v>
      </c>
      <c r="B42" s="451">
        <v>10.1</v>
      </c>
      <c r="C42" s="452">
        <v>8.34</v>
      </c>
      <c r="D42" s="453">
        <v>8.41</v>
      </c>
      <c r="E42" s="454"/>
      <c r="F42" s="459" t="s">
        <v>227</v>
      </c>
      <c r="G42" s="459" t="s">
        <v>227</v>
      </c>
      <c r="H42" s="453">
        <v>8.0500000000000007</v>
      </c>
      <c r="I42" s="454"/>
      <c r="J42" s="459" t="s">
        <v>227</v>
      </c>
      <c r="K42" s="459" t="s">
        <v>227</v>
      </c>
      <c r="L42" s="453">
        <v>7.9</v>
      </c>
      <c r="M42" s="454"/>
      <c r="N42" s="459" t="s">
        <v>227</v>
      </c>
      <c r="O42" s="459" t="s">
        <v>227</v>
      </c>
      <c r="P42" s="459" t="s">
        <v>227</v>
      </c>
      <c r="Q42" s="454"/>
      <c r="R42" s="453">
        <v>10.8</v>
      </c>
      <c r="S42" s="456">
        <v>7.44</v>
      </c>
      <c r="T42" s="453">
        <v>8.31</v>
      </c>
      <c r="U42" s="436"/>
    </row>
    <row r="43" spans="1:21" s="59" customFormat="1" ht="3" customHeight="1">
      <c r="A43" s="438"/>
      <c r="B43" s="451"/>
      <c r="C43" s="452"/>
      <c r="D43" s="453"/>
      <c r="E43" s="454"/>
      <c r="F43" s="459"/>
      <c r="G43" s="459"/>
      <c r="H43" s="453"/>
      <c r="I43" s="454"/>
      <c r="J43" s="459"/>
      <c r="K43" s="459"/>
      <c r="L43" s="453"/>
      <c r="M43" s="454"/>
      <c r="N43" s="459"/>
      <c r="O43" s="459"/>
      <c r="P43" s="459"/>
      <c r="Q43" s="454"/>
      <c r="R43" s="453"/>
      <c r="S43" s="456"/>
      <c r="T43" s="453"/>
      <c r="U43" s="436"/>
    </row>
    <row r="44" spans="1:21" s="59" customFormat="1" ht="11.45" customHeight="1">
      <c r="A44" s="438" t="s">
        <v>92</v>
      </c>
      <c r="B44" s="451">
        <v>10.42</v>
      </c>
      <c r="C44" s="452">
        <v>9.9</v>
      </c>
      <c r="D44" s="453">
        <v>9.92</v>
      </c>
      <c r="E44" s="454"/>
      <c r="F44" s="459" t="s">
        <v>227</v>
      </c>
      <c r="G44" s="459" t="s">
        <v>227</v>
      </c>
      <c r="H44" s="453">
        <v>10.7</v>
      </c>
      <c r="I44" s="454"/>
      <c r="J44" s="459" t="s">
        <v>227</v>
      </c>
      <c r="K44" s="459" t="s">
        <v>227</v>
      </c>
      <c r="L44" s="453">
        <v>11.84</v>
      </c>
      <c r="M44" s="454"/>
      <c r="N44" s="459" t="s">
        <v>227</v>
      </c>
      <c r="O44" s="459" t="s">
        <v>227</v>
      </c>
      <c r="P44" s="459" t="s">
        <v>227</v>
      </c>
      <c r="Q44" s="454"/>
      <c r="R44" s="453">
        <v>12.63</v>
      </c>
      <c r="S44" s="456">
        <v>9.2899999999999991</v>
      </c>
      <c r="T44" s="453">
        <v>10.14</v>
      </c>
      <c r="U44" s="436"/>
    </row>
    <row r="45" spans="1:21" s="59" customFormat="1" ht="11.45" customHeight="1">
      <c r="A45" s="438" t="s">
        <v>93</v>
      </c>
      <c r="B45" s="451">
        <v>10.86</v>
      </c>
      <c r="C45" s="452">
        <v>7.27</v>
      </c>
      <c r="D45" s="453">
        <v>7.43</v>
      </c>
      <c r="E45" s="454"/>
      <c r="F45" s="459" t="s">
        <v>227</v>
      </c>
      <c r="G45" s="459" t="s">
        <v>227</v>
      </c>
      <c r="H45" s="453">
        <v>10.52</v>
      </c>
      <c r="I45" s="454"/>
      <c r="J45" s="459" t="s">
        <v>227</v>
      </c>
      <c r="K45" s="459" t="s">
        <v>227</v>
      </c>
      <c r="L45" s="453">
        <v>10.44</v>
      </c>
      <c r="M45" s="454"/>
      <c r="N45" s="459" t="s">
        <v>227</v>
      </c>
      <c r="O45" s="459" t="s">
        <v>227</v>
      </c>
      <c r="P45" s="459" t="s">
        <v>227</v>
      </c>
      <c r="Q45" s="454"/>
      <c r="R45" s="453">
        <v>12.09</v>
      </c>
      <c r="S45" s="456">
        <v>6.85</v>
      </c>
      <c r="T45" s="453">
        <v>8.27</v>
      </c>
      <c r="U45" s="436"/>
    </row>
    <row r="46" spans="1:21" s="59" customFormat="1" ht="11.45" customHeight="1">
      <c r="A46" s="438" t="s">
        <v>94</v>
      </c>
      <c r="B46" s="451">
        <v>13.62</v>
      </c>
      <c r="C46" s="452">
        <v>9.41</v>
      </c>
      <c r="D46" s="453">
        <v>9.6300000000000008</v>
      </c>
      <c r="E46" s="454"/>
      <c r="F46" s="459" t="s">
        <v>227</v>
      </c>
      <c r="G46" s="459" t="s">
        <v>227</v>
      </c>
      <c r="H46" s="453">
        <v>16.440000000000001</v>
      </c>
      <c r="I46" s="454"/>
      <c r="J46" s="459" t="s">
        <v>227</v>
      </c>
      <c r="K46" s="459" t="s">
        <v>227</v>
      </c>
      <c r="L46" s="453">
        <v>11.4</v>
      </c>
      <c r="M46" s="454"/>
      <c r="N46" s="459" t="s">
        <v>227</v>
      </c>
      <c r="O46" s="459" t="s">
        <v>227</v>
      </c>
      <c r="P46" s="459" t="s">
        <v>227</v>
      </c>
      <c r="Q46" s="454"/>
      <c r="R46" s="453">
        <v>19.8</v>
      </c>
      <c r="S46" s="456">
        <v>8.4700000000000006</v>
      </c>
      <c r="T46" s="453">
        <v>11.64</v>
      </c>
      <c r="U46" s="436"/>
    </row>
    <row r="47" spans="1:21" ht="11.45" customHeight="1">
      <c r="A47" s="438" t="s">
        <v>95</v>
      </c>
      <c r="B47" s="451">
        <v>14.39</v>
      </c>
      <c r="C47" s="452">
        <v>9.11</v>
      </c>
      <c r="D47" s="453">
        <v>9.3800000000000008</v>
      </c>
      <c r="E47" s="454"/>
      <c r="F47" s="459" t="s">
        <v>227</v>
      </c>
      <c r="G47" s="459" t="s">
        <v>227</v>
      </c>
      <c r="H47" s="453">
        <v>13.4</v>
      </c>
      <c r="I47" s="454"/>
      <c r="J47" s="459" t="s">
        <v>227</v>
      </c>
      <c r="K47" s="459" t="s">
        <v>227</v>
      </c>
      <c r="L47" s="453">
        <v>9.56</v>
      </c>
      <c r="M47" s="454"/>
      <c r="N47" s="459" t="s">
        <v>227</v>
      </c>
      <c r="O47" s="459" t="s">
        <v>227</v>
      </c>
      <c r="P47" s="459" t="s">
        <v>227</v>
      </c>
      <c r="Q47" s="454"/>
      <c r="R47" s="453">
        <v>16.809999999999999</v>
      </c>
      <c r="S47" s="456">
        <v>8.15</v>
      </c>
      <c r="T47" s="453">
        <v>10.6</v>
      </c>
      <c r="U47" s="423"/>
    </row>
    <row r="48" spans="1:21" ht="11.45" customHeight="1">
      <c r="A48" s="438" t="s">
        <v>290</v>
      </c>
      <c r="B48" s="451">
        <v>15.14</v>
      </c>
      <c r="C48" s="459">
        <v>9.6300000000000008</v>
      </c>
      <c r="D48" s="453">
        <v>9.9</v>
      </c>
      <c r="E48" s="454"/>
      <c r="F48" s="459" t="s">
        <v>227</v>
      </c>
      <c r="G48" s="459" t="s">
        <v>227</v>
      </c>
      <c r="H48" s="453">
        <v>11.42</v>
      </c>
      <c r="I48" s="454"/>
      <c r="J48" s="459" t="s">
        <v>227</v>
      </c>
      <c r="K48" s="459" t="s">
        <v>227</v>
      </c>
      <c r="L48" s="453">
        <v>16.13</v>
      </c>
      <c r="M48" s="454"/>
      <c r="N48" s="459" t="s">
        <v>227</v>
      </c>
      <c r="O48" s="459" t="s">
        <v>227</v>
      </c>
      <c r="P48" s="459" t="s">
        <v>227</v>
      </c>
      <c r="Q48" s="454"/>
      <c r="R48" s="453">
        <v>15.39</v>
      </c>
      <c r="S48" s="456">
        <v>8.15</v>
      </c>
      <c r="T48" s="453">
        <v>10.56</v>
      </c>
      <c r="U48" s="423"/>
    </row>
    <row r="49" spans="1:21" ht="11.45" customHeight="1">
      <c r="A49" s="438" t="s">
        <v>299</v>
      </c>
      <c r="B49" s="451">
        <v>17.78</v>
      </c>
      <c r="C49" s="459">
        <v>11.56</v>
      </c>
      <c r="D49" s="453">
        <v>11.82</v>
      </c>
      <c r="E49" s="454"/>
      <c r="F49" s="459" t="s">
        <v>227</v>
      </c>
      <c r="G49" s="459" t="s">
        <v>227</v>
      </c>
      <c r="H49" s="453">
        <v>15.65</v>
      </c>
      <c r="I49" s="454"/>
      <c r="J49" s="459" t="s">
        <v>227</v>
      </c>
      <c r="K49" s="459" t="s">
        <v>227</v>
      </c>
      <c r="L49" s="453">
        <v>15.93</v>
      </c>
      <c r="M49" s="454"/>
      <c r="N49" s="459" t="s">
        <v>227</v>
      </c>
      <c r="O49" s="459" t="s">
        <v>227</v>
      </c>
      <c r="P49" s="459" t="s">
        <v>227</v>
      </c>
      <c r="Q49" s="454"/>
      <c r="R49" s="453">
        <v>18.940000000000001</v>
      </c>
      <c r="S49" s="456">
        <v>10.29</v>
      </c>
      <c r="T49" s="453">
        <v>13.32</v>
      </c>
      <c r="U49" s="423"/>
    </row>
    <row r="50" spans="1:21" ht="11.45" customHeight="1">
      <c r="A50" s="438" t="s">
        <v>313</v>
      </c>
      <c r="B50" s="451">
        <v>19.57</v>
      </c>
      <c r="C50" s="459">
        <v>11.97</v>
      </c>
      <c r="D50" s="453">
        <v>12.43</v>
      </c>
      <c r="E50" s="454"/>
      <c r="F50" s="459" t="s">
        <v>227</v>
      </c>
      <c r="G50" s="459" t="s">
        <v>227</v>
      </c>
      <c r="H50" s="453">
        <v>21.94</v>
      </c>
      <c r="I50" s="454"/>
      <c r="J50" s="459" t="s">
        <v>227</v>
      </c>
      <c r="K50" s="459" t="s">
        <v>227</v>
      </c>
      <c r="L50" s="453">
        <v>17.11</v>
      </c>
      <c r="M50" s="454"/>
      <c r="N50" s="459" t="s">
        <v>227</v>
      </c>
      <c r="O50" s="459" t="s">
        <v>227</v>
      </c>
      <c r="P50" s="459" t="s">
        <v>227</v>
      </c>
      <c r="Q50" s="454"/>
      <c r="R50" s="453">
        <v>25.82</v>
      </c>
      <c r="S50" s="456">
        <v>10.15</v>
      </c>
      <c r="T50" s="453">
        <v>16.86</v>
      </c>
      <c r="U50" s="423"/>
    </row>
    <row r="51" spans="1:21" ht="11.45" customHeight="1">
      <c r="A51" s="460" t="s">
        <v>320</v>
      </c>
      <c r="B51" s="461">
        <v>15.9</v>
      </c>
      <c r="C51" s="462">
        <v>10.75</v>
      </c>
      <c r="D51" s="463">
        <v>10.95</v>
      </c>
      <c r="E51" s="464"/>
      <c r="F51" s="462" t="s">
        <v>227</v>
      </c>
      <c r="G51" s="462" t="s">
        <v>227</v>
      </c>
      <c r="H51" s="463">
        <v>10.59</v>
      </c>
      <c r="I51" s="464"/>
      <c r="J51" s="462" t="s">
        <v>227</v>
      </c>
      <c r="K51" s="462" t="s">
        <v>227</v>
      </c>
      <c r="L51" s="463">
        <v>8.11</v>
      </c>
      <c r="M51" s="464"/>
      <c r="N51" s="462" t="s">
        <v>227</v>
      </c>
      <c r="O51" s="462" t="s">
        <v>227</v>
      </c>
      <c r="P51" s="462" t="s">
        <v>227</v>
      </c>
      <c r="Q51" s="464"/>
      <c r="R51" s="463">
        <v>15.4</v>
      </c>
      <c r="S51" s="465">
        <v>8.67</v>
      </c>
      <c r="T51" s="463">
        <v>10.76</v>
      </c>
      <c r="U51" s="423"/>
    </row>
    <row r="52" spans="1:21">
      <c r="A52" s="210" t="s">
        <v>228</v>
      </c>
      <c r="B52" s="451"/>
      <c r="C52" s="452"/>
      <c r="D52" s="453"/>
      <c r="E52" s="454"/>
      <c r="F52" s="466"/>
      <c r="G52" s="459"/>
      <c r="H52" s="453"/>
      <c r="I52" s="454"/>
      <c r="J52" s="453"/>
      <c r="K52" s="455"/>
      <c r="L52" s="453"/>
      <c r="M52" s="454"/>
      <c r="N52" s="459"/>
      <c r="O52" s="459"/>
      <c r="P52" s="459"/>
      <c r="Q52" s="454"/>
      <c r="R52" s="453"/>
      <c r="S52" s="456"/>
      <c r="T52" s="453"/>
      <c r="U52" s="423"/>
    </row>
    <row r="53" spans="1:21">
      <c r="A53" s="467" t="s">
        <v>308</v>
      </c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39"/>
      <c r="O53" s="439"/>
      <c r="P53" s="439"/>
      <c r="Q53" s="439"/>
      <c r="R53" s="439"/>
      <c r="S53" s="439"/>
      <c r="T53" s="439"/>
      <c r="U53" s="423"/>
    </row>
    <row r="54" spans="1:21">
      <c r="A54" s="468" t="s">
        <v>309</v>
      </c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R54" s="439"/>
      <c r="S54" s="439"/>
      <c r="T54" s="439"/>
      <c r="U54" s="423"/>
    </row>
    <row r="55" spans="1:21">
      <c r="A55" s="468" t="s">
        <v>310</v>
      </c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39"/>
      <c r="Q55" s="439"/>
      <c r="R55" s="439"/>
      <c r="S55" s="439"/>
      <c r="T55" s="439"/>
      <c r="U55" s="423"/>
    </row>
    <row r="56" spans="1:21" ht="13.15" customHeight="1">
      <c r="A56" s="210" t="s">
        <v>303</v>
      </c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3"/>
      <c r="O56" s="423"/>
      <c r="P56" s="423"/>
      <c r="Q56" s="423"/>
      <c r="R56" s="423"/>
      <c r="S56" s="423"/>
      <c r="T56" s="423"/>
      <c r="U56" s="423"/>
    </row>
    <row r="57" spans="1:21">
      <c r="A57" s="423"/>
      <c r="B57" s="423"/>
      <c r="C57" s="423"/>
      <c r="D57" s="423"/>
      <c r="E57" s="423"/>
      <c r="F57" s="423"/>
      <c r="G57" s="423"/>
      <c r="H57" s="423"/>
      <c r="I57" s="423"/>
      <c r="J57" s="423"/>
      <c r="K57" s="423"/>
      <c r="L57" s="423"/>
      <c r="M57" s="423"/>
      <c r="N57" s="423"/>
      <c r="O57" s="423"/>
      <c r="P57" s="423"/>
      <c r="Q57" s="423"/>
      <c r="R57" s="423"/>
      <c r="S57" s="423"/>
      <c r="T57" s="423"/>
      <c r="U57" s="423"/>
    </row>
  </sheetData>
  <pageMargins left="0.66700000000000004" right="0.66700000000000004" top="0.66700000000000004" bottom="0.72" header="0" footer="0"/>
  <pageSetup firstPageNumber="92" orientation="portrait" useFirstPageNumber="1" r:id="rId1"/>
  <headerFooter alignWithMargins="0"/>
  <ignoredErrors>
    <ignoredError sqref="J12:L12 J19:L19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46"/>
  <sheetViews>
    <sheetView showGridLines="0" view="pageBreakPreview" zoomScale="60" zoomScaleNormal="100" workbookViewId="0"/>
  </sheetViews>
  <sheetFormatPr defaultColWidth="9.7109375" defaultRowHeight="12"/>
  <cols>
    <col min="1" max="1" width="8.7109375" customWidth="1"/>
    <col min="2" max="13" width="7.7109375" customWidth="1"/>
  </cols>
  <sheetData>
    <row r="1" spans="1:13">
      <c r="A1" s="160" t="s">
        <v>297</v>
      </c>
      <c r="B1" s="3"/>
      <c r="C1" s="3"/>
      <c r="D1" s="3"/>
      <c r="E1" s="3"/>
      <c r="F1" s="3"/>
      <c r="G1" s="3"/>
      <c r="H1" s="3"/>
      <c r="I1" s="3"/>
      <c r="J1" s="3"/>
      <c r="K1" s="3"/>
      <c r="L1" s="103"/>
      <c r="M1" s="103"/>
    </row>
    <row r="2" spans="1:13">
      <c r="A2" s="1" t="s">
        <v>128</v>
      </c>
      <c r="B2" s="9" t="s">
        <v>129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140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C4" s="46" t="s">
        <v>141</v>
      </c>
      <c r="D4" s="47"/>
      <c r="E4" s="47"/>
      <c r="F4" s="47"/>
      <c r="G4" s="70"/>
      <c r="H4" s="47"/>
      <c r="I4" s="47"/>
      <c r="J4" s="47"/>
      <c r="K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3" ht="10.5" customHeight="1">
      <c r="A6" s="14" t="s">
        <v>14</v>
      </c>
      <c r="B6" s="134">
        <v>4.13</v>
      </c>
      <c r="C6" s="134">
        <v>3.3</v>
      </c>
      <c r="D6" s="134">
        <v>3.25</v>
      </c>
      <c r="E6" s="134">
        <v>3.23</v>
      </c>
      <c r="F6" s="134">
        <v>3.31</v>
      </c>
      <c r="G6" s="134">
        <v>3.61</v>
      </c>
      <c r="H6" s="134">
        <v>4.46</v>
      </c>
      <c r="I6" s="134">
        <v>5.34</v>
      </c>
      <c r="J6" s="134">
        <v>6.09</v>
      </c>
      <c r="K6" s="134" t="s">
        <v>120</v>
      </c>
      <c r="L6" s="134" t="s">
        <v>229</v>
      </c>
      <c r="M6" s="134" t="s">
        <v>120</v>
      </c>
    </row>
    <row r="7" spans="1:13" ht="10.5" customHeight="1">
      <c r="A7" s="14" t="s">
        <v>15</v>
      </c>
      <c r="B7" s="134">
        <v>4.2699999999999996</v>
      </c>
      <c r="C7" s="134">
        <v>2.48</v>
      </c>
      <c r="D7" s="134">
        <v>2.36</v>
      </c>
      <c r="E7" s="134">
        <v>1.86</v>
      </c>
      <c r="F7" s="134">
        <v>1.59</v>
      </c>
      <c r="G7" s="134">
        <v>1.5</v>
      </c>
      <c r="H7" s="134">
        <v>2.4300000000000002</v>
      </c>
      <c r="I7" s="134">
        <v>3.22</v>
      </c>
      <c r="J7" s="134" t="s">
        <v>120</v>
      </c>
      <c r="K7" s="134" t="s">
        <v>120</v>
      </c>
      <c r="L7" s="134" t="s">
        <v>229</v>
      </c>
      <c r="M7" s="134">
        <v>3.59</v>
      </c>
    </row>
    <row r="8" spans="1:13" ht="10.5" customHeight="1">
      <c r="A8" s="14" t="s">
        <v>16</v>
      </c>
      <c r="B8" s="134">
        <v>2.63</v>
      </c>
      <c r="C8" s="134">
        <v>1.87</v>
      </c>
      <c r="D8" s="134">
        <v>1.9</v>
      </c>
      <c r="E8" s="134">
        <v>1.66</v>
      </c>
      <c r="F8" s="134">
        <v>1.43</v>
      </c>
      <c r="G8" s="134">
        <v>1.72</v>
      </c>
      <c r="H8" s="134">
        <v>2.36</v>
      </c>
      <c r="I8" s="134">
        <v>2.75</v>
      </c>
      <c r="J8" s="134" t="s">
        <v>120</v>
      </c>
      <c r="K8" s="134" t="s">
        <v>120</v>
      </c>
      <c r="L8" s="134" t="s">
        <v>229</v>
      </c>
      <c r="M8" s="134" t="s">
        <v>120</v>
      </c>
    </row>
    <row r="9" spans="1:13" ht="10.5" customHeight="1">
      <c r="A9" s="14" t="s">
        <v>17</v>
      </c>
      <c r="B9" s="134">
        <v>3.78</v>
      </c>
      <c r="C9" s="134">
        <v>2.1800000000000002</v>
      </c>
      <c r="D9" s="134">
        <v>1.99</v>
      </c>
      <c r="E9" s="134">
        <v>2.59</v>
      </c>
      <c r="F9" s="134">
        <v>2.2400000000000002</v>
      </c>
      <c r="G9" s="134">
        <v>2.76</v>
      </c>
      <c r="H9" s="134">
        <v>3.62</v>
      </c>
      <c r="I9" s="134">
        <v>3.84</v>
      </c>
      <c r="J9" s="134">
        <v>4.04</v>
      </c>
      <c r="K9" s="134" t="s">
        <v>120</v>
      </c>
      <c r="L9" s="134" t="s">
        <v>229</v>
      </c>
      <c r="M9" s="134" t="s">
        <v>120</v>
      </c>
    </row>
    <row r="10" spans="1:13" ht="10.5" customHeight="1">
      <c r="A10" s="14" t="s">
        <v>18</v>
      </c>
      <c r="B10" s="134">
        <v>4.5999999999999996</v>
      </c>
      <c r="C10" s="134">
        <v>4.0999999999999996</v>
      </c>
      <c r="D10" s="134">
        <v>3.95</v>
      </c>
      <c r="E10" s="134">
        <v>3.87</v>
      </c>
      <c r="F10" s="134">
        <v>3.49</v>
      </c>
      <c r="G10" s="134">
        <v>3.22</v>
      </c>
      <c r="H10" s="134">
        <v>3.71</v>
      </c>
      <c r="I10" s="134">
        <v>4.1500000000000004</v>
      </c>
      <c r="J10" s="134" t="s">
        <v>120</v>
      </c>
      <c r="K10" s="134" t="s">
        <v>120</v>
      </c>
      <c r="L10" s="134" t="s">
        <v>229</v>
      </c>
      <c r="M10" s="134" t="s">
        <v>120</v>
      </c>
    </row>
    <row r="11" spans="1:13" ht="10.5" customHeight="1">
      <c r="A11" s="14" t="s">
        <v>19</v>
      </c>
      <c r="B11" s="134">
        <v>4.6900000000000004</v>
      </c>
      <c r="C11" s="134">
        <v>3.58</v>
      </c>
      <c r="D11" s="134">
        <v>3.78</v>
      </c>
      <c r="E11" s="134">
        <v>3.86</v>
      </c>
      <c r="F11" s="134">
        <v>3.89</v>
      </c>
      <c r="G11" s="134">
        <v>4.04</v>
      </c>
      <c r="H11" s="134">
        <v>4.71</v>
      </c>
      <c r="I11" s="134">
        <v>5.64</v>
      </c>
      <c r="J11" s="134">
        <v>7.24</v>
      </c>
      <c r="K11" s="134" t="s">
        <v>120</v>
      </c>
      <c r="L11" s="134" t="s">
        <v>229</v>
      </c>
      <c r="M11" s="134" t="s">
        <v>120</v>
      </c>
    </row>
    <row r="12" spans="1:13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 t="s">
        <v>229</v>
      </c>
      <c r="M12" s="134"/>
    </row>
    <row r="13" spans="1:13" ht="10.5" customHeight="1">
      <c r="A13" s="14" t="s">
        <v>20</v>
      </c>
      <c r="B13" s="134" t="s">
        <v>120</v>
      </c>
      <c r="C13" s="134">
        <v>7.14</v>
      </c>
      <c r="D13" s="134">
        <v>4.6399999999999997</v>
      </c>
      <c r="E13" s="134">
        <v>4.6900000000000004</v>
      </c>
      <c r="F13" s="134">
        <v>4.72</v>
      </c>
      <c r="G13" s="134">
        <v>4.67</v>
      </c>
      <c r="H13" s="134">
        <v>4.87</v>
      </c>
      <c r="I13" s="134">
        <v>5.22</v>
      </c>
      <c r="J13" s="134">
        <v>6.24</v>
      </c>
      <c r="K13" s="134" t="s">
        <v>120</v>
      </c>
      <c r="L13" s="134" t="s">
        <v>229</v>
      </c>
      <c r="M13" s="134" t="s">
        <v>120</v>
      </c>
    </row>
    <row r="14" spans="1:13" ht="10.5" customHeight="1">
      <c r="A14" s="14" t="s">
        <v>21</v>
      </c>
      <c r="B14" s="134" t="s">
        <v>120</v>
      </c>
      <c r="C14" s="134">
        <v>6.23</v>
      </c>
      <c r="D14" s="134">
        <v>5.79</v>
      </c>
      <c r="E14" s="134">
        <v>5.58</v>
      </c>
      <c r="F14" s="134">
        <v>5.5</v>
      </c>
      <c r="G14" s="134">
        <v>5.19</v>
      </c>
      <c r="H14" s="134">
        <v>5.2</v>
      </c>
      <c r="I14" s="134">
        <v>5.12</v>
      </c>
      <c r="J14" s="134" t="s">
        <v>120</v>
      </c>
      <c r="K14" s="134" t="s">
        <v>120</v>
      </c>
      <c r="L14" s="134" t="s">
        <v>229</v>
      </c>
      <c r="M14" s="134" t="s">
        <v>120</v>
      </c>
    </row>
    <row r="15" spans="1:13" ht="10.5" customHeight="1">
      <c r="A15" s="14" t="s">
        <v>142</v>
      </c>
      <c r="B15" s="134">
        <v>7.78</v>
      </c>
      <c r="C15" s="134">
        <v>5.26</v>
      </c>
      <c r="D15" s="134">
        <v>4.47</v>
      </c>
      <c r="E15" s="134">
        <v>4.47</v>
      </c>
      <c r="F15" s="134">
        <v>4.1399999999999997</v>
      </c>
      <c r="G15" s="134">
        <v>4</v>
      </c>
      <c r="H15" s="134">
        <v>4.45</v>
      </c>
      <c r="I15" s="134">
        <v>4.6900000000000004</v>
      </c>
      <c r="J15" s="134" t="s">
        <v>120</v>
      </c>
      <c r="K15" s="134" t="s">
        <v>120</v>
      </c>
      <c r="L15" s="134" t="s">
        <v>229</v>
      </c>
      <c r="M15" s="134">
        <v>7.54</v>
      </c>
    </row>
    <row r="16" spans="1:13" ht="10.5" customHeight="1">
      <c r="A16" s="14" t="s">
        <v>143</v>
      </c>
      <c r="B16" s="134">
        <v>6.01</v>
      </c>
      <c r="C16" s="134">
        <v>5.68</v>
      </c>
      <c r="D16" s="134">
        <v>6.9</v>
      </c>
      <c r="E16" s="134">
        <v>4.87</v>
      </c>
      <c r="F16" s="134">
        <v>4.84</v>
      </c>
      <c r="G16" s="134">
        <v>6.57</v>
      </c>
      <c r="H16" s="134">
        <v>6.04</v>
      </c>
      <c r="I16" s="134" t="s">
        <v>120</v>
      </c>
      <c r="J16" s="134" t="s">
        <v>120</v>
      </c>
      <c r="K16" s="134" t="s">
        <v>120</v>
      </c>
      <c r="L16" s="134" t="s">
        <v>229</v>
      </c>
      <c r="M16" s="134">
        <v>7.66</v>
      </c>
    </row>
    <row r="17" spans="1:13" ht="10.5" customHeight="1">
      <c r="A17" s="14" t="s">
        <v>144</v>
      </c>
      <c r="B17" s="134">
        <v>10.44</v>
      </c>
      <c r="C17" s="134">
        <v>9.19</v>
      </c>
      <c r="D17" s="134">
        <v>17.55</v>
      </c>
      <c r="E17" s="134">
        <v>13.91</v>
      </c>
      <c r="F17" s="134">
        <v>20.149999999999999</v>
      </c>
      <c r="G17" s="134">
        <v>14.86</v>
      </c>
      <c r="H17" s="134">
        <v>19.13</v>
      </c>
      <c r="I17" s="134">
        <v>6.35</v>
      </c>
      <c r="J17" s="134" t="s">
        <v>120</v>
      </c>
      <c r="K17" s="134" t="s">
        <v>120</v>
      </c>
      <c r="L17" s="134" t="s">
        <v>229</v>
      </c>
      <c r="M17" s="134" t="s">
        <v>120</v>
      </c>
    </row>
    <row r="18" spans="1:13" ht="10.5" customHeight="1">
      <c r="A18" s="14" t="s">
        <v>25</v>
      </c>
      <c r="B18" s="134">
        <v>13.77</v>
      </c>
      <c r="C18" s="134">
        <v>11.36</v>
      </c>
      <c r="D18" s="134">
        <v>9.64</v>
      </c>
      <c r="E18" s="134">
        <v>5.62</v>
      </c>
      <c r="F18" s="134">
        <v>3.63</v>
      </c>
      <c r="G18" s="134">
        <v>3.35</v>
      </c>
      <c r="H18" s="134">
        <v>2.37</v>
      </c>
      <c r="I18" s="134">
        <v>1.72</v>
      </c>
      <c r="J18" s="134">
        <v>0.85</v>
      </c>
      <c r="K18" s="134" t="s">
        <v>120</v>
      </c>
      <c r="L18" s="134" t="s">
        <v>229</v>
      </c>
      <c r="M18" s="134">
        <v>10.32</v>
      </c>
    </row>
    <row r="19" spans="1:13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 t="s">
        <v>229</v>
      </c>
    </row>
    <row r="20" spans="1:13" ht="10.5" customHeight="1">
      <c r="A20" s="14" t="s">
        <v>26</v>
      </c>
      <c r="B20" s="134">
        <v>7.42</v>
      </c>
      <c r="C20" s="134">
        <v>6.07</v>
      </c>
      <c r="D20" s="134">
        <v>5.34</v>
      </c>
      <c r="E20" s="134">
        <v>2.39</v>
      </c>
      <c r="F20" s="134">
        <v>1.7</v>
      </c>
      <c r="G20" s="134">
        <v>1.54</v>
      </c>
      <c r="H20" s="134">
        <v>1.51</v>
      </c>
      <c r="I20" s="134">
        <v>1.36</v>
      </c>
      <c r="J20" s="134">
        <v>-3.51</v>
      </c>
      <c r="K20" s="134" t="s">
        <v>120</v>
      </c>
      <c r="L20" s="134" t="s">
        <v>229</v>
      </c>
      <c r="M20" s="134">
        <v>10.16</v>
      </c>
    </row>
    <row r="21" spans="1:13" ht="10.5" customHeight="1">
      <c r="A21" s="14" t="s">
        <v>27</v>
      </c>
      <c r="B21" s="134">
        <v>8.91</v>
      </c>
      <c r="C21" s="134">
        <v>5.95</v>
      </c>
      <c r="D21" s="134">
        <v>3.59</v>
      </c>
      <c r="E21" s="134">
        <v>5.63</v>
      </c>
      <c r="F21" s="134">
        <v>6.11</v>
      </c>
      <c r="G21" s="134">
        <v>2.44</v>
      </c>
      <c r="H21" s="134">
        <v>2.5099999999999998</v>
      </c>
      <c r="I21" s="134">
        <v>-0.21</v>
      </c>
      <c r="J21" s="134">
        <v>-0.14000000000000001</v>
      </c>
      <c r="K21" s="134" t="s">
        <v>120</v>
      </c>
      <c r="L21" s="134" t="s">
        <v>229</v>
      </c>
      <c r="M21" s="134" t="s">
        <v>120</v>
      </c>
    </row>
    <row r="22" spans="1:13" ht="10.5" customHeight="1">
      <c r="A22" s="14" t="s">
        <v>28</v>
      </c>
      <c r="B22" s="134">
        <v>9.7899999999999991</v>
      </c>
      <c r="C22" s="134">
        <v>9.1300000000000008</v>
      </c>
      <c r="D22" s="134">
        <v>7.27</v>
      </c>
      <c r="E22" s="134">
        <v>1.23</v>
      </c>
      <c r="F22" s="134">
        <v>3.07</v>
      </c>
      <c r="G22" s="134">
        <v>3.61</v>
      </c>
      <c r="H22" s="134">
        <v>3.7</v>
      </c>
      <c r="I22" s="134">
        <v>1.95</v>
      </c>
      <c r="J22" s="134">
        <v>1.8</v>
      </c>
      <c r="K22" s="134" t="s">
        <v>120</v>
      </c>
      <c r="L22" s="134" t="s">
        <v>229</v>
      </c>
      <c r="M22" s="134">
        <v>17.5</v>
      </c>
    </row>
    <row r="23" spans="1:13" ht="10.5" customHeight="1">
      <c r="A23" s="18" t="s">
        <v>30</v>
      </c>
      <c r="B23" s="120">
        <v>9.2200000000000006</v>
      </c>
      <c r="C23" s="120">
        <v>5.32</v>
      </c>
      <c r="D23" s="120">
        <v>4.76</v>
      </c>
      <c r="E23" s="120">
        <v>2.89</v>
      </c>
      <c r="F23" s="120">
        <v>3.68</v>
      </c>
      <c r="G23" s="120">
        <v>2.5</v>
      </c>
      <c r="H23" s="120">
        <v>1.0900000000000001</v>
      </c>
      <c r="I23" s="120">
        <v>0.51</v>
      </c>
      <c r="J23" s="120">
        <v>0.68</v>
      </c>
      <c r="K23" s="134" t="s">
        <v>120</v>
      </c>
      <c r="L23" s="134" t="s">
        <v>229</v>
      </c>
      <c r="M23" s="134" t="s">
        <v>120</v>
      </c>
    </row>
    <row r="24" spans="1:13" ht="10.5" customHeight="1">
      <c r="A24" s="18" t="s">
        <v>31</v>
      </c>
      <c r="B24" s="120">
        <v>9.5</v>
      </c>
      <c r="C24" s="120">
        <v>6.56</v>
      </c>
      <c r="D24" s="120">
        <v>6.3</v>
      </c>
      <c r="E24" s="120">
        <v>3.11</v>
      </c>
      <c r="F24" s="120">
        <v>2.5299999999999998</v>
      </c>
      <c r="G24" s="120">
        <v>3.56</v>
      </c>
      <c r="H24" s="120">
        <v>3.27</v>
      </c>
      <c r="I24" s="138">
        <v>0.12</v>
      </c>
      <c r="J24" s="134" t="s">
        <v>120</v>
      </c>
      <c r="K24" s="134" t="s">
        <v>120</v>
      </c>
      <c r="L24" s="134" t="s">
        <v>229</v>
      </c>
      <c r="M24" s="120">
        <v>-2.2599999999999998</v>
      </c>
    </row>
    <row r="25" spans="1:13" ht="10.5" customHeight="1">
      <c r="A25" s="18" t="s">
        <v>32</v>
      </c>
      <c r="B25" s="120">
        <v>3.85</v>
      </c>
      <c r="C25" s="120">
        <v>4.8</v>
      </c>
      <c r="D25" s="120">
        <v>3.42</v>
      </c>
      <c r="E25" s="120">
        <v>0.61</v>
      </c>
      <c r="F25" s="120">
        <v>2.67</v>
      </c>
      <c r="G25" s="120">
        <v>3.56</v>
      </c>
      <c r="H25" s="138">
        <v>2.41</v>
      </c>
      <c r="I25" s="138">
        <v>3.82</v>
      </c>
      <c r="J25" s="120" t="s">
        <v>120</v>
      </c>
      <c r="K25" s="120" t="s">
        <v>120</v>
      </c>
      <c r="L25" s="134" t="s">
        <v>229</v>
      </c>
      <c r="M25" s="134" t="s">
        <v>120</v>
      </c>
    </row>
    <row r="26" spans="1:13" ht="3" customHeight="1">
      <c r="A26" s="18"/>
      <c r="B26" s="120"/>
      <c r="C26" s="120"/>
      <c r="D26" s="120"/>
      <c r="E26" s="120"/>
      <c r="F26" s="120"/>
      <c r="G26" s="120"/>
      <c r="H26" s="138"/>
      <c r="I26" s="138"/>
      <c r="J26" s="120"/>
      <c r="K26" s="120"/>
      <c r="L26" s="134" t="s">
        <v>229</v>
      </c>
    </row>
    <row r="27" spans="1:13" ht="10.5" customHeight="1">
      <c r="A27" s="18" t="s">
        <v>33</v>
      </c>
      <c r="B27" s="120">
        <v>12.55</v>
      </c>
      <c r="C27" s="120">
        <v>10.98</v>
      </c>
      <c r="D27" s="120">
        <v>21.28</v>
      </c>
      <c r="E27" s="120">
        <v>15.92</v>
      </c>
      <c r="F27" s="120">
        <v>14.41</v>
      </c>
      <c r="G27" s="120">
        <v>15.96</v>
      </c>
      <c r="H27" s="138">
        <v>15.7</v>
      </c>
      <c r="I27" s="138">
        <v>13.21</v>
      </c>
      <c r="J27" s="120" t="s">
        <v>120</v>
      </c>
      <c r="K27" s="120" t="s">
        <v>120</v>
      </c>
      <c r="L27" s="134" t="s">
        <v>229</v>
      </c>
      <c r="M27" s="120">
        <v>26.22</v>
      </c>
    </row>
    <row r="28" spans="1:13" ht="10.5" customHeight="1">
      <c r="A28" s="22" t="s">
        <v>34</v>
      </c>
      <c r="B28" s="120">
        <v>8.32</v>
      </c>
      <c r="C28" s="120">
        <v>6.25</v>
      </c>
      <c r="D28" s="120">
        <v>4.9400000000000004</v>
      </c>
      <c r="E28" s="120">
        <v>2.91</v>
      </c>
      <c r="F28" s="120">
        <v>0.23</v>
      </c>
      <c r="G28" s="120">
        <v>1.98</v>
      </c>
      <c r="H28" s="138">
        <v>0.23</v>
      </c>
      <c r="I28" s="138">
        <v>-0.72</v>
      </c>
      <c r="J28" s="120">
        <v>-0.97</v>
      </c>
      <c r="K28" s="120" t="s">
        <v>120</v>
      </c>
      <c r="L28" s="134" t="s">
        <v>229</v>
      </c>
      <c r="M28" s="134" t="s">
        <v>120</v>
      </c>
    </row>
    <row r="29" spans="1:13" ht="10.5" customHeight="1">
      <c r="A29" s="22" t="s">
        <v>35</v>
      </c>
      <c r="B29" s="120">
        <v>5.04</v>
      </c>
      <c r="C29" s="120">
        <v>4.63</v>
      </c>
      <c r="D29" s="120">
        <v>4.7300000000000004</v>
      </c>
      <c r="E29" s="120">
        <v>2.7</v>
      </c>
      <c r="F29" s="120">
        <v>4.93</v>
      </c>
      <c r="G29" s="120">
        <v>3.52</v>
      </c>
      <c r="H29" s="138">
        <v>1.22</v>
      </c>
      <c r="I29" s="138">
        <v>0.9</v>
      </c>
      <c r="J29" s="120" t="s">
        <v>120</v>
      </c>
      <c r="K29" s="120" t="s">
        <v>120</v>
      </c>
      <c r="L29" s="134" t="s">
        <v>229</v>
      </c>
      <c r="M29" s="134" t="s">
        <v>120</v>
      </c>
    </row>
    <row r="30" spans="1:13" ht="10.5" customHeight="1">
      <c r="A30" s="18" t="s">
        <v>36</v>
      </c>
      <c r="B30" s="120">
        <v>12.71</v>
      </c>
      <c r="C30" s="120">
        <v>9.82</v>
      </c>
      <c r="D30" s="120">
        <v>12.01</v>
      </c>
      <c r="E30" s="120">
        <v>9.2200000000000006</v>
      </c>
      <c r="F30" s="120">
        <v>8.2100000000000009</v>
      </c>
      <c r="G30" s="120">
        <v>1.03</v>
      </c>
      <c r="H30" s="138">
        <v>0.31</v>
      </c>
      <c r="I30" s="138">
        <v>0.25</v>
      </c>
      <c r="J30" s="120">
        <v>-3.57</v>
      </c>
      <c r="K30" s="120" t="s">
        <v>120</v>
      </c>
      <c r="L30" s="134" t="s">
        <v>229</v>
      </c>
      <c r="M30" s="134" t="s">
        <v>120</v>
      </c>
    </row>
    <row r="31" spans="1:13" ht="10.5" customHeight="1">
      <c r="A31" s="22" t="s">
        <v>37</v>
      </c>
      <c r="B31" s="120">
        <v>7.76</v>
      </c>
      <c r="C31" s="120">
        <v>5.14</v>
      </c>
      <c r="D31" s="120">
        <v>2.37</v>
      </c>
      <c r="E31" s="120" t="s">
        <v>120</v>
      </c>
      <c r="F31" s="120">
        <v>6.44</v>
      </c>
      <c r="G31" s="120">
        <v>0.28999999999999998</v>
      </c>
      <c r="H31" s="138">
        <v>-0.68</v>
      </c>
      <c r="I31" s="138">
        <v>0.24</v>
      </c>
      <c r="J31" s="120" t="s">
        <v>120</v>
      </c>
      <c r="K31" s="120" t="s">
        <v>120</v>
      </c>
      <c r="L31" s="134" t="s">
        <v>229</v>
      </c>
      <c r="M31" s="134" t="s">
        <v>120</v>
      </c>
    </row>
    <row r="32" spans="1:13" ht="10.5" customHeight="1">
      <c r="A32" s="18" t="s">
        <v>38</v>
      </c>
      <c r="B32" s="120">
        <v>3.62</v>
      </c>
      <c r="C32" s="120">
        <v>4.8499999999999996</v>
      </c>
      <c r="D32" s="120">
        <v>4.37</v>
      </c>
      <c r="E32" s="120">
        <v>3.46</v>
      </c>
      <c r="F32" s="120">
        <v>3.22</v>
      </c>
      <c r="G32" s="120">
        <v>1.34</v>
      </c>
      <c r="H32" s="120" t="s">
        <v>120</v>
      </c>
      <c r="I32" s="120" t="s">
        <v>120</v>
      </c>
      <c r="J32" s="120" t="s">
        <v>120</v>
      </c>
      <c r="K32" s="120" t="s">
        <v>120</v>
      </c>
      <c r="L32" s="134" t="s">
        <v>229</v>
      </c>
      <c r="M32" s="134" t="s">
        <v>120</v>
      </c>
    </row>
    <row r="33" spans="1:14" ht="4.5" customHeight="1">
      <c r="A33" s="22"/>
      <c r="B33" s="120"/>
      <c r="C33" s="120"/>
      <c r="D33" s="120"/>
      <c r="E33" s="120"/>
      <c r="F33" s="120"/>
      <c r="G33" s="120"/>
      <c r="H33" s="138"/>
      <c r="I33" s="138"/>
      <c r="J33" s="120"/>
      <c r="K33" s="120"/>
      <c r="L33" s="134"/>
      <c r="M33" s="134"/>
    </row>
    <row r="34" spans="1:14" ht="10.5" customHeight="1">
      <c r="A34" s="18" t="s">
        <v>39</v>
      </c>
      <c r="B34" s="120">
        <v>8.6300000000000008</v>
      </c>
      <c r="C34" s="120">
        <v>4.33</v>
      </c>
      <c r="D34" s="120">
        <v>5.59</v>
      </c>
      <c r="E34" s="120">
        <v>3.46</v>
      </c>
      <c r="F34" s="120">
        <v>6.65</v>
      </c>
      <c r="G34" s="120">
        <v>-0.61</v>
      </c>
      <c r="H34" s="120">
        <v>-0.6</v>
      </c>
      <c r="I34" s="120">
        <v>-4.5599999999999996</v>
      </c>
      <c r="J34" s="120" t="s">
        <v>120</v>
      </c>
      <c r="K34" s="120" t="s">
        <v>120</v>
      </c>
      <c r="L34" s="134" t="s">
        <v>229</v>
      </c>
      <c r="M34" s="134" t="s">
        <v>120</v>
      </c>
    </row>
    <row r="35" spans="1:14" ht="10.5" customHeight="1">
      <c r="A35" s="18" t="s">
        <v>40</v>
      </c>
      <c r="B35" s="120">
        <v>8.4</v>
      </c>
      <c r="C35" s="120">
        <v>6.27</v>
      </c>
      <c r="D35" s="120">
        <v>4.82</v>
      </c>
      <c r="E35" s="120">
        <v>2.6</v>
      </c>
      <c r="F35" s="120">
        <v>0.17</v>
      </c>
      <c r="G35" s="120">
        <v>2.96</v>
      </c>
      <c r="H35" s="120">
        <v>2.77</v>
      </c>
      <c r="I35" s="120">
        <v>-0.49</v>
      </c>
      <c r="J35" s="120" t="s">
        <v>120</v>
      </c>
      <c r="K35" s="120" t="s">
        <v>120</v>
      </c>
      <c r="L35" s="120" t="s">
        <v>229</v>
      </c>
      <c r="M35" s="134" t="s">
        <v>120</v>
      </c>
    </row>
    <row r="36" spans="1:14" ht="10.5" customHeight="1">
      <c r="A36" s="18" t="s">
        <v>41</v>
      </c>
      <c r="B36" s="120" t="s">
        <v>152</v>
      </c>
      <c r="C36" s="120">
        <v>5.93</v>
      </c>
      <c r="D36" s="120">
        <v>9.08</v>
      </c>
      <c r="E36" s="120">
        <v>17.309999999999999</v>
      </c>
      <c r="F36" s="120">
        <v>-0.9</v>
      </c>
      <c r="G36" s="120">
        <v>-0.9</v>
      </c>
      <c r="H36" s="120">
        <v>3.17</v>
      </c>
      <c r="I36" s="120">
        <v>-0.9</v>
      </c>
      <c r="J36" s="120" t="s">
        <v>120</v>
      </c>
      <c r="K36" s="120" t="s">
        <v>120</v>
      </c>
      <c r="L36" s="120" t="s">
        <v>229</v>
      </c>
      <c r="M36" s="134" t="s">
        <v>120</v>
      </c>
      <c r="N36" s="59"/>
    </row>
    <row r="37" spans="1:14" ht="10.5" customHeight="1">
      <c r="A37" s="18" t="s">
        <v>42</v>
      </c>
      <c r="B37" s="120">
        <v>7.46</v>
      </c>
      <c r="C37" s="120">
        <v>5.13</v>
      </c>
      <c r="D37" s="120">
        <v>4.9400000000000004</v>
      </c>
      <c r="E37" s="120" t="s">
        <v>152</v>
      </c>
      <c r="F37" s="120" t="s">
        <v>152</v>
      </c>
      <c r="G37" s="120" t="s">
        <v>152</v>
      </c>
      <c r="H37" s="120">
        <v>1.74</v>
      </c>
      <c r="I37" s="120">
        <v>-0.19</v>
      </c>
      <c r="J37" s="120" t="s">
        <v>120</v>
      </c>
      <c r="K37" s="120" t="s">
        <v>120</v>
      </c>
      <c r="L37" s="120" t="s">
        <v>229</v>
      </c>
      <c r="M37" s="134" t="s">
        <v>120</v>
      </c>
    </row>
    <row r="38" spans="1:14" ht="10.5" customHeight="1">
      <c r="A38" s="18" t="s">
        <v>43</v>
      </c>
      <c r="B38" s="120">
        <v>9.8000000000000007</v>
      </c>
      <c r="C38" s="120">
        <v>8.59</v>
      </c>
      <c r="D38" s="120">
        <v>8.8000000000000007</v>
      </c>
      <c r="E38" s="120">
        <v>10.54</v>
      </c>
      <c r="F38" s="120" t="s">
        <v>152</v>
      </c>
      <c r="G38" s="120" t="s">
        <v>152</v>
      </c>
      <c r="H38" s="120" t="s">
        <v>152</v>
      </c>
      <c r="I38" s="120" t="s">
        <v>152</v>
      </c>
      <c r="J38" s="120" t="s">
        <v>120</v>
      </c>
      <c r="K38" s="120" t="s">
        <v>120</v>
      </c>
      <c r="L38" s="120" t="s">
        <v>229</v>
      </c>
      <c r="M38" s="134" t="s">
        <v>120</v>
      </c>
    </row>
    <row r="39" spans="1:14" s="59" customFormat="1" ht="10.5" customHeight="1">
      <c r="A39" s="18" t="s">
        <v>44</v>
      </c>
      <c r="B39" s="120" t="s">
        <v>152</v>
      </c>
      <c r="C39" s="120" t="s">
        <v>152</v>
      </c>
      <c r="D39" s="120" t="s">
        <v>152</v>
      </c>
      <c r="E39" s="120" t="s">
        <v>152</v>
      </c>
      <c r="F39" s="120" t="s">
        <v>152</v>
      </c>
      <c r="G39" s="120" t="s">
        <v>152</v>
      </c>
      <c r="H39" s="120" t="s">
        <v>152</v>
      </c>
      <c r="I39" s="120" t="s">
        <v>152</v>
      </c>
      <c r="J39" s="120" t="s">
        <v>120</v>
      </c>
      <c r="K39" s="120" t="s">
        <v>120</v>
      </c>
      <c r="L39" s="120" t="s">
        <v>229</v>
      </c>
      <c r="M39" s="134" t="s">
        <v>120</v>
      </c>
    </row>
    <row r="40" spans="1:14" s="59" customFormat="1" ht="10.5" customHeight="1">
      <c r="A40" s="18" t="s">
        <v>46</v>
      </c>
      <c r="B40" s="120" t="s">
        <v>152</v>
      </c>
      <c r="C40" s="120" t="s">
        <v>152</v>
      </c>
      <c r="D40" s="120" t="s">
        <v>152</v>
      </c>
      <c r="E40" s="120" t="s">
        <v>152</v>
      </c>
      <c r="F40" s="120" t="s">
        <v>152</v>
      </c>
      <c r="G40" s="120" t="s">
        <v>152</v>
      </c>
      <c r="H40" s="120" t="s">
        <v>152</v>
      </c>
      <c r="I40" s="120" t="s">
        <v>152</v>
      </c>
      <c r="J40" s="120" t="s">
        <v>120</v>
      </c>
      <c r="K40" s="120" t="s">
        <v>120</v>
      </c>
      <c r="L40" s="120" t="s">
        <v>229</v>
      </c>
      <c r="M40" s="134" t="s">
        <v>120</v>
      </c>
    </row>
    <row r="41" spans="1:14" s="59" customFormat="1" ht="10.5" customHeight="1">
      <c r="A41" s="18" t="s">
        <v>47</v>
      </c>
      <c r="B41" s="120" t="s">
        <v>152</v>
      </c>
      <c r="C41" s="120" t="s">
        <v>152</v>
      </c>
      <c r="D41" s="120" t="s">
        <v>152</v>
      </c>
      <c r="E41" s="120" t="s">
        <v>152</v>
      </c>
      <c r="F41" s="120" t="s">
        <v>152</v>
      </c>
      <c r="G41" s="120" t="s">
        <v>152</v>
      </c>
      <c r="H41" s="120" t="s">
        <v>152</v>
      </c>
      <c r="I41" s="120" t="s">
        <v>152</v>
      </c>
      <c r="J41" s="120" t="s">
        <v>120</v>
      </c>
      <c r="K41" s="120" t="s">
        <v>120</v>
      </c>
      <c r="L41" s="120" t="s">
        <v>229</v>
      </c>
      <c r="M41" s="134" t="s">
        <v>120</v>
      </c>
    </row>
    <row r="42" spans="1:14" s="59" customFormat="1" ht="10.5" customHeight="1">
      <c r="A42" s="18" t="s">
        <v>48</v>
      </c>
      <c r="B42" s="120" t="s">
        <v>152</v>
      </c>
      <c r="C42" s="120" t="s">
        <v>152</v>
      </c>
      <c r="D42" s="120" t="s">
        <v>152</v>
      </c>
      <c r="E42" s="120" t="s">
        <v>152</v>
      </c>
      <c r="F42" s="120" t="s">
        <v>152</v>
      </c>
      <c r="G42" s="120" t="s">
        <v>152</v>
      </c>
      <c r="H42" s="120" t="s">
        <v>152</v>
      </c>
      <c r="I42" s="120" t="s">
        <v>152</v>
      </c>
      <c r="J42" s="120" t="s">
        <v>120</v>
      </c>
      <c r="K42" s="120" t="s">
        <v>120</v>
      </c>
      <c r="L42" s="120" t="s">
        <v>229</v>
      </c>
      <c r="M42" s="134" t="s">
        <v>120</v>
      </c>
    </row>
    <row r="43" spans="1:14" ht="10.5" customHeight="1">
      <c r="A43" s="140" t="s">
        <v>51</v>
      </c>
      <c r="B43" s="142" t="s">
        <v>152</v>
      </c>
      <c r="C43" s="142" t="s">
        <v>152</v>
      </c>
      <c r="D43" s="142" t="s">
        <v>152</v>
      </c>
      <c r="E43" s="142" t="s">
        <v>152</v>
      </c>
      <c r="F43" s="142" t="s">
        <v>152</v>
      </c>
      <c r="G43" s="142" t="s">
        <v>152</v>
      </c>
      <c r="H43" s="142" t="s">
        <v>152</v>
      </c>
      <c r="I43" s="142" t="s">
        <v>152</v>
      </c>
      <c r="J43" s="142" t="s">
        <v>120</v>
      </c>
      <c r="K43" s="142" t="s">
        <v>120</v>
      </c>
      <c r="L43" s="142" t="s">
        <v>229</v>
      </c>
      <c r="M43" s="142" t="s">
        <v>120</v>
      </c>
    </row>
    <row r="44" spans="1:14">
      <c r="A44" s="39" t="s">
        <v>230</v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39" t="s">
        <v>127</v>
      </c>
      <c r="B45" s="4"/>
      <c r="C45" s="4"/>
      <c r="D45" s="4"/>
      <c r="E45" s="4"/>
      <c r="F45" s="4"/>
      <c r="G45" s="4"/>
      <c r="H45" s="4"/>
      <c r="I45" s="4"/>
      <c r="J45" s="143"/>
      <c r="K45" s="143"/>
    </row>
    <row r="46" spans="1:14">
      <c r="J46" s="144"/>
      <c r="K46" s="144"/>
    </row>
  </sheetData>
  <pageMargins left="0.66700000000000004" right="0.66700000000000004" top="0.66700000000000004" bottom="0.72" header="0" footer="0"/>
  <pageSetup firstPageNumber="93" orientation="portrait" useFirstPageNumber="1" copies="3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53"/>
  <sheetViews>
    <sheetView showGridLines="0" view="pageBreakPreview" zoomScale="60" zoomScaleNormal="100" workbookViewId="0">
      <selection activeCell="M49" sqref="M49"/>
    </sheetView>
  </sheetViews>
  <sheetFormatPr defaultColWidth="9.7109375" defaultRowHeight="12"/>
  <cols>
    <col min="1" max="1" width="8.7109375" customWidth="1"/>
    <col min="2" max="13" width="7.7109375" customWidth="1"/>
    <col min="14" max="14" width="7.85546875" customWidth="1"/>
    <col min="15" max="15" width="8.7109375" customWidth="1"/>
  </cols>
  <sheetData>
    <row r="1" spans="1:15">
      <c r="A1" s="160" t="s">
        <v>231</v>
      </c>
      <c r="B1" s="160"/>
      <c r="C1" s="160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</row>
    <row r="2" spans="1:15">
      <c r="A2" s="1" t="s">
        <v>128</v>
      </c>
      <c r="B2" s="362" t="s">
        <v>139</v>
      </c>
      <c r="C2" s="362" t="s">
        <v>140</v>
      </c>
      <c r="D2" s="362" t="s">
        <v>129</v>
      </c>
      <c r="E2" s="362" t="s">
        <v>130</v>
      </c>
      <c r="F2" s="362" t="s">
        <v>131</v>
      </c>
      <c r="G2" s="362" t="s">
        <v>132</v>
      </c>
      <c r="H2" s="362" t="s">
        <v>133</v>
      </c>
      <c r="I2" s="362" t="s">
        <v>134</v>
      </c>
      <c r="J2" s="362" t="s">
        <v>135</v>
      </c>
      <c r="K2" s="362" t="s">
        <v>136</v>
      </c>
      <c r="L2" s="362" t="s">
        <v>137</v>
      </c>
      <c r="M2" s="362" t="s">
        <v>138</v>
      </c>
    </row>
    <row r="3" spans="1:15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5">
      <c r="A4" s="4"/>
      <c r="B4" s="483" t="s">
        <v>141</v>
      </c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</row>
    <row r="5" spans="1:15" ht="3" customHeight="1">
      <c r="A5" s="4"/>
      <c r="B5" s="4"/>
      <c r="C5" s="361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0.5" customHeight="1">
      <c r="A6" s="14" t="s">
        <v>14</v>
      </c>
      <c r="B6" s="153">
        <v>2.39</v>
      </c>
      <c r="C6" s="153">
        <v>6.65</v>
      </c>
      <c r="D6" s="153">
        <v>5.69</v>
      </c>
      <c r="E6" s="363">
        <v>4.47</v>
      </c>
      <c r="F6" s="153">
        <v>3.72</v>
      </c>
      <c r="G6" s="153">
        <v>3.3</v>
      </c>
      <c r="H6" s="153">
        <v>2.5</v>
      </c>
      <c r="I6" s="153">
        <v>1.66</v>
      </c>
      <c r="J6" s="153">
        <v>1.99</v>
      </c>
      <c r="K6" s="153">
        <v>3.18</v>
      </c>
      <c r="L6" s="153">
        <v>4.25</v>
      </c>
      <c r="M6" s="153">
        <v>3.27</v>
      </c>
    </row>
    <row r="7" spans="1:15" ht="10.5" customHeight="1">
      <c r="A7" s="14" t="s">
        <v>15</v>
      </c>
      <c r="B7" s="153">
        <v>3.35</v>
      </c>
      <c r="C7" s="153">
        <v>6.63</v>
      </c>
      <c r="D7" s="153">
        <v>4.37</v>
      </c>
      <c r="E7" s="153">
        <v>5.41</v>
      </c>
      <c r="F7" s="153">
        <v>6.16</v>
      </c>
      <c r="G7" s="153">
        <v>5.83</v>
      </c>
      <c r="H7" s="153">
        <v>5.41</v>
      </c>
      <c r="I7" s="153">
        <v>6.02</v>
      </c>
      <c r="J7" s="153">
        <v>8.75</v>
      </c>
      <c r="K7" s="153">
        <v>8.86</v>
      </c>
      <c r="L7" s="153">
        <v>9.84</v>
      </c>
      <c r="M7" s="153">
        <v>11.8</v>
      </c>
    </row>
    <row r="8" spans="1:15" ht="10.5" customHeight="1">
      <c r="A8" s="14" t="s">
        <v>16</v>
      </c>
      <c r="B8" s="153">
        <v>19.489999999999998</v>
      </c>
      <c r="C8" s="153">
        <v>20.09</v>
      </c>
      <c r="D8" s="153">
        <v>8.42</v>
      </c>
      <c r="E8" s="153">
        <v>5.18</v>
      </c>
      <c r="F8" s="153">
        <v>3.29</v>
      </c>
      <c r="G8" s="153">
        <v>2.64</v>
      </c>
      <c r="H8" s="153">
        <v>2.57</v>
      </c>
      <c r="I8" s="153">
        <v>2.17</v>
      </c>
      <c r="J8" s="153">
        <v>1.78</v>
      </c>
      <c r="K8" s="153">
        <v>2.0299999999999998</v>
      </c>
      <c r="L8" s="153">
        <v>2.38</v>
      </c>
      <c r="M8" s="153">
        <v>2.14</v>
      </c>
    </row>
    <row r="9" spans="1:15" ht="10.5" customHeight="1">
      <c r="A9" s="14" t="s">
        <v>17</v>
      </c>
      <c r="B9" s="153">
        <v>1.5</v>
      </c>
      <c r="C9" s="153">
        <v>6.53</v>
      </c>
      <c r="D9" s="153">
        <v>5.33</v>
      </c>
      <c r="E9" s="153">
        <v>4.96</v>
      </c>
      <c r="F9" s="153">
        <v>3.61</v>
      </c>
      <c r="G9" s="153">
        <v>2.96</v>
      </c>
      <c r="H9" s="153">
        <v>3.57</v>
      </c>
      <c r="I9" s="153">
        <v>10.02</v>
      </c>
      <c r="J9" s="153">
        <v>12.77</v>
      </c>
      <c r="K9" s="153">
        <v>12.93</v>
      </c>
      <c r="L9" s="153">
        <v>13.26</v>
      </c>
      <c r="M9" s="153">
        <v>14.67</v>
      </c>
    </row>
    <row r="10" spans="1:15" ht="10.5" customHeight="1">
      <c r="A10" s="14" t="s">
        <v>18</v>
      </c>
      <c r="B10" s="153">
        <v>15.36</v>
      </c>
      <c r="C10" s="153">
        <v>14.46</v>
      </c>
      <c r="D10" s="153">
        <v>11.26</v>
      </c>
      <c r="E10" s="153">
        <v>10.71</v>
      </c>
      <c r="F10" s="153">
        <v>10.5</v>
      </c>
      <c r="G10" s="153">
        <v>8.8000000000000007</v>
      </c>
      <c r="H10" s="153">
        <v>8.15</v>
      </c>
      <c r="I10" s="153">
        <v>8.8699999999999992</v>
      </c>
      <c r="J10" s="153">
        <v>8.41</v>
      </c>
      <c r="K10" s="153">
        <v>6.92</v>
      </c>
      <c r="L10" s="153">
        <v>6.19</v>
      </c>
      <c r="M10" s="153">
        <v>5.49</v>
      </c>
    </row>
    <row r="11" spans="1:15" ht="10.5" customHeight="1">
      <c r="A11" s="14" t="s">
        <v>19</v>
      </c>
      <c r="B11" s="153">
        <v>5.78</v>
      </c>
      <c r="C11" s="153">
        <v>4.8499999999999996</v>
      </c>
      <c r="D11" s="153">
        <v>6.73</v>
      </c>
      <c r="E11" s="153">
        <v>7.86</v>
      </c>
      <c r="F11" s="153">
        <v>6.33</v>
      </c>
      <c r="G11" s="153">
        <v>5.0599999999999996</v>
      </c>
      <c r="H11" s="153">
        <v>4.83</v>
      </c>
      <c r="I11" s="153">
        <v>3.64</v>
      </c>
      <c r="J11" s="153">
        <v>4.49</v>
      </c>
      <c r="K11" s="153">
        <v>4.09</v>
      </c>
      <c r="L11" s="153">
        <v>3.6</v>
      </c>
      <c r="M11" s="153">
        <v>3.91</v>
      </c>
    </row>
    <row r="12" spans="1:15" ht="3" customHeight="1">
      <c r="A12" s="14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</row>
    <row r="13" spans="1:15" ht="10.5" customHeight="1">
      <c r="A13" s="14" t="s">
        <v>20</v>
      </c>
      <c r="B13" s="153">
        <v>4.59</v>
      </c>
      <c r="C13" s="153">
        <v>6.26</v>
      </c>
      <c r="D13" s="153">
        <v>7.75</v>
      </c>
      <c r="E13" s="153">
        <v>6.45</v>
      </c>
      <c r="F13" s="153">
        <v>5.78</v>
      </c>
      <c r="G13" s="153">
        <v>4.76</v>
      </c>
      <c r="H13" s="153">
        <v>4.6100000000000003</v>
      </c>
      <c r="I13" s="153">
        <v>4.2</v>
      </c>
      <c r="J13" s="153">
        <v>5.86</v>
      </c>
      <c r="K13" s="153">
        <v>6.18</v>
      </c>
      <c r="L13" s="153">
        <v>6.05</v>
      </c>
      <c r="M13" s="153">
        <v>5.41</v>
      </c>
    </row>
    <row r="14" spans="1:15" ht="10.5" customHeight="1">
      <c r="A14" s="14" t="s">
        <v>21</v>
      </c>
      <c r="B14" s="153">
        <v>7.43</v>
      </c>
      <c r="C14" s="153">
        <v>10.42</v>
      </c>
      <c r="D14" s="153">
        <v>10.69</v>
      </c>
      <c r="E14" s="153">
        <v>6.19</v>
      </c>
      <c r="F14" s="153">
        <v>6.2</v>
      </c>
      <c r="G14" s="153">
        <v>5.05</v>
      </c>
      <c r="H14" s="153">
        <v>4.75</v>
      </c>
      <c r="I14" s="153">
        <v>5.61</v>
      </c>
      <c r="J14" s="153">
        <v>8.84</v>
      </c>
      <c r="K14" s="153">
        <v>8.02</v>
      </c>
      <c r="L14" s="153">
        <v>6.49</v>
      </c>
      <c r="M14" s="153">
        <v>5.44</v>
      </c>
    </row>
    <row r="15" spans="1:15" ht="10.5" customHeight="1">
      <c r="A15" s="14" t="s">
        <v>142</v>
      </c>
      <c r="B15" s="153">
        <v>5.56</v>
      </c>
      <c r="C15" s="153">
        <v>3.13</v>
      </c>
      <c r="D15" s="153">
        <v>5.28</v>
      </c>
      <c r="E15" s="153">
        <v>8.1</v>
      </c>
      <c r="F15" s="153">
        <v>5.4</v>
      </c>
      <c r="G15" s="153">
        <v>4.49</v>
      </c>
      <c r="H15" s="153">
        <v>4.9000000000000004</v>
      </c>
      <c r="I15" s="153">
        <v>5.24</v>
      </c>
      <c r="J15" s="153">
        <v>6.52</v>
      </c>
      <c r="K15" s="153">
        <v>6.66</v>
      </c>
      <c r="L15" s="153">
        <v>7.28</v>
      </c>
      <c r="M15" s="153">
        <v>6.52</v>
      </c>
    </row>
    <row r="16" spans="1:15" ht="10.5" customHeight="1">
      <c r="A16" s="14" t="s">
        <v>143</v>
      </c>
      <c r="B16" s="153">
        <v>6.54</v>
      </c>
      <c r="C16" s="153">
        <v>6.23</v>
      </c>
      <c r="D16" s="153">
        <v>7.96</v>
      </c>
      <c r="E16" s="153">
        <v>7.06</v>
      </c>
      <c r="F16" s="153">
        <v>6.7</v>
      </c>
      <c r="G16" s="153">
        <v>6.27</v>
      </c>
      <c r="H16" s="153">
        <v>5.56</v>
      </c>
      <c r="I16" s="153">
        <v>5.2</v>
      </c>
      <c r="J16" s="153">
        <v>6.87</v>
      </c>
      <c r="K16" s="153">
        <v>6.67</v>
      </c>
      <c r="L16" s="153">
        <v>5.75</v>
      </c>
      <c r="M16" s="153">
        <v>4.38</v>
      </c>
    </row>
    <row r="17" spans="1:16" ht="10.5" customHeight="1">
      <c r="A17" s="14" t="s">
        <v>144</v>
      </c>
      <c r="B17" s="153">
        <v>4.4800000000000004</v>
      </c>
      <c r="C17" s="153">
        <v>3.92</v>
      </c>
      <c r="D17" s="153">
        <v>9.39</v>
      </c>
      <c r="E17" s="153">
        <v>9.1199999999999992</v>
      </c>
      <c r="F17" s="153">
        <v>6.09</v>
      </c>
      <c r="G17" s="153">
        <v>7.74</v>
      </c>
      <c r="H17" s="153">
        <v>14.13</v>
      </c>
      <c r="I17" s="153">
        <v>19.46</v>
      </c>
      <c r="J17" s="153">
        <v>20.079999999999998</v>
      </c>
      <c r="K17" s="153">
        <v>19.510000000000002</v>
      </c>
      <c r="L17" s="153">
        <v>17.399999999999999</v>
      </c>
      <c r="M17" s="153">
        <v>18.45</v>
      </c>
    </row>
    <row r="18" spans="1:16" ht="10.5" customHeight="1">
      <c r="A18" s="14" t="s">
        <v>25</v>
      </c>
      <c r="B18" s="153">
        <v>21.39</v>
      </c>
      <c r="C18" s="153">
        <v>20.69</v>
      </c>
      <c r="D18" s="153">
        <v>14.29</v>
      </c>
      <c r="E18" s="153">
        <v>11.01</v>
      </c>
      <c r="F18" s="153">
        <v>9.68</v>
      </c>
      <c r="G18" s="153">
        <v>6.35</v>
      </c>
      <c r="H18" s="153">
        <v>5.07</v>
      </c>
      <c r="I18" s="153">
        <v>4.57</v>
      </c>
      <c r="J18" s="153">
        <v>4.4000000000000004</v>
      </c>
      <c r="K18" s="153">
        <v>2.86</v>
      </c>
      <c r="L18" s="153">
        <v>1.87</v>
      </c>
      <c r="M18" s="153">
        <v>1.02</v>
      </c>
    </row>
    <row r="19" spans="1:16" ht="3" customHeight="1">
      <c r="A19" s="14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</row>
    <row r="20" spans="1:16" ht="10.5" customHeight="1">
      <c r="A20" s="14" t="s">
        <v>26</v>
      </c>
      <c r="B20" s="363">
        <v>1.05</v>
      </c>
      <c r="C20" s="153">
        <v>2.41</v>
      </c>
      <c r="D20" s="153">
        <v>5.51</v>
      </c>
      <c r="E20" s="153">
        <v>5.9</v>
      </c>
      <c r="F20" s="153">
        <v>4.82</v>
      </c>
      <c r="G20" s="153">
        <v>4.01</v>
      </c>
      <c r="H20" s="153">
        <v>3.55</v>
      </c>
      <c r="I20" s="153">
        <v>4.12</v>
      </c>
      <c r="J20" s="153">
        <v>4.22</v>
      </c>
      <c r="K20" s="153">
        <v>4.32</v>
      </c>
      <c r="L20" s="153">
        <v>5.07</v>
      </c>
      <c r="M20" s="153">
        <v>7.25</v>
      </c>
      <c r="P20" s="154"/>
    </row>
    <row r="21" spans="1:16" ht="10.5" customHeight="1">
      <c r="A21" s="14" t="s">
        <v>27</v>
      </c>
      <c r="B21" s="363">
        <v>11.85</v>
      </c>
      <c r="C21" s="153">
        <v>11.56</v>
      </c>
      <c r="D21" s="153">
        <v>10.130000000000001</v>
      </c>
      <c r="E21" s="153">
        <v>7.02</v>
      </c>
      <c r="F21" s="153">
        <v>4.8499999999999996</v>
      </c>
      <c r="G21" s="153">
        <v>4.6900000000000004</v>
      </c>
      <c r="H21" s="153">
        <v>5.88</v>
      </c>
      <c r="I21" s="153">
        <v>5.97</v>
      </c>
      <c r="J21" s="153">
        <v>6.7</v>
      </c>
      <c r="K21" s="153">
        <v>5.61</v>
      </c>
      <c r="L21" s="153">
        <v>4.09</v>
      </c>
      <c r="M21" s="153">
        <v>4.24</v>
      </c>
      <c r="P21" s="154"/>
    </row>
    <row r="22" spans="1:16" ht="10.5" customHeight="1">
      <c r="A22" s="14" t="s">
        <v>28</v>
      </c>
      <c r="B22" s="363">
        <v>3.44</v>
      </c>
      <c r="C22" s="153">
        <v>1.81</v>
      </c>
      <c r="D22" s="153">
        <v>6.5</v>
      </c>
      <c r="E22" s="153">
        <v>6.67</v>
      </c>
      <c r="F22" s="153">
        <v>6.75</v>
      </c>
      <c r="G22" s="153">
        <v>5.03</v>
      </c>
      <c r="H22" s="153">
        <v>4.3499999999999996</v>
      </c>
      <c r="I22" s="153">
        <v>6.04</v>
      </c>
      <c r="J22" s="153">
        <v>7.56</v>
      </c>
      <c r="K22" s="153">
        <v>7.46</v>
      </c>
      <c r="L22" s="153">
        <v>7.46</v>
      </c>
      <c r="M22" s="153">
        <v>7.3</v>
      </c>
    </row>
    <row r="23" spans="1:16" ht="10.5" customHeight="1">
      <c r="A23" s="18" t="s">
        <v>30</v>
      </c>
      <c r="B23" s="363">
        <v>7.26</v>
      </c>
      <c r="C23" s="156">
        <v>7.58</v>
      </c>
      <c r="D23" s="156">
        <v>10.33</v>
      </c>
      <c r="E23" s="156">
        <v>6.06</v>
      </c>
      <c r="F23" s="156">
        <v>4.9400000000000004</v>
      </c>
      <c r="G23" s="156">
        <v>3.61</v>
      </c>
      <c r="H23" s="156">
        <v>5.3</v>
      </c>
      <c r="I23" s="156">
        <v>6.08</v>
      </c>
      <c r="J23" s="156">
        <v>7.65</v>
      </c>
      <c r="K23" s="156">
        <v>6.13</v>
      </c>
      <c r="L23" s="156">
        <v>7.18</v>
      </c>
      <c r="M23" s="156">
        <v>8.91</v>
      </c>
    </row>
    <row r="24" spans="1:16" ht="10.5" customHeight="1">
      <c r="A24" s="18" t="s">
        <v>31</v>
      </c>
      <c r="B24" s="364">
        <v>13.7</v>
      </c>
      <c r="C24" s="153">
        <v>11.33</v>
      </c>
      <c r="D24" s="156">
        <v>8.8800000000000008</v>
      </c>
      <c r="E24" s="156">
        <v>7.33</v>
      </c>
      <c r="F24" s="156">
        <v>7.17</v>
      </c>
      <c r="G24" s="156">
        <v>6.18</v>
      </c>
      <c r="H24" s="156">
        <v>6.4</v>
      </c>
      <c r="I24" s="156">
        <v>7.38</v>
      </c>
      <c r="J24" s="156">
        <v>8.35</v>
      </c>
      <c r="K24" s="156">
        <v>5.93</v>
      </c>
      <c r="L24" s="156">
        <v>6.48</v>
      </c>
      <c r="M24" s="156">
        <v>7.45</v>
      </c>
    </row>
    <row r="25" spans="1:16" ht="10.5" customHeight="1">
      <c r="A25" s="18" t="s">
        <v>32</v>
      </c>
      <c r="B25" s="364">
        <v>7.15</v>
      </c>
      <c r="C25" s="156">
        <v>6.66</v>
      </c>
      <c r="D25" s="156">
        <v>7.6</v>
      </c>
      <c r="E25" s="156">
        <v>6.86</v>
      </c>
      <c r="F25" s="156">
        <v>5.67</v>
      </c>
      <c r="G25" s="156">
        <v>5.53</v>
      </c>
      <c r="H25" s="156">
        <v>6</v>
      </c>
      <c r="I25" s="156">
        <v>8.7200000000000006</v>
      </c>
      <c r="J25" s="156">
        <v>8.91</v>
      </c>
      <c r="K25" s="156">
        <v>8.3800000000000008</v>
      </c>
      <c r="L25" s="156">
        <v>6.77</v>
      </c>
      <c r="M25" s="156">
        <v>5.56</v>
      </c>
    </row>
    <row r="26" spans="1:16" ht="3" customHeight="1">
      <c r="A26" s="18"/>
      <c r="B26" s="364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</row>
    <row r="27" spans="1:16" ht="10.5" customHeight="1">
      <c r="A27" s="18" t="s">
        <v>33</v>
      </c>
      <c r="B27" s="364">
        <v>5.64</v>
      </c>
      <c r="C27" s="156">
        <v>6.03</v>
      </c>
      <c r="D27" s="156">
        <v>10.37</v>
      </c>
      <c r="E27" s="156">
        <v>9.98</v>
      </c>
      <c r="F27" s="156">
        <v>5.07</v>
      </c>
      <c r="G27" s="156">
        <v>8.99</v>
      </c>
      <c r="H27" s="156">
        <v>8.0500000000000007</v>
      </c>
      <c r="I27" s="156">
        <v>12.19</v>
      </c>
      <c r="J27" s="156">
        <v>12.56</v>
      </c>
      <c r="K27" s="156">
        <v>11.68</v>
      </c>
      <c r="L27" s="156">
        <v>8.58</v>
      </c>
      <c r="M27" s="156">
        <v>6.66</v>
      </c>
    </row>
    <row r="28" spans="1:16" ht="10.5" customHeight="1">
      <c r="A28" s="22" t="s">
        <v>34</v>
      </c>
      <c r="B28" s="364">
        <v>9.9600000000000009</v>
      </c>
      <c r="C28" s="156">
        <v>9.43</v>
      </c>
      <c r="D28" s="156">
        <v>9.19</v>
      </c>
      <c r="E28" s="156">
        <v>5.97</v>
      </c>
      <c r="F28" s="156">
        <v>5.19</v>
      </c>
      <c r="G28" s="156">
        <v>3.8</v>
      </c>
      <c r="H28" s="156">
        <v>3.44</v>
      </c>
      <c r="I28" s="156">
        <v>3</v>
      </c>
      <c r="J28" s="156">
        <v>3.42</v>
      </c>
      <c r="K28" s="156">
        <v>3.7</v>
      </c>
      <c r="L28" s="156">
        <v>1.01</v>
      </c>
      <c r="M28" s="156">
        <v>0.35</v>
      </c>
    </row>
    <row r="29" spans="1:16" ht="10.5" customHeight="1">
      <c r="A29" s="22" t="s">
        <v>35</v>
      </c>
      <c r="B29" s="364">
        <v>0.28999999999999998</v>
      </c>
      <c r="C29" s="156">
        <v>-7.0000000000000007E-2</v>
      </c>
      <c r="D29" s="156">
        <v>7.01</v>
      </c>
      <c r="E29" s="156">
        <v>6.51</v>
      </c>
      <c r="F29" s="156">
        <v>6.3</v>
      </c>
      <c r="G29" s="156">
        <v>6.61</v>
      </c>
      <c r="H29" s="156">
        <v>8.31</v>
      </c>
      <c r="I29" s="156">
        <v>9.6</v>
      </c>
      <c r="J29" s="156">
        <v>9.24</v>
      </c>
      <c r="K29" s="156">
        <v>6.06</v>
      </c>
      <c r="L29" s="156">
        <v>4.63</v>
      </c>
      <c r="M29" s="156">
        <v>5.01</v>
      </c>
    </row>
    <row r="30" spans="1:16" ht="10.5" customHeight="1">
      <c r="A30" s="18" t="s">
        <v>36</v>
      </c>
      <c r="B30" s="364">
        <v>6.2</v>
      </c>
      <c r="C30" s="156">
        <v>4.8899999999999997</v>
      </c>
      <c r="D30" s="156">
        <v>15.1</v>
      </c>
      <c r="E30" s="156">
        <v>11.99</v>
      </c>
      <c r="F30" s="156">
        <v>11.7</v>
      </c>
      <c r="G30" s="156">
        <v>10</v>
      </c>
      <c r="H30" s="156">
        <v>8.31</v>
      </c>
      <c r="I30" s="156">
        <v>8.34</v>
      </c>
      <c r="J30" s="156">
        <v>7.07</v>
      </c>
      <c r="K30" s="156">
        <v>4.1399999999999997</v>
      </c>
      <c r="L30" s="156">
        <v>4.13</v>
      </c>
      <c r="M30" s="156">
        <v>5.28</v>
      </c>
    </row>
    <row r="31" spans="1:16" ht="10.5" customHeight="1">
      <c r="A31" s="22" t="s">
        <v>37</v>
      </c>
      <c r="B31" s="364">
        <v>5.33</v>
      </c>
      <c r="C31" s="156">
        <v>5.39</v>
      </c>
      <c r="D31" s="156">
        <v>9.5399999999999991</v>
      </c>
      <c r="E31" s="156">
        <v>7.43</v>
      </c>
      <c r="F31" s="156">
        <v>4.54</v>
      </c>
      <c r="G31" s="156">
        <v>3.11</v>
      </c>
      <c r="H31" s="156">
        <v>4.6100000000000003</v>
      </c>
      <c r="I31" s="156">
        <v>6.3</v>
      </c>
      <c r="J31" s="156">
        <v>6.62</v>
      </c>
      <c r="K31" s="156">
        <v>5.53</v>
      </c>
      <c r="L31" s="156">
        <v>3.78</v>
      </c>
      <c r="M31" s="156">
        <v>3.71</v>
      </c>
    </row>
    <row r="32" spans="1:16" ht="10.5" customHeight="1">
      <c r="A32" s="18" t="s">
        <v>38</v>
      </c>
      <c r="B32" s="364">
        <v>3</v>
      </c>
      <c r="C32" s="156">
        <v>1.83</v>
      </c>
      <c r="D32" s="156">
        <v>10.5</v>
      </c>
      <c r="E32" s="156">
        <v>9.18</v>
      </c>
      <c r="F32" s="156">
        <v>7.52</v>
      </c>
      <c r="G32" s="156">
        <v>7.45</v>
      </c>
      <c r="H32" s="156">
        <v>8.51</v>
      </c>
      <c r="I32" s="156">
        <v>7.43</v>
      </c>
      <c r="J32" s="156">
        <v>8</v>
      </c>
      <c r="K32" s="156">
        <v>9.8000000000000007</v>
      </c>
      <c r="L32" s="156">
        <v>8.34</v>
      </c>
      <c r="M32" s="156">
        <v>10.27</v>
      </c>
    </row>
    <row r="33" spans="1:13" ht="3.75" customHeight="1">
      <c r="A33" s="22"/>
      <c r="B33" s="364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</row>
    <row r="34" spans="1:13" ht="10.5" customHeight="1">
      <c r="A34" s="18" t="s">
        <v>39</v>
      </c>
      <c r="B34" s="364">
        <v>15.44</v>
      </c>
      <c r="C34" s="156">
        <v>21.23</v>
      </c>
      <c r="D34" s="156">
        <v>11.07</v>
      </c>
      <c r="E34" s="156">
        <v>8.69</v>
      </c>
      <c r="F34" s="156">
        <v>7.49</v>
      </c>
      <c r="G34" s="156">
        <v>6.69</v>
      </c>
      <c r="H34" s="156">
        <v>6.62</v>
      </c>
      <c r="I34" s="156">
        <v>6.55</v>
      </c>
      <c r="J34" s="156">
        <v>7.46</v>
      </c>
      <c r="K34" s="156">
        <v>7.63</v>
      </c>
      <c r="L34" s="156">
        <v>6.11</v>
      </c>
      <c r="M34" s="156">
        <v>3.75</v>
      </c>
    </row>
    <row r="35" spans="1:13" ht="10.5" customHeight="1">
      <c r="A35" s="18" t="s">
        <v>40</v>
      </c>
      <c r="B35" s="364">
        <v>4.29</v>
      </c>
      <c r="C35" s="156">
        <v>3.18</v>
      </c>
      <c r="D35" s="156">
        <v>10.68</v>
      </c>
      <c r="E35" s="156">
        <v>8.4600000000000009</v>
      </c>
      <c r="F35" s="156">
        <v>6.82</v>
      </c>
      <c r="G35" s="156">
        <v>6.13</v>
      </c>
      <c r="H35" s="156">
        <v>6.12</v>
      </c>
      <c r="I35" s="156">
        <v>7.22</v>
      </c>
      <c r="J35" s="156">
        <v>8.1</v>
      </c>
      <c r="K35" s="156">
        <v>8.52</v>
      </c>
      <c r="L35" s="156">
        <v>8.49</v>
      </c>
      <c r="M35" s="156">
        <v>11.66</v>
      </c>
    </row>
    <row r="36" spans="1:13" ht="10.5" customHeight="1">
      <c r="A36" s="18" t="s">
        <v>41</v>
      </c>
      <c r="B36" s="364">
        <v>17.96</v>
      </c>
      <c r="C36" s="156">
        <v>11.16</v>
      </c>
      <c r="D36" s="156">
        <v>8.32</v>
      </c>
      <c r="E36" s="156">
        <v>10.68</v>
      </c>
      <c r="F36" s="156">
        <v>10.62</v>
      </c>
      <c r="G36" s="156">
        <v>4.41</v>
      </c>
      <c r="H36" s="156">
        <v>11.03</v>
      </c>
      <c r="I36" s="156">
        <v>9.68</v>
      </c>
      <c r="J36" s="156">
        <v>6.32</v>
      </c>
      <c r="K36" s="156">
        <v>9.6199999999999992</v>
      </c>
      <c r="L36" s="156">
        <v>8.56</v>
      </c>
      <c r="M36" s="156">
        <v>8.98</v>
      </c>
    </row>
    <row r="37" spans="1:13" ht="10.5" customHeight="1">
      <c r="A37" s="18" t="s">
        <v>42</v>
      </c>
      <c r="B37" s="364">
        <v>7.84</v>
      </c>
      <c r="C37" s="156">
        <v>10.41</v>
      </c>
      <c r="D37" s="156">
        <v>12.66</v>
      </c>
      <c r="E37" s="156">
        <v>9.2899999999999991</v>
      </c>
      <c r="F37" s="156">
        <v>8.0500000000000007</v>
      </c>
      <c r="G37" s="156">
        <v>6.32</v>
      </c>
      <c r="H37" s="156">
        <v>6.18</v>
      </c>
      <c r="I37" s="156">
        <v>5.34</v>
      </c>
      <c r="J37" s="156">
        <v>6.61</v>
      </c>
      <c r="K37" s="156">
        <v>7.53</v>
      </c>
      <c r="L37" s="156">
        <v>5.55</v>
      </c>
      <c r="M37" s="156">
        <v>4.32</v>
      </c>
    </row>
    <row r="38" spans="1:13" ht="10.5" customHeight="1">
      <c r="A38" s="18" t="s">
        <v>43</v>
      </c>
      <c r="B38" s="364">
        <v>5.92</v>
      </c>
      <c r="C38" s="156">
        <v>3.96</v>
      </c>
      <c r="D38" s="156">
        <v>12.73</v>
      </c>
      <c r="E38" s="156">
        <v>10.220000000000001</v>
      </c>
      <c r="F38" s="156">
        <v>12.25</v>
      </c>
      <c r="G38" s="156">
        <v>11.22</v>
      </c>
      <c r="H38" s="156">
        <v>9.57</v>
      </c>
      <c r="I38" s="156">
        <v>8.17</v>
      </c>
      <c r="J38" s="156">
        <v>9.1300000000000008</v>
      </c>
      <c r="K38" s="156">
        <v>8.9600000000000009</v>
      </c>
      <c r="L38" s="156">
        <v>8.08</v>
      </c>
      <c r="M38" s="156">
        <v>8.6999999999999993</v>
      </c>
    </row>
    <row r="39" spans="1:13" s="29" customFormat="1" ht="10.5" customHeight="1">
      <c r="A39" s="23" t="s">
        <v>44</v>
      </c>
      <c r="B39" s="164" t="s">
        <v>120</v>
      </c>
      <c r="C39" s="164" t="s">
        <v>120</v>
      </c>
      <c r="D39" s="201">
        <v>16.2</v>
      </c>
      <c r="E39" s="201">
        <v>11.85</v>
      </c>
      <c r="F39" s="201">
        <v>10.07</v>
      </c>
      <c r="G39" s="201">
        <v>9.11</v>
      </c>
      <c r="H39" s="201">
        <v>9.44</v>
      </c>
      <c r="I39" s="201">
        <v>8.66</v>
      </c>
      <c r="J39" s="201">
        <v>10.4</v>
      </c>
      <c r="K39" s="201">
        <v>11.06</v>
      </c>
      <c r="L39" s="201">
        <v>9.92</v>
      </c>
      <c r="M39" s="201">
        <v>6.88</v>
      </c>
    </row>
    <row r="40" spans="1:13" s="29" customFormat="1" ht="10.5" customHeight="1">
      <c r="A40" s="23" t="s">
        <v>46</v>
      </c>
      <c r="B40" s="164">
        <v>6.88</v>
      </c>
      <c r="C40" s="164">
        <v>6.96</v>
      </c>
      <c r="D40" s="201">
        <v>13.96</v>
      </c>
      <c r="E40" s="201">
        <v>11.16</v>
      </c>
      <c r="F40" s="201">
        <v>10.43</v>
      </c>
      <c r="G40" s="201">
        <v>7.1</v>
      </c>
      <c r="H40" s="201">
        <v>6.35</v>
      </c>
      <c r="I40" s="201">
        <v>6.15</v>
      </c>
      <c r="J40" s="201">
        <v>6.53</v>
      </c>
      <c r="K40" s="201">
        <v>7.92</v>
      </c>
      <c r="L40" s="201">
        <v>7.6</v>
      </c>
      <c r="M40" s="201">
        <v>8.11</v>
      </c>
    </row>
    <row r="41" spans="1:13" s="29" customFormat="1" ht="3" customHeight="1">
      <c r="A41" s="23"/>
      <c r="B41" s="164"/>
      <c r="C41" s="164"/>
      <c r="D41" s="201"/>
      <c r="E41" s="201"/>
      <c r="F41" s="201"/>
      <c r="G41" s="201"/>
      <c r="H41" s="201"/>
      <c r="I41" s="201"/>
      <c r="J41" s="201"/>
      <c r="K41" s="201"/>
      <c r="L41" s="201"/>
      <c r="M41" s="201"/>
    </row>
    <row r="42" spans="1:13" s="29" customFormat="1" ht="10.5" customHeight="1">
      <c r="A42" s="23" t="s">
        <v>47</v>
      </c>
      <c r="B42" s="164">
        <v>7.6</v>
      </c>
      <c r="C42" s="164">
        <v>8.4700000000000006</v>
      </c>
      <c r="D42" s="201">
        <v>12.43</v>
      </c>
      <c r="E42" s="201">
        <v>11.77</v>
      </c>
      <c r="F42" s="201">
        <v>9.82</v>
      </c>
      <c r="G42" s="201">
        <v>8.41</v>
      </c>
      <c r="H42" s="201">
        <v>8.8800000000000008</v>
      </c>
      <c r="I42" s="201">
        <v>11.51</v>
      </c>
      <c r="J42" s="201">
        <v>14.06</v>
      </c>
      <c r="K42" s="201">
        <v>12.49</v>
      </c>
      <c r="L42" s="201">
        <v>9.3699999999999992</v>
      </c>
      <c r="M42" s="201">
        <v>8.3000000000000007</v>
      </c>
    </row>
    <row r="43" spans="1:13" s="29" customFormat="1" ht="10.5" customHeight="1">
      <c r="A43" s="23" t="s">
        <v>48</v>
      </c>
      <c r="B43" s="164">
        <v>9.08</v>
      </c>
      <c r="C43" s="164">
        <v>9.57</v>
      </c>
      <c r="D43" s="201">
        <v>13.5</v>
      </c>
      <c r="E43" s="201">
        <v>11.91</v>
      </c>
      <c r="F43" s="201">
        <v>10.69</v>
      </c>
      <c r="G43" s="201">
        <v>8.2799999999999994</v>
      </c>
      <c r="H43" s="201">
        <v>8.24</v>
      </c>
      <c r="I43" s="201">
        <v>8.94</v>
      </c>
      <c r="J43" s="201">
        <v>12.5</v>
      </c>
      <c r="K43" s="201">
        <v>13.13</v>
      </c>
      <c r="L43" s="201">
        <v>10.56</v>
      </c>
      <c r="M43" s="201">
        <v>10.44</v>
      </c>
    </row>
    <row r="44" spans="1:13" s="29" customFormat="1" ht="10.5" customHeight="1">
      <c r="A44" s="23" t="s">
        <v>51</v>
      </c>
      <c r="B44" s="164">
        <v>12.24</v>
      </c>
      <c r="C44" s="164">
        <v>12.94</v>
      </c>
      <c r="D44" s="201">
        <v>16.809999999999999</v>
      </c>
      <c r="E44" s="201">
        <v>14.83</v>
      </c>
      <c r="F44" s="201">
        <v>14.12</v>
      </c>
      <c r="G44" s="201">
        <v>18.3</v>
      </c>
      <c r="H44" s="201">
        <v>19.18</v>
      </c>
      <c r="I44" s="201">
        <v>17.670000000000002</v>
      </c>
      <c r="J44" s="201">
        <v>17.43</v>
      </c>
      <c r="K44" s="201">
        <v>13.36</v>
      </c>
      <c r="L44" s="201">
        <v>15</v>
      </c>
      <c r="M44" s="201">
        <v>14.78</v>
      </c>
    </row>
    <row r="45" spans="1:13" s="27" customFormat="1" ht="10.5" customHeight="1">
      <c r="A45" s="23" t="s">
        <v>52</v>
      </c>
      <c r="B45" s="164">
        <v>15.84</v>
      </c>
      <c r="C45" s="164">
        <v>14.32</v>
      </c>
      <c r="D45" s="201">
        <v>17.489999999999998</v>
      </c>
      <c r="E45" s="201">
        <v>16.66</v>
      </c>
      <c r="F45" s="201">
        <v>14.95</v>
      </c>
      <c r="G45" s="201">
        <v>13.38</v>
      </c>
      <c r="H45" s="201">
        <v>12.62</v>
      </c>
      <c r="I45" s="201">
        <v>11.45</v>
      </c>
      <c r="J45" s="201">
        <v>11.24</v>
      </c>
      <c r="K45" s="201">
        <v>10.39</v>
      </c>
      <c r="L45" s="201">
        <v>10.73</v>
      </c>
      <c r="M45" s="201">
        <v>12.17</v>
      </c>
    </row>
    <row r="46" spans="1:13" s="27" customFormat="1" ht="10.5" customHeight="1">
      <c r="A46" s="23" t="s">
        <v>291</v>
      </c>
      <c r="B46" s="164">
        <v>15.17</v>
      </c>
      <c r="C46" s="164" t="s">
        <v>120</v>
      </c>
      <c r="D46" s="201">
        <v>18.7</v>
      </c>
      <c r="E46" s="201">
        <v>17.079999999999998</v>
      </c>
      <c r="F46" s="201">
        <v>14.31</v>
      </c>
      <c r="G46" s="201">
        <v>11.72</v>
      </c>
      <c r="H46" s="201">
        <v>10.220000000000001</v>
      </c>
      <c r="I46" s="201">
        <v>9.0500000000000007</v>
      </c>
      <c r="J46" s="201">
        <v>9.57</v>
      </c>
      <c r="K46" s="201">
        <v>8.31</v>
      </c>
      <c r="L46" s="201">
        <v>8.06</v>
      </c>
      <c r="M46" s="201">
        <v>8.52</v>
      </c>
    </row>
    <row r="47" spans="1:13" s="27" customFormat="1" ht="10.5" customHeight="1">
      <c r="A47" s="23" t="s">
        <v>298</v>
      </c>
      <c r="B47" s="164">
        <v>8.61</v>
      </c>
      <c r="C47" s="164">
        <v>8.58</v>
      </c>
      <c r="D47" s="201">
        <v>17.510000000000002</v>
      </c>
      <c r="E47" s="201">
        <v>14.14</v>
      </c>
      <c r="F47" s="201">
        <v>13.24</v>
      </c>
      <c r="G47" s="201">
        <v>14.71</v>
      </c>
      <c r="H47" s="201">
        <v>14.73</v>
      </c>
      <c r="I47" s="201">
        <v>14.81</v>
      </c>
      <c r="J47" s="201">
        <v>16.600000000000001</v>
      </c>
      <c r="K47" s="201">
        <v>18.16</v>
      </c>
      <c r="L47" s="201">
        <v>19.54</v>
      </c>
      <c r="M47" s="201">
        <v>18.68</v>
      </c>
    </row>
    <row r="48" spans="1:13" s="27" customFormat="1" ht="10.5" customHeight="1">
      <c r="A48" s="23" t="s">
        <v>312</v>
      </c>
      <c r="B48" s="164">
        <v>20.87</v>
      </c>
      <c r="C48" s="164" t="s">
        <v>321</v>
      </c>
      <c r="D48" s="201">
        <v>25.07</v>
      </c>
      <c r="E48" s="201">
        <v>23.03</v>
      </c>
      <c r="F48" s="201">
        <v>23.09</v>
      </c>
      <c r="G48" s="201">
        <v>22.96</v>
      </c>
      <c r="H48" s="201">
        <v>20.49</v>
      </c>
      <c r="I48" s="201">
        <v>19.579999999999998</v>
      </c>
      <c r="J48" s="201">
        <v>20.82</v>
      </c>
      <c r="K48" s="201">
        <v>23.57</v>
      </c>
      <c r="L48" s="201">
        <v>20.57</v>
      </c>
      <c r="M48" s="201">
        <v>18.059999999999999</v>
      </c>
    </row>
    <row r="49" spans="1:15" s="27" customFormat="1" ht="10.5" customHeight="1">
      <c r="A49" s="87" t="s">
        <v>319</v>
      </c>
      <c r="B49" s="365">
        <v>20.18</v>
      </c>
      <c r="C49" s="365">
        <v>19.95</v>
      </c>
      <c r="D49" s="204">
        <v>17.760000000000002</v>
      </c>
      <c r="E49" s="204">
        <v>15.81</v>
      </c>
      <c r="F49" s="204">
        <v>12.42</v>
      </c>
      <c r="G49" s="204">
        <v>10.25</v>
      </c>
      <c r="H49" s="204">
        <v>11.52</v>
      </c>
      <c r="I49" s="204">
        <v>9.2100000000000009</v>
      </c>
      <c r="J49" s="204">
        <v>7.22</v>
      </c>
      <c r="K49" s="204">
        <v>4.1900000000000004</v>
      </c>
      <c r="L49" s="204">
        <v>6.71</v>
      </c>
      <c r="M49" s="204">
        <v>7.26</v>
      </c>
    </row>
    <row r="50" spans="1:15">
      <c r="A50" s="39" t="s">
        <v>232</v>
      </c>
      <c r="B50" s="120"/>
      <c r="C50" s="120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5" ht="12" customHeight="1">
      <c r="A51" s="97" t="s">
        <v>203</v>
      </c>
      <c r="B51" s="120"/>
      <c r="C51" s="120"/>
      <c r="D51" s="156"/>
      <c r="E51" s="156"/>
      <c r="F51" s="156"/>
      <c r="G51" s="156"/>
      <c r="H51" s="156"/>
      <c r="I51" s="156"/>
      <c r="J51" s="156"/>
      <c r="K51" s="156"/>
      <c r="L51" s="156"/>
      <c r="M51" s="156"/>
    </row>
    <row r="52" spans="1:15">
      <c r="A52" s="366" t="s">
        <v>233</v>
      </c>
      <c r="B52" s="39"/>
      <c r="C52" s="39"/>
      <c r="D52" s="4"/>
      <c r="E52" s="4"/>
      <c r="F52" s="4"/>
      <c r="G52" s="4"/>
      <c r="H52" s="4"/>
      <c r="I52" s="4"/>
      <c r="J52" s="4"/>
      <c r="K52" s="4"/>
      <c r="L52" s="143"/>
      <c r="M52" s="143"/>
      <c r="N52" s="143"/>
      <c r="O52" s="143"/>
    </row>
    <row r="53" spans="1:15">
      <c r="A53" s="39" t="s">
        <v>127</v>
      </c>
      <c r="L53" s="144"/>
      <c r="M53" s="144"/>
      <c r="N53" s="144"/>
      <c r="O53" s="144"/>
    </row>
  </sheetData>
  <mergeCells count="1">
    <mergeCell ref="B4:M4"/>
  </mergeCells>
  <pageMargins left="0.66700000000000004" right="0.66700000000000004" top="0.66700000000000004" bottom="0.72" header="0" footer="0"/>
  <pageSetup firstPageNumber="94" orientation="portrait" useFirstPageNumber="1" copies="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2"/>
  <sheetViews>
    <sheetView showGridLines="0" view="pageBreakPreview" zoomScale="60" zoomScaleNormal="100" workbookViewId="0">
      <selection activeCell="P35" sqref="P35"/>
    </sheetView>
  </sheetViews>
  <sheetFormatPr defaultColWidth="9.7109375" defaultRowHeight="12"/>
  <cols>
    <col min="1" max="1" width="8.7109375" customWidth="1"/>
    <col min="2" max="13" width="7.7109375" customWidth="1"/>
    <col min="14" max="14" width="8.7109375" customWidth="1"/>
  </cols>
  <sheetData>
    <row r="1" spans="1:14">
      <c r="A1" s="160" t="s">
        <v>234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</row>
    <row r="2" spans="1:14">
      <c r="A2" s="1" t="s">
        <v>128</v>
      </c>
      <c r="B2" s="9" t="s">
        <v>140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</row>
    <row r="3" spans="1:14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0.15" customHeight="1">
      <c r="A4" s="4"/>
      <c r="B4" s="484" t="s">
        <v>141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</row>
    <row r="5" spans="1:14" ht="3" customHeight="1">
      <c r="A5" s="4"/>
      <c r="B5" s="361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4" ht="10.5" customHeight="1">
      <c r="A6" s="14" t="s">
        <v>14</v>
      </c>
      <c r="B6" s="134" t="s">
        <v>120</v>
      </c>
      <c r="C6" s="153">
        <v>4.22</v>
      </c>
      <c r="D6" s="153">
        <v>3.76</v>
      </c>
      <c r="E6" s="363">
        <v>3.59</v>
      </c>
      <c r="F6" s="153">
        <v>3.66</v>
      </c>
      <c r="G6" s="153">
        <v>4.1900000000000004</v>
      </c>
      <c r="H6" s="153">
        <v>4.4400000000000004</v>
      </c>
      <c r="I6" s="153">
        <v>4.96</v>
      </c>
      <c r="J6" s="153">
        <v>4.83</v>
      </c>
      <c r="K6" s="134" t="s">
        <v>120</v>
      </c>
      <c r="L6" s="134" t="s">
        <v>120</v>
      </c>
      <c r="M6" s="134" t="s">
        <v>120</v>
      </c>
    </row>
    <row r="7" spans="1:14" ht="10.5" customHeight="1">
      <c r="A7" s="14" t="s">
        <v>15</v>
      </c>
      <c r="B7" s="134" t="s">
        <v>120</v>
      </c>
      <c r="C7" s="153">
        <v>4.96</v>
      </c>
      <c r="D7" s="153">
        <v>4.49</v>
      </c>
      <c r="E7" s="153">
        <v>4.1500000000000004</v>
      </c>
      <c r="F7" s="153">
        <v>4.28</v>
      </c>
      <c r="G7" s="153">
        <v>4.0599999999999996</v>
      </c>
      <c r="H7" s="153">
        <v>4.16</v>
      </c>
      <c r="I7" s="153">
        <v>4.4000000000000004</v>
      </c>
      <c r="J7" s="153">
        <v>4.58</v>
      </c>
      <c r="K7" s="134" t="s">
        <v>120</v>
      </c>
      <c r="L7" s="134" t="s">
        <v>120</v>
      </c>
      <c r="M7" s="134" t="s">
        <v>120</v>
      </c>
    </row>
    <row r="8" spans="1:14" ht="10.5" customHeight="1">
      <c r="A8" s="14" t="s">
        <v>16</v>
      </c>
      <c r="B8" s="145">
        <v>7.45</v>
      </c>
      <c r="C8" s="153">
        <v>5.0199999999999996</v>
      </c>
      <c r="D8" s="153">
        <v>4.84</v>
      </c>
      <c r="E8" s="153">
        <v>4.7300000000000004</v>
      </c>
      <c r="F8" s="153">
        <v>4.79</v>
      </c>
      <c r="G8" s="153">
        <v>5.09</v>
      </c>
      <c r="H8" s="153">
        <v>5.35</v>
      </c>
      <c r="I8" s="153">
        <v>5.51</v>
      </c>
      <c r="J8" s="153">
        <v>5.63</v>
      </c>
      <c r="K8" s="134" t="s">
        <v>120</v>
      </c>
      <c r="L8" s="134" t="s">
        <v>120</v>
      </c>
      <c r="M8" s="134" t="s">
        <v>120</v>
      </c>
    </row>
    <row r="9" spans="1:14" ht="10.5" customHeight="1">
      <c r="A9" s="14" t="s">
        <v>17</v>
      </c>
      <c r="B9" s="134" t="s">
        <v>120</v>
      </c>
      <c r="C9" s="153">
        <v>5.23</v>
      </c>
      <c r="D9" s="153">
        <v>4.91</v>
      </c>
      <c r="E9" s="153">
        <v>4.96</v>
      </c>
      <c r="F9" s="153">
        <v>5.69</v>
      </c>
      <c r="G9" s="153">
        <v>6.4</v>
      </c>
      <c r="H9" s="153">
        <v>6.73</v>
      </c>
      <c r="I9" s="153">
        <v>7.15</v>
      </c>
      <c r="J9" s="153">
        <v>7.68</v>
      </c>
      <c r="K9" s="134" t="s">
        <v>120</v>
      </c>
      <c r="L9" s="134" t="s">
        <v>120</v>
      </c>
      <c r="M9" s="134" t="s">
        <v>120</v>
      </c>
    </row>
    <row r="10" spans="1:14" ht="10.5" customHeight="1">
      <c r="A10" s="14" t="s">
        <v>18</v>
      </c>
      <c r="B10" s="134" t="s">
        <v>120</v>
      </c>
      <c r="C10" s="153">
        <v>9.2100000000000009</v>
      </c>
      <c r="D10" s="153">
        <v>7.7</v>
      </c>
      <c r="E10" s="153">
        <v>7.16</v>
      </c>
      <c r="F10" s="153">
        <v>6.86</v>
      </c>
      <c r="G10" s="153">
        <v>6.57</v>
      </c>
      <c r="H10" s="153">
        <v>6.79</v>
      </c>
      <c r="I10" s="153">
        <v>7.03</v>
      </c>
      <c r="J10" s="153">
        <v>7.36</v>
      </c>
      <c r="K10" s="134" t="s">
        <v>120</v>
      </c>
      <c r="L10" s="134" t="s">
        <v>120</v>
      </c>
      <c r="M10" s="134" t="s">
        <v>120</v>
      </c>
    </row>
    <row r="11" spans="1:14" ht="10.5" customHeight="1">
      <c r="A11" s="14" t="s">
        <v>19</v>
      </c>
      <c r="B11" s="134" t="s">
        <v>120</v>
      </c>
      <c r="C11" s="153">
        <v>4.46</v>
      </c>
      <c r="D11" s="153">
        <v>4.16</v>
      </c>
      <c r="E11" s="153">
        <v>3.83</v>
      </c>
      <c r="F11" s="153">
        <v>3.77</v>
      </c>
      <c r="G11" s="153">
        <v>3.52</v>
      </c>
      <c r="H11" s="153">
        <v>3.78</v>
      </c>
      <c r="I11" s="153">
        <v>4.2</v>
      </c>
      <c r="J11" s="153">
        <v>4.2300000000000004</v>
      </c>
      <c r="K11" s="134" t="s">
        <v>120</v>
      </c>
      <c r="L11" s="134" t="s">
        <v>120</v>
      </c>
      <c r="M11" s="134" t="s">
        <v>120</v>
      </c>
    </row>
    <row r="12" spans="1:14" ht="3" customHeight="1">
      <c r="A12" s="14"/>
      <c r="B12" s="134"/>
      <c r="C12" s="153"/>
      <c r="D12" s="153"/>
      <c r="E12" s="153"/>
      <c r="F12" s="153"/>
      <c r="G12" s="153"/>
      <c r="H12" s="153"/>
      <c r="I12" s="153"/>
      <c r="J12" s="153"/>
      <c r="K12" s="134"/>
      <c r="L12" s="134"/>
      <c r="M12" s="134"/>
    </row>
    <row r="13" spans="1:14" ht="10.5" customHeight="1">
      <c r="A13" s="14" t="s">
        <v>20</v>
      </c>
      <c r="B13" s="134" t="s">
        <v>120</v>
      </c>
      <c r="C13" s="153">
        <v>5.01</v>
      </c>
      <c r="D13" s="153">
        <v>4.42</v>
      </c>
      <c r="E13" s="153">
        <v>4.45</v>
      </c>
      <c r="F13" s="153">
        <v>4.83</v>
      </c>
      <c r="G13" s="153">
        <v>5.64</v>
      </c>
      <c r="H13" s="153">
        <v>5.83</v>
      </c>
      <c r="I13" s="153">
        <v>6.05</v>
      </c>
      <c r="J13" s="153">
        <v>6.54</v>
      </c>
      <c r="K13" s="134" t="s">
        <v>120</v>
      </c>
      <c r="L13" s="134" t="s">
        <v>120</v>
      </c>
      <c r="M13" s="134" t="s">
        <v>120</v>
      </c>
    </row>
    <row r="14" spans="1:14" ht="10.5" customHeight="1">
      <c r="A14" s="14" t="s">
        <v>21</v>
      </c>
      <c r="B14" s="134" t="s">
        <v>120</v>
      </c>
      <c r="C14" s="153">
        <v>7.53</v>
      </c>
      <c r="D14" s="153">
        <v>6.33</v>
      </c>
      <c r="E14" s="153">
        <v>6.46</v>
      </c>
      <c r="F14" s="153">
        <v>6.87</v>
      </c>
      <c r="G14" s="153">
        <v>8.39</v>
      </c>
      <c r="H14" s="153">
        <v>8.41</v>
      </c>
      <c r="I14" s="153">
        <v>8.81</v>
      </c>
      <c r="J14" s="153">
        <v>9.01</v>
      </c>
      <c r="K14" s="134" t="s">
        <v>120</v>
      </c>
      <c r="L14" s="134" t="s">
        <v>120</v>
      </c>
      <c r="M14" s="134" t="s">
        <v>120</v>
      </c>
    </row>
    <row r="15" spans="1:14" ht="10.5" customHeight="1">
      <c r="A15" s="14" t="s">
        <v>142</v>
      </c>
      <c r="B15" s="134" t="s">
        <v>120</v>
      </c>
      <c r="C15" s="153">
        <v>6.69</v>
      </c>
      <c r="D15" s="153">
        <v>6.52</v>
      </c>
      <c r="E15" s="153">
        <v>6.68</v>
      </c>
      <c r="F15" s="153">
        <v>6.91</v>
      </c>
      <c r="G15" s="153">
        <v>7.05</v>
      </c>
      <c r="H15" s="153">
        <v>7.94</v>
      </c>
      <c r="I15" s="153">
        <v>8.83</v>
      </c>
      <c r="J15" s="153">
        <v>9.27</v>
      </c>
      <c r="K15" s="134" t="s">
        <v>120</v>
      </c>
      <c r="L15" s="134" t="s">
        <v>120</v>
      </c>
      <c r="M15" s="134" t="s">
        <v>120</v>
      </c>
    </row>
    <row r="16" spans="1:14" ht="10.5" customHeight="1">
      <c r="A16" s="14" t="s">
        <v>143</v>
      </c>
      <c r="B16" s="145">
        <v>6.08</v>
      </c>
      <c r="C16" s="153">
        <v>6.79</v>
      </c>
      <c r="D16" s="153">
        <v>6.21</v>
      </c>
      <c r="E16" s="153">
        <v>5.82</v>
      </c>
      <c r="F16" s="153">
        <v>5.69</v>
      </c>
      <c r="G16" s="153">
        <v>6.26</v>
      </c>
      <c r="H16" s="153">
        <v>7.31</v>
      </c>
      <c r="I16" s="153">
        <v>7.1</v>
      </c>
      <c r="J16" s="134" t="s">
        <v>120</v>
      </c>
      <c r="K16" s="134" t="s">
        <v>120</v>
      </c>
      <c r="L16" s="134" t="s">
        <v>120</v>
      </c>
      <c r="M16" s="134" t="s">
        <v>120</v>
      </c>
    </row>
    <row r="17" spans="1:15" ht="10.5" customHeight="1">
      <c r="A17" s="14" t="s">
        <v>144</v>
      </c>
      <c r="B17" s="145">
        <v>5.7</v>
      </c>
      <c r="C17" s="153">
        <v>5.23</v>
      </c>
      <c r="D17" s="153">
        <v>5.27</v>
      </c>
      <c r="E17" s="153">
        <v>5.51</v>
      </c>
      <c r="F17" s="153">
        <v>5.93</v>
      </c>
      <c r="G17" s="153">
        <v>6.45</v>
      </c>
      <c r="H17" s="153">
        <v>6.63</v>
      </c>
      <c r="I17" s="153">
        <v>6.76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5" ht="10.5" customHeight="1">
      <c r="A18" s="14" t="s">
        <v>25</v>
      </c>
      <c r="B18" s="145">
        <v>8.4700000000000006</v>
      </c>
      <c r="C18" s="153">
        <v>5.24</v>
      </c>
      <c r="D18" s="153">
        <v>5.18</v>
      </c>
      <c r="E18" s="153">
        <v>5.4</v>
      </c>
      <c r="F18" s="153">
        <v>5.86</v>
      </c>
      <c r="G18" s="153">
        <v>6.24</v>
      </c>
      <c r="H18" s="153">
        <v>6.62</v>
      </c>
      <c r="I18" s="153">
        <v>7</v>
      </c>
      <c r="J18" s="153">
        <v>7.66</v>
      </c>
      <c r="K18" s="134" t="s">
        <v>120</v>
      </c>
      <c r="L18" s="134" t="s">
        <v>120</v>
      </c>
      <c r="M18" s="134" t="s">
        <v>120</v>
      </c>
    </row>
    <row r="19" spans="1:15" ht="3" customHeight="1">
      <c r="A19" s="14"/>
      <c r="B19" s="145"/>
      <c r="C19" s="153"/>
      <c r="D19" s="153"/>
      <c r="E19" s="153"/>
      <c r="F19" s="153"/>
      <c r="G19" s="153"/>
      <c r="H19" s="153"/>
      <c r="I19" s="153"/>
      <c r="J19" s="153"/>
      <c r="K19" s="134"/>
      <c r="L19" s="134"/>
      <c r="M19" s="134"/>
    </row>
    <row r="20" spans="1:15" ht="10.5" customHeight="1">
      <c r="A20" s="14" t="s">
        <v>26</v>
      </c>
      <c r="B20" s="134" t="s">
        <v>120</v>
      </c>
      <c r="C20" s="153">
        <v>3.56</v>
      </c>
      <c r="D20" s="153">
        <v>3.33</v>
      </c>
      <c r="E20" s="153">
        <v>3.13</v>
      </c>
      <c r="F20" s="153">
        <v>3.04</v>
      </c>
      <c r="G20" s="153">
        <v>3.38</v>
      </c>
      <c r="H20" s="153">
        <v>3.98</v>
      </c>
      <c r="I20" s="153">
        <v>4.01</v>
      </c>
      <c r="J20" s="153">
        <v>4</v>
      </c>
      <c r="K20" s="134" t="s">
        <v>120</v>
      </c>
      <c r="L20" s="134" t="s">
        <v>120</v>
      </c>
      <c r="M20" s="134" t="s">
        <v>120</v>
      </c>
      <c r="O20" s="154"/>
    </row>
    <row r="21" spans="1:15" ht="10.5" customHeight="1">
      <c r="A21" s="14" t="s">
        <v>27</v>
      </c>
      <c r="B21" s="134" t="s">
        <v>120</v>
      </c>
      <c r="C21" s="153">
        <v>4.83</v>
      </c>
      <c r="D21" s="153">
        <v>3.58</v>
      </c>
      <c r="E21" s="153">
        <v>3.61</v>
      </c>
      <c r="F21" s="153">
        <v>3.72</v>
      </c>
      <c r="G21" s="153">
        <v>3.99</v>
      </c>
      <c r="H21" s="153">
        <v>4.57</v>
      </c>
      <c r="I21" s="153">
        <v>4.72</v>
      </c>
      <c r="J21" s="153">
        <v>4.82</v>
      </c>
      <c r="K21" s="134" t="s">
        <v>120</v>
      </c>
      <c r="L21" s="134" t="s">
        <v>120</v>
      </c>
      <c r="M21" s="134" t="s">
        <v>120</v>
      </c>
      <c r="O21" s="154"/>
    </row>
    <row r="22" spans="1:15" ht="10.5" customHeight="1">
      <c r="A22" s="14" t="s">
        <v>28</v>
      </c>
      <c r="B22" s="145">
        <v>3.76</v>
      </c>
      <c r="C22" s="153">
        <v>3.1</v>
      </c>
      <c r="D22" s="153">
        <v>3.24</v>
      </c>
      <c r="E22" s="153">
        <v>3.28</v>
      </c>
      <c r="F22" s="153">
        <v>3.41</v>
      </c>
      <c r="G22" s="153">
        <v>4.3499999999999996</v>
      </c>
      <c r="H22" s="153">
        <v>4.5</v>
      </c>
      <c r="I22" s="153">
        <v>4.59</v>
      </c>
      <c r="J22" s="153">
        <v>4.55</v>
      </c>
      <c r="K22" s="134" t="s">
        <v>120</v>
      </c>
      <c r="L22" s="134" t="s">
        <v>120</v>
      </c>
      <c r="M22" s="134" t="s">
        <v>120</v>
      </c>
    </row>
    <row r="23" spans="1:15" ht="10.5" customHeight="1">
      <c r="A23" s="18" t="s">
        <v>30</v>
      </c>
      <c r="B23" s="134" t="s">
        <v>120</v>
      </c>
      <c r="C23" s="156">
        <v>3.49</v>
      </c>
      <c r="D23" s="156">
        <v>3.49</v>
      </c>
      <c r="E23" s="156">
        <v>3.72</v>
      </c>
      <c r="F23" s="156">
        <v>3.95</v>
      </c>
      <c r="G23" s="156">
        <v>5.18</v>
      </c>
      <c r="H23" s="156">
        <v>5.48</v>
      </c>
      <c r="I23" s="156">
        <v>5.78</v>
      </c>
      <c r="J23" s="156">
        <v>6.36</v>
      </c>
      <c r="K23" s="134" t="s">
        <v>120</v>
      </c>
      <c r="L23" s="134" t="s">
        <v>120</v>
      </c>
      <c r="M23" s="134" t="s">
        <v>120</v>
      </c>
    </row>
    <row r="24" spans="1:15" ht="10.5" customHeight="1">
      <c r="A24" s="22" t="s">
        <v>31</v>
      </c>
      <c r="B24" s="134" t="s">
        <v>120</v>
      </c>
      <c r="C24" s="156">
        <v>3.38</v>
      </c>
      <c r="D24" s="156">
        <v>3.12</v>
      </c>
      <c r="E24" s="156">
        <v>3.17</v>
      </c>
      <c r="F24" s="156">
        <v>3.18</v>
      </c>
      <c r="G24" s="156">
        <v>4</v>
      </c>
      <c r="H24" s="156">
        <v>4.1500000000000004</v>
      </c>
      <c r="I24" s="156">
        <v>4.1100000000000003</v>
      </c>
      <c r="J24" s="156">
        <v>4.21</v>
      </c>
      <c r="K24" s="134" t="s">
        <v>120</v>
      </c>
      <c r="L24" s="134" t="s">
        <v>120</v>
      </c>
      <c r="M24" s="134" t="s">
        <v>120</v>
      </c>
    </row>
    <row r="25" spans="1:15" ht="10.5" customHeight="1">
      <c r="A25" s="22" t="s">
        <v>32</v>
      </c>
      <c r="B25" s="161">
        <v>3.25</v>
      </c>
      <c r="C25" s="156">
        <v>2.5</v>
      </c>
      <c r="D25" s="156">
        <v>2.66</v>
      </c>
      <c r="E25" s="156">
        <v>2.84</v>
      </c>
      <c r="F25" s="156">
        <v>3.17</v>
      </c>
      <c r="G25" s="156">
        <v>4.78</v>
      </c>
      <c r="H25" s="156">
        <v>4.8899999999999997</v>
      </c>
      <c r="I25" s="156">
        <v>5.0999999999999996</v>
      </c>
      <c r="J25" s="156">
        <v>5.26</v>
      </c>
      <c r="K25" s="120" t="s">
        <v>120</v>
      </c>
      <c r="L25" s="120" t="s">
        <v>120</v>
      </c>
      <c r="M25" s="120" t="s">
        <v>120</v>
      </c>
    </row>
    <row r="26" spans="1:15" ht="3" customHeight="1">
      <c r="A26" s="22"/>
      <c r="B26" s="161"/>
      <c r="C26" s="156"/>
      <c r="D26" s="156"/>
      <c r="E26" s="156"/>
      <c r="F26" s="156"/>
      <c r="G26" s="156"/>
      <c r="H26" s="156"/>
      <c r="I26" s="156"/>
      <c r="J26" s="156"/>
      <c r="K26" s="120"/>
      <c r="L26" s="120"/>
      <c r="M26" s="120"/>
    </row>
    <row r="27" spans="1:15" ht="10.5" customHeight="1">
      <c r="A27" s="18" t="s">
        <v>33</v>
      </c>
      <c r="B27" s="161">
        <v>5.87</v>
      </c>
      <c r="C27" s="156">
        <v>4.16</v>
      </c>
      <c r="D27" s="156">
        <v>4.21</v>
      </c>
      <c r="E27" s="156">
        <v>4.3899999999999997</v>
      </c>
      <c r="F27" s="156">
        <v>4.54</v>
      </c>
      <c r="G27" s="156">
        <v>5.47</v>
      </c>
      <c r="H27" s="156">
        <v>5.5</v>
      </c>
      <c r="I27" s="156">
        <v>5.7</v>
      </c>
      <c r="J27" s="156">
        <v>6.43</v>
      </c>
      <c r="K27" s="120" t="s">
        <v>120</v>
      </c>
      <c r="L27" s="120" t="s">
        <v>120</v>
      </c>
      <c r="M27" s="120" t="s">
        <v>120</v>
      </c>
    </row>
    <row r="28" spans="1:15" ht="10.5" customHeight="1">
      <c r="A28" s="22" t="s">
        <v>34</v>
      </c>
      <c r="B28" s="120" t="s">
        <v>120</v>
      </c>
      <c r="C28" s="156">
        <v>3.82</v>
      </c>
      <c r="D28" s="156">
        <v>3.07</v>
      </c>
      <c r="E28" s="156">
        <v>3.13</v>
      </c>
      <c r="F28" s="156">
        <v>3.1</v>
      </c>
      <c r="G28" s="156">
        <v>3.19</v>
      </c>
      <c r="H28" s="156">
        <v>4.47</v>
      </c>
      <c r="I28" s="156">
        <v>4.58</v>
      </c>
      <c r="J28" s="156">
        <v>4.5199999999999996</v>
      </c>
      <c r="K28" s="120">
        <v>4.17</v>
      </c>
      <c r="L28" s="120" t="s">
        <v>120</v>
      </c>
      <c r="M28" s="120" t="s">
        <v>120</v>
      </c>
    </row>
    <row r="29" spans="1:15" ht="10.5" customHeight="1">
      <c r="A29" s="22" t="s">
        <v>35</v>
      </c>
      <c r="B29" s="120">
        <v>4.13</v>
      </c>
      <c r="C29" s="156">
        <v>2.58</v>
      </c>
      <c r="D29" s="156">
        <v>2.5</v>
      </c>
      <c r="E29" s="156">
        <v>2.5</v>
      </c>
      <c r="F29" s="156">
        <v>2.64</v>
      </c>
      <c r="G29" s="156">
        <v>3.57</v>
      </c>
      <c r="H29" s="156">
        <v>4.09</v>
      </c>
      <c r="I29" s="156">
        <v>4.1100000000000003</v>
      </c>
      <c r="J29" s="156">
        <v>4.2300000000000004</v>
      </c>
      <c r="K29" s="120" t="s">
        <v>120</v>
      </c>
      <c r="L29" s="120" t="s">
        <v>120</v>
      </c>
      <c r="M29" s="120" t="s">
        <v>120</v>
      </c>
    </row>
    <row r="30" spans="1:15" ht="10.5" customHeight="1">
      <c r="A30" s="18" t="s">
        <v>36</v>
      </c>
      <c r="B30" s="120">
        <v>5.45</v>
      </c>
      <c r="C30" s="156">
        <v>2.78</v>
      </c>
      <c r="D30" s="156">
        <v>2.76</v>
      </c>
      <c r="E30" s="156">
        <v>2.85</v>
      </c>
      <c r="F30" s="156">
        <v>2.9</v>
      </c>
      <c r="G30" s="156">
        <v>4.1500000000000004</v>
      </c>
      <c r="H30" s="156">
        <v>4.17</v>
      </c>
      <c r="I30" s="156">
        <v>4.24</v>
      </c>
      <c r="J30" s="156">
        <v>4.24</v>
      </c>
      <c r="K30" s="120" t="s">
        <v>120</v>
      </c>
      <c r="L30" s="120" t="s">
        <v>120</v>
      </c>
      <c r="M30" s="120" t="s">
        <v>120</v>
      </c>
    </row>
    <row r="31" spans="1:15" ht="10.5" customHeight="1">
      <c r="A31" s="18" t="s">
        <v>37</v>
      </c>
      <c r="B31" s="120">
        <v>5.03</v>
      </c>
      <c r="C31" s="156">
        <v>2.54</v>
      </c>
      <c r="D31" s="156">
        <v>2.58</v>
      </c>
      <c r="E31" s="156">
        <v>2.54</v>
      </c>
      <c r="F31" s="156">
        <v>2.65</v>
      </c>
      <c r="G31" s="156">
        <v>3.89</v>
      </c>
      <c r="H31" s="156">
        <v>3.87</v>
      </c>
      <c r="I31" s="156">
        <v>3.85</v>
      </c>
      <c r="J31" s="156">
        <v>4.09</v>
      </c>
      <c r="K31" s="120" t="s">
        <v>120</v>
      </c>
      <c r="L31" s="120" t="s">
        <v>120</v>
      </c>
      <c r="M31" s="120" t="s">
        <v>120</v>
      </c>
    </row>
    <row r="32" spans="1:15" ht="10.5" customHeight="1">
      <c r="A32" s="18" t="s">
        <v>38</v>
      </c>
      <c r="B32" s="120">
        <v>3.83</v>
      </c>
      <c r="C32" s="156">
        <v>2.12</v>
      </c>
      <c r="D32" s="156">
        <v>2.15</v>
      </c>
      <c r="E32" s="156">
        <v>2.14</v>
      </c>
      <c r="F32" s="156">
        <v>2.19</v>
      </c>
      <c r="G32" s="156">
        <v>3.59</v>
      </c>
      <c r="H32" s="156">
        <v>3.68</v>
      </c>
      <c r="I32" s="156">
        <v>3.67</v>
      </c>
      <c r="J32" s="156">
        <v>3.88</v>
      </c>
      <c r="K32" s="120" t="s">
        <v>120</v>
      </c>
      <c r="L32" s="120" t="s">
        <v>120</v>
      </c>
      <c r="M32" s="120" t="s">
        <v>120</v>
      </c>
    </row>
    <row r="33" spans="1:13" ht="4.5" customHeight="1">
      <c r="A33" s="18"/>
      <c r="B33" s="120"/>
      <c r="C33" s="156"/>
      <c r="D33" s="156"/>
      <c r="E33" s="156"/>
      <c r="F33" s="156"/>
      <c r="G33" s="156"/>
      <c r="H33" s="156"/>
      <c r="I33" s="156"/>
      <c r="J33" s="156"/>
      <c r="K33" s="120"/>
      <c r="L33" s="120"/>
      <c r="M33" s="120"/>
    </row>
    <row r="34" spans="1:13" ht="10.5" customHeight="1">
      <c r="A34" s="18" t="s">
        <v>39</v>
      </c>
      <c r="B34" s="120" t="s">
        <v>120</v>
      </c>
      <c r="C34" s="120">
        <v>3.59</v>
      </c>
      <c r="D34" s="156">
        <v>2.69</v>
      </c>
      <c r="E34" s="156">
        <v>2.65</v>
      </c>
      <c r="F34" s="156">
        <v>2.76</v>
      </c>
      <c r="G34" s="156">
        <v>3.68</v>
      </c>
      <c r="H34" s="156">
        <v>4.3</v>
      </c>
      <c r="I34" s="156">
        <v>4.43</v>
      </c>
      <c r="J34" s="156">
        <v>4.41</v>
      </c>
      <c r="K34" s="120" t="s">
        <v>120</v>
      </c>
      <c r="L34" s="120" t="s">
        <v>120</v>
      </c>
      <c r="M34" s="120" t="s">
        <v>120</v>
      </c>
    </row>
    <row r="35" spans="1:13" ht="10.5" customHeight="1">
      <c r="A35" s="18" t="s">
        <v>40</v>
      </c>
      <c r="B35" s="120">
        <v>10.69</v>
      </c>
      <c r="C35" s="120">
        <v>4.2300000000000004</v>
      </c>
      <c r="D35" s="156">
        <v>4.1399999999999997</v>
      </c>
      <c r="E35" s="156">
        <v>4.3600000000000003</v>
      </c>
      <c r="F35" s="156">
        <v>5.17</v>
      </c>
      <c r="G35" s="156">
        <v>5.92</v>
      </c>
      <c r="H35" s="156">
        <v>6.28</v>
      </c>
      <c r="I35" s="156">
        <v>6.51</v>
      </c>
      <c r="J35" s="156">
        <v>6.69</v>
      </c>
      <c r="K35" s="120">
        <v>6.21</v>
      </c>
      <c r="L35" s="120" t="s">
        <v>120</v>
      </c>
      <c r="M35" s="120" t="s">
        <v>120</v>
      </c>
    </row>
    <row r="36" spans="1:13" ht="10.5" customHeight="1">
      <c r="A36" s="18" t="s">
        <v>41</v>
      </c>
      <c r="B36" s="120">
        <v>13.1</v>
      </c>
      <c r="C36" s="120">
        <v>8.14</v>
      </c>
      <c r="D36" s="156">
        <v>8.16</v>
      </c>
      <c r="E36" s="156">
        <v>8.6199999999999992</v>
      </c>
      <c r="F36" s="156">
        <v>9.5500000000000007</v>
      </c>
      <c r="G36" s="156">
        <v>11.32</v>
      </c>
      <c r="H36" s="156">
        <v>11.55</v>
      </c>
      <c r="I36" s="156">
        <v>11.95</v>
      </c>
      <c r="J36" s="156">
        <v>12.59</v>
      </c>
      <c r="K36" s="120" t="s">
        <v>120</v>
      </c>
      <c r="L36" s="120" t="s">
        <v>120</v>
      </c>
      <c r="M36" s="120" t="s">
        <v>120</v>
      </c>
    </row>
    <row r="37" spans="1:13" ht="10.5" customHeight="1">
      <c r="A37" s="18" t="s">
        <v>42</v>
      </c>
      <c r="B37" s="120" t="s">
        <v>120</v>
      </c>
      <c r="C37" s="120">
        <v>6.34</v>
      </c>
      <c r="D37" s="156">
        <v>5.54</v>
      </c>
      <c r="E37" s="156">
        <v>5.84</v>
      </c>
      <c r="F37" s="156">
        <v>6.12</v>
      </c>
      <c r="G37" s="156">
        <v>6.97</v>
      </c>
      <c r="H37" s="156">
        <v>7.31</v>
      </c>
      <c r="I37" s="156">
        <v>7.38</v>
      </c>
      <c r="J37" s="156">
        <v>7.17</v>
      </c>
      <c r="K37" s="120" t="s">
        <v>120</v>
      </c>
      <c r="L37" s="120" t="s">
        <v>120</v>
      </c>
      <c r="M37" s="120" t="s">
        <v>120</v>
      </c>
    </row>
    <row r="38" spans="1:13" ht="10.5" customHeight="1">
      <c r="A38" s="18" t="s">
        <v>43</v>
      </c>
      <c r="B38" s="120">
        <v>7.75</v>
      </c>
      <c r="C38" s="120">
        <v>5.17</v>
      </c>
      <c r="D38" s="156">
        <v>5.15</v>
      </c>
      <c r="E38" s="156">
        <v>5.03</v>
      </c>
      <c r="F38" s="156">
        <v>4.91</v>
      </c>
      <c r="G38" s="156">
        <v>6.16</v>
      </c>
      <c r="H38" s="156">
        <v>6.52</v>
      </c>
      <c r="I38" s="156">
        <v>6.45</v>
      </c>
      <c r="J38" s="156">
        <v>6.89</v>
      </c>
      <c r="K38" s="120" t="s">
        <v>120</v>
      </c>
      <c r="L38" s="120" t="s">
        <v>120</v>
      </c>
      <c r="M38" s="120" t="s">
        <v>120</v>
      </c>
    </row>
    <row r="39" spans="1:13" s="59" customFormat="1" ht="10.5" customHeight="1">
      <c r="A39" s="18" t="s">
        <v>44</v>
      </c>
      <c r="B39" s="120" t="s">
        <v>120</v>
      </c>
      <c r="C39" s="120">
        <v>6.85</v>
      </c>
      <c r="D39" s="156">
        <v>5.44</v>
      </c>
      <c r="E39" s="156">
        <v>6.06</v>
      </c>
      <c r="F39" s="156">
        <v>6.19</v>
      </c>
      <c r="G39" s="156">
        <v>7.26</v>
      </c>
      <c r="H39" s="156">
        <v>7.93</v>
      </c>
      <c r="I39" s="156">
        <v>8.14</v>
      </c>
      <c r="J39" s="156">
        <v>8.2200000000000006</v>
      </c>
      <c r="K39" s="120" t="s">
        <v>120</v>
      </c>
      <c r="L39" s="120" t="s">
        <v>120</v>
      </c>
      <c r="M39" s="120" t="s">
        <v>120</v>
      </c>
    </row>
    <row r="40" spans="1:13" s="59" customFormat="1" ht="10.5" customHeight="1">
      <c r="A40" s="18" t="s">
        <v>46</v>
      </c>
      <c r="B40" s="120" t="s">
        <v>120</v>
      </c>
      <c r="C40" s="120">
        <v>8.73</v>
      </c>
      <c r="D40" s="156">
        <v>6.99</v>
      </c>
      <c r="E40" s="156">
        <v>6.94</v>
      </c>
      <c r="F40" s="156">
        <v>7.21</v>
      </c>
      <c r="G40" s="156">
        <v>9.1999999999999993</v>
      </c>
      <c r="H40" s="156">
        <v>9.49</v>
      </c>
      <c r="I40" s="156">
        <v>9.7100000000000009</v>
      </c>
      <c r="J40" s="156">
        <v>10.119999999999999</v>
      </c>
      <c r="K40" s="120" t="s">
        <v>120</v>
      </c>
      <c r="L40" s="120" t="s">
        <v>120</v>
      </c>
      <c r="M40" s="120" t="s">
        <v>120</v>
      </c>
    </row>
    <row r="41" spans="1:13" s="59" customFormat="1" ht="3" customHeight="1">
      <c r="A41" s="18"/>
      <c r="B41" s="120"/>
      <c r="C41" s="120"/>
      <c r="D41" s="156"/>
      <c r="E41" s="156"/>
      <c r="F41" s="156"/>
      <c r="G41" s="156"/>
      <c r="H41" s="156"/>
      <c r="I41" s="156"/>
      <c r="J41" s="156"/>
      <c r="K41" s="120"/>
      <c r="L41" s="120"/>
      <c r="M41" s="120"/>
    </row>
    <row r="42" spans="1:13" s="59" customFormat="1" ht="10.5" customHeight="1">
      <c r="A42" s="18" t="s">
        <v>177</v>
      </c>
      <c r="B42" s="120" t="s">
        <v>120</v>
      </c>
      <c r="C42" s="120">
        <v>8.84</v>
      </c>
      <c r="D42" s="156">
        <v>8.6300000000000008</v>
      </c>
      <c r="E42" s="156">
        <v>8.81</v>
      </c>
      <c r="F42" s="156">
        <v>9.6199999999999992</v>
      </c>
      <c r="G42" s="156">
        <v>10.91</v>
      </c>
      <c r="H42" s="156">
        <v>11.16</v>
      </c>
      <c r="I42" s="156">
        <v>11.09</v>
      </c>
      <c r="J42" s="156" t="s">
        <v>120</v>
      </c>
      <c r="K42" s="120" t="s">
        <v>120</v>
      </c>
      <c r="L42" s="120" t="s">
        <v>120</v>
      </c>
      <c r="M42" s="120" t="s">
        <v>120</v>
      </c>
    </row>
    <row r="43" spans="1:13" s="59" customFormat="1" ht="10.5" customHeight="1">
      <c r="A43" s="18" t="s">
        <v>178</v>
      </c>
      <c r="B43" s="120" t="s">
        <v>120</v>
      </c>
      <c r="C43" s="120">
        <v>7.15</v>
      </c>
      <c r="D43" s="156">
        <v>6.16</v>
      </c>
      <c r="E43" s="156">
        <v>6.06</v>
      </c>
      <c r="F43" s="156">
        <v>6.22</v>
      </c>
      <c r="G43" s="156">
        <v>8.31</v>
      </c>
      <c r="H43" s="156">
        <v>8.61</v>
      </c>
      <c r="I43" s="156">
        <v>8.75</v>
      </c>
      <c r="J43" s="156">
        <v>9.33</v>
      </c>
      <c r="K43" s="120" t="s">
        <v>120</v>
      </c>
      <c r="L43" s="120" t="s">
        <v>120</v>
      </c>
      <c r="M43" s="120" t="s">
        <v>120</v>
      </c>
    </row>
    <row r="44" spans="1:13" s="59" customFormat="1" ht="10.5" customHeight="1">
      <c r="A44" s="18" t="s">
        <v>51</v>
      </c>
      <c r="B44" s="120" t="s">
        <v>120</v>
      </c>
      <c r="C44" s="120">
        <v>10.26</v>
      </c>
      <c r="D44" s="156">
        <v>8.2100000000000009</v>
      </c>
      <c r="E44" s="156">
        <v>8.3000000000000007</v>
      </c>
      <c r="F44" s="156">
        <v>8.2899999999999991</v>
      </c>
      <c r="G44" s="156">
        <v>10.51</v>
      </c>
      <c r="H44" s="156">
        <v>10.79</v>
      </c>
      <c r="I44" s="156">
        <v>11.15</v>
      </c>
      <c r="J44" s="156">
        <v>12.93</v>
      </c>
      <c r="K44" s="120" t="s">
        <v>120</v>
      </c>
      <c r="L44" s="120" t="s">
        <v>120</v>
      </c>
      <c r="M44" s="120" t="s">
        <v>120</v>
      </c>
    </row>
    <row r="45" spans="1:13" ht="10.5" customHeight="1">
      <c r="A45" s="18" t="s">
        <v>52</v>
      </c>
      <c r="B45" s="120" t="s">
        <v>120</v>
      </c>
      <c r="C45" s="120">
        <v>11.47</v>
      </c>
      <c r="D45" s="156">
        <v>7.86</v>
      </c>
      <c r="E45" s="156">
        <v>8.2899999999999991</v>
      </c>
      <c r="F45" s="156">
        <v>8.66</v>
      </c>
      <c r="G45" s="156">
        <v>10.23</v>
      </c>
      <c r="H45" s="156">
        <v>10.28</v>
      </c>
      <c r="I45" s="156">
        <v>10.37</v>
      </c>
      <c r="J45" s="120">
        <v>10.52</v>
      </c>
      <c r="K45" s="120" t="s">
        <v>120</v>
      </c>
      <c r="L45" s="120" t="s">
        <v>120</v>
      </c>
      <c r="M45" s="120" t="s">
        <v>120</v>
      </c>
    </row>
    <row r="46" spans="1:13" ht="10.5" customHeight="1">
      <c r="A46" s="18" t="s">
        <v>291</v>
      </c>
      <c r="B46" s="120" t="s">
        <v>120</v>
      </c>
      <c r="C46" s="120" t="s">
        <v>120</v>
      </c>
      <c r="D46" s="156">
        <v>8.67</v>
      </c>
      <c r="E46" s="156">
        <v>8.6</v>
      </c>
      <c r="F46" s="156">
        <v>9.7200000000000006</v>
      </c>
      <c r="G46" s="156">
        <v>10.55</v>
      </c>
      <c r="H46" s="156">
        <v>10.62</v>
      </c>
      <c r="I46" s="156">
        <v>10.82</v>
      </c>
      <c r="J46" s="120" t="s">
        <v>120</v>
      </c>
      <c r="K46" s="120" t="s">
        <v>120</v>
      </c>
      <c r="L46" s="120" t="s">
        <v>120</v>
      </c>
      <c r="M46" s="120" t="s">
        <v>120</v>
      </c>
    </row>
    <row r="47" spans="1:13" ht="10.5" customHeight="1">
      <c r="A47" s="18" t="s">
        <v>298</v>
      </c>
      <c r="B47" s="120" t="s">
        <v>120</v>
      </c>
      <c r="C47" s="120" t="s">
        <v>120</v>
      </c>
      <c r="D47" s="156">
        <v>10.49</v>
      </c>
      <c r="E47" s="156">
        <v>10.41</v>
      </c>
      <c r="F47" s="156">
        <v>10.51</v>
      </c>
      <c r="G47" s="156">
        <v>12.64</v>
      </c>
      <c r="H47" s="156">
        <v>13.06</v>
      </c>
      <c r="I47" s="156">
        <v>13.1</v>
      </c>
      <c r="J47" s="120" t="s">
        <v>120</v>
      </c>
      <c r="K47" s="120" t="s">
        <v>120</v>
      </c>
      <c r="L47" s="120" t="s">
        <v>120</v>
      </c>
      <c r="M47" s="120" t="s">
        <v>120</v>
      </c>
    </row>
    <row r="48" spans="1:13" ht="10.5" customHeight="1">
      <c r="A48" s="18" t="s">
        <v>312</v>
      </c>
      <c r="B48" s="120" t="s">
        <v>120</v>
      </c>
      <c r="C48" s="120">
        <v>10.83</v>
      </c>
      <c r="D48" s="156">
        <v>10.18</v>
      </c>
      <c r="E48" s="156">
        <v>10.28</v>
      </c>
      <c r="F48" s="156">
        <v>14.11</v>
      </c>
      <c r="G48" s="156">
        <v>13.62</v>
      </c>
      <c r="H48" s="156">
        <v>13.71</v>
      </c>
      <c r="I48" s="156">
        <v>14.03</v>
      </c>
      <c r="J48" s="120" t="s">
        <v>120</v>
      </c>
      <c r="K48" s="120" t="s">
        <v>120</v>
      </c>
      <c r="L48" s="120" t="s">
        <v>120</v>
      </c>
      <c r="M48" s="120" t="s">
        <v>120</v>
      </c>
    </row>
    <row r="49" spans="1:14" ht="10.5" customHeight="1">
      <c r="A49" s="140" t="s">
        <v>319</v>
      </c>
      <c r="B49" s="142" t="s">
        <v>120</v>
      </c>
      <c r="C49" s="142">
        <v>11</v>
      </c>
      <c r="D49" s="158">
        <v>8.6</v>
      </c>
      <c r="E49" s="158">
        <v>9.17</v>
      </c>
      <c r="F49" s="158">
        <v>9.66</v>
      </c>
      <c r="G49" s="158">
        <v>11.8</v>
      </c>
      <c r="H49" s="158">
        <v>12.1</v>
      </c>
      <c r="I49" s="158">
        <v>12.49</v>
      </c>
      <c r="J49" s="142">
        <v>12.72</v>
      </c>
      <c r="K49" s="142" t="s">
        <v>120</v>
      </c>
      <c r="L49" s="142" t="s">
        <v>120</v>
      </c>
      <c r="M49" s="142"/>
    </row>
    <row r="50" spans="1:14">
      <c r="A50" s="39" t="s">
        <v>235</v>
      </c>
      <c r="B50" s="39"/>
      <c r="C50" s="40"/>
      <c r="D50" s="40"/>
      <c r="E50" s="40"/>
      <c r="F50" s="40"/>
      <c r="G50" s="40"/>
      <c r="H50" s="4"/>
      <c r="I50" s="4"/>
      <c r="J50" s="4"/>
      <c r="K50" s="4"/>
      <c r="L50" s="4"/>
      <c r="M50" s="4"/>
      <c r="N50" s="4"/>
    </row>
    <row r="51" spans="1:14">
      <c r="A51" s="39" t="s">
        <v>127</v>
      </c>
      <c r="B51" s="39"/>
      <c r="C51" s="40"/>
      <c r="D51" s="40"/>
      <c r="E51" s="40"/>
      <c r="F51" s="40"/>
      <c r="G51" s="40"/>
      <c r="H51" s="4"/>
      <c r="I51" s="4"/>
      <c r="J51" s="4"/>
      <c r="K51" s="143"/>
      <c r="L51" s="143"/>
      <c r="M51" s="143"/>
      <c r="N51" s="143"/>
    </row>
    <row r="52" spans="1:14">
      <c r="K52" s="144"/>
      <c r="L52" s="144"/>
      <c r="M52" s="144"/>
      <c r="N52" s="144"/>
    </row>
  </sheetData>
  <mergeCells count="1">
    <mergeCell ref="B4:M4"/>
  </mergeCells>
  <pageMargins left="0.66700000000000004" right="0.66700000000000004" top="0.66700000000000004" bottom="0.72" header="0" footer="0"/>
  <pageSetup firstPageNumber="95" orientation="portrait" useFirstPageNumber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4"/>
  <sheetViews>
    <sheetView showGridLines="0" view="pageBreakPreview" zoomScale="60" zoomScaleNormal="100" workbookViewId="0">
      <selection activeCell="W46" sqref="W46"/>
    </sheetView>
  </sheetViews>
  <sheetFormatPr defaultColWidth="9.7109375" defaultRowHeight="12"/>
  <cols>
    <col min="1" max="1" width="8.7109375" customWidth="1"/>
    <col min="2" max="12" width="7.7109375" customWidth="1"/>
    <col min="13" max="13" width="7.85546875" customWidth="1"/>
    <col min="14" max="14" width="8.7109375" customWidth="1"/>
  </cols>
  <sheetData>
    <row r="1" spans="1:14">
      <c r="A1" s="382" t="s">
        <v>293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5"/>
    </row>
    <row r="2" spans="1:14">
      <c r="A2" s="1" t="s">
        <v>128</v>
      </c>
      <c r="B2" s="9" t="s">
        <v>140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</row>
    <row r="3" spans="1:14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0.9" customHeight="1">
      <c r="A4" s="4"/>
      <c r="B4" s="484" t="s">
        <v>141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</row>
    <row r="5" spans="1:14" ht="3" customHeight="1">
      <c r="A5" s="4"/>
      <c r="B5" s="361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4" ht="10.5" customHeight="1">
      <c r="A6" s="14" t="s">
        <v>14</v>
      </c>
      <c r="B6" s="134">
        <v>5.15</v>
      </c>
      <c r="C6" s="134">
        <v>4.26</v>
      </c>
      <c r="D6" s="134">
        <v>3.3</v>
      </c>
      <c r="E6" s="134">
        <v>3.28</v>
      </c>
      <c r="F6" s="134">
        <v>3.51</v>
      </c>
      <c r="G6" s="134">
        <v>3.92</v>
      </c>
      <c r="H6" s="134">
        <v>4.04</v>
      </c>
      <c r="I6" s="134" t="s">
        <v>120</v>
      </c>
      <c r="J6" s="134">
        <v>3.99</v>
      </c>
      <c r="K6" s="134" t="s">
        <v>120</v>
      </c>
      <c r="L6" s="134" t="s">
        <v>120</v>
      </c>
      <c r="M6" s="134" t="s">
        <v>120</v>
      </c>
    </row>
    <row r="7" spans="1:14" ht="10.5" customHeight="1">
      <c r="A7" s="14" t="s">
        <v>15</v>
      </c>
      <c r="B7" s="134">
        <v>5.3</v>
      </c>
      <c r="C7" s="134">
        <v>3.38</v>
      </c>
      <c r="D7" s="134">
        <v>3.12</v>
      </c>
      <c r="E7" s="134">
        <v>3.23</v>
      </c>
      <c r="F7" s="134">
        <v>3.6</v>
      </c>
      <c r="G7" s="134">
        <v>3.94</v>
      </c>
      <c r="H7" s="134">
        <v>3.94</v>
      </c>
      <c r="I7" s="134">
        <v>4.09</v>
      </c>
      <c r="J7" s="134" t="s">
        <v>120</v>
      </c>
      <c r="K7" s="134" t="s">
        <v>120</v>
      </c>
      <c r="L7" s="134" t="s">
        <v>120</v>
      </c>
      <c r="M7" s="134" t="s">
        <v>120</v>
      </c>
    </row>
    <row r="8" spans="1:14" ht="10.5" customHeight="1">
      <c r="A8" s="14" t="s">
        <v>16</v>
      </c>
      <c r="B8" s="134">
        <v>6.22</v>
      </c>
      <c r="C8" s="134">
        <v>3.93</v>
      </c>
      <c r="D8" s="134">
        <v>3.72</v>
      </c>
      <c r="E8" s="134">
        <v>2.96</v>
      </c>
      <c r="F8" s="134">
        <v>3.06</v>
      </c>
      <c r="G8" s="134">
        <v>3.34</v>
      </c>
      <c r="H8" s="134">
        <v>3.3</v>
      </c>
      <c r="I8" s="134">
        <v>3.33</v>
      </c>
      <c r="J8" s="134" t="s">
        <v>120</v>
      </c>
      <c r="K8" s="134" t="s">
        <v>120</v>
      </c>
      <c r="L8" s="134" t="s">
        <v>120</v>
      </c>
      <c r="M8" s="134" t="s">
        <v>120</v>
      </c>
    </row>
    <row r="9" spans="1:14" ht="10.5" customHeight="1">
      <c r="A9" s="14" t="s">
        <v>17</v>
      </c>
      <c r="B9" s="134">
        <v>4.8899999999999997</v>
      </c>
      <c r="C9" s="134">
        <v>3.74</v>
      </c>
      <c r="D9" s="134">
        <v>3.44</v>
      </c>
      <c r="E9" s="134">
        <v>2.76</v>
      </c>
      <c r="F9" s="134">
        <v>2.7</v>
      </c>
      <c r="G9" s="134" t="s">
        <v>120</v>
      </c>
      <c r="H9" s="134" t="s">
        <v>120</v>
      </c>
      <c r="I9" s="134" t="s">
        <v>120</v>
      </c>
      <c r="J9" s="134" t="s">
        <v>120</v>
      </c>
      <c r="K9" s="134" t="s">
        <v>120</v>
      </c>
      <c r="L9" s="134" t="s">
        <v>120</v>
      </c>
      <c r="M9" s="120" t="s">
        <v>120</v>
      </c>
    </row>
    <row r="10" spans="1:14" ht="10.5" customHeight="1">
      <c r="A10" s="14" t="s">
        <v>18</v>
      </c>
      <c r="B10" s="134" t="s">
        <v>120</v>
      </c>
      <c r="C10" s="134" t="s">
        <v>120</v>
      </c>
      <c r="D10" s="134" t="s">
        <v>120</v>
      </c>
      <c r="E10" s="134" t="s">
        <v>120</v>
      </c>
      <c r="F10" s="134" t="s">
        <v>120</v>
      </c>
      <c r="G10" s="134" t="s">
        <v>120</v>
      </c>
      <c r="H10" s="134" t="s">
        <v>120</v>
      </c>
      <c r="I10" s="134" t="s">
        <v>120</v>
      </c>
      <c r="J10" s="134" t="s">
        <v>120</v>
      </c>
      <c r="K10" s="134" t="s">
        <v>120</v>
      </c>
      <c r="L10" s="134" t="s">
        <v>120</v>
      </c>
      <c r="M10" s="134" t="s">
        <v>120</v>
      </c>
    </row>
    <row r="11" spans="1:14" ht="10.5" customHeight="1">
      <c r="A11" s="14" t="s">
        <v>19</v>
      </c>
      <c r="B11" s="134" t="s">
        <v>120</v>
      </c>
      <c r="C11" s="134">
        <v>10.9</v>
      </c>
      <c r="D11" s="134">
        <v>7.69</v>
      </c>
      <c r="E11" s="134">
        <v>7.31</v>
      </c>
      <c r="F11" s="134">
        <v>6.28</v>
      </c>
      <c r="G11" s="134">
        <v>7.37</v>
      </c>
      <c r="H11" s="134" t="s">
        <v>120</v>
      </c>
      <c r="I11" s="134" t="s">
        <v>120</v>
      </c>
      <c r="J11" s="134" t="s">
        <v>120</v>
      </c>
      <c r="K11" s="134" t="s">
        <v>120</v>
      </c>
      <c r="L11" s="134" t="s">
        <v>120</v>
      </c>
      <c r="M11" s="134" t="s">
        <v>120</v>
      </c>
    </row>
    <row r="12" spans="1:14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14" ht="10.5" customHeight="1">
      <c r="A13" s="14" t="s">
        <v>20</v>
      </c>
      <c r="B13" s="134">
        <v>10.57</v>
      </c>
      <c r="C13" s="134">
        <v>10.37</v>
      </c>
      <c r="D13" s="134">
        <v>10.1</v>
      </c>
      <c r="E13" s="134">
        <v>5.8</v>
      </c>
      <c r="F13" s="134">
        <v>4.79</v>
      </c>
      <c r="G13" s="134">
        <v>3.89</v>
      </c>
      <c r="H13" s="136">
        <v>3.44</v>
      </c>
      <c r="I13" s="134" t="s">
        <v>120</v>
      </c>
      <c r="J13" s="134" t="s">
        <v>120</v>
      </c>
      <c r="K13" s="134" t="s">
        <v>120</v>
      </c>
      <c r="L13" s="134" t="s">
        <v>120</v>
      </c>
      <c r="M13" s="134" t="s">
        <v>120</v>
      </c>
    </row>
    <row r="14" spans="1:14" ht="10.5" customHeight="1">
      <c r="A14" s="14" t="s">
        <v>21</v>
      </c>
      <c r="B14" s="134">
        <v>9.86</v>
      </c>
      <c r="C14" s="134">
        <v>8.92</v>
      </c>
      <c r="D14" s="134">
        <v>8.1199999999999992</v>
      </c>
      <c r="E14" s="134">
        <v>6.37</v>
      </c>
      <c r="F14" s="134">
        <v>6.94</v>
      </c>
      <c r="G14" s="134">
        <v>6.56</v>
      </c>
      <c r="H14" s="134">
        <v>7.02</v>
      </c>
      <c r="I14" s="134">
        <v>7.24</v>
      </c>
      <c r="J14" s="134" t="s">
        <v>120</v>
      </c>
      <c r="K14" s="134" t="s">
        <v>120</v>
      </c>
      <c r="L14" s="134" t="s">
        <v>120</v>
      </c>
      <c r="M14" s="134" t="s">
        <v>120</v>
      </c>
    </row>
    <row r="15" spans="1:14" ht="10.5" customHeight="1">
      <c r="A15" s="14" t="s">
        <v>142</v>
      </c>
      <c r="B15" s="134">
        <v>8.36</v>
      </c>
      <c r="C15" s="134">
        <v>7.85</v>
      </c>
      <c r="D15" s="134">
        <v>6.94</v>
      </c>
      <c r="E15" s="134">
        <v>6.12</v>
      </c>
      <c r="F15" s="134">
        <v>5.97</v>
      </c>
      <c r="G15" s="134">
        <v>5.46</v>
      </c>
      <c r="H15" s="134">
        <v>5.29</v>
      </c>
      <c r="I15" s="134">
        <v>3.03</v>
      </c>
      <c r="J15" s="134" t="s">
        <v>120</v>
      </c>
      <c r="K15" s="134" t="s">
        <v>120</v>
      </c>
      <c r="L15" s="134" t="s">
        <v>120</v>
      </c>
      <c r="M15" s="134" t="s">
        <v>120</v>
      </c>
    </row>
    <row r="16" spans="1:14" ht="10.5" customHeight="1">
      <c r="A16" s="14" t="s">
        <v>143</v>
      </c>
      <c r="B16" s="134">
        <v>8.98</v>
      </c>
      <c r="C16" s="134">
        <v>8.48</v>
      </c>
      <c r="D16" s="134">
        <v>5.33</v>
      </c>
      <c r="E16" s="134">
        <v>3.96</v>
      </c>
      <c r="F16" s="134">
        <v>2.4300000000000002</v>
      </c>
      <c r="G16" s="134" t="s">
        <v>120</v>
      </c>
      <c r="H16" s="134" t="s">
        <v>120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 t="s">
        <v>120</v>
      </c>
    </row>
    <row r="17" spans="1:15" ht="10.5" customHeight="1">
      <c r="A17" s="14" t="s">
        <v>144</v>
      </c>
      <c r="B17" s="134" t="s">
        <v>120</v>
      </c>
      <c r="C17" s="134" t="s">
        <v>120</v>
      </c>
      <c r="D17" s="134" t="s">
        <v>120</v>
      </c>
      <c r="E17" s="134" t="s">
        <v>120</v>
      </c>
      <c r="F17" s="134" t="s">
        <v>120</v>
      </c>
      <c r="G17" s="134" t="s">
        <v>120</v>
      </c>
      <c r="H17" s="134" t="s">
        <v>120</v>
      </c>
      <c r="I17" s="134" t="s">
        <v>120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5" ht="10.5" customHeight="1">
      <c r="A18" s="14" t="s">
        <v>25</v>
      </c>
      <c r="B18" s="134" t="s">
        <v>120</v>
      </c>
      <c r="C18" s="134">
        <v>13.1</v>
      </c>
      <c r="D18" s="134">
        <v>14.5</v>
      </c>
      <c r="E18" s="134">
        <v>12</v>
      </c>
      <c r="F18" s="134">
        <v>11.5</v>
      </c>
      <c r="G18" s="134" t="s">
        <v>120</v>
      </c>
      <c r="H18" s="134" t="s">
        <v>120</v>
      </c>
      <c r="I18" s="134" t="s">
        <v>120</v>
      </c>
      <c r="J18" s="134" t="s">
        <v>120</v>
      </c>
      <c r="K18" s="134" t="s">
        <v>120</v>
      </c>
      <c r="L18" s="134" t="s">
        <v>120</v>
      </c>
      <c r="M18" s="134" t="s">
        <v>120</v>
      </c>
    </row>
    <row r="19" spans="1:15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5" ht="10.5" customHeight="1">
      <c r="A20" s="14" t="s">
        <v>26</v>
      </c>
      <c r="B20" s="134" t="s">
        <v>120</v>
      </c>
      <c r="C20" s="134">
        <v>9.02</v>
      </c>
      <c r="D20" s="134">
        <v>9.4600000000000009</v>
      </c>
      <c r="E20" s="134">
        <v>4.58</v>
      </c>
      <c r="F20" s="134">
        <v>4.0999999999999996</v>
      </c>
      <c r="G20" s="134">
        <v>6.34</v>
      </c>
      <c r="H20" s="134">
        <v>5.24</v>
      </c>
      <c r="I20" s="134">
        <v>5.6</v>
      </c>
      <c r="J20" s="134" t="s">
        <v>120</v>
      </c>
      <c r="K20" s="134" t="s">
        <v>120</v>
      </c>
      <c r="L20" s="134" t="s">
        <v>120</v>
      </c>
      <c r="M20" s="134" t="s">
        <v>120</v>
      </c>
      <c r="O20" s="154"/>
    </row>
    <row r="21" spans="1:15" ht="10.5" customHeight="1">
      <c r="A21" s="14" t="s">
        <v>27</v>
      </c>
      <c r="B21" s="134">
        <v>9.6199999999999992</v>
      </c>
      <c r="C21" s="134">
        <v>8.84</v>
      </c>
      <c r="D21" s="134">
        <v>6.54</v>
      </c>
      <c r="E21" s="134">
        <v>7.03</v>
      </c>
      <c r="F21" s="134">
        <v>6.86</v>
      </c>
      <c r="G21" s="134">
        <v>5.89</v>
      </c>
      <c r="H21" s="134">
        <v>5.76</v>
      </c>
      <c r="I21" s="134" t="s">
        <v>120</v>
      </c>
      <c r="J21" s="134" t="s">
        <v>120</v>
      </c>
      <c r="K21" s="134" t="s">
        <v>120</v>
      </c>
      <c r="L21" s="134" t="s">
        <v>120</v>
      </c>
      <c r="M21" s="134" t="s">
        <v>120</v>
      </c>
      <c r="O21" s="154"/>
    </row>
    <row r="22" spans="1:15" ht="10.5" customHeight="1">
      <c r="A22" s="14" t="s">
        <v>28</v>
      </c>
      <c r="B22" s="134">
        <v>6.16</v>
      </c>
      <c r="C22" s="134">
        <v>3.43</v>
      </c>
      <c r="D22" s="134">
        <v>3.25</v>
      </c>
      <c r="E22" s="134">
        <v>2.57</v>
      </c>
      <c r="F22" s="134">
        <v>2.99</v>
      </c>
      <c r="G22" s="134">
        <v>4.9000000000000004</v>
      </c>
      <c r="H22" s="134">
        <v>5.53</v>
      </c>
      <c r="I22" s="134">
        <v>5.07</v>
      </c>
      <c r="J22" s="134" t="s">
        <v>120</v>
      </c>
      <c r="K22" s="134" t="s">
        <v>120</v>
      </c>
      <c r="L22" s="134" t="s">
        <v>120</v>
      </c>
      <c r="M22" s="134" t="s">
        <v>120</v>
      </c>
    </row>
    <row r="23" spans="1:15" ht="10.5" customHeight="1">
      <c r="A23" s="18" t="s">
        <v>30</v>
      </c>
      <c r="B23" s="120">
        <v>11.21</v>
      </c>
      <c r="C23" s="120">
        <v>6.85</v>
      </c>
      <c r="D23" s="120">
        <v>5.75</v>
      </c>
      <c r="E23" s="120">
        <v>4.16</v>
      </c>
      <c r="F23" s="120">
        <v>5.18</v>
      </c>
      <c r="G23" s="120">
        <v>6.85</v>
      </c>
      <c r="H23" s="120">
        <v>7.8</v>
      </c>
      <c r="I23" s="120">
        <v>7.47</v>
      </c>
      <c r="J23" s="134" t="s">
        <v>120</v>
      </c>
      <c r="K23" s="134" t="s">
        <v>120</v>
      </c>
      <c r="L23" s="134" t="s">
        <v>120</v>
      </c>
      <c r="M23" s="134" t="s">
        <v>120</v>
      </c>
    </row>
    <row r="24" spans="1:15" ht="10.5" customHeight="1">
      <c r="A24" s="18" t="s">
        <v>31</v>
      </c>
      <c r="B24" s="120">
        <v>8.41</v>
      </c>
      <c r="C24" s="120">
        <v>4.1900000000000004</v>
      </c>
      <c r="D24" s="120">
        <v>2</v>
      </c>
      <c r="E24" s="120">
        <v>2.12</v>
      </c>
      <c r="F24" s="120">
        <v>3.93</v>
      </c>
      <c r="G24" s="120">
        <v>4.74</v>
      </c>
      <c r="H24" s="120">
        <v>4.95</v>
      </c>
      <c r="I24" s="120">
        <v>4.66</v>
      </c>
      <c r="J24" s="134" t="s">
        <v>120</v>
      </c>
      <c r="K24" s="134" t="s">
        <v>120</v>
      </c>
      <c r="L24" s="134" t="s">
        <v>120</v>
      </c>
      <c r="M24" s="134" t="s">
        <v>120</v>
      </c>
    </row>
    <row r="25" spans="1:15" ht="10.5" customHeight="1">
      <c r="A25" s="18" t="s">
        <v>32</v>
      </c>
      <c r="B25" s="120">
        <v>7.18</v>
      </c>
      <c r="C25" s="120">
        <v>3.05</v>
      </c>
      <c r="D25" s="120">
        <v>1.88</v>
      </c>
      <c r="E25" s="120">
        <v>1.18</v>
      </c>
      <c r="F25" s="120">
        <v>1.66</v>
      </c>
      <c r="G25" s="120">
        <v>3.74</v>
      </c>
      <c r="H25" s="120">
        <v>2.58</v>
      </c>
      <c r="I25" s="120">
        <v>3</v>
      </c>
      <c r="J25" s="120" t="s">
        <v>120</v>
      </c>
      <c r="K25" s="120" t="s">
        <v>120</v>
      </c>
      <c r="L25" s="120" t="s">
        <v>120</v>
      </c>
      <c r="M25" s="120" t="s">
        <v>120</v>
      </c>
    </row>
    <row r="26" spans="1:15" ht="3" customHeight="1">
      <c r="A26" s="18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</row>
    <row r="27" spans="1:15" ht="10.5" customHeight="1">
      <c r="A27" s="18" t="s">
        <v>33</v>
      </c>
      <c r="B27" s="120">
        <v>6.12</v>
      </c>
      <c r="C27" s="120">
        <v>6.88</v>
      </c>
      <c r="D27" s="120">
        <v>6.26</v>
      </c>
      <c r="E27" s="120">
        <v>6.74</v>
      </c>
      <c r="F27" s="120">
        <v>8.3800000000000008</v>
      </c>
      <c r="G27" s="120">
        <v>3.89</v>
      </c>
      <c r="H27" s="120">
        <v>5.13</v>
      </c>
      <c r="I27" s="120">
        <v>5.38</v>
      </c>
      <c r="J27" s="120" t="s">
        <v>120</v>
      </c>
      <c r="K27" s="120" t="s">
        <v>120</v>
      </c>
      <c r="L27" s="120" t="s">
        <v>120</v>
      </c>
      <c r="M27" s="120" t="s">
        <v>120</v>
      </c>
    </row>
    <row r="28" spans="1:15" ht="10.5" customHeight="1">
      <c r="A28" s="22" t="s">
        <v>34</v>
      </c>
      <c r="B28" s="120">
        <v>9.5299999999999994</v>
      </c>
      <c r="C28" s="120">
        <v>7.31</v>
      </c>
      <c r="D28" s="120">
        <v>5.16</v>
      </c>
      <c r="E28" s="120">
        <v>2.75</v>
      </c>
      <c r="F28" s="120">
        <v>2.5099999999999998</v>
      </c>
      <c r="G28" s="120">
        <v>2.54</v>
      </c>
      <c r="H28" s="120">
        <v>2.4700000000000002</v>
      </c>
      <c r="I28" s="120">
        <v>2.15</v>
      </c>
      <c r="J28" s="120" t="s">
        <v>120</v>
      </c>
      <c r="K28" s="120" t="s">
        <v>120</v>
      </c>
      <c r="L28" s="120" t="s">
        <v>120</v>
      </c>
      <c r="M28" s="120" t="s">
        <v>120</v>
      </c>
    </row>
    <row r="29" spans="1:15" ht="10.5" customHeight="1">
      <c r="A29" s="22" t="s">
        <v>35</v>
      </c>
      <c r="B29" s="120">
        <v>5.0599999999999996</v>
      </c>
      <c r="C29" s="120">
        <v>1.83</v>
      </c>
      <c r="D29" s="120">
        <v>1.81</v>
      </c>
      <c r="E29" s="120">
        <v>0.21</v>
      </c>
      <c r="F29" s="120">
        <v>7.0000000000000007E-2</v>
      </c>
      <c r="G29" s="120">
        <v>0.43</v>
      </c>
      <c r="H29" s="120">
        <v>1.69</v>
      </c>
      <c r="I29" s="120">
        <v>2.33</v>
      </c>
      <c r="J29" s="120">
        <v>1.48</v>
      </c>
      <c r="K29" s="120" t="s">
        <v>120</v>
      </c>
      <c r="L29" s="120" t="s">
        <v>120</v>
      </c>
      <c r="M29" s="120" t="s">
        <v>120</v>
      </c>
    </row>
    <row r="30" spans="1:15" ht="10.5" customHeight="1">
      <c r="A30" s="18" t="s">
        <v>36</v>
      </c>
      <c r="B30" s="120">
        <v>7.33</v>
      </c>
      <c r="C30" s="120">
        <v>4.21</v>
      </c>
      <c r="D30" s="120">
        <v>2.75</v>
      </c>
      <c r="E30" s="120">
        <v>1.84</v>
      </c>
      <c r="F30" s="120">
        <v>2.48</v>
      </c>
      <c r="G30" s="120">
        <v>3.99</v>
      </c>
      <c r="H30" s="120">
        <v>4.34</v>
      </c>
      <c r="I30" s="120">
        <v>3.42</v>
      </c>
      <c r="J30" s="120" t="s">
        <v>120</v>
      </c>
      <c r="K30" s="120" t="s">
        <v>120</v>
      </c>
      <c r="L30" s="120" t="s">
        <v>120</v>
      </c>
      <c r="M30" s="120" t="s">
        <v>120</v>
      </c>
    </row>
    <row r="31" spans="1:15" ht="10.5" customHeight="1">
      <c r="A31" s="18" t="s">
        <v>37</v>
      </c>
      <c r="B31" s="120">
        <v>6.58</v>
      </c>
      <c r="C31" s="120">
        <v>4.87</v>
      </c>
      <c r="D31" s="120">
        <v>1.82</v>
      </c>
      <c r="E31" s="120">
        <v>1.01</v>
      </c>
      <c r="F31" s="120">
        <v>1.69</v>
      </c>
      <c r="G31" s="120">
        <v>2.02</v>
      </c>
      <c r="H31" s="120">
        <v>6.35</v>
      </c>
      <c r="I31" s="120">
        <v>8.32</v>
      </c>
      <c r="J31" s="120" t="s">
        <v>120</v>
      </c>
      <c r="K31" s="120" t="s">
        <v>120</v>
      </c>
      <c r="L31" s="120" t="s">
        <v>120</v>
      </c>
      <c r="M31" s="120" t="s">
        <v>120</v>
      </c>
    </row>
    <row r="32" spans="1:15" ht="4.5" customHeight="1">
      <c r="A32" s="18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</row>
    <row r="33" spans="1:14" ht="10.5" customHeight="1">
      <c r="A33" s="18" t="s">
        <v>38</v>
      </c>
      <c r="B33" s="120">
        <v>11.33</v>
      </c>
      <c r="C33" s="120">
        <v>4.3600000000000003</v>
      </c>
      <c r="D33" s="120">
        <v>2.84</v>
      </c>
      <c r="E33" s="120">
        <v>1.62</v>
      </c>
      <c r="F33" s="120">
        <v>1.25</v>
      </c>
      <c r="G33" s="120">
        <v>2.12</v>
      </c>
      <c r="H33" s="120">
        <v>4.09</v>
      </c>
      <c r="I33" s="120">
        <v>3.76</v>
      </c>
      <c r="J33" s="120" t="s">
        <v>120</v>
      </c>
      <c r="K33" s="120" t="s">
        <v>120</v>
      </c>
      <c r="L33" s="120" t="s">
        <v>120</v>
      </c>
      <c r="M33" s="120" t="s">
        <v>120</v>
      </c>
    </row>
    <row r="34" spans="1:14" ht="10.5" customHeight="1">
      <c r="A34" s="18" t="s">
        <v>39</v>
      </c>
      <c r="B34" s="120">
        <v>14.68</v>
      </c>
      <c r="C34" s="120">
        <v>5</v>
      </c>
      <c r="D34" s="120">
        <v>5.24</v>
      </c>
      <c r="E34" s="120">
        <v>5.45</v>
      </c>
      <c r="F34" s="120">
        <v>4.74</v>
      </c>
      <c r="G34" s="120">
        <v>5.41</v>
      </c>
      <c r="H34" s="120">
        <v>5.38</v>
      </c>
      <c r="I34" s="120">
        <v>2.2999999999999998</v>
      </c>
      <c r="J34" s="120" t="s">
        <v>120</v>
      </c>
      <c r="K34" s="120" t="s">
        <v>120</v>
      </c>
      <c r="L34" s="120" t="s">
        <v>120</v>
      </c>
      <c r="M34" s="120" t="s">
        <v>120</v>
      </c>
    </row>
    <row r="35" spans="1:14" ht="10.5" customHeight="1">
      <c r="A35" s="18" t="s">
        <v>40</v>
      </c>
      <c r="B35" s="120">
        <v>8.35</v>
      </c>
      <c r="C35" s="120">
        <v>6.2</v>
      </c>
      <c r="D35" s="120">
        <v>5.85</v>
      </c>
      <c r="E35" s="120">
        <v>4.04</v>
      </c>
      <c r="F35" s="120">
        <v>4.53</v>
      </c>
      <c r="G35" s="120">
        <v>5.48</v>
      </c>
      <c r="H35" s="120">
        <v>6.39</v>
      </c>
      <c r="I35" s="120">
        <v>7.1</v>
      </c>
      <c r="J35" s="120" t="s">
        <v>120</v>
      </c>
      <c r="K35" s="120" t="s">
        <v>120</v>
      </c>
      <c r="L35" s="120" t="s">
        <v>120</v>
      </c>
      <c r="M35" s="120" t="s">
        <v>120</v>
      </c>
    </row>
    <row r="36" spans="1:14" ht="10.5" customHeight="1">
      <c r="A36" s="18" t="s">
        <v>41</v>
      </c>
      <c r="B36" s="120">
        <v>13.66</v>
      </c>
      <c r="C36" s="120">
        <v>5.88</v>
      </c>
      <c r="D36" s="120">
        <v>6.73</v>
      </c>
      <c r="E36" s="120">
        <v>13.58</v>
      </c>
      <c r="F36" s="120">
        <v>11.6</v>
      </c>
      <c r="G36" s="120">
        <v>5.4</v>
      </c>
      <c r="H36" s="120">
        <v>13.21</v>
      </c>
      <c r="I36" s="120">
        <v>14.23</v>
      </c>
      <c r="J36" s="120" t="s">
        <v>120</v>
      </c>
      <c r="K36" s="120" t="s">
        <v>120</v>
      </c>
      <c r="L36" s="120" t="s">
        <v>120</v>
      </c>
      <c r="M36" s="120" t="s">
        <v>120</v>
      </c>
      <c r="N36" s="59"/>
    </row>
    <row r="37" spans="1:14" ht="10.5" customHeight="1">
      <c r="A37" s="18" t="s">
        <v>42</v>
      </c>
      <c r="B37" s="120">
        <v>10.01</v>
      </c>
      <c r="C37" s="120">
        <v>5</v>
      </c>
      <c r="D37" s="120">
        <v>3.81</v>
      </c>
      <c r="E37" s="120">
        <v>2.44</v>
      </c>
      <c r="F37" s="120">
        <v>3.47</v>
      </c>
      <c r="G37" s="120">
        <v>4.78</v>
      </c>
      <c r="H37" s="120">
        <v>5.0199999999999996</v>
      </c>
      <c r="I37" s="120">
        <v>3.77</v>
      </c>
      <c r="J37" s="120" t="s">
        <v>120</v>
      </c>
      <c r="K37" s="120" t="s">
        <v>120</v>
      </c>
      <c r="L37" s="120" t="s">
        <v>120</v>
      </c>
      <c r="M37" s="120" t="s">
        <v>120</v>
      </c>
    </row>
    <row r="38" spans="1:14" ht="10.5" customHeight="1">
      <c r="A38" s="18" t="s">
        <v>43</v>
      </c>
      <c r="B38" s="120" t="s">
        <v>120</v>
      </c>
      <c r="C38" s="120">
        <v>6.5</v>
      </c>
      <c r="D38" s="120">
        <v>4.28</v>
      </c>
      <c r="E38" s="120">
        <v>4.79</v>
      </c>
      <c r="F38" s="120">
        <v>7.22</v>
      </c>
      <c r="G38" s="120">
        <v>6.63</v>
      </c>
      <c r="H38" s="120">
        <v>4.37</v>
      </c>
      <c r="I38" s="120" t="s">
        <v>120</v>
      </c>
      <c r="J38" s="120" t="s">
        <v>120</v>
      </c>
      <c r="K38" s="120" t="s">
        <v>120</v>
      </c>
      <c r="L38" s="120" t="s">
        <v>120</v>
      </c>
      <c r="M38" s="120" t="s">
        <v>120</v>
      </c>
    </row>
    <row r="39" spans="1:14" ht="10.5" customHeight="1">
      <c r="A39" s="18" t="s">
        <v>44</v>
      </c>
      <c r="B39" s="120" t="s">
        <v>120</v>
      </c>
      <c r="C39" s="134" t="s">
        <v>120</v>
      </c>
      <c r="D39" s="134" t="s">
        <v>120</v>
      </c>
      <c r="E39" s="134" t="s">
        <v>120</v>
      </c>
      <c r="F39" s="134" t="s">
        <v>120</v>
      </c>
      <c r="G39" s="134" t="s">
        <v>120</v>
      </c>
      <c r="H39" s="134" t="s">
        <v>120</v>
      </c>
      <c r="I39" s="134" t="s">
        <v>120</v>
      </c>
      <c r="J39" s="134" t="s">
        <v>120</v>
      </c>
      <c r="K39" s="134" t="s">
        <v>120</v>
      </c>
      <c r="L39" s="134" t="s">
        <v>120</v>
      </c>
      <c r="M39" s="134" t="s">
        <v>120</v>
      </c>
    </row>
    <row r="40" spans="1:14" ht="12.75" customHeight="1">
      <c r="A40" s="18" t="s">
        <v>46</v>
      </c>
      <c r="B40" s="120" t="s">
        <v>120</v>
      </c>
      <c r="C40" s="134" t="s">
        <v>120</v>
      </c>
      <c r="D40" s="134" t="s">
        <v>120</v>
      </c>
      <c r="E40" s="134" t="s">
        <v>120</v>
      </c>
      <c r="F40" s="134" t="s">
        <v>120</v>
      </c>
      <c r="G40" s="134" t="s">
        <v>120</v>
      </c>
      <c r="H40" s="134" t="s">
        <v>120</v>
      </c>
      <c r="I40" s="134" t="s">
        <v>120</v>
      </c>
      <c r="J40" s="134" t="s">
        <v>120</v>
      </c>
      <c r="K40" s="134" t="s">
        <v>120</v>
      </c>
      <c r="L40" s="134" t="s">
        <v>120</v>
      </c>
      <c r="M40" s="134" t="s">
        <v>120</v>
      </c>
    </row>
    <row r="41" spans="1:14" ht="3.95" customHeight="1">
      <c r="A41" s="18"/>
      <c r="B41" s="120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</row>
    <row r="42" spans="1:14" ht="10.5" customHeight="1">
      <c r="A42" s="18" t="s">
        <v>177</v>
      </c>
      <c r="B42" s="120" t="s">
        <v>120</v>
      </c>
      <c r="C42" s="134" t="s">
        <v>120</v>
      </c>
      <c r="D42" s="134" t="s">
        <v>120</v>
      </c>
      <c r="E42" s="134" t="s">
        <v>120</v>
      </c>
      <c r="F42" s="134" t="s">
        <v>120</v>
      </c>
      <c r="G42" s="134" t="s">
        <v>120</v>
      </c>
      <c r="H42" s="134" t="s">
        <v>120</v>
      </c>
      <c r="I42" s="134" t="s">
        <v>120</v>
      </c>
      <c r="J42" s="134" t="s">
        <v>120</v>
      </c>
      <c r="K42" s="134" t="s">
        <v>120</v>
      </c>
      <c r="L42" s="134" t="s">
        <v>120</v>
      </c>
      <c r="M42" s="134" t="s">
        <v>120</v>
      </c>
    </row>
    <row r="43" spans="1:14" ht="10.5" customHeight="1">
      <c r="A43" s="18" t="s">
        <v>178</v>
      </c>
      <c r="B43" s="120" t="s">
        <v>120</v>
      </c>
      <c r="C43" s="134" t="s">
        <v>120</v>
      </c>
      <c r="D43" s="134" t="s">
        <v>120</v>
      </c>
      <c r="E43" s="134" t="s">
        <v>120</v>
      </c>
      <c r="F43" s="134" t="s">
        <v>120</v>
      </c>
      <c r="G43" s="134" t="s">
        <v>120</v>
      </c>
      <c r="H43" s="134" t="s">
        <v>120</v>
      </c>
      <c r="I43" s="134" t="s">
        <v>120</v>
      </c>
      <c r="J43" s="134" t="s">
        <v>120</v>
      </c>
      <c r="K43" s="134" t="s">
        <v>120</v>
      </c>
      <c r="L43" s="134" t="s">
        <v>120</v>
      </c>
      <c r="M43" s="134" t="s">
        <v>120</v>
      </c>
    </row>
    <row r="44" spans="1:14" ht="10.5" customHeight="1">
      <c r="A44" s="18" t="s">
        <v>51</v>
      </c>
      <c r="B44" s="120" t="s">
        <v>120</v>
      </c>
      <c r="C44" s="134" t="s">
        <v>120</v>
      </c>
      <c r="D44" s="134" t="s">
        <v>120</v>
      </c>
      <c r="E44" s="134" t="s">
        <v>120</v>
      </c>
      <c r="F44" s="134" t="s">
        <v>120</v>
      </c>
      <c r="G44" s="134" t="s">
        <v>120</v>
      </c>
      <c r="H44" s="134" t="s">
        <v>120</v>
      </c>
      <c r="I44" s="134" t="s">
        <v>120</v>
      </c>
      <c r="J44" s="134" t="s">
        <v>120</v>
      </c>
      <c r="K44" s="134" t="s">
        <v>120</v>
      </c>
      <c r="L44" s="134" t="s">
        <v>120</v>
      </c>
      <c r="M44" s="134" t="s">
        <v>120</v>
      </c>
    </row>
    <row r="45" spans="1:14" ht="10.5" customHeight="1">
      <c r="A45" s="18" t="s">
        <v>52</v>
      </c>
      <c r="B45" s="120" t="s">
        <v>120</v>
      </c>
      <c r="C45" s="134" t="s">
        <v>120</v>
      </c>
      <c r="D45" s="134" t="s">
        <v>120</v>
      </c>
      <c r="E45" s="134" t="s">
        <v>120</v>
      </c>
      <c r="F45" s="134" t="s">
        <v>120</v>
      </c>
      <c r="G45" s="134" t="s">
        <v>120</v>
      </c>
      <c r="H45" s="134" t="s">
        <v>120</v>
      </c>
      <c r="I45" s="134" t="s">
        <v>120</v>
      </c>
      <c r="J45" s="134" t="s">
        <v>120</v>
      </c>
      <c r="K45" s="134" t="s">
        <v>120</v>
      </c>
      <c r="L45" s="134" t="s">
        <v>120</v>
      </c>
      <c r="M45" s="134" t="s">
        <v>120</v>
      </c>
    </row>
    <row r="46" spans="1:14" ht="10.5" customHeight="1">
      <c r="A46" s="18" t="s">
        <v>291</v>
      </c>
      <c r="B46" s="120">
        <v>19.38</v>
      </c>
      <c r="C46" s="120">
        <v>16.399999999999999</v>
      </c>
      <c r="D46" s="120">
        <v>12.79</v>
      </c>
      <c r="E46" s="120">
        <v>17.18</v>
      </c>
      <c r="F46" s="120">
        <v>13.1</v>
      </c>
      <c r="G46" s="120">
        <v>18.350000000000001</v>
      </c>
      <c r="H46" s="120">
        <v>16.420000000000002</v>
      </c>
      <c r="I46" s="120" t="s">
        <v>120</v>
      </c>
      <c r="J46" s="120" t="s">
        <v>120</v>
      </c>
      <c r="K46" s="120" t="s">
        <v>120</v>
      </c>
      <c r="L46" s="120" t="s">
        <v>120</v>
      </c>
      <c r="M46" s="120" t="s">
        <v>120</v>
      </c>
    </row>
    <row r="47" spans="1:14" ht="10.5" customHeight="1">
      <c r="A47" s="18" t="s">
        <v>298</v>
      </c>
      <c r="B47" s="120">
        <v>16.95</v>
      </c>
      <c r="C47" s="120">
        <v>14.7</v>
      </c>
      <c r="D47" s="120">
        <v>13.52</v>
      </c>
      <c r="E47" s="120">
        <v>15.5</v>
      </c>
      <c r="F47" s="120">
        <v>19.05</v>
      </c>
      <c r="G47" s="120">
        <v>18.12</v>
      </c>
      <c r="H47" s="120">
        <v>18.66</v>
      </c>
      <c r="I47" s="120" t="s">
        <v>120</v>
      </c>
      <c r="J47" s="120" t="s">
        <v>120</v>
      </c>
      <c r="K47" s="120" t="s">
        <v>120</v>
      </c>
      <c r="L47" s="120" t="s">
        <v>120</v>
      </c>
      <c r="M47" s="120" t="s">
        <v>120</v>
      </c>
    </row>
    <row r="48" spans="1:14" ht="10.5" customHeight="1">
      <c r="A48" s="18" t="s">
        <v>312</v>
      </c>
      <c r="B48" s="120">
        <v>23.46</v>
      </c>
      <c r="C48" s="120">
        <v>24.01</v>
      </c>
      <c r="D48" s="120">
        <v>14.34</v>
      </c>
      <c r="E48" s="120">
        <v>13.15</v>
      </c>
      <c r="F48" s="120">
        <v>12.19</v>
      </c>
      <c r="G48" s="120">
        <v>17.760000000000002</v>
      </c>
      <c r="H48" s="120">
        <v>17.32</v>
      </c>
      <c r="I48" s="120">
        <v>18.8</v>
      </c>
      <c r="J48" s="120" t="s">
        <v>120</v>
      </c>
      <c r="K48" s="120" t="s">
        <v>120</v>
      </c>
      <c r="L48" s="120" t="s">
        <v>120</v>
      </c>
      <c r="M48" s="120" t="s">
        <v>120</v>
      </c>
    </row>
    <row r="49" spans="1:14" ht="10.5" customHeight="1">
      <c r="A49" s="140" t="s">
        <v>319</v>
      </c>
      <c r="B49" s="142" t="s">
        <v>120</v>
      </c>
      <c r="C49" s="142">
        <v>14.56</v>
      </c>
      <c r="D49" s="142">
        <v>11.05</v>
      </c>
      <c r="E49" s="142">
        <v>12.13</v>
      </c>
      <c r="F49" s="142">
        <v>11.73</v>
      </c>
      <c r="G49" s="142">
        <v>11.59</v>
      </c>
      <c r="H49" s="142">
        <v>10.85</v>
      </c>
      <c r="I49" s="365" t="s">
        <v>321</v>
      </c>
      <c r="J49" s="142" t="s">
        <v>120</v>
      </c>
      <c r="K49" s="142" t="s">
        <v>120</v>
      </c>
      <c r="L49" s="365" t="s">
        <v>120</v>
      </c>
      <c r="M49" s="142"/>
    </row>
    <row r="50" spans="1:14">
      <c r="A50" s="14" t="s">
        <v>324</v>
      </c>
      <c r="B50" s="1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100" t="s">
        <v>203</v>
      </c>
      <c r="B51" s="1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14" t="s">
        <v>323</v>
      </c>
      <c r="B52" s="1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9.75" customHeight="1">
      <c r="A53" s="14" t="s">
        <v>236</v>
      </c>
      <c r="B53" s="14"/>
      <c r="C53" s="4"/>
      <c r="D53" s="4"/>
      <c r="E53" s="4"/>
      <c r="F53" s="4"/>
      <c r="G53" s="4"/>
      <c r="H53" s="4"/>
      <c r="I53" s="4"/>
      <c r="J53" s="4"/>
      <c r="K53" s="143"/>
      <c r="L53" s="143"/>
      <c r="M53" s="143"/>
      <c r="N53" s="143"/>
    </row>
    <row r="54" spans="1:14">
      <c r="K54" s="144"/>
      <c r="L54" s="144"/>
      <c r="M54" s="144"/>
      <c r="N54" s="144"/>
    </row>
  </sheetData>
  <mergeCells count="1">
    <mergeCell ref="B4:M4"/>
  </mergeCells>
  <pageMargins left="0.66700000000000004" right="0.66700000000000004" top="0.66700000000000004" bottom="0.72" header="0" footer="0"/>
  <pageSetup firstPageNumber="96" orientation="portrait" useFirstPageNumber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51"/>
  <sheetViews>
    <sheetView showGridLines="0" view="pageBreakPreview" zoomScale="60" zoomScaleNormal="100" workbookViewId="0"/>
  </sheetViews>
  <sheetFormatPr defaultColWidth="9.7109375" defaultRowHeight="12"/>
  <cols>
    <col min="1" max="1" width="8.7109375" customWidth="1"/>
    <col min="2" max="13" width="7.7109375" customWidth="1"/>
    <col min="15" max="15" width="8.7109375" customWidth="1"/>
  </cols>
  <sheetData>
    <row r="1" spans="1:15">
      <c r="A1" s="160" t="s">
        <v>237</v>
      </c>
      <c r="B1" s="3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O1" s="5"/>
    </row>
    <row r="2" spans="1:15">
      <c r="A2" s="1" t="s">
        <v>128</v>
      </c>
      <c r="B2" s="9" t="s">
        <v>139</v>
      </c>
      <c r="C2" s="9" t="s">
        <v>140</v>
      </c>
      <c r="D2" s="9" t="s">
        <v>129</v>
      </c>
      <c r="E2" s="9" t="s">
        <v>130</v>
      </c>
      <c r="F2" s="9" t="s">
        <v>131</v>
      </c>
      <c r="G2" s="9" t="s">
        <v>132</v>
      </c>
      <c r="H2" s="9" t="s">
        <v>133</v>
      </c>
      <c r="I2" s="9" t="s">
        <v>134</v>
      </c>
      <c r="J2" s="9" t="s">
        <v>135</v>
      </c>
      <c r="K2" s="9" t="s">
        <v>136</v>
      </c>
      <c r="L2" s="9" t="s">
        <v>137</v>
      </c>
      <c r="M2" s="9" t="s">
        <v>138</v>
      </c>
    </row>
    <row r="3" spans="1:15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5">
      <c r="A4" s="4"/>
      <c r="B4" s="484" t="s">
        <v>156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</row>
    <row r="5" spans="1:15" ht="3" customHeight="1">
      <c r="A5" s="4"/>
      <c r="B5" s="4"/>
      <c r="C5" s="361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0.5" customHeight="1">
      <c r="A6" s="14" t="s">
        <v>14</v>
      </c>
      <c r="B6" s="153">
        <v>2.39</v>
      </c>
      <c r="C6" s="153">
        <v>2.89</v>
      </c>
      <c r="D6" s="153">
        <v>4.67</v>
      </c>
      <c r="E6" s="363">
        <v>3.84</v>
      </c>
      <c r="F6" s="153">
        <v>3.59</v>
      </c>
      <c r="G6" s="153">
        <v>3.6</v>
      </c>
      <c r="H6" s="153">
        <v>3.6</v>
      </c>
      <c r="I6" s="153">
        <v>3.51</v>
      </c>
      <c r="J6" s="153">
        <v>4.16</v>
      </c>
      <c r="K6" s="153">
        <v>4.22</v>
      </c>
      <c r="L6" s="153">
        <v>4.26</v>
      </c>
      <c r="M6" s="153">
        <v>3.27</v>
      </c>
    </row>
    <row r="7" spans="1:15" ht="10.5" customHeight="1">
      <c r="A7" s="14" t="s">
        <v>15</v>
      </c>
      <c r="B7" s="153">
        <v>3.35</v>
      </c>
      <c r="C7" s="153">
        <v>2.98</v>
      </c>
      <c r="D7" s="153">
        <v>4.1500000000000004</v>
      </c>
      <c r="E7" s="153">
        <v>4.59</v>
      </c>
      <c r="F7" s="153">
        <v>4.34</v>
      </c>
      <c r="G7" s="153">
        <v>4.51</v>
      </c>
      <c r="H7" s="153">
        <v>4.47</v>
      </c>
      <c r="I7" s="153">
        <v>4.6900000000000004</v>
      </c>
      <c r="J7" s="153">
        <v>5.26</v>
      </c>
      <c r="K7" s="153">
        <v>6</v>
      </c>
      <c r="L7" s="153">
        <v>9.84</v>
      </c>
      <c r="M7" s="153">
        <v>11.8</v>
      </c>
    </row>
    <row r="8" spans="1:15" ht="10.5" customHeight="1">
      <c r="A8" s="14" t="s">
        <v>16</v>
      </c>
      <c r="B8" s="153">
        <v>19.489999999999998</v>
      </c>
      <c r="C8" s="153">
        <v>8.07</v>
      </c>
      <c r="D8" s="153">
        <v>6.03</v>
      </c>
      <c r="E8" s="153">
        <v>4.8499999999999996</v>
      </c>
      <c r="F8" s="153">
        <v>4.4400000000000004</v>
      </c>
      <c r="G8" s="153">
        <v>4.0599999999999996</v>
      </c>
      <c r="H8" s="153">
        <v>3.66</v>
      </c>
      <c r="I8" s="153">
        <v>4.46</v>
      </c>
      <c r="J8" s="153">
        <v>4.5199999999999996</v>
      </c>
      <c r="K8" s="153">
        <v>4.1399999999999997</v>
      </c>
      <c r="L8" s="153">
        <v>2.37</v>
      </c>
      <c r="M8" s="153">
        <v>2.14</v>
      </c>
    </row>
    <row r="9" spans="1:15" ht="10.5" customHeight="1">
      <c r="A9" s="14" t="s">
        <v>17</v>
      </c>
      <c r="B9" s="153">
        <v>1.5</v>
      </c>
      <c r="C9" s="153">
        <v>4.8899999999999997</v>
      </c>
      <c r="D9" s="153">
        <v>5.7</v>
      </c>
      <c r="E9" s="153">
        <v>4.93</v>
      </c>
      <c r="F9" s="153">
        <v>4.93</v>
      </c>
      <c r="G9" s="153">
        <v>5.21</v>
      </c>
      <c r="H9" s="153">
        <v>4.6100000000000003</v>
      </c>
      <c r="I9" s="153">
        <v>5.44</v>
      </c>
      <c r="J9" s="153">
        <v>7.89</v>
      </c>
      <c r="K9" s="153">
        <v>9.06</v>
      </c>
      <c r="L9" s="153">
        <v>12.93</v>
      </c>
      <c r="M9" s="153">
        <v>13.26</v>
      </c>
    </row>
    <row r="10" spans="1:15" ht="10.5" customHeight="1">
      <c r="A10" s="14" t="s">
        <v>18</v>
      </c>
      <c r="B10" s="153">
        <v>14.67</v>
      </c>
      <c r="C10" s="153">
        <v>14.45</v>
      </c>
      <c r="D10" s="153">
        <v>10.24</v>
      </c>
      <c r="E10" s="153">
        <v>8.4600000000000009</v>
      </c>
      <c r="F10" s="153">
        <v>7.72</v>
      </c>
      <c r="G10" s="153">
        <v>7.2</v>
      </c>
      <c r="H10" s="153">
        <v>7.12</v>
      </c>
      <c r="I10" s="153">
        <v>7.36</v>
      </c>
      <c r="J10" s="153">
        <v>7.39</v>
      </c>
      <c r="K10" s="153">
        <v>7.11</v>
      </c>
      <c r="L10" s="153">
        <v>6.19</v>
      </c>
      <c r="M10" s="153">
        <v>5.4889999999999999</v>
      </c>
    </row>
    <row r="11" spans="1:15" ht="10.5" customHeight="1">
      <c r="A11" s="14" t="s">
        <v>19</v>
      </c>
      <c r="B11" s="153">
        <v>5.78</v>
      </c>
      <c r="C11" s="153">
        <v>4.8600000000000003</v>
      </c>
      <c r="D11" s="153">
        <v>5.85</v>
      </c>
      <c r="E11" s="153">
        <v>4.8899999999999997</v>
      </c>
      <c r="F11" s="153">
        <v>4.2</v>
      </c>
      <c r="G11" s="153">
        <v>4.01</v>
      </c>
      <c r="H11" s="153">
        <v>4.07</v>
      </c>
      <c r="I11" s="153">
        <v>3.76</v>
      </c>
      <c r="J11" s="153">
        <v>4.24</v>
      </c>
      <c r="K11" s="153">
        <v>4.18</v>
      </c>
      <c r="L11" s="153">
        <v>3.58</v>
      </c>
      <c r="M11" s="153">
        <v>3.91</v>
      </c>
    </row>
    <row r="12" spans="1:15" ht="3" customHeight="1">
      <c r="A12" s="14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</row>
    <row r="13" spans="1:15" ht="10.5" customHeight="1">
      <c r="A13" s="14" t="s">
        <v>20</v>
      </c>
      <c r="B13" s="153">
        <v>4.59</v>
      </c>
      <c r="C13" s="153">
        <v>6.5</v>
      </c>
      <c r="D13" s="153">
        <v>6.46</v>
      </c>
      <c r="E13" s="153">
        <v>4.79</v>
      </c>
      <c r="F13" s="153">
        <v>4.6399999999999997</v>
      </c>
      <c r="G13" s="153">
        <v>4.8</v>
      </c>
      <c r="H13" s="153">
        <v>4.96</v>
      </c>
      <c r="I13" s="153">
        <v>5.4</v>
      </c>
      <c r="J13" s="153">
        <v>5.99</v>
      </c>
      <c r="K13" s="153">
        <v>6.4</v>
      </c>
      <c r="L13" s="153">
        <v>6.02</v>
      </c>
      <c r="M13" s="153">
        <v>5.41</v>
      </c>
    </row>
    <row r="14" spans="1:15" ht="10.5" customHeight="1">
      <c r="A14" s="14" t="s">
        <v>21</v>
      </c>
      <c r="B14" s="153">
        <v>7.43</v>
      </c>
      <c r="C14" s="153">
        <v>10.43</v>
      </c>
      <c r="D14" s="153">
        <v>9.1</v>
      </c>
      <c r="E14" s="153">
        <v>6.35</v>
      </c>
      <c r="F14" s="153">
        <v>6.43</v>
      </c>
      <c r="G14" s="153">
        <v>6.59</v>
      </c>
      <c r="H14" s="153">
        <v>6.87</v>
      </c>
      <c r="I14" s="153">
        <v>7.76</v>
      </c>
      <c r="J14" s="153">
        <v>8.7899999999999991</v>
      </c>
      <c r="K14" s="153">
        <v>8.7799999999999994</v>
      </c>
      <c r="L14" s="153">
        <v>6.47</v>
      </c>
      <c r="M14" s="153">
        <v>5.44</v>
      </c>
    </row>
    <row r="15" spans="1:15" ht="10.5" customHeight="1">
      <c r="A15" s="14" t="s">
        <v>142</v>
      </c>
      <c r="B15" s="153">
        <v>5.56</v>
      </c>
      <c r="C15" s="153">
        <v>3.39</v>
      </c>
      <c r="D15" s="153">
        <v>6.15</v>
      </c>
      <c r="E15" s="153">
        <v>6.76</v>
      </c>
      <c r="F15" s="153">
        <v>6.51</v>
      </c>
      <c r="G15" s="153">
        <v>6.45</v>
      </c>
      <c r="H15" s="153">
        <v>6.26</v>
      </c>
      <c r="I15" s="153">
        <v>7.28</v>
      </c>
      <c r="J15" s="153">
        <v>8.39</v>
      </c>
      <c r="K15" s="153">
        <v>8.51</v>
      </c>
      <c r="L15" s="153">
        <v>7.27</v>
      </c>
      <c r="M15" s="153">
        <v>6.52</v>
      </c>
    </row>
    <row r="16" spans="1:15" ht="10.5" customHeight="1">
      <c r="A16" s="14" t="s">
        <v>143</v>
      </c>
      <c r="B16" s="363">
        <v>6.54</v>
      </c>
      <c r="C16" s="153">
        <v>6.29</v>
      </c>
      <c r="D16" s="153">
        <v>7.34</v>
      </c>
      <c r="E16" s="153">
        <v>6.34</v>
      </c>
      <c r="F16" s="153">
        <v>5.92</v>
      </c>
      <c r="G16" s="153">
        <v>5.82</v>
      </c>
      <c r="H16" s="153">
        <v>6</v>
      </c>
      <c r="I16" s="153">
        <v>6.47</v>
      </c>
      <c r="J16" s="153">
        <v>6.97</v>
      </c>
      <c r="K16" s="153">
        <v>6.61</v>
      </c>
      <c r="L16" s="153">
        <v>5.74</v>
      </c>
      <c r="M16" s="153">
        <v>4.38</v>
      </c>
    </row>
    <row r="17" spans="1:16" ht="10.5" customHeight="1">
      <c r="A17" s="14" t="s">
        <v>144</v>
      </c>
      <c r="B17" s="153">
        <v>4.4800000000000004</v>
      </c>
      <c r="C17" s="153">
        <v>5.04</v>
      </c>
      <c r="D17" s="153">
        <v>5.78</v>
      </c>
      <c r="E17" s="153">
        <v>5.76</v>
      </c>
      <c r="F17" s="153">
        <v>5.64</v>
      </c>
      <c r="G17" s="153">
        <v>6.28</v>
      </c>
      <c r="H17" s="153">
        <v>6.94</v>
      </c>
      <c r="I17" s="153">
        <v>7.09</v>
      </c>
      <c r="J17" s="153">
        <v>7.95</v>
      </c>
      <c r="K17" s="153">
        <v>19.43</v>
      </c>
      <c r="L17" s="153">
        <v>17.399999999999999</v>
      </c>
      <c r="M17" s="153">
        <v>18.45</v>
      </c>
    </row>
    <row r="18" spans="1:16" ht="10.5" customHeight="1">
      <c r="A18" s="14" t="s">
        <v>25</v>
      </c>
      <c r="B18" s="153">
        <v>21.39</v>
      </c>
      <c r="C18" s="153">
        <v>9.8699999999999992</v>
      </c>
      <c r="D18" s="153">
        <v>6.27</v>
      </c>
      <c r="E18" s="153">
        <v>5.79</v>
      </c>
      <c r="F18" s="153">
        <v>5.9</v>
      </c>
      <c r="G18" s="153">
        <v>6.02</v>
      </c>
      <c r="H18" s="153">
        <v>5.81</v>
      </c>
      <c r="I18" s="153">
        <v>6.14</v>
      </c>
      <c r="J18" s="153">
        <v>6.16</v>
      </c>
      <c r="K18" s="153">
        <v>4.26</v>
      </c>
      <c r="L18" s="153">
        <v>1.85</v>
      </c>
      <c r="M18" s="153">
        <v>1.02</v>
      </c>
    </row>
    <row r="19" spans="1:16" ht="3" customHeight="1">
      <c r="A19" s="14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</row>
    <row r="20" spans="1:16" ht="10.5" customHeight="1">
      <c r="A20" s="14" t="s">
        <v>26</v>
      </c>
      <c r="B20" s="153">
        <v>1.05</v>
      </c>
      <c r="C20" s="153">
        <v>2.4300000000000002</v>
      </c>
      <c r="D20" s="153">
        <v>4.0999999999999996</v>
      </c>
      <c r="E20" s="153">
        <v>3.67</v>
      </c>
      <c r="F20" s="153">
        <v>3.37</v>
      </c>
      <c r="G20" s="153">
        <v>3.21</v>
      </c>
      <c r="H20" s="153">
        <v>3.41</v>
      </c>
      <c r="I20" s="153">
        <v>4</v>
      </c>
      <c r="J20" s="153">
        <v>4.03</v>
      </c>
      <c r="K20" s="153">
        <v>4.09</v>
      </c>
      <c r="L20" s="153">
        <v>5.0199999999999996</v>
      </c>
      <c r="M20" s="153">
        <v>7.25</v>
      </c>
      <c r="P20" s="154"/>
    </row>
    <row r="21" spans="1:16" ht="10.5" customHeight="1">
      <c r="A21" s="14" t="s">
        <v>27</v>
      </c>
      <c r="B21" s="153">
        <v>11.85</v>
      </c>
      <c r="C21" s="153">
        <v>11.4</v>
      </c>
      <c r="D21" s="153">
        <v>6.15</v>
      </c>
      <c r="E21" s="153">
        <v>4</v>
      </c>
      <c r="F21" s="153">
        <v>3.76</v>
      </c>
      <c r="G21" s="153">
        <v>3.9</v>
      </c>
      <c r="H21" s="153">
        <v>4.66</v>
      </c>
      <c r="I21" s="153">
        <v>4.83</v>
      </c>
      <c r="J21" s="153">
        <v>5.04</v>
      </c>
      <c r="K21" s="153">
        <v>4.9400000000000004</v>
      </c>
      <c r="L21" s="153">
        <v>4.08</v>
      </c>
      <c r="M21" s="153">
        <v>4.24</v>
      </c>
      <c r="P21" s="154"/>
    </row>
    <row r="22" spans="1:16" ht="10.5" customHeight="1">
      <c r="A22" s="14" t="s">
        <v>28</v>
      </c>
      <c r="B22" s="153">
        <v>3.44</v>
      </c>
      <c r="C22" s="153">
        <v>2.88</v>
      </c>
      <c r="D22" s="153">
        <v>3.59</v>
      </c>
      <c r="E22" s="153">
        <v>3.59</v>
      </c>
      <c r="F22" s="153">
        <v>3.62</v>
      </c>
      <c r="G22" s="153">
        <v>3.74</v>
      </c>
      <c r="H22" s="153">
        <v>4.34</v>
      </c>
      <c r="I22" s="153">
        <v>4.75</v>
      </c>
      <c r="J22" s="153">
        <v>5.04</v>
      </c>
      <c r="K22" s="153">
        <v>5.73</v>
      </c>
      <c r="L22" s="153">
        <v>7.44</v>
      </c>
      <c r="M22" s="153">
        <v>7.3</v>
      </c>
    </row>
    <row r="23" spans="1:16" ht="10.5" customHeight="1">
      <c r="A23" s="18" t="s">
        <v>30</v>
      </c>
      <c r="B23" s="363">
        <v>7.26</v>
      </c>
      <c r="C23" s="156">
        <v>7.9</v>
      </c>
      <c r="D23" s="156">
        <v>3.98</v>
      </c>
      <c r="E23" s="156">
        <v>3.76</v>
      </c>
      <c r="F23" s="156">
        <v>3.87</v>
      </c>
      <c r="G23" s="156">
        <v>3.86</v>
      </c>
      <c r="H23" s="156">
        <v>5.22</v>
      </c>
      <c r="I23" s="156">
        <v>5.58</v>
      </c>
      <c r="J23" s="156">
        <v>6</v>
      </c>
      <c r="K23" s="156">
        <v>6.21</v>
      </c>
      <c r="L23" s="156">
        <v>7.02</v>
      </c>
      <c r="M23" s="156">
        <v>8.91</v>
      </c>
    </row>
    <row r="24" spans="1:16" ht="10.5" customHeight="1">
      <c r="A24" s="22" t="s">
        <v>31</v>
      </c>
      <c r="B24" s="364">
        <v>13.7</v>
      </c>
      <c r="C24" s="156">
        <v>10.94</v>
      </c>
      <c r="D24" s="156">
        <v>4.17</v>
      </c>
      <c r="E24" s="156">
        <v>3.52</v>
      </c>
      <c r="F24" s="156">
        <v>3.59</v>
      </c>
      <c r="G24" s="156">
        <v>3.67</v>
      </c>
      <c r="H24" s="156">
        <v>4.82</v>
      </c>
      <c r="I24" s="156">
        <v>4.68</v>
      </c>
      <c r="J24" s="156">
        <v>4.74</v>
      </c>
      <c r="K24" s="156">
        <v>4.62</v>
      </c>
      <c r="L24" s="156">
        <v>6.48</v>
      </c>
      <c r="M24" s="156">
        <v>7.45</v>
      </c>
    </row>
    <row r="25" spans="1:16" ht="10.5" customHeight="1">
      <c r="A25" s="22" t="s">
        <v>32</v>
      </c>
      <c r="B25" s="364">
        <v>7.15</v>
      </c>
      <c r="C25" s="156">
        <v>4.4800000000000004</v>
      </c>
      <c r="D25" s="156">
        <v>3.09</v>
      </c>
      <c r="E25" s="156">
        <v>3.14</v>
      </c>
      <c r="F25" s="156">
        <v>3.14</v>
      </c>
      <c r="G25" s="156">
        <v>3.55</v>
      </c>
      <c r="H25" s="156">
        <v>5.05</v>
      </c>
      <c r="I25" s="156">
        <v>5.44</v>
      </c>
      <c r="J25" s="156">
        <v>5.7</v>
      </c>
      <c r="K25" s="156">
        <v>6.05</v>
      </c>
      <c r="L25" s="156">
        <v>6.77</v>
      </c>
      <c r="M25" s="156">
        <v>5.56</v>
      </c>
    </row>
    <row r="26" spans="1:16" ht="3" customHeight="1">
      <c r="A26" s="22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</row>
    <row r="27" spans="1:16" ht="10.5" customHeight="1">
      <c r="A27" s="22" t="s">
        <v>33</v>
      </c>
      <c r="B27" s="364">
        <v>5.64</v>
      </c>
      <c r="C27" s="156">
        <v>5.98</v>
      </c>
      <c r="D27" s="156">
        <v>5.03</v>
      </c>
      <c r="E27" s="156">
        <v>4.82</v>
      </c>
      <c r="F27" s="156">
        <v>4.5199999999999996</v>
      </c>
      <c r="G27" s="156">
        <v>4.99</v>
      </c>
      <c r="H27" s="156">
        <v>5.9</v>
      </c>
      <c r="I27" s="156">
        <v>5.96</v>
      </c>
      <c r="J27" s="156">
        <v>6.48</v>
      </c>
      <c r="K27" s="156">
        <v>8.0399999999999991</v>
      </c>
      <c r="L27" s="156">
        <v>8.58</v>
      </c>
      <c r="M27" s="364">
        <v>6.66</v>
      </c>
    </row>
    <row r="28" spans="1:16" ht="10.5" customHeight="1">
      <c r="A28" s="22" t="s">
        <v>34</v>
      </c>
      <c r="B28" s="156">
        <v>9.9600000000000009</v>
      </c>
      <c r="C28" s="156">
        <v>9.5</v>
      </c>
      <c r="D28" s="156">
        <v>4.7</v>
      </c>
      <c r="E28" s="156">
        <v>3.42</v>
      </c>
      <c r="F28" s="156">
        <v>3.35</v>
      </c>
      <c r="G28" s="156">
        <v>3.18</v>
      </c>
      <c r="H28" s="156">
        <v>3.24</v>
      </c>
      <c r="I28" s="156">
        <v>4.2</v>
      </c>
      <c r="J28" s="156">
        <v>4.3899999999999997</v>
      </c>
      <c r="K28" s="156">
        <v>4.34</v>
      </c>
      <c r="L28" s="156">
        <v>2.4500000000000002</v>
      </c>
      <c r="M28" s="364">
        <v>0.35</v>
      </c>
    </row>
    <row r="29" spans="1:16" ht="10.5" customHeight="1">
      <c r="A29" s="22" t="s">
        <v>35</v>
      </c>
      <c r="B29" s="364">
        <v>0.28999999999999998</v>
      </c>
      <c r="C29" s="156">
        <v>1.43</v>
      </c>
      <c r="D29" s="156">
        <v>3.2</v>
      </c>
      <c r="E29" s="156">
        <v>2.95</v>
      </c>
      <c r="F29" s="156">
        <v>2.85</v>
      </c>
      <c r="G29" s="156">
        <v>3.2</v>
      </c>
      <c r="H29" s="156">
        <v>4.93</v>
      </c>
      <c r="I29" s="156">
        <v>4.84</v>
      </c>
      <c r="J29" s="156">
        <v>4.6399999999999997</v>
      </c>
      <c r="K29" s="156">
        <v>4.47</v>
      </c>
      <c r="L29" s="156">
        <v>4.63</v>
      </c>
      <c r="M29" s="364">
        <v>5.01</v>
      </c>
    </row>
    <row r="30" spans="1:16" ht="10.5" customHeight="1">
      <c r="A30" s="18" t="s">
        <v>36</v>
      </c>
      <c r="B30" s="364">
        <v>6.2</v>
      </c>
      <c r="C30" s="156">
        <v>5.21</v>
      </c>
      <c r="D30" s="156">
        <v>3.52</v>
      </c>
      <c r="E30" s="156">
        <v>3.67</v>
      </c>
      <c r="F30" s="156">
        <v>3.86</v>
      </c>
      <c r="G30" s="156">
        <v>4.07</v>
      </c>
      <c r="H30" s="156">
        <v>4.99</v>
      </c>
      <c r="I30" s="156">
        <v>4.78</v>
      </c>
      <c r="J30" s="156">
        <v>4.55</v>
      </c>
      <c r="K30" s="156">
        <v>4.2</v>
      </c>
      <c r="L30" s="156">
        <v>4.0999999999999996</v>
      </c>
      <c r="M30" s="364">
        <v>5.28</v>
      </c>
    </row>
    <row r="31" spans="1:16" ht="10.5" customHeight="1">
      <c r="A31" s="22" t="s">
        <v>37</v>
      </c>
      <c r="B31" s="364">
        <v>5.33</v>
      </c>
      <c r="C31" s="156">
        <v>5.22</v>
      </c>
      <c r="D31" s="156">
        <v>3.17</v>
      </c>
      <c r="E31" s="156">
        <v>3.1</v>
      </c>
      <c r="F31" s="156">
        <v>2.77</v>
      </c>
      <c r="G31" s="156">
        <v>2.75</v>
      </c>
      <c r="H31" s="156">
        <v>4.07</v>
      </c>
      <c r="I31" s="156">
        <v>4.29</v>
      </c>
      <c r="J31" s="156">
        <v>4.3099999999999996</v>
      </c>
      <c r="K31" s="156">
        <v>4.54</v>
      </c>
      <c r="L31" s="156">
        <v>3.78</v>
      </c>
      <c r="M31" s="364">
        <v>3.71</v>
      </c>
    </row>
    <row r="32" spans="1:16" ht="5.25" customHeight="1">
      <c r="A32" s="22"/>
      <c r="B32" s="364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364"/>
    </row>
    <row r="33" spans="1:15" ht="10.5" customHeight="1">
      <c r="A33" s="18" t="s">
        <v>238</v>
      </c>
      <c r="B33" s="364">
        <v>3</v>
      </c>
      <c r="C33" s="156">
        <v>4.25</v>
      </c>
      <c r="D33" s="156">
        <v>2.81</v>
      </c>
      <c r="E33" s="156">
        <v>2.96</v>
      </c>
      <c r="F33" s="156">
        <v>2.78</v>
      </c>
      <c r="G33" s="156">
        <v>3.12</v>
      </c>
      <c r="H33" s="156">
        <v>4.5599999999999996</v>
      </c>
      <c r="I33" s="156">
        <v>4.18</v>
      </c>
      <c r="J33" s="156">
        <v>4.1500000000000004</v>
      </c>
      <c r="K33" s="156">
        <v>4.62</v>
      </c>
      <c r="L33" s="156">
        <v>8.34</v>
      </c>
      <c r="M33" s="364">
        <v>10.27</v>
      </c>
    </row>
    <row r="34" spans="1:15" ht="10.5" customHeight="1">
      <c r="A34" s="18" t="s">
        <v>239</v>
      </c>
      <c r="B34" s="364">
        <v>15.44</v>
      </c>
      <c r="C34" s="156">
        <v>20.68</v>
      </c>
      <c r="D34" s="156">
        <v>6.05</v>
      </c>
      <c r="E34" s="156">
        <v>3.73</v>
      </c>
      <c r="F34" s="156">
        <v>3.52</v>
      </c>
      <c r="G34" s="156">
        <v>3.62</v>
      </c>
      <c r="H34" s="156">
        <v>4.62</v>
      </c>
      <c r="I34" s="156">
        <v>4.84</v>
      </c>
      <c r="J34" s="156">
        <v>5.0199999999999996</v>
      </c>
      <c r="K34" s="156">
        <v>5.07</v>
      </c>
      <c r="L34" s="156">
        <v>6.11</v>
      </c>
      <c r="M34" s="364">
        <v>3.75</v>
      </c>
    </row>
    <row r="35" spans="1:15" ht="10.9" customHeight="1">
      <c r="A35" s="18" t="s">
        <v>40</v>
      </c>
      <c r="B35" s="364">
        <v>4.29</v>
      </c>
      <c r="C35" s="156">
        <v>4.04</v>
      </c>
      <c r="D35" s="156">
        <v>6.32</v>
      </c>
      <c r="E35" s="156">
        <v>4.95</v>
      </c>
      <c r="F35" s="156">
        <v>4.82</v>
      </c>
      <c r="G35" s="156">
        <v>5.4</v>
      </c>
      <c r="H35" s="156">
        <v>5.96</v>
      </c>
      <c r="I35" s="156">
        <v>6.5</v>
      </c>
      <c r="J35" s="156">
        <v>6.87</v>
      </c>
      <c r="K35" s="156">
        <v>7.1</v>
      </c>
      <c r="L35" s="156">
        <v>6.98</v>
      </c>
      <c r="M35" s="364">
        <v>11.66</v>
      </c>
      <c r="O35" s="143"/>
    </row>
    <row r="36" spans="1:15" ht="10.9" customHeight="1">
      <c r="A36" s="18" t="s">
        <v>41</v>
      </c>
      <c r="B36" s="367">
        <v>17.96</v>
      </c>
      <c r="C36" s="156">
        <v>11.83</v>
      </c>
      <c r="D36" s="156">
        <v>8.17</v>
      </c>
      <c r="E36" s="156">
        <v>8.5500000000000007</v>
      </c>
      <c r="F36" s="156">
        <v>8.99</v>
      </c>
      <c r="G36" s="156">
        <v>8.57</v>
      </c>
      <c r="H36" s="156">
        <v>11.24</v>
      </c>
      <c r="I36" s="156">
        <v>11.19</v>
      </c>
      <c r="J36" s="156">
        <v>11.14</v>
      </c>
      <c r="K36" s="156">
        <v>11.62</v>
      </c>
      <c r="L36" s="156">
        <v>8.56</v>
      </c>
      <c r="M36" s="364">
        <v>8.98</v>
      </c>
      <c r="O36" s="143"/>
    </row>
    <row r="37" spans="1:15" ht="10.9" customHeight="1">
      <c r="A37" s="18" t="s">
        <v>42</v>
      </c>
      <c r="B37" s="367">
        <v>7.84</v>
      </c>
      <c r="C37" s="156">
        <v>10.41</v>
      </c>
      <c r="D37" s="156">
        <v>8.73</v>
      </c>
      <c r="E37" s="156">
        <v>6.14</v>
      </c>
      <c r="F37" s="156">
        <v>6.12</v>
      </c>
      <c r="G37" s="156">
        <v>6.13</v>
      </c>
      <c r="H37" s="156">
        <v>6.75</v>
      </c>
      <c r="I37" s="156">
        <v>6.88</v>
      </c>
      <c r="J37" s="156">
        <v>7.24</v>
      </c>
      <c r="K37" s="156">
        <v>7.22</v>
      </c>
      <c r="L37" s="156">
        <v>5.55</v>
      </c>
      <c r="M37" s="364">
        <v>4.32</v>
      </c>
      <c r="O37" s="143"/>
    </row>
    <row r="38" spans="1:15" ht="10.9" customHeight="1">
      <c r="A38" s="18" t="s">
        <v>43</v>
      </c>
      <c r="B38" s="367">
        <v>5.92</v>
      </c>
      <c r="C38" s="156">
        <v>5.44</v>
      </c>
      <c r="D38" s="156">
        <v>7.97</v>
      </c>
      <c r="E38" s="156">
        <v>5.78</v>
      </c>
      <c r="F38" s="156">
        <v>6</v>
      </c>
      <c r="G38" s="156">
        <v>6.08</v>
      </c>
      <c r="H38" s="156">
        <v>7.08</v>
      </c>
      <c r="I38" s="156">
        <v>6.8</v>
      </c>
      <c r="J38" s="156">
        <v>6.84</v>
      </c>
      <c r="K38" s="156">
        <v>7.22</v>
      </c>
      <c r="L38" s="156">
        <v>7.97</v>
      </c>
      <c r="M38" s="364">
        <v>8.6999999999999993</v>
      </c>
      <c r="O38" s="143"/>
    </row>
    <row r="39" spans="1:15" s="59" customFormat="1" ht="10.9" customHeight="1">
      <c r="A39" s="18" t="s">
        <v>44</v>
      </c>
      <c r="B39" s="120" t="s">
        <v>120</v>
      </c>
      <c r="C39" s="120" t="s">
        <v>120</v>
      </c>
      <c r="D39" s="156">
        <v>11.01</v>
      </c>
      <c r="E39" s="156">
        <v>6.39</v>
      </c>
      <c r="F39" s="156">
        <v>6.65</v>
      </c>
      <c r="G39" s="156">
        <v>6.97</v>
      </c>
      <c r="H39" s="156">
        <v>8.18</v>
      </c>
      <c r="I39" s="156">
        <v>8.08</v>
      </c>
      <c r="J39" s="156">
        <v>8.57</v>
      </c>
      <c r="K39" s="156">
        <v>9.01</v>
      </c>
      <c r="L39" s="156">
        <v>9.92</v>
      </c>
      <c r="M39" s="364">
        <v>6.88</v>
      </c>
      <c r="O39" s="368"/>
    </row>
    <row r="40" spans="1:15" s="59" customFormat="1" ht="10.9" customHeight="1">
      <c r="A40" s="18" t="s">
        <v>46</v>
      </c>
      <c r="B40" s="120">
        <v>6.88</v>
      </c>
      <c r="C40" s="120">
        <v>6.96</v>
      </c>
      <c r="D40" s="156">
        <v>11.53</v>
      </c>
      <c r="E40" s="156">
        <v>7.69</v>
      </c>
      <c r="F40" s="156">
        <v>7.55</v>
      </c>
      <c r="G40" s="156">
        <v>7.19</v>
      </c>
      <c r="H40" s="156">
        <v>8.01</v>
      </c>
      <c r="I40" s="156">
        <v>8.64</v>
      </c>
      <c r="J40" s="156">
        <v>9.0500000000000007</v>
      </c>
      <c r="K40" s="156">
        <v>9.51</v>
      </c>
      <c r="L40" s="156">
        <v>7.6</v>
      </c>
      <c r="M40" s="364">
        <v>8.11</v>
      </c>
      <c r="O40" s="368"/>
    </row>
    <row r="41" spans="1:15" s="59" customFormat="1" ht="3" customHeight="1">
      <c r="A41" s="18"/>
      <c r="B41" s="120"/>
      <c r="C41" s="120"/>
      <c r="D41" s="156"/>
      <c r="E41" s="156"/>
      <c r="F41" s="156"/>
      <c r="G41" s="156"/>
      <c r="H41" s="156"/>
      <c r="I41" s="156"/>
      <c r="J41" s="156"/>
      <c r="K41" s="156"/>
      <c r="L41" s="156"/>
      <c r="M41" s="364"/>
      <c r="O41" s="368"/>
    </row>
    <row r="42" spans="1:15" s="59" customFormat="1" ht="10.9" customHeight="1">
      <c r="A42" s="18" t="s">
        <v>47</v>
      </c>
      <c r="B42" s="120">
        <v>7.6</v>
      </c>
      <c r="C42" s="120">
        <v>8.4700000000000006</v>
      </c>
      <c r="D42" s="156">
        <v>9.8699999999999992</v>
      </c>
      <c r="E42" s="156">
        <v>9.16</v>
      </c>
      <c r="F42" s="156">
        <v>9.0299999999999994</v>
      </c>
      <c r="G42" s="156">
        <v>9.3000000000000007</v>
      </c>
      <c r="H42" s="156">
        <v>10.4</v>
      </c>
      <c r="I42" s="156">
        <v>11.23</v>
      </c>
      <c r="J42" s="156">
        <v>11.74</v>
      </c>
      <c r="K42" s="156">
        <v>12.49</v>
      </c>
      <c r="L42" s="156">
        <v>9.3699999999999992</v>
      </c>
      <c r="M42" s="364">
        <v>8.3000000000000007</v>
      </c>
      <c r="O42" s="368"/>
    </row>
    <row r="43" spans="1:15" s="59" customFormat="1" ht="10.9" customHeight="1">
      <c r="A43" s="18" t="s">
        <v>48</v>
      </c>
      <c r="B43" s="120">
        <v>9.08</v>
      </c>
      <c r="C43" s="120">
        <v>9.57</v>
      </c>
      <c r="D43" s="156">
        <v>9.4700000000000006</v>
      </c>
      <c r="E43" s="156">
        <v>7.06</v>
      </c>
      <c r="F43" s="156">
        <v>6.97</v>
      </c>
      <c r="G43" s="156">
        <v>6.98</v>
      </c>
      <c r="H43" s="156">
        <v>8.2899999999999991</v>
      </c>
      <c r="I43" s="156">
        <v>8.67</v>
      </c>
      <c r="J43" s="156">
        <v>9.3699999999999992</v>
      </c>
      <c r="K43" s="156">
        <v>11.25</v>
      </c>
      <c r="L43" s="156">
        <v>10.56</v>
      </c>
      <c r="M43" s="364">
        <v>10.44</v>
      </c>
      <c r="O43" s="368"/>
    </row>
    <row r="44" spans="1:15" s="59" customFormat="1" ht="10.9" customHeight="1">
      <c r="A44" s="18" t="s">
        <v>51</v>
      </c>
      <c r="B44" s="120">
        <v>12.24</v>
      </c>
      <c r="C44" s="120">
        <v>12.94</v>
      </c>
      <c r="D44" s="156">
        <v>14.04</v>
      </c>
      <c r="E44" s="156">
        <v>9.52</v>
      </c>
      <c r="F44" s="156">
        <v>9.48</v>
      </c>
      <c r="G44" s="156">
        <v>11.63</v>
      </c>
      <c r="H44" s="156">
        <v>13.57</v>
      </c>
      <c r="I44" s="156">
        <v>12.06</v>
      </c>
      <c r="J44" s="156">
        <v>12.53</v>
      </c>
      <c r="K44" s="156">
        <v>13.26</v>
      </c>
      <c r="L44" s="156">
        <v>15</v>
      </c>
      <c r="M44" s="364">
        <v>14.78</v>
      </c>
      <c r="O44" s="368"/>
    </row>
    <row r="45" spans="1:15" ht="10.9" customHeight="1">
      <c r="A45" s="18" t="s">
        <v>52</v>
      </c>
      <c r="B45" s="120">
        <v>15.84</v>
      </c>
      <c r="C45" s="120">
        <v>13.9</v>
      </c>
      <c r="D45" s="156">
        <v>16.059999999999999</v>
      </c>
      <c r="E45" s="156">
        <v>9.69</v>
      </c>
      <c r="F45" s="156">
        <v>9.66</v>
      </c>
      <c r="G45" s="156">
        <v>10.08</v>
      </c>
      <c r="H45" s="156">
        <v>11.29</v>
      </c>
      <c r="I45" s="156">
        <v>10.56</v>
      </c>
      <c r="J45" s="156">
        <v>10.53</v>
      </c>
      <c r="K45" s="156">
        <v>10.46</v>
      </c>
      <c r="L45" s="156">
        <v>10.92</v>
      </c>
      <c r="M45" s="364">
        <v>12.01</v>
      </c>
      <c r="N45" s="369"/>
      <c r="O45" s="143"/>
    </row>
    <row r="46" spans="1:15" ht="10.9" customHeight="1">
      <c r="A46" s="18" t="s">
        <v>291</v>
      </c>
      <c r="B46" s="120">
        <v>15.25</v>
      </c>
      <c r="C46" s="120">
        <v>17.239999999999998</v>
      </c>
      <c r="D46" s="156">
        <v>17.54</v>
      </c>
      <c r="E46" s="156">
        <v>10.86</v>
      </c>
      <c r="F46" s="156">
        <v>9.86</v>
      </c>
      <c r="G46" s="156">
        <v>10.55</v>
      </c>
      <c r="H46" s="156">
        <v>10.45</v>
      </c>
      <c r="I46" s="156">
        <v>10.16</v>
      </c>
      <c r="J46" s="156">
        <v>10.3</v>
      </c>
      <c r="K46" s="156">
        <v>8.56</v>
      </c>
      <c r="L46" s="156">
        <v>8.11</v>
      </c>
      <c r="M46" s="364">
        <v>8.6199999999999992</v>
      </c>
      <c r="N46" s="369"/>
      <c r="O46" s="143"/>
    </row>
    <row r="47" spans="1:15" ht="10.9" customHeight="1">
      <c r="A47" s="18" t="s">
        <v>298</v>
      </c>
      <c r="B47" s="120">
        <v>8.67</v>
      </c>
      <c r="C47" s="120">
        <v>10.24</v>
      </c>
      <c r="D47" s="156">
        <v>16.78</v>
      </c>
      <c r="E47" s="156">
        <v>11.58</v>
      </c>
      <c r="F47" s="156">
        <v>11.11</v>
      </c>
      <c r="G47" s="156">
        <v>12.37</v>
      </c>
      <c r="H47" s="156">
        <v>13.54</v>
      </c>
      <c r="I47" s="156">
        <v>13.54</v>
      </c>
      <c r="J47" s="156">
        <v>14.1</v>
      </c>
      <c r="K47" s="156">
        <v>17.68</v>
      </c>
      <c r="L47" s="156">
        <v>19.489999999999998</v>
      </c>
      <c r="M47" s="364">
        <v>18.18</v>
      </c>
      <c r="N47" s="369"/>
      <c r="O47" s="143"/>
    </row>
    <row r="48" spans="1:15" ht="10.9" customHeight="1">
      <c r="A48" s="18" t="s">
        <v>312</v>
      </c>
      <c r="B48" s="120">
        <v>20.57</v>
      </c>
      <c r="C48" s="120">
        <v>25.66</v>
      </c>
      <c r="D48" s="156">
        <v>18.170000000000002</v>
      </c>
      <c r="E48" s="156">
        <v>13.94</v>
      </c>
      <c r="F48" s="156">
        <v>15.69</v>
      </c>
      <c r="G48" s="156">
        <v>21.48</v>
      </c>
      <c r="H48" s="156">
        <v>16.39</v>
      </c>
      <c r="I48" s="156">
        <v>15.42</v>
      </c>
      <c r="J48" s="156">
        <v>17.18</v>
      </c>
      <c r="K48" s="156">
        <v>23.12</v>
      </c>
      <c r="L48" s="156">
        <v>20.29</v>
      </c>
      <c r="M48" s="364">
        <v>17.73</v>
      </c>
      <c r="N48" s="369"/>
      <c r="O48" s="143"/>
    </row>
    <row r="49" spans="1:15" ht="10.9" customHeight="1">
      <c r="A49" s="140" t="s">
        <v>319</v>
      </c>
      <c r="B49" s="142">
        <v>20.170000000000002</v>
      </c>
      <c r="C49" s="142">
        <v>19.600000000000001</v>
      </c>
      <c r="D49" s="158">
        <v>15.61</v>
      </c>
      <c r="E49" s="158">
        <v>10.46</v>
      </c>
      <c r="F49" s="158">
        <v>10.1</v>
      </c>
      <c r="G49" s="158">
        <v>9.9499999999999993</v>
      </c>
      <c r="H49" s="158">
        <v>11.7</v>
      </c>
      <c r="I49" s="158">
        <v>11.23</v>
      </c>
      <c r="J49" s="158">
        <v>11.06</v>
      </c>
      <c r="K49" s="158">
        <v>7.56</v>
      </c>
      <c r="L49" s="158">
        <v>7.26</v>
      </c>
      <c r="M49" s="479">
        <v>7.31</v>
      </c>
      <c r="N49" s="369"/>
      <c r="O49" s="143"/>
    </row>
    <row r="50" spans="1:15">
      <c r="A50" s="39" t="s">
        <v>232</v>
      </c>
      <c r="B50" s="120"/>
      <c r="C50" s="120"/>
      <c r="D50" s="156"/>
      <c r="E50" s="156"/>
      <c r="F50" s="156"/>
      <c r="G50" s="156"/>
      <c r="H50" s="156"/>
      <c r="I50" s="156"/>
      <c r="J50" s="156"/>
      <c r="K50" s="156"/>
      <c r="L50" s="156"/>
      <c r="M50" s="364"/>
      <c r="O50" s="143"/>
    </row>
    <row r="51" spans="1:15">
      <c r="A51" s="39" t="s">
        <v>127</v>
      </c>
      <c r="B51" s="144"/>
      <c r="L51" s="144"/>
      <c r="M51" s="144"/>
      <c r="O51" s="144"/>
    </row>
  </sheetData>
  <mergeCells count="1">
    <mergeCell ref="B4:M4"/>
  </mergeCells>
  <pageMargins left="0.66700000000000004" right="0.66700000000000004" top="0.66700000000000004" bottom="0.72" header="0" footer="0"/>
  <pageSetup firstPageNumber="97" orientation="portrait" useFirstPageNumber="1" copies="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4"/>
  <sheetViews>
    <sheetView showGridLines="0" zoomScale="102" zoomScaleNormal="102" workbookViewId="0">
      <selection activeCell="C49" sqref="C49"/>
    </sheetView>
  </sheetViews>
  <sheetFormatPr defaultColWidth="9.7109375" defaultRowHeight="12"/>
  <cols>
    <col min="1" max="1" width="19.28515625" customWidth="1"/>
    <col min="2" max="5" width="20.5703125" customWidth="1"/>
    <col min="6" max="7" width="17.28515625" bestFit="1" customWidth="1"/>
  </cols>
  <sheetData>
    <row r="1" spans="1:5">
      <c r="A1" s="160" t="s">
        <v>240</v>
      </c>
      <c r="B1" s="3"/>
      <c r="C1" s="2"/>
      <c r="D1" s="3"/>
      <c r="E1" s="3"/>
    </row>
    <row r="2" spans="1:5" ht="12.95" customHeight="1">
      <c r="A2" s="140" t="s">
        <v>241</v>
      </c>
      <c r="B2" s="370" t="s">
        <v>242</v>
      </c>
      <c r="C2" s="8" t="s">
        <v>243</v>
      </c>
      <c r="D2" s="370" t="s">
        <v>244</v>
      </c>
      <c r="E2" s="8" t="s">
        <v>245</v>
      </c>
    </row>
    <row r="3" spans="1:5" ht="3.95" customHeight="1">
      <c r="A3" s="18"/>
      <c r="B3" s="105"/>
      <c r="C3" s="10"/>
      <c r="D3" s="105"/>
      <c r="E3" s="10"/>
    </row>
    <row r="4" spans="1:5">
      <c r="A4" s="4"/>
      <c r="B4" s="484" t="s">
        <v>246</v>
      </c>
      <c r="C4" s="484"/>
      <c r="D4" s="484"/>
      <c r="E4" s="484"/>
    </row>
    <row r="5" spans="1:5" ht="3" customHeight="1">
      <c r="A5" s="4"/>
      <c r="B5" s="4"/>
      <c r="D5" s="4"/>
      <c r="E5" s="4"/>
    </row>
    <row r="6" spans="1:5" ht="10.5" customHeight="1">
      <c r="A6" s="14" t="s">
        <v>14</v>
      </c>
      <c r="B6" s="371">
        <v>144322</v>
      </c>
      <c r="C6" s="371">
        <v>19867</v>
      </c>
      <c r="D6" s="371">
        <v>6353</v>
      </c>
      <c r="E6" s="372">
        <v>170542</v>
      </c>
    </row>
    <row r="7" spans="1:5" ht="10.5" customHeight="1">
      <c r="A7" s="14" t="s">
        <v>15</v>
      </c>
      <c r="B7" s="371">
        <v>105150</v>
      </c>
      <c r="C7" s="371">
        <v>16518</v>
      </c>
      <c r="D7" s="371">
        <v>4473</v>
      </c>
      <c r="E7" s="372">
        <v>126141</v>
      </c>
    </row>
    <row r="8" spans="1:5" ht="10.5" customHeight="1">
      <c r="A8" s="14" t="s">
        <v>16</v>
      </c>
      <c r="B8" s="371">
        <v>114627</v>
      </c>
      <c r="C8" s="371">
        <v>18254</v>
      </c>
      <c r="D8" s="371">
        <v>2665</v>
      </c>
      <c r="E8" s="372">
        <v>135546</v>
      </c>
    </row>
    <row r="9" spans="1:5" ht="10.5" customHeight="1">
      <c r="A9" s="14" t="s">
        <v>17</v>
      </c>
      <c r="B9" s="371">
        <v>94547</v>
      </c>
      <c r="C9" s="371">
        <v>16981</v>
      </c>
      <c r="D9" s="371">
        <v>2909</v>
      </c>
      <c r="E9" s="372">
        <v>114437</v>
      </c>
    </row>
    <row r="10" spans="1:5" ht="10.5" customHeight="1">
      <c r="A10" s="14" t="s">
        <v>18</v>
      </c>
      <c r="B10" s="371">
        <v>86112</v>
      </c>
      <c r="C10" s="371">
        <v>14903</v>
      </c>
      <c r="D10" s="371">
        <v>1907</v>
      </c>
      <c r="E10" s="372">
        <v>102922</v>
      </c>
    </row>
    <row r="11" spans="1:5" ht="10.5" customHeight="1">
      <c r="A11" s="14" t="s">
        <v>19</v>
      </c>
      <c r="B11" s="371">
        <v>96061</v>
      </c>
      <c r="C11" s="371">
        <v>17267</v>
      </c>
      <c r="D11" s="371">
        <v>1361</v>
      </c>
      <c r="E11" s="372">
        <v>114689</v>
      </c>
    </row>
    <row r="12" spans="1:5" ht="3" customHeight="1">
      <c r="A12" s="14"/>
      <c r="B12" s="371"/>
      <c r="C12" s="371"/>
      <c r="D12" s="371"/>
      <c r="E12" s="372"/>
    </row>
    <row r="13" spans="1:5" ht="10.5" customHeight="1">
      <c r="A13" s="14" t="s">
        <v>20</v>
      </c>
      <c r="B13" s="371">
        <v>96182</v>
      </c>
      <c r="C13" s="371">
        <v>19661</v>
      </c>
      <c r="D13" s="371">
        <v>948</v>
      </c>
      <c r="E13" s="372">
        <v>116791</v>
      </c>
    </row>
    <row r="14" spans="1:5" ht="10.5" customHeight="1">
      <c r="A14" s="14" t="s">
        <v>21</v>
      </c>
      <c r="B14" s="371">
        <v>110206</v>
      </c>
      <c r="C14" s="371">
        <v>23325</v>
      </c>
      <c r="D14" s="373">
        <v>904</v>
      </c>
      <c r="E14" s="372">
        <v>134435</v>
      </c>
    </row>
    <row r="15" spans="1:5" ht="10.5" customHeight="1">
      <c r="A15" s="14" t="s">
        <v>142</v>
      </c>
      <c r="B15" s="371">
        <v>113732</v>
      </c>
      <c r="C15" s="371">
        <v>29902</v>
      </c>
      <c r="D15" s="371">
        <v>1141</v>
      </c>
      <c r="E15" s="372">
        <v>144775</v>
      </c>
    </row>
    <row r="16" spans="1:5" ht="10.5" customHeight="1">
      <c r="A16" s="14" t="s">
        <v>143</v>
      </c>
      <c r="B16" s="371">
        <v>73640</v>
      </c>
      <c r="C16" s="371">
        <v>33836</v>
      </c>
      <c r="D16" s="371">
        <v>659</v>
      </c>
      <c r="E16" s="372">
        <v>108135</v>
      </c>
    </row>
    <row r="17" spans="1:5" ht="10.5" customHeight="1">
      <c r="A17" s="14" t="s">
        <v>144</v>
      </c>
      <c r="B17" s="371">
        <v>104136</v>
      </c>
      <c r="C17" s="371">
        <v>38387</v>
      </c>
      <c r="D17" s="371">
        <v>568</v>
      </c>
      <c r="E17" s="372">
        <v>143091</v>
      </c>
    </row>
    <row r="18" spans="1:5" ht="10.5" customHeight="1">
      <c r="A18" s="14" t="s">
        <v>25</v>
      </c>
      <c r="B18" s="371">
        <v>93932</v>
      </c>
      <c r="C18" s="371">
        <v>37324</v>
      </c>
      <c r="D18" s="371">
        <v>456</v>
      </c>
      <c r="E18" s="372">
        <v>131712</v>
      </c>
    </row>
    <row r="19" spans="1:5" ht="3" customHeight="1">
      <c r="A19" s="14"/>
      <c r="B19" s="371"/>
      <c r="C19" s="371"/>
      <c r="D19" s="371"/>
      <c r="E19" s="372"/>
    </row>
    <row r="20" spans="1:5" ht="10.5" customHeight="1">
      <c r="A20" s="14" t="s">
        <v>26</v>
      </c>
      <c r="B20" s="371">
        <v>132154</v>
      </c>
      <c r="C20" s="371">
        <v>47441</v>
      </c>
      <c r="D20" s="371">
        <v>355</v>
      </c>
      <c r="E20" s="372">
        <v>179950</v>
      </c>
    </row>
    <row r="21" spans="1:5" ht="10.5" customHeight="1">
      <c r="A21" s="14" t="s">
        <v>27</v>
      </c>
      <c r="B21" s="371">
        <v>116248</v>
      </c>
      <c r="C21" s="371">
        <v>52912</v>
      </c>
      <c r="D21" s="371">
        <v>225</v>
      </c>
      <c r="E21" s="372">
        <v>169385</v>
      </c>
    </row>
    <row r="22" spans="1:5" ht="10.5" customHeight="1">
      <c r="A22" s="14" t="s">
        <v>28</v>
      </c>
      <c r="B22" s="371">
        <v>144678</v>
      </c>
      <c r="C22" s="371">
        <v>54843</v>
      </c>
      <c r="D22" s="371">
        <v>289</v>
      </c>
      <c r="E22" s="372">
        <v>199810</v>
      </c>
    </row>
    <row r="23" spans="1:5" ht="10.5" customHeight="1">
      <c r="A23" s="18" t="s">
        <v>247</v>
      </c>
      <c r="B23" s="374">
        <v>132907</v>
      </c>
      <c r="C23" s="374">
        <v>64543</v>
      </c>
      <c r="D23" s="374">
        <v>224</v>
      </c>
      <c r="E23" s="375">
        <v>197674</v>
      </c>
    </row>
    <row r="24" spans="1:5" ht="10.5" customHeight="1">
      <c r="A24" s="22" t="s">
        <v>31</v>
      </c>
      <c r="B24" s="374">
        <v>153842</v>
      </c>
      <c r="C24" s="374">
        <v>65676</v>
      </c>
      <c r="D24" s="374">
        <v>842</v>
      </c>
      <c r="E24" s="375">
        <v>220360</v>
      </c>
    </row>
    <row r="25" spans="1:5" ht="10.5" customHeight="1">
      <c r="A25" s="22" t="s">
        <v>32</v>
      </c>
      <c r="B25" s="374">
        <v>160865</v>
      </c>
      <c r="C25" s="374">
        <v>74767</v>
      </c>
      <c r="D25" s="374">
        <v>989</v>
      </c>
      <c r="E25" s="375">
        <v>236621</v>
      </c>
    </row>
    <row r="26" spans="1:5" ht="3" customHeight="1">
      <c r="A26" s="22"/>
      <c r="B26" s="374"/>
      <c r="C26" s="374"/>
      <c r="D26" s="374"/>
      <c r="E26" s="375"/>
    </row>
    <row r="27" spans="1:5" ht="10.5" customHeight="1">
      <c r="A27" s="22" t="s">
        <v>33</v>
      </c>
      <c r="B27" s="374">
        <v>97247</v>
      </c>
      <c r="C27" s="374">
        <v>80112</v>
      </c>
      <c r="D27" s="374">
        <v>756</v>
      </c>
      <c r="E27" s="375">
        <v>178115</v>
      </c>
    </row>
    <row r="28" spans="1:5" ht="10.5" customHeight="1">
      <c r="A28" s="22" t="s">
        <v>34</v>
      </c>
      <c r="B28" s="374">
        <v>134204</v>
      </c>
      <c r="C28" s="374">
        <v>90085</v>
      </c>
      <c r="D28" s="374">
        <v>2387</v>
      </c>
      <c r="E28" s="375">
        <v>226676</v>
      </c>
    </row>
    <row r="29" spans="1:5" ht="10.5" customHeight="1">
      <c r="A29" s="22" t="s">
        <v>35</v>
      </c>
      <c r="B29" s="374">
        <v>124072</v>
      </c>
      <c r="C29" s="374">
        <v>89564</v>
      </c>
      <c r="D29" s="374">
        <v>2246</v>
      </c>
      <c r="E29" s="375">
        <v>215882</v>
      </c>
    </row>
    <row r="30" spans="1:5" ht="10.5" customHeight="1">
      <c r="A30" s="18" t="s">
        <v>36</v>
      </c>
      <c r="B30" s="374">
        <v>135975</v>
      </c>
      <c r="C30" s="374">
        <v>85869</v>
      </c>
      <c r="D30" s="374">
        <v>1385</v>
      </c>
      <c r="E30" s="375">
        <v>223229</v>
      </c>
    </row>
    <row r="31" spans="1:5" ht="10.5" customHeight="1">
      <c r="A31" s="18" t="s">
        <v>37</v>
      </c>
      <c r="B31" s="374">
        <v>102073</v>
      </c>
      <c r="C31" s="374">
        <v>92506</v>
      </c>
      <c r="D31" s="374">
        <v>1445</v>
      </c>
      <c r="E31" s="375">
        <v>196024</v>
      </c>
    </row>
    <row r="32" spans="1:5" ht="10.5" customHeight="1">
      <c r="A32" s="18" t="s">
        <v>38</v>
      </c>
      <c r="B32" s="374">
        <v>139727</v>
      </c>
      <c r="C32" s="374">
        <v>93393</v>
      </c>
      <c r="D32" s="374">
        <v>500</v>
      </c>
      <c r="E32" s="375">
        <v>233620</v>
      </c>
    </row>
    <row r="33" spans="1:7" ht="3.75" customHeight="1">
      <c r="A33" s="18"/>
      <c r="B33" s="374"/>
      <c r="C33" s="374"/>
      <c r="D33" s="374"/>
      <c r="E33" s="375"/>
    </row>
    <row r="34" spans="1:7" ht="10.5" customHeight="1">
      <c r="A34" s="18" t="s">
        <v>39</v>
      </c>
      <c r="B34" s="374">
        <v>54322</v>
      </c>
      <c r="C34" s="374">
        <v>88514</v>
      </c>
      <c r="D34" s="374">
        <v>1059</v>
      </c>
      <c r="E34" s="375">
        <v>143895</v>
      </c>
    </row>
    <row r="35" spans="1:7" ht="10.5" customHeight="1">
      <c r="A35" s="18" t="s">
        <v>40</v>
      </c>
      <c r="B35" s="374">
        <v>51873</v>
      </c>
      <c r="C35" s="374">
        <v>88662</v>
      </c>
      <c r="D35" s="374">
        <v>1195</v>
      </c>
      <c r="E35" s="375">
        <v>141730</v>
      </c>
    </row>
    <row r="36" spans="1:7" ht="10.5" customHeight="1">
      <c r="A36" s="18" t="s">
        <v>41</v>
      </c>
      <c r="B36" s="374">
        <v>47996</v>
      </c>
      <c r="C36" s="374">
        <v>74523</v>
      </c>
      <c r="D36" s="374">
        <v>907</v>
      </c>
      <c r="E36" s="375">
        <v>123426</v>
      </c>
    </row>
    <row r="37" spans="1:7" ht="10.5" customHeight="1">
      <c r="A37" s="18" t="s">
        <v>42</v>
      </c>
      <c r="B37" s="374">
        <v>80817</v>
      </c>
      <c r="C37" s="374">
        <v>84710</v>
      </c>
      <c r="D37" s="376">
        <v>0</v>
      </c>
      <c r="E37" s="375">
        <v>165527</v>
      </c>
    </row>
    <row r="38" spans="1:7" ht="10.5" customHeight="1">
      <c r="A38" s="18" t="s">
        <v>43</v>
      </c>
      <c r="B38" s="374">
        <v>72543</v>
      </c>
      <c r="C38" s="374">
        <v>82561</v>
      </c>
      <c r="D38" s="376">
        <v>1115</v>
      </c>
      <c r="E38" s="375">
        <v>156219</v>
      </c>
    </row>
    <row r="39" spans="1:7" s="59" customFormat="1" ht="10.5" customHeight="1">
      <c r="A39" s="18" t="s">
        <v>44</v>
      </c>
      <c r="B39" s="374">
        <v>52745</v>
      </c>
      <c r="C39" s="374">
        <v>75149</v>
      </c>
      <c r="D39" s="376">
        <v>431</v>
      </c>
      <c r="E39" s="375">
        <v>128325</v>
      </c>
    </row>
    <row r="40" spans="1:7" ht="10.5" customHeight="1">
      <c r="A40" s="18" t="s">
        <v>46</v>
      </c>
      <c r="B40" s="374">
        <v>51739</v>
      </c>
      <c r="C40" s="374">
        <v>82674</v>
      </c>
      <c r="D40" s="376">
        <v>835</v>
      </c>
      <c r="E40" s="375">
        <v>135248</v>
      </c>
      <c r="F40" s="474"/>
      <c r="G40" s="378"/>
    </row>
    <row r="41" spans="1:7" ht="3" customHeight="1">
      <c r="A41" s="18"/>
      <c r="B41" s="374"/>
      <c r="C41" s="374"/>
      <c r="D41" s="376"/>
      <c r="E41" s="375"/>
    </row>
    <row r="42" spans="1:7" ht="10.5" customHeight="1">
      <c r="A42" s="18" t="s">
        <v>47</v>
      </c>
      <c r="B42" s="374">
        <v>63355</v>
      </c>
      <c r="C42" s="374">
        <v>75518</v>
      </c>
      <c r="D42" s="376">
        <v>2455</v>
      </c>
      <c r="E42" s="375">
        <v>141328</v>
      </c>
      <c r="F42" s="473"/>
      <c r="G42" s="377"/>
    </row>
    <row r="43" spans="1:7" ht="10.5" customHeight="1">
      <c r="A43" s="18" t="s">
        <v>48</v>
      </c>
      <c r="B43" s="374">
        <v>47968</v>
      </c>
      <c r="C43" s="374">
        <v>79247</v>
      </c>
      <c r="D43" s="376">
        <f>E43-SUM(C43,B43)</f>
        <v>411</v>
      </c>
      <c r="E43" s="375">
        <v>127626</v>
      </c>
      <c r="F43" s="473"/>
    </row>
    <row r="44" spans="1:7" ht="10.5" customHeight="1">
      <c r="A44" s="18" t="s">
        <v>51</v>
      </c>
      <c r="B44" s="374">
        <v>22723</v>
      </c>
      <c r="C44" s="374">
        <v>76035</v>
      </c>
      <c r="D44" s="376">
        <f>E44-SUM(B44:C44)</f>
        <v>442</v>
      </c>
      <c r="E44" s="375">
        <v>99200</v>
      </c>
      <c r="F44" s="473"/>
    </row>
    <row r="45" spans="1:7" ht="10.5" customHeight="1">
      <c r="A45" s="18" t="s">
        <v>52</v>
      </c>
      <c r="B45" s="374">
        <v>19223.990000000002</v>
      </c>
      <c r="C45" s="374">
        <v>71891.167000000001</v>
      </c>
      <c r="D45" s="376">
        <f>E45-SUM(B45,C45)</f>
        <v>864.84299999999348</v>
      </c>
      <c r="E45" s="375">
        <v>91980</v>
      </c>
      <c r="F45" s="473"/>
    </row>
    <row r="46" spans="1:7" ht="10.5" customHeight="1">
      <c r="A46" s="18" t="s">
        <v>291</v>
      </c>
      <c r="B46" s="374">
        <v>15844.377</v>
      </c>
      <c r="C46" s="374">
        <v>61768.086000000003</v>
      </c>
      <c r="D46" s="376">
        <f>E46-SUM(B46,C46)</f>
        <v>157.53699999999662</v>
      </c>
      <c r="E46" s="375">
        <v>77770</v>
      </c>
      <c r="F46" s="473"/>
    </row>
    <row r="47" spans="1:7" ht="10.5" customHeight="1">
      <c r="A47" s="18" t="s">
        <v>298</v>
      </c>
      <c r="B47" s="374">
        <v>12647.632</v>
      </c>
      <c r="C47" s="374">
        <v>53237.055</v>
      </c>
      <c r="D47" s="376">
        <f>E47-SUM(B47,C47)</f>
        <v>162.31299999999464</v>
      </c>
      <c r="E47" s="375">
        <v>66047</v>
      </c>
      <c r="F47" s="473"/>
    </row>
    <row r="48" spans="1:7" ht="10.5" customHeight="1">
      <c r="A48" s="18" t="s">
        <v>312</v>
      </c>
      <c r="B48" s="374">
        <v>7664.32</v>
      </c>
      <c r="C48" s="374">
        <v>34377.540999999997</v>
      </c>
      <c r="D48" s="376">
        <f>E48-SUM(B48,C48)</f>
        <v>249.13900000000285</v>
      </c>
      <c r="E48" s="375">
        <v>42291</v>
      </c>
      <c r="F48" s="473"/>
    </row>
    <row r="49" spans="1:6" ht="10.5" customHeight="1">
      <c r="A49" s="140" t="s">
        <v>319</v>
      </c>
      <c r="B49" s="379">
        <v>15200.275</v>
      </c>
      <c r="C49" s="379">
        <v>53754.548999999999</v>
      </c>
      <c r="D49" s="380">
        <f>E49-SUM(B49,C49)</f>
        <v>30.176000000006752</v>
      </c>
      <c r="E49" s="381">
        <v>68985</v>
      </c>
      <c r="F49" s="473"/>
    </row>
    <row r="50" spans="1:6">
      <c r="A50" s="97" t="s">
        <v>248</v>
      </c>
      <c r="B50" s="4"/>
      <c r="C50" s="4"/>
      <c r="D50" s="4"/>
      <c r="E50" s="4"/>
    </row>
    <row r="51" spans="1:6">
      <c r="A51" s="97" t="s">
        <v>249</v>
      </c>
      <c r="B51" s="4"/>
      <c r="C51" s="4"/>
      <c r="D51" s="4"/>
      <c r="E51" s="4"/>
    </row>
    <row r="52" spans="1:6">
      <c r="A52" s="97" t="s">
        <v>250</v>
      </c>
      <c r="B52" s="4"/>
      <c r="C52" s="4"/>
      <c r="D52" s="4"/>
      <c r="E52" s="4"/>
    </row>
    <row r="53" spans="1:6">
      <c r="A53" s="39" t="s">
        <v>286</v>
      </c>
    </row>
    <row r="54" spans="1:6">
      <c r="A54" s="39" t="s">
        <v>285</v>
      </c>
    </row>
  </sheetData>
  <mergeCells count="1">
    <mergeCell ref="B4:E4"/>
  </mergeCells>
  <pageMargins left="0.66700000000000004" right="0.66700000000000004" top="0.66700000000000004" bottom="0.72" header="0" footer="0"/>
  <pageSetup firstPageNumber="98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G54"/>
  <sheetViews>
    <sheetView showGridLines="0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8" sqref="F28"/>
    </sheetView>
  </sheetViews>
  <sheetFormatPr defaultColWidth="9.7109375" defaultRowHeight="12"/>
  <cols>
    <col min="1" max="1" width="11.140625" customWidth="1"/>
    <col min="2" max="6" width="18.140625" customWidth="1"/>
    <col min="7" max="7" width="14.140625" bestFit="1" customWidth="1"/>
  </cols>
  <sheetData>
    <row r="1" spans="1:6">
      <c r="A1" s="1" t="s">
        <v>56</v>
      </c>
      <c r="B1" s="3"/>
      <c r="C1" s="3"/>
      <c r="D1" s="3"/>
      <c r="E1" s="3"/>
      <c r="F1" s="3"/>
    </row>
    <row r="2" spans="1:6" ht="13.15" customHeight="1">
      <c r="A2" s="9" t="s">
        <v>57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58</v>
      </c>
    </row>
    <row r="3" spans="1:6" ht="3.95" customHeight="1">
      <c r="A3" s="10"/>
      <c r="B3" s="10"/>
      <c r="C3" s="10"/>
      <c r="D3" s="10"/>
      <c r="E3" s="10"/>
      <c r="F3" s="10"/>
    </row>
    <row r="4" spans="1:6" ht="10.15" customHeight="1">
      <c r="A4" s="7"/>
      <c r="B4" s="46" t="s">
        <v>59</v>
      </c>
      <c r="C4" s="47"/>
      <c r="D4" s="47"/>
      <c r="E4" s="47"/>
      <c r="F4" s="47"/>
    </row>
    <row r="5" spans="1:6" ht="3" customHeight="1">
      <c r="A5" s="7"/>
      <c r="B5" s="4"/>
      <c r="C5" s="4"/>
      <c r="D5" s="4"/>
      <c r="E5" s="4"/>
      <c r="F5" s="4"/>
    </row>
    <row r="6" spans="1:6" ht="10.15" customHeight="1">
      <c r="A6" s="48" t="s">
        <v>60</v>
      </c>
      <c r="B6" s="49">
        <f>50300*85/2000</f>
        <v>2137.75</v>
      </c>
      <c r="C6" s="50">
        <v>263</v>
      </c>
      <c r="D6" s="50">
        <f>6700*80/2000</f>
        <v>268</v>
      </c>
      <c r="E6" s="50">
        <f>2800*64/2000</f>
        <v>89.6</v>
      </c>
      <c r="F6" s="49">
        <v>2759</v>
      </c>
    </row>
    <row r="7" spans="1:6" ht="10.15" customHeight="1">
      <c r="A7" s="48" t="s">
        <v>61</v>
      </c>
      <c r="B7" s="49">
        <f>48100*85/2000</f>
        <v>2044.25</v>
      </c>
      <c r="C7" s="50">
        <f>3400*64/2000+2750*67/2000</f>
        <v>200.92500000000001</v>
      </c>
      <c r="D7" s="50">
        <v>556</v>
      </c>
      <c r="E7" s="50">
        <f>2400*64/2000</f>
        <v>76.8</v>
      </c>
      <c r="F7" s="49">
        <v>2877.9750000000004</v>
      </c>
    </row>
    <row r="8" spans="1:6" ht="10.15" customHeight="1">
      <c r="A8" s="48" t="s">
        <v>62</v>
      </c>
      <c r="B8" s="49">
        <v>1674</v>
      </c>
      <c r="C8" s="50">
        <f>4100*64/2000+3200*67/2000</f>
        <v>238.39999999999998</v>
      </c>
      <c r="D8" s="50">
        <f>11200*80/2000</f>
        <v>448</v>
      </c>
      <c r="E8" s="50">
        <v>105</v>
      </c>
      <c r="F8" s="49">
        <v>2465.4</v>
      </c>
    </row>
    <row r="9" spans="1:6" ht="10.15" customHeight="1">
      <c r="A9" s="48" t="s">
        <v>63</v>
      </c>
      <c r="B9" s="49">
        <f>40900*85/2000</f>
        <v>1738.25</v>
      </c>
      <c r="C9" s="50">
        <v>238</v>
      </c>
      <c r="D9" s="51">
        <f>3200*80/2000</f>
        <v>128</v>
      </c>
      <c r="E9" s="50">
        <v>80</v>
      </c>
      <c r="F9" s="49">
        <v>2184.25</v>
      </c>
    </row>
    <row r="10" spans="1:6" ht="12.95" customHeight="1">
      <c r="A10" s="48" t="s">
        <v>64</v>
      </c>
      <c r="B10" s="49">
        <f>44000*85/2000</f>
        <v>1870</v>
      </c>
      <c r="C10" s="50">
        <f>3800*64/2000+5000*67/2000</f>
        <v>289.10000000000002</v>
      </c>
      <c r="D10" s="45" t="s">
        <v>216</v>
      </c>
      <c r="E10" s="50">
        <v>107</v>
      </c>
      <c r="F10" s="49">
        <v>2266.1</v>
      </c>
    </row>
    <row r="11" spans="1:6" ht="10.15" customHeight="1">
      <c r="A11" s="48" t="s">
        <v>65</v>
      </c>
      <c r="B11" s="49">
        <f>46750*85/2000</f>
        <v>1986.875</v>
      </c>
      <c r="C11" s="50">
        <f>3600*64/2000+4500*67/2000</f>
        <v>265.95</v>
      </c>
      <c r="D11" s="51">
        <f>220*80/2000</f>
        <v>8.8000000000000007</v>
      </c>
      <c r="E11" s="50">
        <v>90</v>
      </c>
      <c r="F11" s="49">
        <v>2352</v>
      </c>
    </row>
    <row r="12" spans="1:6" ht="3" customHeight="1">
      <c r="A12" s="48"/>
      <c r="B12" s="49"/>
      <c r="C12" s="50"/>
      <c r="D12" s="51"/>
      <c r="E12" s="50"/>
      <c r="F12" s="49"/>
    </row>
    <row r="13" spans="1:6" ht="10.15" customHeight="1">
      <c r="A13" s="48" t="s">
        <v>66</v>
      </c>
      <c r="B13" s="49">
        <v>2116</v>
      </c>
      <c r="C13" s="50">
        <f>4300*64/2000+5000*67/2000</f>
        <v>305.10000000000002</v>
      </c>
      <c r="D13" s="51">
        <f>1925*80/2000</f>
        <v>77</v>
      </c>
      <c r="E13" s="50">
        <v>88</v>
      </c>
      <c r="F13" s="49">
        <v>2586</v>
      </c>
    </row>
    <row r="14" spans="1:6" ht="10.15" customHeight="1">
      <c r="A14" s="48" t="s">
        <v>67</v>
      </c>
      <c r="B14" s="49">
        <v>2289</v>
      </c>
      <c r="C14" s="50">
        <v>298</v>
      </c>
      <c r="D14" s="51">
        <f>3800*80/2000</f>
        <v>152</v>
      </c>
      <c r="E14" s="50">
        <v>62</v>
      </c>
      <c r="F14" s="49">
        <v>2801</v>
      </c>
    </row>
    <row r="15" spans="1:6" ht="10.15" customHeight="1">
      <c r="A15" s="48" t="s">
        <v>68</v>
      </c>
      <c r="B15" s="49">
        <v>2327</v>
      </c>
      <c r="C15" s="50">
        <v>263</v>
      </c>
      <c r="D15" s="51">
        <v>192</v>
      </c>
      <c r="E15" s="50">
        <v>62</v>
      </c>
      <c r="F15" s="49">
        <v>2844</v>
      </c>
    </row>
    <row r="16" spans="1:6" ht="10.15" customHeight="1">
      <c r="A16" s="48" t="s">
        <v>69</v>
      </c>
      <c r="B16" s="49">
        <v>1518</v>
      </c>
      <c r="C16" s="50">
        <v>310</v>
      </c>
      <c r="D16" s="51">
        <v>80</v>
      </c>
      <c r="E16" s="50">
        <v>70</v>
      </c>
      <c r="F16" s="49">
        <v>1978</v>
      </c>
    </row>
    <row r="17" spans="1:7" ht="12.95" customHeight="1">
      <c r="A17" s="48" t="s">
        <v>70</v>
      </c>
      <c r="B17" s="49">
        <f>45100*85/2000</f>
        <v>1916.75</v>
      </c>
      <c r="C17" s="50">
        <v>262</v>
      </c>
      <c r="D17" s="45" t="s">
        <v>279</v>
      </c>
      <c r="E17" s="50">
        <v>77</v>
      </c>
      <c r="F17" s="49">
        <v>2255.75</v>
      </c>
    </row>
    <row r="18" spans="1:7" ht="10.15" customHeight="1">
      <c r="A18" s="48" t="s">
        <v>71</v>
      </c>
      <c r="B18" s="49">
        <f>42400*85/2000</f>
        <v>1802</v>
      </c>
      <c r="C18" s="50">
        <f>3500*64/2000+6500*67/2000</f>
        <v>329.75</v>
      </c>
      <c r="D18" s="51">
        <f>65*80/2000</f>
        <v>2.6</v>
      </c>
      <c r="E18" s="50">
        <f>2800*64/2000</f>
        <v>89.6</v>
      </c>
      <c r="F18" s="49">
        <v>2223.9499999999998</v>
      </c>
    </row>
    <row r="19" spans="1:7" ht="3" customHeight="1">
      <c r="A19" s="48"/>
      <c r="B19" s="49"/>
      <c r="C19" s="50"/>
      <c r="D19" s="51"/>
      <c r="E19" s="50"/>
      <c r="F19" s="49"/>
    </row>
    <row r="20" spans="1:7" ht="10.15" customHeight="1">
      <c r="A20" s="48" t="s">
        <v>72</v>
      </c>
      <c r="B20" s="49">
        <f>55150*85/2000</f>
        <v>2343.875</v>
      </c>
      <c r="C20" s="50">
        <f>3500*64/2000+5700*67/2000</f>
        <v>302.95</v>
      </c>
      <c r="D20" s="51">
        <f>1875*80/2000</f>
        <v>75</v>
      </c>
      <c r="E20" s="50">
        <f>2150*64/2000</f>
        <v>68.8</v>
      </c>
      <c r="F20" s="49">
        <v>2791</v>
      </c>
    </row>
    <row r="21" spans="1:7" ht="10.15" customHeight="1">
      <c r="A21" s="48" t="s">
        <v>73</v>
      </c>
      <c r="B21" s="49">
        <f>51050*85/2000</f>
        <v>2169.625</v>
      </c>
      <c r="C21" s="50">
        <f>9300*67/2000</f>
        <v>311.55</v>
      </c>
      <c r="D21" s="50">
        <f>3000*80/2000</f>
        <v>120</v>
      </c>
      <c r="E21" s="50">
        <f>1750*67/2000</f>
        <v>58.625</v>
      </c>
      <c r="F21" s="49">
        <v>2661</v>
      </c>
    </row>
    <row r="22" spans="1:7" ht="10.15" customHeight="1">
      <c r="A22" s="48" t="s">
        <v>74</v>
      </c>
      <c r="B22" s="49">
        <f>55700*85/2000</f>
        <v>2367.25</v>
      </c>
      <c r="C22" s="50">
        <v>312</v>
      </c>
      <c r="D22" s="50">
        <f>4650*80/2000</f>
        <v>186</v>
      </c>
      <c r="E22" s="50">
        <f>1400*67/2000</f>
        <v>46.9</v>
      </c>
      <c r="F22" s="49">
        <v>2912</v>
      </c>
    </row>
    <row r="23" spans="1:7" ht="10.15" customHeight="1">
      <c r="A23" s="52" t="s">
        <v>75</v>
      </c>
      <c r="B23" s="53">
        <f>52350*85/2000</f>
        <v>2224.875</v>
      </c>
      <c r="C23" s="54">
        <f>8100*67/2000</f>
        <v>271.35000000000002</v>
      </c>
      <c r="D23" s="54">
        <f>4550*80/2000</f>
        <v>182</v>
      </c>
      <c r="E23" s="54">
        <f>1200*67/2000</f>
        <v>40.200000000000003</v>
      </c>
      <c r="F23" s="53">
        <v>2718</v>
      </c>
    </row>
    <row r="24" spans="1:7" ht="10.15" customHeight="1">
      <c r="A24" s="55" t="s">
        <v>76</v>
      </c>
      <c r="B24" s="53">
        <f>55800*85/2000</f>
        <v>2371.5</v>
      </c>
      <c r="C24" s="54">
        <f>8200*67/2000</f>
        <v>274.7</v>
      </c>
      <c r="D24" s="54">
        <f>5300*80/2000</f>
        <v>212</v>
      </c>
      <c r="E24" s="54">
        <f>800*67/2000</f>
        <v>26.8</v>
      </c>
      <c r="F24" s="53">
        <v>2885</v>
      </c>
    </row>
    <row r="25" spans="1:7" ht="10.15" customHeight="1">
      <c r="A25" s="55" t="s">
        <v>77</v>
      </c>
      <c r="B25" s="53">
        <f>(49550*85)/2000</f>
        <v>2105.875</v>
      </c>
      <c r="C25" s="54">
        <f>(8000*67)/2000</f>
        <v>268</v>
      </c>
      <c r="D25" s="54">
        <f>(4800*80)/2000</f>
        <v>192</v>
      </c>
      <c r="E25" s="54">
        <f>(800*67)/2000</f>
        <v>26.8</v>
      </c>
      <c r="F25" s="53">
        <v>2593</v>
      </c>
    </row>
    <row r="26" spans="1:7" ht="3" customHeight="1">
      <c r="A26" s="55"/>
      <c r="B26" s="53"/>
      <c r="C26" s="54"/>
      <c r="D26" s="54"/>
      <c r="E26" s="54"/>
      <c r="F26" s="53"/>
    </row>
    <row r="27" spans="1:7" ht="10.15" customHeight="1">
      <c r="A27" s="55" t="s">
        <v>78</v>
      </c>
      <c r="B27" s="53">
        <f>47050*85/2000</f>
        <v>1999.625</v>
      </c>
      <c r="C27" s="54">
        <f>7300*67/2000</f>
        <v>244.55</v>
      </c>
      <c r="D27" s="54">
        <f>6100*80/2000</f>
        <v>244</v>
      </c>
      <c r="E27" s="54">
        <f>750*67/2000</f>
        <v>25.125</v>
      </c>
      <c r="F27" s="53">
        <v>2513</v>
      </c>
      <c r="G27" s="56"/>
    </row>
    <row r="28" spans="1:7" ht="10.15" customHeight="1">
      <c r="A28" s="55" t="s">
        <v>79</v>
      </c>
      <c r="B28" s="53">
        <f>53400*85/2000</f>
        <v>2269.5</v>
      </c>
      <c r="C28" s="54">
        <f>7200*67/2000</f>
        <v>241.2</v>
      </c>
      <c r="D28" s="54">
        <f>5930*80/2000</f>
        <v>237.2</v>
      </c>
      <c r="E28" s="54">
        <f>450*67/2000</f>
        <v>15.074999999999999</v>
      </c>
      <c r="F28" s="53">
        <v>2763</v>
      </c>
      <c r="G28" s="56"/>
    </row>
    <row r="29" spans="1:7" ht="10.15" customHeight="1">
      <c r="A29" s="55" t="s">
        <v>80</v>
      </c>
      <c r="B29" s="53">
        <f>46000*85/2000</f>
        <v>1955</v>
      </c>
      <c r="C29" s="54">
        <f>6300*67/2000</f>
        <v>211.05</v>
      </c>
      <c r="D29" s="54">
        <f>7200*80/2000</f>
        <v>288</v>
      </c>
      <c r="E29" s="54">
        <f>250*67/2000</f>
        <v>8.375</v>
      </c>
      <c r="F29" s="53">
        <v>2462</v>
      </c>
      <c r="G29" s="56"/>
    </row>
    <row r="30" spans="1:7" ht="10.15" customHeight="1">
      <c r="A30" s="55" t="s">
        <v>81</v>
      </c>
      <c r="B30" s="53">
        <f>46700*85/2000</f>
        <v>1984.75</v>
      </c>
      <c r="C30" s="54">
        <f>5900*67/2000</f>
        <v>197.65</v>
      </c>
      <c r="D30" s="54">
        <f>5900*80/2000</f>
        <v>236</v>
      </c>
      <c r="E30" s="54">
        <f>160*67/2000</f>
        <v>5.36</v>
      </c>
      <c r="F30" s="53">
        <v>2424</v>
      </c>
      <c r="G30" s="56"/>
    </row>
    <row r="31" spans="1:7" ht="10.15" customHeight="1">
      <c r="A31" s="55" t="s">
        <v>82</v>
      </c>
      <c r="B31" s="53">
        <f>38700*85/2000</f>
        <v>1644.75</v>
      </c>
      <c r="C31" s="54">
        <f>5600*67/2000</f>
        <v>187.6</v>
      </c>
      <c r="D31" s="54">
        <f>5650*80/2000</f>
        <v>226</v>
      </c>
      <c r="E31" s="54">
        <f>130*67/2000</f>
        <v>4.3550000000000004</v>
      </c>
      <c r="F31" s="53">
        <v>2063</v>
      </c>
      <c r="G31" s="56"/>
    </row>
    <row r="32" spans="1:7" ht="10.15" customHeight="1">
      <c r="A32" s="52" t="s">
        <v>83</v>
      </c>
      <c r="B32" s="53">
        <f>40900*85/2000</f>
        <v>1738.25</v>
      </c>
      <c r="C32" s="54">
        <f>5800*67/2000</f>
        <v>194.3</v>
      </c>
      <c r="D32" s="54">
        <f>5700*80/2000</f>
        <v>228</v>
      </c>
      <c r="E32" s="54">
        <f>140*67/2000</f>
        <v>4.6900000000000004</v>
      </c>
      <c r="F32" s="53">
        <v>2165</v>
      </c>
      <c r="G32" s="56"/>
    </row>
    <row r="33" spans="1:7" ht="4.5" customHeight="1">
      <c r="A33" s="55"/>
      <c r="B33" s="53"/>
      <c r="C33" s="54"/>
      <c r="D33" s="54"/>
      <c r="E33" s="54"/>
      <c r="F33" s="53"/>
      <c r="G33" s="56"/>
    </row>
    <row r="34" spans="1:7" ht="10.15" customHeight="1">
      <c r="A34" s="52" t="s">
        <v>84</v>
      </c>
      <c r="B34" s="53">
        <f>12800*85/2000</f>
        <v>544</v>
      </c>
      <c r="C34" s="54">
        <f>6100*67/2000</f>
        <v>204.35</v>
      </c>
      <c r="D34" s="54">
        <f>6600*80/2000</f>
        <v>264</v>
      </c>
      <c r="E34" s="54">
        <f>140*67/2000</f>
        <v>4.6900000000000004</v>
      </c>
      <c r="F34" s="53">
        <v>1018</v>
      </c>
      <c r="G34" s="56"/>
    </row>
    <row r="35" spans="1:7" ht="10.15" customHeight="1">
      <c r="A35" s="52" t="s">
        <v>85</v>
      </c>
      <c r="B35" s="53">
        <f>19300*85/2000</f>
        <v>820.25</v>
      </c>
      <c r="C35" s="54">
        <f>6000*67/2000</f>
        <v>201</v>
      </c>
      <c r="D35" s="54">
        <f>5200*80/2000</f>
        <v>208</v>
      </c>
      <c r="E35" s="54">
        <f>100*67/2000</f>
        <v>3.35</v>
      </c>
      <c r="F35" s="53">
        <v>1232</v>
      </c>
      <c r="G35" s="56"/>
    </row>
    <row r="36" spans="1:7" ht="10.15" customHeight="1">
      <c r="A36" s="52" t="s">
        <v>86</v>
      </c>
      <c r="B36" s="53">
        <f>27200*85/2000</f>
        <v>1156</v>
      </c>
      <c r="C36" s="54">
        <f>5500*67/2000</f>
        <v>184.25</v>
      </c>
      <c r="D36" s="54">
        <f>7100*80/2000</f>
        <v>284</v>
      </c>
      <c r="E36" s="54">
        <f>100*67/2000</f>
        <v>3.35</v>
      </c>
      <c r="F36" s="53">
        <v>1627</v>
      </c>
      <c r="G36" s="56"/>
    </row>
    <row r="37" spans="1:7" ht="10.15" customHeight="1">
      <c r="A37" s="52" t="s">
        <v>87</v>
      </c>
      <c r="B37" s="53">
        <f>26600*85/2000</f>
        <v>1130.5</v>
      </c>
      <c r="C37" s="54">
        <f>5200*67/2000</f>
        <v>174.2</v>
      </c>
      <c r="D37" s="54">
        <f>6000*80/2000</f>
        <v>240</v>
      </c>
      <c r="E37" s="54">
        <f>100*67/2000</f>
        <v>3.35</v>
      </c>
      <c r="F37" s="53">
        <v>1548</v>
      </c>
      <c r="G37" s="56"/>
    </row>
    <row r="38" spans="1:7" ht="10.15" customHeight="1">
      <c r="A38" s="52" t="s">
        <v>88</v>
      </c>
      <c r="B38" s="53">
        <f>21700*85/2000</f>
        <v>922.25</v>
      </c>
      <c r="C38" s="54">
        <f>4800*67/2000</f>
        <v>160.80000000000001</v>
      </c>
      <c r="D38" s="54">
        <f>5500*80/2000</f>
        <v>220</v>
      </c>
      <c r="E38" s="54">
        <f>25*67/2000</f>
        <v>0.83750000000000002</v>
      </c>
      <c r="F38" s="53">
        <v>1304</v>
      </c>
      <c r="G38" s="56"/>
    </row>
    <row r="39" spans="1:7" s="59" customFormat="1" ht="10.15" customHeight="1">
      <c r="A39" s="52" t="s">
        <v>89</v>
      </c>
      <c r="B39" s="53">
        <f>20300*85/2000</f>
        <v>862.75</v>
      </c>
      <c r="C39" s="54">
        <f>4500*67/2000</f>
        <v>150.75</v>
      </c>
      <c r="D39" s="54">
        <f>5600*80/2000</f>
        <v>224</v>
      </c>
      <c r="E39" s="57" t="s">
        <v>90</v>
      </c>
      <c r="F39" s="53">
        <v>1238</v>
      </c>
      <c r="G39" s="58"/>
    </row>
    <row r="40" spans="1:7" ht="10.15" customHeight="1">
      <c r="A40" s="52" t="s">
        <v>91</v>
      </c>
      <c r="B40" s="53">
        <f>19750*85/2000</f>
        <v>839.375</v>
      </c>
      <c r="C40" s="54">
        <f>4310*80/2000</f>
        <v>172.4</v>
      </c>
      <c r="D40" s="54">
        <f>6300*80/2000</f>
        <v>252</v>
      </c>
      <c r="E40" s="57" t="s">
        <v>90</v>
      </c>
      <c r="F40" s="53">
        <v>1264</v>
      </c>
      <c r="G40" s="56"/>
    </row>
    <row r="41" spans="1:7" ht="3" customHeight="1">
      <c r="A41" s="52"/>
      <c r="B41" s="53"/>
      <c r="C41" s="54"/>
      <c r="D41" s="54"/>
      <c r="E41" s="57"/>
      <c r="F41" s="53"/>
      <c r="G41" s="56"/>
    </row>
    <row r="42" spans="1:7" ht="10.15" customHeight="1">
      <c r="A42" s="52" t="s">
        <v>92</v>
      </c>
      <c r="B42" s="53">
        <f>18850*85/2000</f>
        <v>801.125</v>
      </c>
      <c r="C42" s="54">
        <f>4000*80/2000</f>
        <v>160</v>
      </c>
      <c r="D42" s="54">
        <f>4800*80/2000</f>
        <v>192</v>
      </c>
      <c r="E42" s="57" t="s">
        <v>90</v>
      </c>
      <c r="F42" s="53">
        <f t="shared" ref="F42:F49" si="0">SUM(B42:D42)</f>
        <v>1153.125</v>
      </c>
      <c r="G42" s="56"/>
    </row>
    <row r="43" spans="1:7" ht="10.15" customHeight="1">
      <c r="A43" s="52" t="s">
        <v>93</v>
      </c>
      <c r="B43" s="53">
        <f>18350*85/2000</f>
        <v>779.875</v>
      </c>
      <c r="C43" s="54">
        <f>4500*80/2000</f>
        <v>180</v>
      </c>
      <c r="D43" s="54">
        <f>6100*80/2000</f>
        <v>244</v>
      </c>
      <c r="E43" s="57" t="s">
        <v>90</v>
      </c>
      <c r="F43" s="53">
        <f t="shared" si="0"/>
        <v>1203.875</v>
      </c>
      <c r="G43" s="56"/>
    </row>
    <row r="44" spans="1:7" ht="10.15" customHeight="1">
      <c r="A44" s="52" t="s">
        <v>94</v>
      </c>
      <c r="B44" s="53">
        <f>15650*85/2000</f>
        <v>665.125</v>
      </c>
      <c r="C44" s="54">
        <f>3850*80/2000</f>
        <v>154</v>
      </c>
      <c r="D44" s="54">
        <f>5700*80/2000</f>
        <v>228</v>
      </c>
      <c r="E44" s="57" t="s">
        <v>90</v>
      </c>
      <c r="F44" s="53">
        <f t="shared" si="0"/>
        <v>1047.125</v>
      </c>
      <c r="G44" s="56"/>
    </row>
    <row r="45" spans="1:7" ht="10.15" customHeight="1">
      <c r="A45" s="52" t="s">
        <v>95</v>
      </c>
      <c r="B45" s="53">
        <f>12900*85/2000</f>
        <v>548.25</v>
      </c>
      <c r="C45" s="54">
        <f>4800*80/2000</f>
        <v>192</v>
      </c>
      <c r="D45" s="54">
        <f>4250*80/2000</f>
        <v>170</v>
      </c>
      <c r="E45" s="57" t="s">
        <v>90</v>
      </c>
      <c r="F45" s="53">
        <f t="shared" si="0"/>
        <v>910.25</v>
      </c>
      <c r="G45" s="56"/>
    </row>
    <row r="46" spans="1:7" ht="10.15" customHeight="1">
      <c r="A46" s="52" t="s">
        <v>290</v>
      </c>
      <c r="B46" s="53">
        <f>10800*85/2000</f>
        <v>459</v>
      </c>
      <c r="C46" s="54">
        <f>3800*80/2000</f>
        <v>152</v>
      </c>
      <c r="D46" s="54">
        <f>4800*80/2000</f>
        <v>192</v>
      </c>
      <c r="E46" s="57" t="s">
        <v>90</v>
      </c>
      <c r="F46" s="53">
        <f t="shared" si="0"/>
        <v>803</v>
      </c>
      <c r="G46" s="56"/>
    </row>
    <row r="47" spans="1:7" ht="10.15" customHeight="1">
      <c r="A47" s="52" t="s">
        <v>299</v>
      </c>
      <c r="B47" s="53">
        <f>7760*85/2000</f>
        <v>329.8</v>
      </c>
      <c r="C47" s="54">
        <f>4400*80/2000</f>
        <v>176</v>
      </c>
      <c r="D47" s="54">
        <f>4800*80/2000</f>
        <v>192</v>
      </c>
      <c r="E47" s="57" t="s">
        <v>90</v>
      </c>
      <c r="F47" s="53">
        <f t="shared" si="0"/>
        <v>697.8</v>
      </c>
      <c r="G47" s="56"/>
    </row>
    <row r="48" spans="1:7" ht="10.15" customHeight="1">
      <c r="A48" s="52" t="s">
        <v>313</v>
      </c>
      <c r="B48" s="53">
        <f>3880*85/2000</f>
        <v>164.9</v>
      </c>
      <c r="C48" s="54">
        <f>3800*80/2000</f>
        <v>152</v>
      </c>
      <c r="D48" s="54">
        <f>4800*80/2000</f>
        <v>192</v>
      </c>
      <c r="E48" s="57" t="s">
        <v>90</v>
      </c>
      <c r="F48" s="53">
        <f t="shared" si="0"/>
        <v>508.9</v>
      </c>
      <c r="G48" s="56"/>
    </row>
    <row r="49" spans="1:7" ht="10.15" customHeight="1">
      <c r="A49" s="60" t="s">
        <v>320</v>
      </c>
      <c r="B49" s="61">
        <f>4510*85/2000</f>
        <v>191.67500000000001</v>
      </c>
      <c r="C49" s="62">
        <f>3200*80/2000</f>
        <v>128</v>
      </c>
      <c r="D49" s="62">
        <f>6100*80/2000</f>
        <v>244</v>
      </c>
      <c r="E49" s="63" t="s">
        <v>90</v>
      </c>
      <c r="F49" s="61">
        <f t="shared" si="0"/>
        <v>563.67499999999995</v>
      </c>
      <c r="G49" s="56"/>
    </row>
    <row r="50" spans="1:7">
      <c r="A50" s="64" t="s">
        <v>49</v>
      </c>
      <c r="B50" s="65"/>
      <c r="C50" s="66"/>
      <c r="D50" s="66"/>
      <c r="E50" s="67"/>
      <c r="F50" s="53"/>
      <c r="G50" s="56"/>
    </row>
    <row r="51" spans="1:7">
      <c r="A51" s="39" t="s">
        <v>96</v>
      </c>
      <c r="B51" s="40"/>
      <c r="C51" s="40"/>
      <c r="D51" s="40"/>
      <c r="E51" s="40"/>
      <c r="F51" s="4"/>
    </row>
    <row r="52" spans="1:7">
      <c r="A52" s="39" t="s">
        <v>97</v>
      </c>
      <c r="B52" s="40"/>
      <c r="C52" s="40"/>
      <c r="D52" s="40"/>
      <c r="E52" s="40"/>
      <c r="F52" s="4"/>
    </row>
    <row r="53" spans="1:7">
      <c r="A53" s="39" t="s">
        <v>98</v>
      </c>
      <c r="B53" s="40"/>
      <c r="C53" s="40"/>
      <c r="D53" s="40"/>
      <c r="E53" s="40"/>
      <c r="F53" s="4"/>
    </row>
    <row r="54" spans="1:7">
      <c r="A54" s="39" t="s">
        <v>99</v>
      </c>
      <c r="B54" s="40"/>
      <c r="C54" s="40"/>
      <c r="D54" s="40"/>
      <c r="E54" s="40"/>
      <c r="F54" s="4"/>
    </row>
  </sheetData>
  <pageMargins left="0.66700000000000004" right="0.66700000000000004" top="0.66700000000000004" bottom="0.72" header="0" footer="0"/>
  <pageSetup scale="10" firstPageNumber="72" orientation="portrait" useFirstPageNumber="1" r:id="rId1"/>
  <headerFooter alignWithMargins="0"/>
  <ignoredErrors>
    <ignoredError sqref="D10 D17" numberStoredAsText="1"/>
    <ignoredError sqref="C47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5"/>
  <sheetViews>
    <sheetView showGridLines="0" topLeftCell="A16" zoomScaleNormal="100" workbookViewId="0">
      <selection activeCell="B48" sqref="B48"/>
    </sheetView>
  </sheetViews>
  <sheetFormatPr defaultColWidth="20.7109375" defaultRowHeight="12"/>
  <cols>
    <col min="1" max="1" width="9" style="27" customWidth="1"/>
    <col min="2" max="6" width="18.5703125" style="27" customWidth="1"/>
    <col min="7" max="247" width="9.140625" style="27" customWidth="1"/>
    <col min="248" max="16384" width="20.7109375" style="27"/>
  </cols>
  <sheetData>
    <row r="1" spans="1:6" ht="12" customHeight="1">
      <c r="A1" s="382" t="s">
        <v>251</v>
      </c>
      <c r="B1" s="383"/>
      <c r="C1" s="383"/>
      <c r="D1" s="383"/>
      <c r="E1" s="383"/>
      <c r="F1" s="383"/>
    </row>
    <row r="2" spans="1:6" ht="12.95" customHeight="1">
      <c r="A2" s="382" t="s">
        <v>57</v>
      </c>
      <c r="B2" s="384" t="s">
        <v>171</v>
      </c>
      <c r="C2" s="384" t="s">
        <v>252</v>
      </c>
      <c r="D2" s="384" t="s">
        <v>253</v>
      </c>
      <c r="E2" s="384" t="s">
        <v>174</v>
      </c>
      <c r="F2" s="384" t="s">
        <v>288</v>
      </c>
    </row>
    <row r="3" spans="1:6" ht="3.95" customHeight="1">
      <c r="A3" s="43"/>
      <c r="B3" s="385"/>
      <c r="C3" s="385"/>
      <c r="D3" s="385"/>
      <c r="E3" s="385"/>
      <c r="F3" s="385"/>
    </row>
    <row r="4" spans="1:6" ht="12" customHeight="1">
      <c r="A4" s="386"/>
      <c r="B4" s="387" t="s">
        <v>254</v>
      </c>
      <c r="C4" s="388"/>
      <c r="D4" s="389"/>
      <c r="E4" s="389"/>
      <c r="F4" s="389"/>
    </row>
    <row r="5" spans="1:6" ht="3" customHeight="1">
      <c r="A5" s="386"/>
      <c r="B5" s="386"/>
      <c r="C5" s="386"/>
      <c r="D5" s="386"/>
      <c r="E5" s="386"/>
      <c r="F5" s="386"/>
    </row>
    <row r="6" spans="1:6" ht="10.5" customHeight="1">
      <c r="A6" s="390" t="s">
        <v>14</v>
      </c>
      <c r="B6" s="391">
        <v>59.555055699999997</v>
      </c>
      <c r="C6" s="391">
        <v>259.50912</v>
      </c>
      <c r="D6" s="391">
        <v>319.06417569999996</v>
      </c>
      <c r="E6" s="391">
        <v>250.07717569999997</v>
      </c>
      <c r="F6" s="391">
        <v>68.986999999999995</v>
      </c>
    </row>
    <row r="7" spans="1:6" ht="10.5" customHeight="1">
      <c r="A7" s="390" t="s">
        <v>15</v>
      </c>
      <c r="B7" s="391">
        <v>68.986999999999995</v>
      </c>
      <c r="C7" s="391">
        <v>214.9</v>
      </c>
      <c r="D7" s="391">
        <v>283.88700000000006</v>
      </c>
      <c r="E7" s="391">
        <v>230.50800000000007</v>
      </c>
      <c r="F7" s="391">
        <v>53.378999999999991</v>
      </c>
    </row>
    <row r="8" spans="1:6" ht="10.5" customHeight="1">
      <c r="A8" s="390" t="s">
        <v>16</v>
      </c>
      <c r="B8" s="391">
        <v>53.378999999999998</v>
      </c>
      <c r="C8" s="391">
        <v>228.4</v>
      </c>
      <c r="D8" s="391">
        <v>281.779</v>
      </c>
      <c r="E8" s="391">
        <v>238.95500000000001</v>
      </c>
      <c r="F8" s="391">
        <v>42.824000000000012</v>
      </c>
    </row>
    <row r="9" spans="1:6" ht="10.5" customHeight="1">
      <c r="A9" s="390" t="s">
        <v>17</v>
      </c>
      <c r="B9" s="391">
        <v>42.823999999999998</v>
      </c>
      <c r="C9" s="391">
        <v>239.9</v>
      </c>
      <c r="D9" s="391">
        <v>282.72399999999999</v>
      </c>
      <c r="E9" s="391">
        <v>228.32499999999999</v>
      </c>
      <c r="F9" s="391">
        <v>54.399000000000001</v>
      </c>
    </row>
    <row r="10" spans="1:6" ht="10.5" customHeight="1">
      <c r="A10" s="390" t="s">
        <v>18</v>
      </c>
      <c r="B10" s="391">
        <v>54.399000000000001</v>
      </c>
      <c r="C10" s="391">
        <v>209.6</v>
      </c>
      <c r="D10" s="391">
        <v>263.99900000000002</v>
      </c>
      <c r="E10" s="391">
        <v>215.6</v>
      </c>
      <c r="F10" s="391">
        <v>48.3</v>
      </c>
    </row>
    <row r="11" spans="1:6" ht="10.5" customHeight="1">
      <c r="A11" s="390" t="s">
        <v>19</v>
      </c>
      <c r="B11" s="391">
        <v>48.3</v>
      </c>
      <c r="C11" s="391">
        <v>215.1</v>
      </c>
      <c r="D11" s="391">
        <v>263.5</v>
      </c>
      <c r="E11" s="391">
        <v>226.5</v>
      </c>
      <c r="F11" s="391">
        <v>37</v>
      </c>
    </row>
    <row r="12" spans="1:6" ht="3" customHeight="1">
      <c r="A12" s="390"/>
      <c r="B12" s="391"/>
      <c r="C12" s="391"/>
      <c r="D12" s="391"/>
      <c r="E12" s="391"/>
      <c r="F12" s="391"/>
    </row>
    <row r="13" spans="1:6" ht="10.5" customHeight="1">
      <c r="A13" s="390" t="s">
        <v>20</v>
      </c>
      <c r="B13" s="391">
        <v>37</v>
      </c>
      <c r="C13" s="391">
        <v>228</v>
      </c>
      <c r="D13" s="391">
        <v>265</v>
      </c>
      <c r="E13" s="391">
        <v>225.2</v>
      </c>
      <c r="F13" s="391">
        <v>39.799999999999997</v>
      </c>
    </row>
    <row r="14" spans="1:6" ht="10.5" customHeight="1">
      <c r="A14" s="390" t="s">
        <v>21</v>
      </c>
      <c r="B14" s="391">
        <v>39.799999999999997</v>
      </c>
      <c r="C14" s="391">
        <v>240.8</v>
      </c>
      <c r="D14" s="391">
        <v>280.60000000000002</v>
      </c>
      <c r="E14" s="391">
        <v>238.5</v>
      </c>
      <c r="F14" s="391">
        <v>42.1</v>
      </c>
    </row>
    <row r="15" spans="1:6" ht="10.5" customHeight="1">
      <c r="A15" s="390" t="s">
        <v>142</v>
      </c>
      <c r="B15" s="391">
        <v>42.1</v>
      </c>
      <c r="C15" s="391">
        <v>239.2</v>
      </c>
      <c r="D15" s="391">
        <v>281.2</v>
      </c>
      <c r="E15" s="391">
        <v>234.9</v>
      </c>
      <c r="F15" s="391">
        <v>46.3</v>
      </c>
    </row>
    <row r="16" spans="1:6" ht="10.5" customHeight="1">
      <c r="A16" s="390" t="s">
        <v>143</v>
      </c>
      <c r="B16" s="391">
        <v>46.3</v>
      </c>
      <c r="C16" s="391">
        <v>184.7</v>
      </c>
      <c r="D16" s="391">
        <v>231.1</v>
      </c>
      <c r="E16" s="391">
        <v>191.1</v>
      </c>
      <c r="F16" s="391">
        <v>40</v>
      </c>
    </row>
    <row r="17" spans="1:7" ht="10.5" customHeight="1">
      <c r="A17" s="390" t="s">
        <v>144</v>
      </c>
      <c r="B17" s="391">
        <v>40</v>
      </c>
      <c r="C17" s="391">
        <v>221.2</v>
      </c>
      <c r="D17" s="391">
        <v>261.2</v>
      </c>
      <c r="E17" s="391">
        <v>229.3</v>
      </c>
      <c r="F17" s="391">
        <v>31.8</v>
      </c>
    </row>
    <row r="18" spans="1:7" ht="10.5" customHeight="1">
      <c r="A18" s="390" t="s">
        <v>25</v>
      </c>
      <c r="B18" s="391">
        <v>31.8</v>
      </c>
      <c r="C18" s="391">
        <v>211.7</v>
      </c>
      <c r="D18" s="391">
        <v>243.5</v>
      </c>
      <c r="E18" s="391">
        <v>212.6</v>
      </c>
      <c r="F18" s="391">
        <v>31</v>
      </c>
    </row>
    <row r="19" spans="1:7" ht="3" customHeight="1">
      <c r="A19" s="390"/>
      <c r="B19" s="391"/>
      <c r="C19" s="391"/>
      <c r="D19" s="391"/>
      <c r="E19" s="391"/>
      <c r="F19" s="391"/>
    </row>
    <row r="20" spans="1:7" ht="10.5" customHeight="1">
      <c r="A20" s="390" t="s">
        <v>26</v>
      </c>
      <c r="B20" s="391">
        <v>30.952000000000002</v>
      </c>
      <c r="C20" s="391">
        <v>291.96800000000002</v>
      </c>
      <c r="D20" s="391">
        <v>322.92</v>
      </c>
      <c r="E20" s="391">
        <v>269.41899999999998</v>
      </c>
      <c r="F20" s="391">
        <v>53.5</v>
      </c>
    </row>
    <row r="21" spans="1:7" ht="10.5" customHeight="1">
      <c r="A21" s="390" t="s">
        <v>27</v>
      </c>
      <c r="B21" s="391">
        <v>53.500999999999998</v>
      </c>
      <c r="C21" s="391">
        <v>261.7</v>
      </c>
      <c r="D21" s="391">
        <v>315.2</v>
      </c>
      <c r="E21" s="391">
        <v>256.60000000000002</v>
      </c>
      <c r="F21" s="391">
        <v>58.6</v>
      </c>
    </row>
    <row r="22" spans="1:7" ht="10.5" customHeight="1">
      <c r="A22" s="23" t="s">
        <v>28</v>
      </c>
      <c r="B22" s="392">
        <v>58.6</v>
      </c>
      <c r="C22" s="392">
        <v>274.2</v>
      </c>
      <c r="D22" s="392">
        <v>332.8</v>
      </c>
      <c r="E22" s="392">
        <v>290.39999999999998</v>
      </c>
      <c r="F22" s="392">
        <v>42.4</v>
      </c>
    </row>
    <row r="23" spans="1:7" ht="10.5" customHeight="1">
      <c r="A23" s="43" t="s">
        <v>30</v>
      </c>
      <c r="B23" s="392">
        <v>42.4</v>
      </c>
      <c r="C23" s="392">
        <v>284.52499999999998</v>
      </c>
      <c r="D23" s="392">
        <v>326.89999999999998</v>
      </c>
      <c r="E23" s="392">
        <v>285.7</v>
      </c>
      <c r="F23" s="392">
        <v>41.2</v>
      </c>
    </row>
    <row r="24" spans="1:7" ht="10.5" customHeight="1">
      <c r="A24" s="43" t="s">
        <v>31</v>
      </c>
      <c r="B24" s="392">
        <v>41.223999999999997</v>
      </c>
      <c r="C24" s="392">
        <v>289.60000000000002</v>
      </c>
      <c r="D24" s="392">
        <v>342.90799999999996</v>
      </c>
      <c r="E24" s="392">
        <v>273.93899999999996</v>
      </c>
      <c r="F24" s="392">
        <v>69.7</v>
      </c>
    </row>
    <row r="25" spans="1:7" ht="10.5" customHeight="1">
      <c r="A25" s="43" t="s">
        <v>32</v>
      </c>
      <c r="B25" s="392">
        <v>69.667000000000002</v>
      </c>
      <c r="C25" s="392">
        <v>290.2</v>
      </c>
      <c r="D25" s="392">
        <f>+C25+B25</f>
        <v>359.86699999999996</v>
      </c>
      <c r="E25" s="392">
        <f>260.408+3.367</f>
        <v>263.77500000000003</v>
      </c>
      <c r="F25" s="392">
        <v>104.7</v>
      </c>
      <c r="G25" s="393"/>
    </row>
    <row r="26" spans="1:7" ht="3" customHeight="1">
      <c r="A26" s="43"/>
      <c r="B26" s="392"/>
      <c r="C26" s="392"/>
      <c r="D26" s="392"/>
      <c r="E26" s="392"/>
      <c r="F26" s="392"/>
      <c r="G26" s="393"/>
    </row>
    <row r="27" spans="1:7" ht="10.5" customHeight="1">
      <c r="A27" s="43" t="s">
        <v>33</v>
      </c>
      <c r="B27" s="392">
        <v>104.7</v>
      </c>
      <c r="C27" s="392">
        <v>216.9</v>
      </c>
      <c r="D27" s="392">
        <f>+C27+B27</f>
        <v>321.60000000000002</v>
      </c>
      <c r="E27" s="392">
        <f>200.726+8.396</f>
        <v>209.12200000000001</v>
      </c>
      <c r="F27" s="392">
        <v>105.2</v>
      </c>
      <c r="G27" s="393"/>
    </row>
    <row r="28" spans="1:7" ht="10.5" customHeight="1">
      <c r="A28" s="43" t="s">
        <v>34</v>
      </c>
      <c r="B28" s="392">
        <v>105.2</v>
      </c>
      <c r="C28" s="392">
        <v>254</v>
      </c>
      <c r="D28" s="392">
        <f>C28+B28</f>
        <v>359.2</v>
      </c>
      <c r="E28" s="392">
        <v>239.7</v>
      </c>
      <c r="F28" s="392">
        <v>112.6</v>
      </c>
      <c r="G28" s="393"/>
    </row>
    <row r="29" spans="1:7" ht="10.5" customHeight="1">
      <c r="A29" s="43" t="s">
        <v>35</v>
      </c>
      <c r="B29" s="392">
        <v>112.6</v>
      </c>
      <c r="C29" s="392">
        <v>245.2</v>
      </c>
      <c r="D29" s="392">
        <f t="shared" ref="D29:D37" si="0">B29+C29</f>
        <v>357.79999999999995</v>
      </c>
      <c r="E29" s="392">
        <v>226</v>
      </c>
      <c r="F29" s="392">
        <v>128.30000000000001</v>
      </c>
      <c r="G29" s="393"/>
    </row>
    <row r="30" spans="1:7" ht="10.5" customHeight="1">
      <c r="A30" s="43" t="s">
        <v>36</v>
      </c>
      <c r="B30" s="392">
        <f>F29</f>
        <v>128.30000000000001</v>
      </c>
      <c r="C30" s="392">
        <v>253.2</v>
      </c>
      <c r="D30" s="392">
        <f t="shared" si="0"/>
        <v>381.5</v>
      </c>
      <c r="E30" s="392">
        <v>249.9</v>
      </c>
      <c r="F30" s="392">
        <v>120.2</v>
      </c>
      <c r="G30" s="393"/>
    </row>
    <row r="31" spans="1:7" ht="10.5" customHeight="1">
      <c r="A31" s="23" t="s">
        <v>37</v>
      </c>
      <c r="B31" s="392">
        <f>F30</f>
        <v>120.2</v>
      </c>
      <c r="C31" s="392">
        <v>203.3</v>
      </c>
      <c r="D31" s="392">
        <f t="shared" si="0"/>
        <v>323.5</v>
      </c>
      <c r="E31" s="392">
        <v>200.1</v>
      </c>
      <c r="F31" s="392">
        <v>124</v>
      </c>
      <c r="G31" s="393"/>
    </row>
    <row r="32" spans="1:7" ht="10.5" customHeight="1">
      <c r="A32" s="23" t="s">
        <v>38</v>
      </c>
      <c r="B32" s="392">
        <f>F31</f>
        <v>124</v>
      </c>
      <c r="C32" s="392">
        <v>249.7</v>
      </c>
      <c r="D32" s="392">
        <f>B32+C32</f>
        <v>373.7</v>
      </c>
      <c r="E32" s="392">
        <v>213.8</v>
      </c>
      <c r="F32" s="392">
        <v>151.80000000000001</v>
      </c>
      <c r="G32" s="393"/>
    </row>
    <row r="33" spans="1:7" ht="5.25" customHeight="1">
      <c r="A33" s="23"/>
      <c r="B33" s="392"/>
      <c r="C33" s="392"/>
      <c r="D33" s="392"/>
      <c r="E33" s="392"/>
      <c r="F33" s="392"/>
      <c r="G33" s="393"/>
    </row>
    <row r="34" spans="1:7" ht="10.5" customHeight="1">
      <c r="A34" s="23" t="s">
        <v>39</v>
      </c>
      <c r="B34" s="392">
        <v>151.80000000000001</v>
      </c>
      <c r="C34" s="392">
        <v>86.299000000000007</v>
      </c>
      <c r="D34" s="392">
        <f t="shared" si="0"/>
        <v>238.09900000000002</v>
      </c>
      <c r="E34" s="392">
        <v>175.15199999999999</v>
      </c>
      <c r="F34" s="392">
        <v>107.78400000000001</v>
      </c>
      <c r="G34" s="393"/>
    </row>
    <row r="35" spans="1:7" ht="10.5" customHeight="1">
      <c r="A35" s="23" t="s">
        <v>40</v>
      </c>
      <c r="B35" s="392">
        <f>F34</f>
        <v>107.78400000000001</v>
      </c>
      <c r="C35" s="392">
        <v>85.2</v>
      </c>
      <c r="D35" s="392">
        <f t="shared" si="0"/>
        <v>192.98400000000001</v>
      </c>
      <c r="E35" s="392">
        <v>160.80000000000001</v>
      </c>
      <c r="F35" s="392">
        <v>67.2</v>
      </c>
      <c r="G35" s="393"/>
    </row>
    <row r="36" spans="1:7" ht="10.5" customHeight="1">
      <c r="A36" s="23" t="s">
        <v>41</v>
      </c>
      <c r="B36" s="392">
        <v>67.2</v>
      </c>
      <c r="C36" s="392">
        <v>79.599999999999994</v>
      </c>
      <c r="D36" s="392">
        <f t="shared" si="0"/>
        <v>146.80000000000001</v>
      </c>
      <c r="E36" s="392">
        <v>149.19999999999999</v>
      </c>
      <c r="F36" s="392">
        <v>52.1</v>
      </c>
      <c r="G36" s="393"/>
    </row>
    <row r="37" spans="1:7" ht="10.5" customHeight="1">
      <c r="A37" s="23" t="s">
        <v>42</v>
      </c>
      <c r="B37" s="392">
        <v>52.136000000000003</v>
      </c>
      <c r="C37" s="394">
        <v>135.57300000000001</v>
      </c>
      <c r="D37" s="392">
        <f t="shared" si="0"/>
        <v>187.709</v>
      </c>
      <c r="E37" s="392">
        <v>137.73699999999999</v>
      </c>
      <c r="F37" s="392">
        <v>108.049994</v>
      </c>
      <c r="G37" s="393"/>
    </row>
    <row r="38" spans="1:7" ht="10.5" customHeight="1">
      <c r="A38" s="23" t="s">
        <v>43</v>
      </c>
      <c r="B38" s="392">
        <f>F37</f>
        <v>108.049994</v>
      </c>
      <c r="C38" s="394">
        <v>153.859407</v>
      </c>
      <c r="D38" s="392">
        <f>B38+C38</f>
        <v>261.909401</v>
      </c>
      <c r="E38" s="392">
        <v>143.914579</v>
      </c>
      <c r="F38" s="392">
        <v>117.994823</v>
      </c>
      <c r="G38" s="393"/>
    </row>
    <row r="39" spans="1:7" s="29" customFormat="1" ht="10.5" customHeight="1">
      <c r="A39" s="23" t="s">
        <v>44</v>
      </c>
      <c r="B39" s="392">
        <f>F38</f>
        <v>117.994823</v>
      </c>
      <c r="C39" s="394">
        <v>82.308407000000003</v>
      </c>
      <c r="D39" s="392">
        <f t="shared" ref="D39:D45" si="1">B39+C39</f>
        <v>200.30322999999999</v>
      </c>
      <c r="E39" s="392">
        <v>130.23227</v>
      </c>
      <c r="F39" s="392">
        <v>94.985112999999998</v>
      </c>
      <c r="G39" s="393"/>
    </row>
    <row r="40" spans="1:7" s="29" customFormat="1" ht="10.5" customHeight="1">
      <c r="A40" s="23" t="s">
        <v>46</v>
      </c>
      <c r="B40" s="392">
        <v>94.985112999999998</v>
      </c>
      <c r="C40" s="392">
        <v>82.105999999999995</v>
      </c>
      <c r="D40" s="392">
        <f t="shared" si="1"/>
        <v>177.09111300000001</v>
      </c>
      <c r="E40" s="392">
        <v>148.469898</v>
      </c>
      <c r="F40" s="392">
        <v>51.626258</v>
      </c>
      <c r="G40" s="393"/>
    </row>
    <row r="41" spans="1:7" s="29" customFormat="1" ht="3" customHeight="1">
      <c r="A41" s="23"/>
      <c r="B41" s="392"/>
      <c r="C41" s="392"/>
      <c r="D41" s="392"/>
      <c r="E41" s="392"/>
      <c r="F41" s="392"/>
      <c r="G41" s="393"/>
    </row>
    <row r="42" spans="1:7" s="29" customFormat="1" ht="10.5" customHeight="1">
      <c r="A42" s="23" t="s">
        <v>92</v>
      </c>
      <c r="B42" s="392">
        <f>214.54/4.156</f>
        <v>51.621751684311839</v>
      </c>
      <c r="C42" s="392">
        <f>729.01/4.156</f>
        <v>175.4114533205005</v>
      </c>
      <c r="D42" s="392">
        <f t="shared" si="1"/>
        <v>227.03320500481234</v>
      </c>
      <c r="E42" s="392">
        <f>516.47/4.156</f>
        <v>124.27093358999039</v>
      </c>
      <c r="F42" s="392">
        <f>254.13/4.156</f>
        <v>61.147738209817135</v>
      </c>
      <c r="G42" s="393"/>
    </row>
    <row r="43" spans="1:7" s="29" customFormat="1" ht="10.5" customHeight="1">
      <c r="A43" s="23" t="s">
        <v>93</v>
      </c>
      <c r="B43" s="392">
        <f>254.13/4.156</f>
        <v>61.147738209817135</v>
      </c>
      <c r="C43" s="392">
        <f>531.55/4.156</f>
        <v>127.89942252165544</v>
      </c>
      <c r="D43" s="392">
        <f t="shared" si="1"/>
        <v>189.04716073147256</v>
      </c>
      <c r="E43" s="392">
        <f>450.71/4.156</f>
        <v>108.44802694898942</v>
      </c>
      <c r="F43" s="392">
        <f>319.47/4.156</f>
        <v>76.869586140519743</v>
      </c>
      <c r="G43" s="393"/>
    </row>
    <row r="44" spans="1:7" s="29" customFormat="1" ht="10.5" customHeight="1">
      <c r="A44" s="23" t="s">
        <v>94</v>
      </c>
      <c r="B44" s="392">
        <f>319.47/4.156</f>
        <v>76.869586140519743</v>
      </c>
      <c r="C44" s="392">
        <f>355/4.156</f>
        <v>85.418671799807512</v>
      </c>
      <c r="D44" s="392">
        <f t="shared" si="1"/>
        <v>162.28825794032724</v>
      </c>
      <c r="E44" s="392">
        <f>404.35/4.156</f>
        <v>97.293070259865274</v>
      </c>
      <c r="F44" s="392">
        <f>274.12/4.156</f>
        <v>65.95765158806546</v>
      </c>
      <c r="G44" s="393"/>
    </row>
    <row r="45" spans="1:7" ht="10.5" customHeight="1">
      <c r="A45" s="23" t="s">
        <v>95</v>
      </c>
      <c r="B45" s="392">
        <f>274.12/4.156</f>
        <v>65.95765158806546</v>
      </c>
      <c r="C45" s="392">
        <f>301.68/4.156</f>
        <v>72.589027911453329</v>
      </c>
      <c r="D45" s="392">
        <f t="shared" si="1"/>
        <v>138.5466794995188</v>
      </c>
      <c r="E45" s="392">
        <f>358.32/4.156</f>
        <v>86.217516843118389</v>
      </c>
      <c r="F45" s="392">
        <f>294.32/4.156</f>
        <v>70.818094321462951</v>
      </c>
      <c r="G45" s="393"/>
    </row>
    <row r="46" spans="1:7" ht="10.5" customHeight="1">
      <c r="A46" s="23" t="s">
        <v>290</v>
      </c>
      <c r="B46" s="392">
        <f>294.32/4.156</f>
        <v>70.818094321462951</v>
      </c>
      <c r="C46" s="392">
        <f>264.83/4.156</f>
        <v>63.722329162656401</v>
      </c>
      <c r="D46" s="392">
        <f t="shared" ref="D46:D48" si="2">B46+C46</f>
        <v>134.54042348411934</v>
      </c>
      <c r="E46" s="392">
        <f>366.51/4.156</f>
        <v>88.188161693936479</v>
      </c>
      <c r="F46" s="392">
        <f>219.03/4.156</f>
        <v>52.702117420596728</v>
      </c>
      <c r="G46" s="393"/>
    </row>
    <row r="47" spans="1:7" ht="10.5" customHeight="1">
      <c r="A47" s="23" t="s">
        <v>299</v>
      </c>
      <c r="B47" s="392">
        <f>219.03/4.156</f>
        <v>52.702117420596728</v>
      </c>
      <c r="C47" s="392">
        <f>232.2/4.156</f>
        <v>55.87102983638114</v>
      </c>
      <c r="D47" s="392">
        <f t="shared" si="2"/>
        <v>108.57314725697788</v>
      </c>
      <c r="E47" s="392">
        <f>363.82/4.156</f>
        <v>87.540904716073157</v>
      </c>
      <c r="F47" s="392">
        <f>192.21/4.156</f>
        <v>46.248796920115502</v>
      </c>
      <c r="G47" s="393"/>
    </row>
    <row r="48" spans="1:7" ht="10.5" customHeight="1">
      <c r="A48" s="23" t="s">
        <v>313</v>
      </c>
      <c r="B48" s="392">
        <f>192.21/4.156</f>
        <v>46.248796920115502</v>
      </c>
      <c r="C48" s="392">
        <f>159.69/4.156</f>
        <v>38.42396535129933</v>
      </c>
      <c r="D48" s="392">
        <f t="shared" si="2"/>
        <v>84.672762271414825</v>
      </c>
      <c r="E48" s="392">
        <f>303.65/4.156</f>
        <v>73.063041385948026</v>
      </c>
      <c r="F48" s="392">
        <f>243.13/4.156</f>
        <v>58.500962463907605</v>
      </c>
      <c r="G48" s="393"/>
    </row>
    <row r="49" spans="1:7" ht="10.5" customHeight="1">
      <c r="A49" s="87" t="s">
        <v>320</v>
      </c>
      <c r="B49" s="482">
        <f>243.13/4.156</f>
        <v>58.500962463907605</v>
      </c>
      <c r="C49" s="482">
        <f>212.35/4.156</f>
        <v>51.094802694898945</v>
      </c>
      <c r="D49" s="482">
        <f t="shared" ref="D49" si="3">B49+C49</f>
        <v>109.59576515880656</v>
      </c>
      <c r="E49" s="482">
        <f>317.04/4.156</f>
        <v>76.284889316650634</v>
      </c>
      <c r="F49" s="482">
        <f>317.77/4.156</f>
        <v>76.460538979788254</v>
      </c>
      <c r="G49" s="393"/>
    </row>
    <row r="50" spans="1:7">
      <c r="A50" s="395" t="s">
        <v>255</v>
      </c>
      <c r="B50" s="386"/>
      <c r="C50" s="386"/>
      <c r="D50" s="386"/>
      <c r="E50" s="386"/>
      <c r="F50" s="386"/>
    </row>
    <row r="51" spans="1:7">
      <c r="A51" s="396" t="s">
        <v>256</v>
      </c>
      <c r="B51" s="386"/>
      <c r="C51" s="386"/>
      <c r="D51" s="386"/>
      <c r="E51" s="386"/>
      <c r="F51" s="386"/>
    </row>
    <row r="52" spans="1:7">
      <c r="A52" s="395" t="s">
        <v>257</v>
      </c>
      <c r="B52" s="386"/>
      <c r="C52" s="386"/>
      <c r="D52" s="386"/>
      <c r="E52" s="386"/>
      <c r="F52" s="386"/>
    </row>
    <row r="53" spans="1:7">
      <c r="A53" s="396" t="s">
        <v>181</v>
      </c>
      <c r="B53" s="386"/>
      <c r="C53" s="386"/>
      <c r="D53" s="386"/>
      <c r="E53" s="386"/>
      <c r="F53" s="386"/>
    </row>
    <row r="55" spans="1:7">
      <c r="C55" s="397"/>
      <c r="D55" s="414"/>
    </row>
  </sheetData>
  <pageMargins left="0.66700000000000004" right="0.66700000000000004" top="0.66700000000000004" bottom="0.72" header="0" footer="0"/>
  <pageSetup firstPageNumber="99" orientation="portrait" useFirstPageNumber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zoomScaleNormal="100" workbookViewId="0">
      <selection activeCell="M40" sqref="M40"/>
    </sheetView>
  </sheetViews>
  <sheetFormatPr defaultRowHeight="12"/>
  <cols>
    <col min="2" max="4" width="12.7109375" customWidth="1"/>
    <col min="5" max="5" width="14.140625" customWidth="1"/>
    <col min="6" max="6" width="12.7109375" customWidth="1"/>
    <col min="7" max="7" width="13.85546875" customWidth="1"/>
    <col min="8" max="8" width="11.85546875" bestFit="1" customWidth="1"/>
  </cols>
  <sheetData>
    <row r="1" spans="1:7">
      <c r="A1" s="149" t="s">
        <v>258</v>
      </c>
      <c r="B1" s="2"/>
      <c r="C1" s="2"/>
      <c r="D1" s="2"/>
      <c r="E1" s="2"/>
      <c r="F1" s="2"/>
      <c r="G1" s="2"/>
    </row>
    <row r="2" spans="1:7">
      <c r="A2" s="22" t="s">
        <v>57</v>
      </c>
      <c r="B2" s="10" t="s">
        <v>171</v>
      </c>
      <c r="C2" s="10" t="s">
        <v>259</v>
      </c>
      <c r="D2" s="18" t="s">
        <v>260</v>
      </c>
      <c r="E2" s="18" t="s">
        <v>261</v>
      </c>
      <c r="F2" s="18" t="s">
        <v>262</v>
      </c>
      <c r="G2" s="18" t="s">
        <v>263</v>
      </c>
    </row>
    <row r="3" spans="1:7">
      <c r="A3" s="149"/>
      <c r="B3" s="8"/>
      <c r="C3" s="8"/>
      <c r="D3" s="8"/>
      <c r="E3" s="140" t="s">
        <v>264</v>
      </c>
      <c r="F3" s="8"/>
      <c r="G3" s="140" t="s">
        <v>265</v>
      </c>
    </row>
    <row r="4" spans="1:7" ht="3.95" customHeight="1">
      <c r="A4" s="22"/>
      <c r="B4" s="10"/>
      <c r="C4" s="10"/>
      <c r="D4" s="10"/>
      <c r="E4" s="18"/>
      <c r="F4" s="10"/>
      <c r="G4" s="18"/>
    </row>
    <row r="5" spans="1:7">
      <c r="A5" s="4"/>
      <c r="B5" s="46" t="s">
        <v>185</v>
      </c>
      <c r="C5" s="70"/>
      <c r="D5" s="47"/>
      <c r="E5" s="47"/>
      <c r="F5" s="47"/>
      <c r="G5" s="47"/>
    </row>
    <row r="6" spans="1:7" ht="3.95" customHeight="1">
      <c r="A6" s="4"/>
      <c r="B6" s="398"/>
      <c r="C6" s="70"/>
      <c r="D6" s="47"/>
      <c r="E6" s="47"/>
      <c r="F6" s="47"/>
      <c r="G6" s="47"/>
    </row>
    <row r="7" spans="1:7">
      <c r="A7" s="14" t="s">
        <v>19</v>
      </c>
      <c r="B7" s="399" t="s">
        <v>108</v>
      </c>
      <c r="C7" s="399">
        <v>318.10000000000002</v>
      </c>
      <c r="D7" s="399">
        <v>318.10000000000002</v>
      </c>
      <c r="E7" s="399">
        <v>278.8</v>
      </c>
      <c r="F7" s="399">
        <v>1</v>
      </c>
      <c r="G7" s="399" t="s">
        <v>266</v>
      </c>
    </row>
    <row r="8" spans="1:7">
      <c r="A8" s="14" t="s">
        <v>20</v>
      </c>
      <c r="B8" s="399" t="s">
        <v>108</v>
      </c>
      <c r="C8" s="399">
        <v>360.7</v>
      </c>
      <c r="D8" s="399">
        <v>360.7</v>
      </c>
      <c r="E8" s="399">
        <v>310.2</v>
      </c>
      <c r="F8" s="399">
        <v>1.2</v>
      </c>
      <c r="G8" s="399" t="s">
        <v>266</v>
      </c>
    </row>
    <row r="9" spans="1:7">
      <c r="A9" s="14" t="s">
        <v>21</v>
      </c>
      <c r="B9" s="399" t="s">
        <v>108</v>
      </c>
      <c r="C9" s="399">
        <v>374.6</v>
      </c>
      <c r="D9" s="399">
        <v>374.6</v>
      </c>
      <c r="E9" s="399">
        <v>307.2</v>
      </c>
      <c r="F9" s="399">
        <v>1.6</v>
      </c>
      <c r="G9" s="399" t="s">
        <v>266</v>
      </c>
    </row>
    <row r="10" spans="1:7">
      <c r="A10" s="14" t="s">
        <v>142</v>
      </c>
      <c r="B10" s="399" t="s">
        <v>108</v>
      </c>
      <c r="C10" s="399">
        <v>427</v>
      </c>
      <c r="D10" s="399">
        <v>427</v>
      </c>
      <c r="E10" s="399">
        <v>329.5</v>
      </c>
      <c r="F10" s="399">
        <v>3.9</v>
      </c>
      <c r="G10" s="399" t="s">
        <v>266</v>
      </c>
    </row>
    <row r="11" spans="1:7">
      <c r="A11" s="14" t="s">
        <v>143</v>
      </c>
      <c r="B11" s="399" t="s">
        <v>108</v>
      </c>
      <c r="C11" s="399">
        <v>457.6</v>
      </c>
      <c r="D11" s="399">
        <v>457.6</v>
      </c>
      <c r="E11" s="399">
        <v>331.2</v>
      </c>
      <c r="F11" s="399">
        <v>5</v>
      </c>
      <c r="G11" s="399" t="s">
        <v>266</v>
      </c>
    </row>
    <row r="12" spans="1:7">
      <c r="A12" s="14" t="s">
        <v>144</v>
      </c>
      <c r="B12" s="399" t="s">
        <v>108</v>
      </c>
      <c r="C12" s="399">
        <v>518</v>
      </c>
      <c r="D12" s="399">
        <v>518</v>
      </c>
      <c r="E12" s="399">
        <v>346.2</v>
      </c>
      <c r="F12" s="399">
        <v>3.7</v>
      </c>
      <c r="G12" s="399" t="s">
        <v>266</v>
      </c>
    </row>
    <row r="13" spans="1:7">
      <c r="A13" s="14" t="s">
        <v>25</v>
      </c>
      <c r="B13" s="399" t="s">
        <v>108</v>
      </c>
      <c r="C13" s="399">
        <v>516.5</v>
      </c>
      <c r="D13" s="399">
        <v>516.5</v>
      </c>
      <c r="E13" s="399">
        <v>380.2</v>
      </c>
      <c r="F13" s="399">
        <v>4.5</v>
      </c>
      <c r="G13" s="399" t="s">
        <v>266</v>
      </c>
    </row>
    <row r="14" spans="1:7" ht="5.25" customHeight="1">
      <c r="A14" s="14"/>
      <c r="B14" s="399"/>
      <c r="C14" s="399"/>
      <c r="D14" s="399"/>
      <c r="E14" s="399"/>
      <c r="F14" s="399"/>
      <c r="G14" s="399"/>
    </row>
    <row r="15" spans="1:7">
      <c r="A15" s="14" t="s">
        <v>26</v>
      </c>
      <c r="B15" s="399" t="s">
        <v>108</v>
      </c>
      <c r="C15" s="399">
        <v>604.9</v>
      </c>
      <c r="D15" s="399">
        <v>604.9</v>
      </c>
      <c r="E15" s="399">
        <v>387.2</v>
      </c>
      <c r="F15" s="399">
        <v>21.2</v>
      </c>
      <c r="G15" s="399" t="s">
        <v>266</v>
      </c>
    </row>
    <row r="16" spans="1:7">
      <c r="A16" s="14" t="s">
        <v>27</v>
      </c>
      <c r="B16" s="399" t="s">
        <v>108</v>
      </c>
      <c r="C16" s="399">
        <v>666.3</v>
      </c>
      <c r="D16" s="399">
        <v>666.3</v>
      </c>
      <c r="E16" s="399">
        <v>415.4</v>
      </c>
      <c r="F16" s="399">
        <v>28.8</v>
      </c>
      <c r="G16" s="399">
        <v>89</v>
      </c>
    </row>
    <row r="17" spans="1:8">
      <c r="A17" s="18" t="s">
        <v>28</v>
      </c>
      <c r="B17" s="399">
        <f>G16</f>
        <v>89</v>
      </c>
      <c r="C17" s="399">
        <v>704.4</v>
      </c>
      <c r="D17" s="399">
        <f>C17+B17</f>
        <v>793.4</v>
      </c>
      <c r="E17" s="399">
        <v>427.4</v>
      </c>
      <c r="F17" s="399">
        <v>36.6</v>
      </c>
      <c r="G17" s="399">
        <v>78.900000000000006</v>
      </c>
    </row>
    <row r="18" spans="1:8">
      <c r="A18" s="22" t="s">
        <v>30</v>
      </c>
      <c r="B18" s="399">
        <f>G17</f>
        <v>78.900000000000006</v>
      </c>
      <c r="C18" s="399">
        <v>781.2</v>
      </c>
      <c r="D18" s="399">
        <f>C18+B18</f>
        <v>860.1</v>
      </c>
      <c r="E18" s="399">
        <v>438</v>
      </c>
      <c r="F18" s="399">
        <v>34.6</v>
      </c>
      <c r="G18" s="399">
        <v>108.3</v>
      </c>
    </row>
    <row r="19" spans="1:8">
      <c r="A19" s="22" t="s">
        <v>31</v>
      </c>
      <c r="B19" s="399">
        <f>G18</f>
        <v>108.3</v>
      </c>
      <c r="C19" s="399">
        <v>800.3</v>
      </c>
      <c r="D19" s="399">
        <f>C19+B19</f>
        <v>908.59999999999991</v>
      </c>
      <c r="E19" s="399">
        <v>440.3</v>
      </c>
      <c r="F19" s="399">
        <v>35.9</v>
      </c>
      <c r="G19" s="399">
        <v>120.3</v>
      </c>
    </row>
    <row r="20" spans="1:8">
      <c r="A20" s="22" t="s">
        <v>32</v>
      </c>
      <c r="B20" s="399">
        <f>G19</f>
        <v>120.3</v>
      </c>
      <c r="C20" s="399">
        <v>945.7</v>
      </c>
      <c r="D20" s="399">
        <f>C20+B20</f>
        <v>1066</v>
      </c>
      <c r="E20" s="399">
        <v>545.9</v>
      </c>
      <c r="F20" s="399">
        <v>37.700000000000003</v>
      </c>
      <c r="G20" s="399">
        <v>83.7</v>
      </c>
    </row>
    <row r="21" spans="1:8" ht="6" customHeight="1">
      <c r="A21" s="22"/>
      <c r="B21" s="399"/>
      <c r="C21" s="399"/>
      <c r="D21" s="399"/>
      <c r="E21" s="399"/>
      <c r="F21" s="399"/>
      <c r="G21" s="399"/>
    </row>
    <row r="22" spans="1:8">
      <c r="A22" s="22" t="s">
        <v>33</v>
      </c>
      <c r="B22" s="399">
        <v>83.7</v>
      </c>
      <c r="C22" s="399">
        <v>1008.9</v>
      </c>
      <c r="D22" s="399">
        <f>C22+B22</f>
        <v>1092.5999999999999</v>
      </c>
      <c r="E22" s="399">
        <v>554.9</v>
      </c>
      <c r="F22" s="399">
        <v>33.200000000000003</v>
      </c>
      <c r="G22" s="399">
        <v>86.7</v>
      </c>
    </row>
    <row r="23" spans="1:8">
      <c r="A23" s="22" t="s">
        <v>34</v>
      </c>
      <c r="B23" s="399">
        <f t="shared" ref="B23:B30" si="0">G22</f>
        <v>86.7</v>
      </c>
      <c r="C23" s="399">
        <v>1016.3</v>
      </c>
      <c r="D23" s="399">
        <f t="shared" ref="D23:D30" si="1">C23+B23</f>
        <v>1103</v>
      </c>
      <c r="E23" s="399">
        <v>519.79999999999995</v>
      </c>
      <c r="F23" s="399">
        <v>58.5</v>
      </c>
      <c r="G23" s="399">
        <v>163</v>
      </c>
    </row>
    <row r="24" spans="1:8">
      <c r="A24" s="22" t="s">
        <v>35</v>
      </c>
      <c r="B24" s="399">
        <f t="shared" si="0"/>
        <v>163</v>
      </c>
      <c r="C24" s="399">
        <v>1139.7</v>
      </c>
      <c r="D24" s="399">
        <f t="shared" si="1"/>
        <v>1302.7</v>
      </c>
      <c r="E24" s="399">
        <v>582.5</v>
      </c>
      <c r="F24" s="399">
        <v>52.6</v>
      </c>
      <c r="G24" s="399">
        <v>152.30000000000001</v>
      </c>
    </row>
    <row r="25" spans="1:8">
      <c r="A25" s="22" t="s">
        <v>36</v>
      </c>
      <c r="B25" s="399">
        <f t="shared" si="0"/>
        <v>152.30000000000001</v>
      </c>
      <c r="C25" s="399">
        <v>1190.8</v>
      </c>
      <c r="D25" s="399">
        <f t="shared" si="1"/>
        <v>1343.1</v>
      </c>
      <c r="E25" s="399">
        <v>566.5</v>
      </c>
      <c r="F25" s="399">
        <v>36.1</v>
      </c>
      <c r="G25" s="399">
        <v>154.4</v>
      </c>
    </row>
    <row r="26" spans="1:8">
      <c r="A26" s="18" t="s">
        <v>37</v>
      </c>
      <c r="B26" s="399">
        <f t="shared" si="0"/>
        <v>154.4</v>
      </c>
      <c r="C26" s="399">
        <v>1235.8</v>
      </c>
      <c r="D26" s="399">
        <f t="shared" si="1"/>
        <v>1390.2</v>
      </c>
      <c r="E26" s="399">
        <v>582.404</v>
      </c>
      <c r="F26" s="399">
        <v>19.3</v>
      </c>
      <c r="G26" s="399">
        <v>177.50700000000001</v>
      </c>
    </row>
    <row r="27" spans="1:8">
      <c r="A27" s="18" t="s">
        <v>38</v>
      </c>
      <c r="B27" s="399">
        <f>G26</f>
        <v>177.50700000000001</v>
      </c>
      <c r="C27" s="399">
        <v>1279.0139999999999</v>
      </c>
      <c r="D27" s="399">
        <f>C27+B27</f>
        <v>1456.521</v>
      </c>
      <c r="E27" s="399">
        <v>561.23599999999999</v>
      </c>
      <c r="F27" s="399">
        <v>42.4</v>
      </c>
      <c r="G27" s="399">
        <v>189.08199999999999</v>
      </c>
    </row>
    <row r="28" spans="1:8" ht="6.75" customHeight="1">
      <c r="A28" s="18"/>
      <c r="B28" s="399"/>
      <c r="C28" s="399"/>
      <c r="D28" s="399"/>
      <c r="E28" s="399"/>
      <c r="F28" s="399"/>
      <c r="G28" s="399"/>
    </row>
    <row r="29" spans="1:8">
      <c r="A29" s="18" t="s">
        <v>39</v>
      </c>
      <c r="B29" s="400">
        <f>G27</f>
        <v>189.08199999999999</v>
      </c>
      <c r="C29" s="400">
        <v>1398.8710000000001</v>
      </c>
      <c r="D29" s="400">
        <f t="shared" si="1"/>
        <v>1587.953</v>
      </c>
      <c r="E29" s="400">
        <v>552.99199999999996</v>
      </c>
      <c r="F29" s="400">
        <v>52.744</v>
      </c>
      <c r="G29" s="400">
        <v>167.47200000000001</v>
      </c>
    </row>
    <row r="30" spans="1:8">
      <c r="A30" s="18" t="s">
        <v>40</v>
      </c>
      <c r="B30" s="400">
        <f t="shared" si="0"/>
        <v>167.47200000000001</v>
      </c>
      <c r="C30" s="400">
        <v>1457.5</v>
      </c>
      <c r="D30" s="400">
        <f t="shared" si="1"/>
        <v>1624.972</v>
      </c>
      <c r="E30" s="400">
        <v>587.20000000000005</v>
      </c>
      <c r="F30" s="400">
        <v>23.1</v>
      </c>
      <c r="G30" s="400">
        <v>175</v>
      </c>
    </row>
    <row r="31" spans="1:8">
      <c r="A31" s="18" t="s">
        <v>41</v>
      </c>
      <c r="B31" s="400">
        <v>175</v>
      </c>
      <c r="C31" s="400">
        <v>1335.1</v>
      </c>
      <c r="D31" s="400">
        <f>B31+C31</f>
        <v>1510.1</v>
      </c>
      <c r="E31" s="400">
        <v>544.79999999999995</v>
      </c>
      <c r="F31" s="400">
        <v>16.100000000000001</v>
      </c>
      <c r="G31" s="400">
        <v>152.5</v>
      </c>
      <c r="H31" s="59"/>
    </row>
    <row r="32" spans="1:8">
      <c r="A32" s="18" t="s">
        <v>42</v>
      </c>
      <c r="B32" s="400">
        <v>152.5</v>
      </c>
      <c r="C32" s="392">
        <v>1455.8579999999999</v>
      </c>
      <c r="D32" s="392">
        <f>B32+C32</f>
        <v>1608.3579999999999</v>
      </c>
      <c r="E32" s="400">
        <v>544.71199999999999</v>
      </c>
      <c r="F32" s="400">
        <v>17.742000000000001</v>
      </c>
      <c r="G32" s="400">
        <v>187.76400000000001</v>
      </c>
    </row>
    <row r="33" spans="1:8" s="27" customFormat="1">
      <c r="A33" s="23" t="s">
        <v>43</v>
      </c>
      <c r="B33" s="392">
        <f>G32</f>
        <v>187.76400000000001</v>
      </c>
      <c r="C33" s="392">
        <v>1434.5060000000001</v>
      </c>
      <c r="D33" s="392">
        <f>B33+C33</f>
        <v>1622.27</v>
      </c>
      <c r="E33" s="392">
        <v>519.91300000000001</v>
      </c>
      <c r="F33" s="392">
        <v>33.609575999999997</v>
      </c>
      <c r="G33" s="392">
        <v>211.190518</v>
      </c>
      <c r="H33" s="401"/>
    </row>
    <row r="34" spans="1:8" s="29" customFormat="1">
      <c r="A34" s="23" t="s">
        <v>44</v>
      </c>
      <c r="B34" s="392">
        <f t="shared" ref="B34" si="2">G33</f>
        <v>211.190518</v>
      </c>
      <c r="C34" s="392">
        <v>1250.952</v>
      </c>
      <c r="D34" s="392">
        <f>B34+C34</f>
        <v>1462.1425180000001</v>
      </c>
      <c r="E34" s="392">
        <v>501.10714899999999</v>
      </c>
      <c r="F34" s="392">
        <v>35.778173000000002</v>
      </c>
      <c r="G34" s="392">
        <v>164.801682</v>
      </c>
    </row>
    <row r="35" spans="1:8" s="29" customFormat="1">
      <c r="A35" s="23" t="s">
        <v>46</v>
      </c>
      <c r="B35" s="392">
        <v>164.801682</v>
      </c>
      <c r="C35" s="392">
        <v>894.47</v>
      </c>
      <c r="D35" s="392">
        <f t="shared" ref="D35:D40" si="3">B35+C35</f>
        <v>1059.2716820000001</v>
      </c>
      <c r="E35" s="392">
        <v>503.822</v>
      </c>
      <c r="F35" s="392">
        <v>37.524303000000003</v>
      </c>
      <c r="G35" s="392">
        <v>182.710095</v>
      </c>
    </row>
    <row r="36" spans="1:8" s="29" customFormat="1" ht="3" customHeight="1">
      <c r="A36" s="23"/>
      <c r="B36" s="392"/>
      <c r="C36" s="392"/>
      <c r="D36" s="392"/>
      <c r="E36" s="392"/>
      <c r="F36" s="392"/>
      <c r="G36" s="392"/>
    </row>
    <row r="37" spans="1:8" s="29" customFormat="1">
      <c r="A37" s="23" t="s">
        <v>47</v>
      </c>
      <c r="B37" s="392">
        <f>188.01/1.029</f>
        <v>182.71137026239069</v>
      </c>
      <c r="C37" s="392">
        <f>888.34/1.029</f>
        <v>863.30417881438302</v>
      </c>
      <c r="D37" s="392">
        <f>B37+C37</f>
        <v>1046.0155490767738</v>
      </c>
      <c r="E37" s="392">
        <f>(44.47+449.05)/1.029</f>
        <v>479.61127308066085</v>
      </c>
      <c r="F37" s="392">
        <f>(23.5+7.66)/1.029</f>
        <v>30.281827016520896</v>
      </c>
      <c r="G37" s="392">
        <f>192/1.029</f>
        <v>186.58892128279885</v>
      </c>
    </row>
    <row r="38" spans="1:8" s="29" customFormat="1">
      <c r="A38" s="23" t="s">
        <v>48</v>
      </c>
      <c r="B38" s="392">
        <f>192/1.029</f>
        <v>186.58892128279885</v>
      </c>
      <c r="C38" s="392">
        <f>907.28/1.029</f>
        <v>881.71039844509232</v>
      </c>
      <c r="D38" s="392">
        <f t="shared" ref="D38:D39" si="4">B38+C38</f>
        <v>1068.2993197278911</v>
      </c>
      <c r="E38" s="392">
        <f>(45.55+467.94)/1.029</f>
        <v>499.01846452866869</v>
      </c>
      <c r="F38" s="392">
        <f>(18.58+5)/1.029</f>
        <v>22.915451895043731</v>
      </c>
      <c r="G38" s="392">
        <f>219.28/1.029</f>
        <v>213.10009718172986</v>
      </c>
    </row>
    <row r="39" spans="1:8" s="29" customFormat="1">
      <c r="A39" s="43" t="s">
        <v>51</v>
      </c>
      <c r="B39" s="392">
        <f>219.28/1.029</f>
        <v>213.10009718172986</v>
      </c>
      <c r="C39" s="392">
        <f>866.18/1.029</f>
        <v>841.76870748299325</v>
      </c>
      <c r="D39" s="392">
        <f t="shared" si="4"/>
        <v>1054.868804664723</v>
      </c>
      <c r="E39" s="392">
        <f>(35.73+450.88)/1.029</f>
        <v>472.89601554907682</v>
      </c>
      <c r="F39" s="392">
        <f>(21.44+3.84)/1.029</f>
        <v>24.567541302235181</v>
      </c>
      <c r="G39" s="392">
        <f>213.58/1.029</f>
        <v>207.56073858114678</v>
      </c>
    </row>
    <row r="40" spans="1:8" s="27" customFormat="1">
      <c r="A40" s="23" t="s">
        <v>52</v>
      </c>
      <c r="B40" s="392">
        <f>213.58/1.029</f>
        <v>207.56073858114678</v>
      </c>
      <c r="C40" s="392">
        <f>770.46/1.029</f>
        <v>748.74635568513133</v>
      </c>
      <c r="D40" s="392">
        <f t="shared" si="3"/>
        <v>956.30709426627811</v>
      </c>
      <c r="E40" s="392">
        <f>(28.64+403.93)/1.029</f>
        <v>420.37900874635574</v>
      </c>
      <c r="F40" s="392">
        <f>(6.23+1.94)/1.029</f>
        <v>7.9397473275024302</v>
      </c>
      <c r="G40" s="392">
        <f>238.68/1.029</f>
        <v>231.95335276967933</v>
      </c>
    </row>
    <row r="41" spans="1:8" s="27" customFormat="1">
      <c r="A41" s="23" t="s">
        <v>291</v>
      </c>
      <c r="B41" s="392">
        <f>238.68/1.029</f>
        <v>231.95335276967933</v>
      </c>
      <c r="C41" s="392">
        <f>712.51/1.029</f>
        <v>692.42954324586981</v>
      </c>
      <c r="D41" s="392">
        <f t="shared" ref="D41:D43" si="5">B41+C41</f>
        <v>924.38289601554914</v>
      </c>
      <c r="E41" s="392">
        <f>(24.38+396.09)/1.029</f>
        <v>408.62001943634596</v>
      </c>
      <c r="F41" s="392">
        <f>(6.65+0.36)/1.029</f>
        <v>6.8124392614188549</v>
      </c>
      <c r="G41" s="392">
        <f>202.75/1.029</f>
        <v>197.0359572400389</v>
      </c>
    </row>
    <row r="42" spans="1:8" s="27" customFormat="1">
      <c r="A42" s="23" t="s">
        <v>298</v>
      </c>
      <c r="B42" s="392">
        <f>202.75/1.029</f>
        <v>197.0359572400389</v>
      </c>
      <c r="C42" s="392">
        <f>624.8/1.029</f>
        <v>607.19144800777451</v>
      </c>
      <c r="D42" s="392">
        <f t="shared" si="5"/>
        <v>804.22740524781341</v>
      </c>
      <c r="E42" s="392">
        <f>(26.39+366.34)/1.029</f>
        <v>381.66180758017492</v>
      </c>
      <c r="F42" s="392">
        <f>(4.77+0.38)/1.029</f>
        <v>5.0048590864917397</v>
      </c>
      <c r="G42" s="392">
        <f>186.75/1.029</f>
        <v>181.48688046647231</v>
      </c>
    </row>
    <row r="43" spans="1:8" s="27" customFormat="1">
      <c r="A43" s="23" t="s">
        <v>312</v>
      </c>
      <c r="B43" s="392">
        <f>186.75/1.029</f>
        <v>181.48688046647231</v>
      </c>
      <c r="C43" s="392">
        <f>503.14/1.029</f>
        <v>488.96015549076776</v>
      </c>
      <c r="D43" s="392">
        <f t="shared" si="5"/>
        <v>670.44703595724013</v>
      </c>
      <c r="E43" s="392">
        <f>(24.83+338.5)/1.029</f>
        <v>353.09037900874637</v>
      </c>
      <c r="F43" s="392">
        <f>(1.86+0.17)/1.029</f>
        <v>1.9727891156462589</v>
      </c>
      <c r="G43" s="392">
        <f>124.54/1.029</f>
        <v>121.0301263362488</v>
      </c>
    </row>
    <row r="44" spans="1:8" s="27" customFormat="1">
      <c r="A44" s="87" t="s">
        <v>319</v>
      </c>
      <c r="B44" s="482">
        <f>124.54/1.029</f>
        <v>121.0301263362488</v>
      </c>
      <c r="C44" s="482">
        <f>616.16/1.029</f>
        <v>598.79494655004862</v>
      </c>
      <c r="D44" s="482">
        <f t="shared" ref="D44" si="6">B44+C44</f>
        <v>719.82507288629745</v>
      </c>
      <c r="E44" s="482">
        <f>(17.81+327.38)/1.029</f>
        <v>335.46161321671531</v>
      </c>
      <c r="F44" s="482">
        <f>(2.24+0.04)/1.029</f>
        <v>2.2157434402332368</v>
      </c>
      <c r="G44" s="482">
        <f>208.98/1.029</f>
        <v>203.09037900874637</v>
      </c>
    </row>
    <row r="45" spans="1:8">
      <c r="A45" s="34" t="s">
        <v>267</v>
      </c>
      <c r="B45" s="400"/>
      <c r="C45" s="400"/>
      <c r="D45" s="400"/>
      <c r="E45" s="400"/>
      <c r="F45" s="400"/>
      <c r="G45" s="400"/>
    </row>
    <row r="46" spans="1:8">
      <c r="A46" s="97" t="s">
        <v>268</v>
      </c>
      <c r="B46" s="399"/>
      <c r="C46" s="399"/>
      <c r="D46" s="399"/>
      <c r="E46" s="399"/>
      <c r="F46" s="399"/>
      <c r="G46" s="399"/>
    </row>
    <row r="47" spans="1:8">
      <c r="A47" s="39" t="s">
        <v>181</v>
      </c>
      <c r="B47" s="4"/>
      <c r="C47" s="4"/>
      <c r="D47" s="4"/>
      <c r="E47" s="4"/>
      <c r="F47" s="4"/>
      <c r="G47" s="4"/>
    </row>
  </sheetData>
  <pageMargins left="0.66700000000000004" right="0.66700000000000004" top="0.66700000000000004" bottom="0.72" header="0" footer="0"/>
  <pageSetup firstPageNumber="100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57"/>
  <sheetViews>
    <sheetView showGridLines="0" view="pageBreakPreview" zoomScaleNormal="100" zoomScaleSheetLayoutView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W56" sqref="W56"/>
    </sheetView>
  </sheetViews>
  <sheetFormatPr defaultColWidth="9.7109375" defaultRowHeight="12"/>
  <cols>
    <col min="1" max="1" width="8.28515625" customWidth="1"/>
    <col min="2" max="2" width="7.85546875" customWidth="1"/>
    <col min="3" max="3" width="9.7109375" customWidth="1"/>
    <col min="4" max="4" width="1.28515625" customWidth="1"/>
    <col min="5" max="5" width="7.85546875" customWidth="1"/>
    <col min="6" max="6" width="9.28515625" customWidth="1"/>
    <col min="7" max="7" width="1.28515625" customWidth="1"/>
    <col min="8" max="8" width="7.85546875" customWidth="1"/>
    <col min="9" max="9" width="9.7109375" customWidth="1"/>
    <col min="10" max="10" width="1.28515625" customWidth="1"/>
    <col min="11" max="11" width="7.85546875" customWidth="1"/>
    <col min="12" max="12" width="9.7109375" customWidth="1"/>
    <col min="13" max="13" width="1.28515625" customWidth="1"/>
    <col min="14" max="14" width="7.85546875" customWidth="1"/>
    <col min="15" max="15" width="9.7109375" customWidth="1"/>
  </cols>
  <sheetData>
    <row r="1" spans="1:16">
      <c r="A1" s="1" t="s">
        <v>100</v>
      </c>
      <c r="B1" s="3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68"/>
    </row>
    <row r="2" spans="1:16">
      <c r="A2" s="14" t="s">
        <v>57</v>
      </c>
      <c r="B2" s="6" t="s">
        <v>1</v>
      </c>
      <c r="C2" s="6"/>
      <c r="D2" s="5"/>
      <c r="E2" s="6" t="s">
        <v>2</v>
      </c>
      <c r="F2" s="6"/>
      <c r="G2" s="5"/>
      <c r="H2" s="6" t="s">
        <v>4</v>
      </c>
      <c r="I2" s="6"/>
      <c r="J2" s="5"/>
      <c r="K2" s="6" t="s">
        <v>3</v>
      </c>
      <c r="L2" s="6"/>
      <c r="M2" s="5"/>
      <c r="N2" s="6" t="s">
        <v>58</v>
      </c>
      <c r="O2" s="6"/>
      <c r="P2" s="68"/>
    </row>
    <row r="3" spans="1:16">
      <c r="A3" s="3"/>
      <c r="B3" s="9" t="s">
        <v>101</v>
      </c>
      <c r="C3" s="9" t="s">
        <v>102</v>
      </c>
      <c r="D3" s="3"/>
      <c r="E3" s="9" t="s">
        <v>101</v>
      </c>
      <c r="F3" s="9" t="s">
        <v>102</v>
      </c>
      <c r="G3" s="3"/>
      <c r="H3" s="9" t="s">
        <v>101</v>
      </c>
      <c r="I3" s="9" t="s">
        <v>102</v>
      </c>
      <c r="J3" s="3"/>
      <c r="K3" s="9" t="s">
        <v>101</v>
      </c>
      <c r="L3" s="9" t="s">
        <v>102</v>
      </c>
      <c r="M3" s="2"/>
      <c r="N3" s="9" t="s">
        <v>101</v>
      </c>
      <c r="O3" s="9" t="s">
        <v>102</v>
      </c>
      <c r="P3" s="68"/>
    </row>
    <row r="4" spans="1:16" ht="3.95" customHeight="1">
      <c r="A4" s="5"/>
      <c r="B4" s="10"/>
      <c r="C4" s="10"/>
      <c r="D4" s="5"/>
      <c r="E4" s="10"/>
      <c r="F4" s="10"/>
      <c r="G4" s="5"/>
      <c r="H4" s="10"/>
      <c r="I4" s="10"/>
      <c r="J4" s="5"/>
      <c r="K4" s="10"/>
      <c r="L4" s="10"/>
      <c r="M4" s="5"/>
      <c r="N4" s="10"/>
      <c r="O4" s="10"/>
      <c r="P4" s="68"/>
    </row>
    <row r="5" spans="1:16" ht="10.15" customHeight="1">
      <c r="A5" s="4"/>
      <c r="B5" s="69" t="s">
        <v>103</v>
      </c>
      <c r="C5" s="47"/>
      <c r="D5" s="47"/>
      <c r="E5" s="47"/>
      <c r="F5" s="47"/>
      <c r="G5" s="47"/>
      <c r="H5" s="70"/>
      <c r="I5" s="47"/>
      <c r="J5" s="47"/>
      <c r="K5" s="47"/>
      <c r="L5" s="47"/>
      <c r="M5" s="47"/>
      <c r="N5" s="47"/>
      <c r="O5" s="47"/>
      <c r="P5" s="68"/>
    </row>
    <row r="6" spans="1:16" ht="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8"/>
    </row>
    <row r="7" spans="1:16" ht="10.15" customHeight="1">
      <c r="A7" s="14" t="s">
        <v>60</v>
      </c>
      <c r="B7" s="71">
        <v>729.59749999999997</v>
      </c>
      <c r="C7" s="72">
        <v>1408.1524999999999</v>
      </c>
      <c r="D7" s="71"/>
      <c r="E7" s="71">
        <v>145.92500000000001</v>
      </c>
      <c r="F7" s="72">
        <v>116.02500000000001</v>
      </c>
      <c r="G7" s="71"/>
      <c r="H7" s="71">
        <v>51.2</v>
      </c>
      <c r="I7" s="72">
        <v>38.4</v>
      </c>
      <c r="J7" s="71"/>
      <c r="K7" s="71">
        <v>186</v>
      </c>
      <c r="L7" s="72">
        <v>82</v>
      </c>
      <c r="M7" s="71"/>
      <c r="N7" s="71">
        <v>1112.7225000000001</v>
      </c>
      <c r="O7" s="72">
        <v>1644.5775000000001</v>
      </c>
      <c r="P7" s="68"/>
    </row>
    <row r="8" spans="1:16" ht="10.15" customHeight="1">
      <c r="A8" s="14" t="s">
        <v>61</v>
      </c>
      <c r="B8" s="71">
        <v>710.5575</v>
      </c>
      <c r="C8" s="72">
        <v>1333.6925000000001</v>
      </c>
      <c r="D8" s="71"/>
      <c r="E8" s="71">
        <v>120.41249999999999</v>
      </c>
      <c r="F8" s="72">
        <v>79.462500000000006</v>
      </c>
      <c r="G8" s="71"/>
      <c r="H8" s="71">
        <v>35.520000000000003</v>
      </c>
      <c r="I8" s="72">
        <v>41.28</v>
      </c>
      <c r="J8" s="71"/>
      <c r="K8" s="71">
        <v>289.2</v>
      </c>
      <c r="L8" s="72">
        <v>266.8</v>
      </c>
      <c r="M8" s="71"/>
      <c r="N8" s="71">
        <v>1158</v>
      </c>
      <c r="O8" s="72">
        <v>1720</v>
      </c>
      <c r="P8" s="68"/>
    </row>
    <row r="9" spans="1:16" ht="10.15" customHeight="1">
      <c r="A9" s="14" t="s">
        <v>62</v>
      </c>
      <c r="B9" s="71">
        <v>778.30250000000001</v>
      </c>
      <c r="C9" s="72">
        <v>896.19749999999999</v>
      </c>
      <c r="D9" s="71"/>
      <c r="E9" s="71">
        <v>143.65</v>
      </c>
      <c r="F9" s="72">
        <v>93.6</v>
      </c>
      <c r="G9" s="71"/>
      <c r="H9" s="71">
        <v>63.36</v>
      </c>
      <c r="I9" s="72">
        <v>42.24</v>
      </c>
      <c r="J9" s="71"/>
      <c r="K9" s="71">
        <v>312</v>
      </c>
      <c r="L9" s="72">
        <v>136</v>
      </c>
      <c r="M9" s="71"/>
      <c r="N9" s="71">
        <v>1297.3125</v>
      </c>
      <c r="O9" s="72">
        <v>1168</v>
      </c>
      <c r="P9" s="68"/>
    </row>
    <row r="10" spans="1:16" ht="10.15" customHeight="1">
      <c r="A10" s="14" t="s">
        <v>63</v>
      </c>
      <c r="B10" s="71">
        <v>708.09249999999997</v>
      </c>
      <c r="C10" s="72">
        <v>1030.1575</v>
      </c>
      <c r="D10" s="71"/>
      <c r="E10" s="71">
        <v>150.15</v>
      </c>
      <c r="F10" s="72">
        <v>85.15</v>
      </c>
      <c r="G10" s="71"/>
      <c r="H10" s="71">
        <v>54.4</v>
      </c>
      <c r="I10" s="72">
        <v>25.6</v>
      </c>
      <c r="J10" s="71"/>
      <c r="K10" s="71">
        <v>114.4</v>
      </c>
      <c r="L10" s="72">
        <v>13.6</v>
      </c>
      <c r="M10" s="71"/>
      <c r="N10" s="71">
        <v>1028</v>
      </c>
      <c r="O10" s="72">
        <v>1156</v>
      </c>
      <c r="P10" s="68"/>
    </row>
    <row r="11" spans="1:16" ht="12.95" customHeight="1">
      <c r="A11" s="14" t="s">
        <v>64</v>
      </c>
      <c r="B11" s="71">
        <v>636.99</v>
      </c>
      <c r="C11" s="72">
        <v>1233.01</v>
      </c>
      <c r="D11" s="71"/>
      <c r="E11" s="71">
        <v>201.5</v>
      </c>
      <c r="F11" s="72">
        <v>84.5</v>
      </c>
      <c r="G11" s="71"/>
      <c r="H11" s="71">
        <v>69.760000000000005</v>
      </c>
      <c r="I11" s="72">
        <v>37.44</v>
      </c>
      <c r="J11" s="71"/>
      <c r="K11" s="404" t="s">
        <v>54</v>
      </c>
      <c r="L11" s="404" t="s">
        <v>281</v>
      </c>
      <c r="M11" s="71"/>
      <c r="N11" s="71">
        <v>911</v>
      </c>
      <c r="O11" s="72">
        <v>1355</v>
      </c>
      <c r="P11" s="68"/>
    </row>
    <row r="12" spans="1:16" ht="10.15" customHeight="1">
      <c r="A12" s="14" t="s">
        <v>65</v>
      </c>
      <c r="B12" s="71">
        <v>833.85</v>
      </c>
      <c r="C12" s="72">
        <v>1153.0250000000001</v>
      </c>
      <c r="D12" s="71"/>
      <c r="E12" s="71">
        <v>185.25</v>
      </c>
      <c r="F12" s="72">
        <v>78</v>
      </c>
      <c r="G12" s="71"/>
      <c r="H12" s="71">
        <v>57.6</v>
      </c>
      <c r="I12" s="72">
        <v>32</v>
      </c>
      <c r="J12" s="71"/>
      <c r="K12" s="71">
        <v>8</v>
      </c>
      <c r="L12" s="72">
        <v>0.8</v>
      </c>
      <c r="M12" s="71"/>
      <c r="N12" s="71">
        <v>1088</v>
      </c>
      <c r="O12" s="72">
        <v>1264</v>
      </c>
      <c r="P12" s="68"/>
    </row>
    <row r="13" spans="1:16" ht="3" customHeight="1">
      <c r="A13" s="14"/>
      <c r="B13" s="71"/>
      <c r="C13" s="72"/>
      <c r="D13" s="71"/>
      <c r="E13" s="71"/>
      <c r="F13" s="72"/>
      <c r="G13" s="71"/>
      <c r="H13" s="71"/>
      <c r="I13" s="72"/>
      <c r="J13" s="71"/>
      <c r="K13" s="71"/>
      <c r="L13" s="72"/>
      <c r="M13" s="71"/>
      <c r="N13" s="71"/>
      <c r="O13" s="72"/>
      <c r="P13" s="68"/>
    </row>
    <row r="14" spans="1:16" ht="10.15" customHeight="1">
      <c r="A14" s="14" t="s">
        <v>66</v>
      </c>
      <c r="B14" s="71">
        <v>889.86500000000001</v>
      </c>
      <c r="C14" s="72">
        <v>1226.635</v>
      </c>
      <c r="D14" s="71"/>
      <c r="E14" s="71">
        <v>190.125</v>
      </c>
      <c r="F14" s="72">
        <v>112.125</v>
      </c>
      <c r="G14" s="71"/>
      <c r="H14" s="71">
        <v>55.68</v>
      </c>
      <c r="I14" s="72">
        <v>32.32</v>
      </c>
      <c r="J14" s="71"/>
      <c r="K14" s="71">
        <v>62.2</v>
      </c>
      <c r="L14" s="72">
        <v>14.8</v>
      </c>
      <c r="M14" s="71"/>
      <c r="N14" s="71">
        <v>1200</v>
      </c>
      <c r="O14" s="72">
        <v>1386</v>
      </c>
      <c r="P14" s="68"/>
    </row>
    <row r="15" spans="1:16" ht="10.15" customHeight="1">
      <c r="A15" s="14" t="s">
        <v>67</v>
      </c>
      <c r="B15" s="71">
        <v>982.17499999999995</v>
      </c>
      <c r="C15" s="72">
        <v>1306.45</v>
      </c>
      <c r="D15" s="71"/>
      <c r="E15" s="71">
        <v>195</v>
      </c>
      <c r="F15" s="72">
        <v>100.75</v>
      </c>
      <c r="G15" s="71"/>
      <c r="H15" s="71">
        <v>41.6</v>
      </c>
      <c r="I15" s="72">
        <v>20.8</v>
      </c>
      <c r="J15" s="71"/>
      <c r="K15" s="71">
        <v>111.4</v>
      </c>
      <c r="L15" s="72">
        <v>40.6</v>
      </c>
      <c r="M15" s="71"/>
      <c r="N15" s="71">
        <v>1332</v>
      </c>
      <c r="O15" s="72">
        <v>1469</v>
      </c>
      <c r="P15" s="68"/>
    </row>
    <row r="16" spans="1:16" ht="9" customHeight="1">
      <c r="A16" s="14" t="s">
        <v>105</v>
      </c>
      <c r="B16" s="71">
        <v>1015.835</v>
      </c>
      <c r="C16" s="72">
        <v>1311.04</v>
      </c>
      <c r="D16" s="71"/>
      <c r="E16" s="71">
        <v>178.75</v>
      </c>
      <c r="F16" s="72">
        <v>81.25</v>
      </c>
      <c r="G16" s="71"/>
      <c r="H16" s="71">
        <v>42.72</v>
      </c>
      <c r="I16" s="72">
        <v>19.68</v>
      </c>
      <c r="J16" s="71"/>
      <c r="K16" s="71">
        <v>155.6</v>
      </c>
      <c r="L16" s="72">
        <v>36.4</v>
      </c>
      <c r="M16" s="71"/>
      <c r="N16" s="71">
        <v>1395</v>
      </c>
      <c r="O16" s="72">
        <v>1449</v>
      </c>
      <c r="P16" s="68"/>
    </row>
    <row r="17" spans="1:18" ht="10.15" customHeight="1">
      <c r="A17" s="14" t="s">
        <v>69</v>
      </c>
      <c r="B17" s="71">
        <v>567.12</v>
      </c>
      <c r="C17" s="72">
        <v>950.13</v>
      </c>
      <c r="D17" s="71"/>
      <c r="E17" s="71">
        <v>195</v>
      </c>
      <c r="F17" s="72">
        <v>110.5</v>
      </c>
      <c r="G17" s="71"/>
      <c r="H17" s="71">
        <v>53.28</v>
      </c>
      <c r="I17" s="72">
        <v>17.12</v>
      </c>
      <c r="J17" s="71"/>
      <c r="K17" s="71">
        <v>64.2</v>
      </c>
      <c r="L17" s="72">
        <v>15.8</v>
      </c>
      <c r="M17" s="71"/>
      <c r="N17" s="71">
        <v>882</v>
      </c>
      <c r="O17" s="72">
        <v>1096</v>
      </c>
      <c r="P17" s="68"/>
    </row>
    <row r="18" spans="1:18" ht="12.95" customHeight="1">
      <c r="A18" s="14" t="s">
        <v>70</v>
      </c>
      <c r="B18" s="71">
        <v>1016.7275</v>
      </c>
      <c r="C18" s="72">
        <v>900.02250000000004</v>
      </c>
      <c r="D18" s="71"/>
      <c r="E18" s="71">
        <v>169</v>
      </c>
      <c r="F18" s="72">
        <v>91</v>
      </c>
      <c r="G18" s="71"/>
      <c r="H18" s="71">
        <v>54.143999999999998</v>
      </c>
      <c r="I18" s="72">
        <v>22.655999999999999</v>
      </c>
      <c r="J18" s="71"/>
      <c r="K18" s="73" t="s">
        <v>280</v>
      </c>
      <c r="L18" s="73" t="s">
        <v>282</v>
      </c>
      <c r="M18" s="71"/>
      <c r="N18" s="71">
        <v>1241</v>
      </c>
      <c r="O18" s="72">
        <v>1015</v>
      </c>
      <c r="P18" s="68"/>
    </row>
    <row r="19" spans="1:18" ht="12.95" customHeight="1">
      <c r="A19" s="14" t="s">
        <v>71</v>
      </c>
      <c r="B19" s="71">
        <f>22841*85/2000</f>
        <v>970.74249999999995</v>
      </c>
      <c r="C19" s="72">
        <f>19559*85/2000</f>
        <v>831.25750000000005</v>
      </c>
      <c r="D19" s="71"/>
      <c r="E19" s="71">
        <f>2600*64/2000+3800*67/2000</f>
        <v>210.5</v>
      </c>
      <c r="F19" s="72">
        <f>900*64/2000+2700*67/2000</f>
        <v>119.25</v>
      </c>
      <c r="G19" s="71"/>
      <c r="H19" s="71">
        <f>2040*64/2000</f>
        <v>65.28</v>
      </c>
      <c r="I19" s="72">
        <f>760*64/2000</f>
        <v>24.32</v>
      </c>
      <c r="J19" s="71"/>
      <c r="K19" s="71">
        <f>65*80/2000</f>
        <v>2.6</v>
      </c>
      <c r="L19" s="73" t="s">
        <v>282</v>
      </c>
      <c r="M19" s="71"/>
      <c r="N19" s="71">
        <v>1249</v>
      </c>
      <c r="O19" s="72">
        <v>975</v>
      </c>
      <c r="P19" s="68"/>
    </row>
    <row r="20" spans="1:18" ht="3" customHeight="1">
      <c r="A20" s="14"/>
      <c r="B20" s="71"/>
      <c r="C20" s="72"/>
      <c r="D20" s="71"/>
      <c r="E20" s="71"/>
      <c r="F20" s="72"/>
      <c r="G20" s="71"/>
      <c r="H20" s="71"/>
      <c r="I20" s="72"/>
      <c r="J20" s="71"/>
      <c r="K20" s="71"/>
      <c r="L20" s="74"/>
      <c r="M20" s="71"/>
      <c r="N20" s="71"/>
      <c r="O20" s="72"/>
      <c r="P20" s="68"/>
    </row>
    <row r="21" spans="1:18" ht="10.15" customHeight="1">
      <c r="A21" s="14" t="s">
        <v>72</v>
      </c>
      <c r="B21" s="71">
        <f>23154*85/2000</f>
        <v>984.04499999999996</v>
      </c>
      <c r="C21" s="72">
        <f>31996*85/2000</f>
        <v>1359.83</v>
      </c>
      <c r="D21" s="71"/>
      <c r="E21" s="71">
        <f>2400*64/2000+3300*67/2000</f>
        <v>187.35</v>
      </c>
      <c r="F21" s="72">
        <f>1100*64/2000+2400*67/2000</f>
        <v>115.60000000000001</v>
      </c>
      <c r="G21" s="71"/>
      <c r="H21" s="71">
        <f>1414*64/2000</f>
        <v>45.247999999999998</v>
      </c>
      <c r="I21" s="72">
        <f>736*64/2000</f>
        <v>23.552</v>
      </c>
      <c r="J21" s="71"/>
      <c r="K21" s="71">
        <f>1397*80/2000</f>
        <v>55.88</v>
      </c>
      <c r="L21" s="72">
        <f>478*80/2000</f>
        <v>19.12</v>
      </c>
      <c r="M21" s="71"/>
      <c r="N21" s="71">
        <v>1273</v>
      </c>
      <c r="O21" s="72">
        <v>1518</v>
      </c>
      <c r="P21" s="68"/>
      <c r="Q21" s="75"/>
      <c r="R21" s="75"/>
    </row>
    <row r="22" spans="1:18" ht="10.15" customHeight="1">
      <c r="A22" s="14" t="s">
        <v>73</v>
      </c>
      <c r="B22" s="71">
        <f>22502*85/2000</f>
        <v>956.33500000000004</v>
      </c>
      <c r="C22" s="72">
        <f>28548*85/2000</f>
        <v>1213.29</v>
      </c>
      <c r="D22" s="71"/>
      <c r="E22" s="71">
        <f>6080*67/2000</f>
        <v>203.68</v>
      </c>
      <c r="F22" s="72">
        <f>3220*67/2000</f>
        <v>107.87</v>
      </c>
      <c r="G22" s="71"/>
      <c r="H22" s="71">
        <f>1132*67/2000</f>
        <v>37.921999999999997</v>
      </c>
      <c r="I22" s="72">
        <f>618*67/2000</f>
        <v>20.702999999999999</v>
      </c>
      <c r="J22" s="71"/>
      <c r="K22" s="71">
        <f>2155*80/2000</f>
        <v>86.2</v>
      </c>
      <c r="L22" s="72">
        <f>845*80/2000</f>
        <v>33.799999999999997</v>
      </c>
      <c r="M22" s="71"/>
      <c r="N22" s="71">
        <v>1284</v>
      </c>
      <c r="O22" s="72">
        <v>1377</v>
      </c>
      <c r="P22" s="68"/>
      <c r="Q22" s="75"/>
      <c r="R22" s="75"/>
    </row>
    <row r="23" spans="1:18" ht="10.15" customHeight="1">
      <c r="A23" s="14" t="s">
        <v>74</v>
      </c>
      <c r="B23" s="71">
        <f>22239*85/2000</f>
        <v>945.15750000000003</v>
      </c>
      <c r="C23" s="72">
        <f>33461*85/2000</f>
        <v>1422.0925</v>
      </c>
      <c r="D23" s="71"/>
      <c r="E23" s="71">
        <f>5910*67/2000</f>
        <v>197.98500000000001</v>
      </c>
      <c r="F23" s="72">
        <f>3390*67/2000</f>
        <v>113.565</v>
      </c>
      <c r="G23" s="71"/>
      <c r="H23" s="71">
        <f>1313*67/2000</f>
        <v>43.985500000000002</v>
      </c>
      <c r="I23" s="72">
        <f>87*67/2000</f>
        <v>2.9144999999999999</v>
      </c>
      <c r="J23" s="71"/>
      <c r="K23" s="71">
        <f>3201*80/2000</f>
        <v>128.04</v>
      </c>
      <c r="L23" s="72">
        <f>1449*80/2000</f>
        <v>57.96</v>
      </c>
      <c r="M23" s="71"/>
      <c r="N23" s="71">
        <v>1315</v>
      </c>
      <c r="O23" s="72">
        <v>1597</v>
      </c>
      <c r="P23" s="68"/>
      <c r="Q23" s="75"/>
      <c r="R23" s="75"/>
    </row>
    <row r="24" spans="1:18" ht="10.15" customHeight="1">
      <c r="A24" s="18" t="s">
        <v>75</v>
      </c>
      <c r="B24" s="76">
        <f>22843*85/2000</f>
        <v>970.82749999999999</v>
      </c>
      <c r="C24" s="77">
        <f>29507*85/2000</f>
        <v>1254.0474999999999</v>
      </c>
      <c r="D24" s="76"/>
      <c r="E24" s="76">
        <f>6000*67/2000</f>
        <v>201</v>
      </c>
      <c r="F24" s="77">
        <f>2100*67/2000</f>
        <v>70.349999999999994</v>
      </c>
      <c r="G24" s="76"/>
      <c r="H24" s="76">
        <f>753*67/2000</f>
        <v>25.2255</v>
      </c>
      <c r="I24" s="77">
        <f>447*67/2000</f>
        <v>14.974500000000001</v>
      </c>
      <c r="J24" s="76"/>
      <c r="K24" s="76">
        <f>3022*80/2000</f>
        <v>120.88</v>
      </c>
      <c r="L24" s="77">
        <f>1528*80/2000</f>
        <v>61.12</v>
      </c>
      <c r="M24" s="76"/>
      <c r="N24" s="76">
        <v>1318</v>
      </c>
      <c r="O24" s="77">
        <v>1400</v>
      </c>
      <c r="P24" s="68"/>
      <c r="Q24" s="75"/>
      <c r="R24" s="75"/>
    </row>
    <row r="25" spans="1:18" ht="10.15" customHeight="1">
      <c r="A25" s="22" t="s">
        <v>76</v>
      </c>
      <c r="B25" s="76">
        <f>23237*85/2000</f>
        <v>987.57249999999999</v>
      </c>
      <c r="C25" s="77">
        <f>32563*85/2000</f>
        <v>1383.9275</v>
      </c>
      <c r="D25" s="76"/>
      <c r="E25" s="76">
        <f>6060*67/2000</f>
        <v>203.01</v>
      </c>
      <c r="F25" s="77">
        <f>2140*67/2000</f>
        <v>71.69</v>
      </c>
      <c r="G25" s="76"/>
      <c r="H25" s="76">
        <f>420*67/2000</f>
        <v>14.07</v>
      </c>
      <c r="I25" s="77">
        <f>380*67/2000</f>
        <v>12.73</v>
      </c>
      <c r="J25" s="76"/>
      <c r="K25" s="76">
        <f>3718*80/2000</f>
        <v>148.72</v>
      </c>
      <c r="L25" s="77">
        <f>1582*80/2000</f>
        <v>63.28</v>
      </c>
      <c r="M25" s="76"/>
      <c r="N25" s="76">
        <v>1353</v>
      </c>
      <c r="O25" s="77">
        <v>1532</v>
      </c>
      <c r="P25" s="68"/>
      <c r="Q25" s="75"/>
      <c r="R25" s="75"/>
    </row>
    <row r="26" spans="1:18" ht="10.15" customHeight="1">
      <c r="A26" s="22" t="s">
        <v>77</v>
      </c>
      <c r="B26" s="76">
        <f>21160*85/2000</f>
        <v>899.3</v>
      </c>
      <c r="C26" s="77">
        <f>28390*85/2000</f>
        <v>1206.575</v>
      </c>
      <c r="D26" s="76"/>
      <c r="E26" s="76">
        <f>5544*67/2000</f>
        <v>185.72399999999999</v>
      </c>
      <c r="F26" s="77">
        <f>2456*67/2000</f>
        <v>82.275999999999996</v>
      </c>
      <c r="G26" s="76"/>
      <c r="H26" s="76">
        <f>492*67/2000</f>
        <v>16.481999999999999</v>
      </c>
      <c r="I26" s="77">
        <f>308*67/2000</f>
        <v>10.318</v>
      </c>
      <c r="J26" s="76"/>
      <c r="K26" s="76">
        <f>3494*80/2000</f>
        <v>139.76</v>
      </c>
      <c r="L26" s="77">
        <f>1306*80/2000</f>
        <v>52.24</v>
      </c>
      <c r="M26" s="76"/>
      <c r="N26" s="76">
        <v>1242</v>
      </c>
      <c r="O26" s="77">
        <v>1351</v>
      </c>
      <c r="P26" s="68"/>
      <c r="Q26" s="75"/>
      <c r="R26" s="75"/>
    </row>
    <row r="27" spans="1:18" ht="3" customHeight="1">
      <c r="A27" s="22"/>
      <c r="B27" s="76"/>
      <c r="C27" s="77"/>
      <c r="D27" s="76"/>
      <c r="E27" s="76"/>
      <c r="F27" s="77"/>
      <c r="G27" s="76"/>
      <c r="H27" s="76"/>
      <c r="I27" s="77"/>
      <c r="J27" s="76"/>
      <c r="K27" s="76"/>
      <c r="L27" s="77"/>
      <c r="M27" s="76"/>
      <c r="N27" s="76"/>
      <c r="O27" s="77"/>
      <c r="P27" s="68"/>
      <c r="Q27" s="75"/>
      <c r="R27" s="75"/>
    </row>
    <row r="28" spans="1:18" ht="10.15" customHeight="1">
      <c r="A28" s="22" t="s">
        <v>78</v>
      </c>
      <c r="B28" s="76">
        <f>19921*85/2000</f>
        <v>846.64250000000004</v>
      </c>
      <c r="C28" s="77">
        <f>27129*85/2000</f>
        <v>1152.9825000000001</v>
      </c>
      <c r="D28" s="76"/>
      <c r="E28" s="76">
        <f>6638*67/2000</f>
        <v>222.37299999999999</v>
      </c>
      <c r="F28" s="77">
        <f>662*67/2000</f>
        <v>22.177</v>
      </c>
      <c r="G28" s="76"/>
      <c r="H28" s="76">
        <f>527*67/2000</f>
        <v>17.654499999999999</v>
      </c>
      <c r="I28" s="77">
        <f>223*67/2000</f>
        <v>7.4705000000000004</v>
      </c>
      <c r="J28" s="76"/>
      <c r="K28" s="76">
        <f>4087*80/2000</f>
        <v>163.47999999999999</v>
      </c>
      <c r="L28" s="77">
        <f>2013*80/2000</f>
        <v>80.52</v>
      </c>
      <c r="M28" s="76"/>
      <c r="N28" s="76">
        <v>1250</v>
      </c>
      <c r="O28" s="77">
        <v>1263</v>
      </c>
      <c r="P28" s="68"/>
      <c r="Q28" s="75"/>
      <c r="R28" s="75"/>
    </row>
    <row r="29" spans="1:18" ht="10.15" customHeight="1">
      <c r="A29" s="22" t="s">
        <v>79</v>
      </c>
      <c r="B29" s="76">
        <f>18217*85/2000</f>
        <v>774.22249999999997</v>
      </c>
      <c r="C29" s="77">
        <f>35183*85/2000</f>
        <v>1495.2774999999999</v>
      </c>
      <c r="D29" s="76"/>
      <c r="E29" s="76">
        <f>6200*67/2000</f>
        <v>207.7</v>
      </c>
      <c r="F29" s="77">
        <f>1000*67/2000</f>
        <v>33.5</v>
      </c>
      <c r="G29" s="76"/>
      <c r="H29" s="76">
        <f>182*67/2000</f>
        <v>6.0970000000000004</v>
      </c>
      <c r="I29" s="77">
        <f>268*67/2000</f>
        <v>8.9779999999999998</v>
      </c>
      <c r="J29" s="76"/>
      <c r="K29" s="76">
        <f>3872*80/2000</f>
        <v>154.88</v>
      </c>
      <c r="L29" s="77">
        <f>2058*80/2000</f>
        <v>82.32</v>
      </c>
      <c r="M29" s="76"/>
      <c r="N29" s="76">
        <v>1143</v>
      </c>
      <c r="O29" s="77">
        <v>1620</v>
      </c>
      <c r="P29" s="68"/>
      <c r="Q29" s="75"/>
      <c r="R29" s="75"/>
    </row>
    <row r="30" spans="1:18" ht="10.15" customHeight="1">
      <c r="A30" s="22" t="s">
        <v>80</v>
      </c>
      <c r="B30" s="76">
        <f>17490*85/2000</f>
        <v>743.32500000000005</v>
      </c>
      <c r="C30" s="77">
        <f>28510*85/2000</f>
        <v>1211.675</v>
      </c>
      <c r="D30" s="76"/>
      <c r="E30" s="76">
        <f>5400*67/2000</f>
        <v>180.9</v>
      </c>
      <c r="F30" s="77">
        <f>900*67/2000</f>
        <v>30.15</v>
      </c>
      <c r="G30" s="76"/>
      <c r="H30" s="76">
        <f>205*67/2000</f>
        <v>6.8674999999999997</v>
      </c>
      <c r="I30" s="77">
        <f>45*67/2000</f>
        <v>1.5075000000000001</v>
      </c>
      <c r="J30" s="76"/>
      <c r="K30" s="76">
        <f>4055*80/2000</f>
        <v>162.19999999999999</v>
      </c>
      <c r="L30" s="77">
        <f>3145*80/2000</f>
        <v>125.8</v>
      </c>
      <c r="M30" s="76"/>
      <c r="N30" s="76">
        <v>1093</v>
      </c>
      <c r="O30" s="77">
        <v>1369</v>
      </c>
      <c r="P30" s="68"/>
      <c r="Q30" s="75"/>
      <c r="R30" s="75"/>
    </row>
    <row r="31" spans="1:18" ht="10.15" customHeight="1">
      <c r="A31" s="22" t="s">
        <v>81</v>
      </c>
      <c r="B31" s="76">
        <f>17394*85/2000</f>
        <v>739.245</v>
      </c>
      <c r="C31" s="77">
        <f>29306*85/2000</f>
        <v>1245.5050000000001</v>
      </c>
      <c r="D31" s="76"/>
      <c r="E31" s="76">
        <f>5100*67/2000</f>
        <v>170.85</v>
      </c>
      <c r="F31" s="77">
        <f>800*67/2000</f>
        <v>26.8</v>
      </c>
      <c r="G31" s="76"/>
      <c r="H31" s="76">
        <f>153*67/2000</f>
        <v>5.1254999999999997</v>
      </c>
      <c r="I31" s="77">
        <f>7*67/2000</f>
        <v>0.23449999999999999</v>
      </c>
      <c r="J31" s="76"/>
      <c r="K31" s="76">
        <f>3900*80/2000</f>
        <v>156</v>
      </c>
      <c r="L31" s="77">
        <f>2000*80/2000</f>
        <v>80</v>
      </c>
      <c r="M31" s="76"/>
      <c r="N31" s="76">
        <v>1071</v>
      </c>
      <c r="O31" s="77">
        <v>1353</v>
      </c>
      <c r="P31" s="68"/>
      <c r="Q31" s="75"/>
      <c r="R31" s="75"/>
    </row>
    <row r="32" spans="1:18" ht="10.15" customHeight="1">
      <c r="A32" s="22" t="s">
        <v>82</v>
      </c>
      <c r="B32" s="76">
        <f>15589*85/2000</f>
        <v>662.53250000000003</v>
      </c>
      <c r="C32" s="77">
        <f>23111*85/2000</f>
        <v>982.21749999999997</v>
      </c>
      <c r="D32" s="76"/>
      <c r="E32" s="76">
        <f>4900*67/2000</f>
        <v>164.15</v>
      </c>
      <c r="F32" s="77">
        <f>700*67/2000</f>
        <v>23.45</v>
      </c>
      <c r="G32" s="76"/>
      <c r="H32" s="76">
        <f>124*67/2000</f>
        <v>4.1539999999999999</v>
      </c>
      <c r="I32" s="77">
        <f>6*67/2000</f>
        <v>0.20100000000000001</v>
      </c>
      <c r="J32" s="76"/>
      <c r="K32" s="76">
        <f>3317*80/2000</f>
        <v>132.68</v>
      </c>
      <c r="L32" s="77">
        <f>2333*80/2000</f>
        <v>93.32</v>
      </c>
      <c r="M32" s="76"/>
      <c r="N32" s="76">
        <v>964</v>
      </c>
      <c r="O32" s="77">
        <v>1099</v>
      </c>
      <c r="P32" s="68"/>
      <c r="Q32" s="75"/>
      <c r="R32" s="75"/>
    </row>
    <row r="33" spans="1:18" ht="10.15" customHeight="1">
      <c r="A33" s="18" t="s">
        <v>83</v>
      </c>
      <c r="B33" s="76">
        <f>16657*85/2000</f>
        <v>707.92250000000001</v>
      </c>
      <c r="C33" s="77">
        <f>24243*85/2000</f>
        <v>1030.3275000000001</v>
      </c>
      <c r="D33" s="76"/>
      <c r="E33" s="76">
        <f>5100*67/2000</f>
        <v>170.85</v>
      </c>
      <c r="F33" s="77">
        <f>700*67/2000</f>
        <v>23.45</v>
      </c>
      <c r="G33" s="76"/>
      <c r="H33" s="76">
        <f>140*67/2000</f>
        <v>4.6900000000000004</v>
      </c>
      <c r="I33" s="77">
        <v>0</v>
      </c>
      <c r="J33" s="76"/>
      <c r="K33" s="76">
        <f>3418*80/2000</f>
        <v>136.72</v>
      </c>
      <c r="L33" s="77">
        <f>2282*80/2000</f>
        <v>91.28</v>
      </c>
      <c r="M33" s="76"/>
      <c r="N33" s="76">
        <v>1021</v>
      </c>
      <c r="O33" s="77">
        <v>1144</v>
      </c>
      <c r="P33" s="68"/>
      <c r="Q33" s="75"/>
      <c r="R33" s="75"/>
    </row>
    <row r="34" spans="1:18" ht="4.5" customHeight="1">
      <c r="A34" s="22"/>
      <c r="B34" s="76"/>
      <c r="C34" s="77"/>
      <c r="D34" s="76"/>
      <c r="E34" s="76"/>
      <c r="F34" s="77"/>
      <c r="G34" s="76"/>
      <c r="H34" s="76"/>
      <c r="I34" s="77"/>
      <c r="J34" s="76"/>
      <c r="K34" s="76"/>
      <c r="L34" s="77"/>
      <c r="M34" s="76"/>
      <c r="N34" s="76"/>
      <c r="O34" s="77"/>
      <c r="P34" s="68"/>
      <c r="Q34" s="75"/>
      <c r="R34" s="75"/>
    </row>
    <row r="35" spans="1:18" ht="10.15" customHeight="1">
      <c r="A35" s="18" t="s">
        <v>84</v>
      </c>
      <c r="B35" s="76">
        <f>7419*85/2000</f>
        <v>315.3075</v>
      </c>
      <c r="C35" s="77">
        <f>5381*85/2000</f>
        <v>228.6925</v>
      </c>
      <c r="D35" s="76"/>
      <c r="E35" s="76">
        <f>5400*67/2000</f>
        <v>180.9</v>
      </c>
      <c r="F35" s="77">
        <f>700*67/2000</f>
        <v>23.45</v>
      </c>
      <c r="G35" s="76"/>
      <c r="H35" s="76">
        <f>140*67/2000</f>
        <v>4.6900000000000004</v>
      </c>
      <c r="I35" s="77">
        <v>0</v>
      </c>
      <c r="J35" s="76"/>
      <c r="K35" s="76">
        <f>3125*80/2000</f>
        <v>125</v>
      </c>
      <c r="L35" s="77">
        <f>3475*80/2000</f>
        <v>139</v>
      </c>
      <c r="M35" s="76"/>
      <c r="N35" s="78">
        <f t="shared" ref="N35:N41" si="0">SUM(K35,E35,B35)</f>
        <v>621.20749999999998</v>
      </c>
      <c r="O35" s="79">
        <f t="shared" ref="O35:O41" si="1">SUM(L35,C35)</f>
        <v>367.6925</v>
      </c>
      <c r="P35" s="68"/>
      <c r="Q35" s="75"/>
      <c r="R35" s="75"/>
    </row>
    <row r="36" spans="1:18" ht="10.15" customHeight="1">
      <c r="A36" s="18" t="s">
        <v>85</v>
      </c>
      <c r="B36" s="76">
        <f>6914*85/2000</f>
        <v>293.84500000000003</v>
      </c>
      <c r="C36" s="77">
        <f>12386*85/2000</f>
        <v>526.40499999999997</v>
      </c>
      <c r="D36" s="76"/>
      <c r="E36" s="76">
        <f>5300*67/2000</f>
        <v>177.55</v>
      </c>
      <c r="F36" s="77">
        <f>700*67/2000</f>
        <v>23.45</v>
      </c>
      <c r="G36" s="76"/>
      <c r="H36" s="76">
        <f>100*67/2000</f>
        <v>3.35</v>
      </c>
      <c r="I36" s="77">
        <v>0</v>
      </c>
      <c r="J36" s="76"/>
      <c r="K36" s="76">
        <f>3200*80/2000</f>
        <v>128</v>
      </c>
      <c r="L36" s="77">
        <f>2000*80/2000</f>
        <v>80</v>
      </c>
      <c r="M36" s="76"/>
      <c r="N36" s="78">
        <f t="shared" si="0"/>
        <v>599.39499999999998</v>
      </c>
      <c r="O36" s="79">
        <f t="shared" si="1"/>
        <v>606.40499999999997</v>
      </c>
      <c r="P36" s="68"/>
      <c r="Q36" s="75"/>
      <c r="R36" s="75"/>
    </row>
    <row r="37" spans="1:18" ht="10.15" customHeight="1">
      <c r="A37" s="18" t="s">
        <v>86</v>
      </c>
      <c r="B37" s="76">
        <f>10959*85/2000</f>
        <v>465.75749999999999</v>
      </c>
      <c r="C37" s="77">
        <f>16241*85/2000</f>
        <v>690.24249999999995</v>
      </c>
      <c r="D37" s="76"/>
      <c r="E37" s="76">
        <f>4800*67/2000</f>
        <v>160.80000000000001</v>
      </c>
      <c r="F37" s="77">
        <f>700*67/2000</f>
        <v>23.45</v>
      </c>
      <c r="G37" s="76"/>
      <c r="H37" s="76">
        <f>100*67/2000</f>
        <v>3.35</v>
      </c>
      <c r="I37" s="77">
        <v>0</v>
      </c>
      <c r="J37" s="76"/>
      <c r="K37" s="76">
        <f>3462*80/2000</f>
        <v>138.47999999999999</v>
      </c>
      <c r="L37" s="77">
        <f>3638*80/2000</f>
        <v>145.52000000000001</v>
      </c>
      <c r="M37" s="76"/>
      <c r="N37" s="78">
        <f t="shared" si="0"/>
        <v>765.03749999999991</v>
      </c>
      <c r="O37" s="79">
        <f t="shared" si="1"/>
        <v>835.76249999999993</v>
      </c>
      <c r="P37" s="68"/>
      <c r="Q37" s="75"/>
      <c r="R37" s="75"/>
    </row>
    <row r="38" spans="1:18" ht="12.95" customHeight="1">
      <c r="A38" s="18" t="s">
        <v>87</v>
      </c>
      <c r="B38" s="76">
        <f>10623*85/2000</f>
        <v>451.47750000000002</v>
      </c>
      <c r="C38" s="77">
        <f>15977*85/2000</f>
        <v>679.02250000000004</v>
      </c>
      <c r="D38" s="76"/>
      <c r="E38" s="76">
        <f>5200*67/2000</f>
        <v>174.2</v>
      </c>
      <c r="F38" s="80" t="s">
        <v>107</v>
      </c>
      <c r="G38" s="76"/>
      <c r="H38" s="76">
        <f>100*67/2000</f>
        <v>3.35</v>
      </c>
      <c r="I38" s="77">
        <v>0</v>
      </c>
      <c r="J38" s="76"/>
      <c r="K38" s="76">
        <f>3300*80/2000</f>
        <v>132</v>
      </c>
      <c r="L38" s="77">
        <f>2700*80/2000</f>
        <v>108</v>
      </c>
      <c r="M38" s="76"/>
      <c r="N38" s="78">
        <f t="shared" si="0"/>
        <v>757.67750000000001</v>
      </c>
      <c r="O38" s="79">
        <f t="shared" si="1"/>
        <v>787.02250000000004</v>
      </c>
      <c r="P38" s="68"/>
      <c r="Q38" s="75"/>
      <c r="R38" s="75"/>
    </row>
    <row r="39" spans="1:18" ht="12.95" customHeight="1">
      <c r="A39" s="18" t="s">
        <v>88</v>
      </c>
      <c r="B39" s="76">
        <f>9339*85/2000</f>
        <v>396.90750000000003</v>
      </c>
      <c r="C39" s="77">
        <f>12361*85/2000</f>
        <v>525.34249999999997</v>
      </c>
      <c r="D39" s="76"/>
      <c r="E39" s="78">
        <f>4800*67/2000</f>
        <v>160.80000000000001</v>
      </c>
      <c r="F39" s="80" t="s">
        <v>107</v>
      </c>
      <c r="G39" s="76"/>
      <c r="H39" s="78">
        <f>25*67/2000</f>
        <v>0.83750000000000002</v>
      </c>
      <c r="I39" s="79">
        <v>0</v>
      </c>
      <c r="J39" s="76"/>
      <c r="K39" s="76">
        <f>3200*80/2000</f>
        <v>128</v>
      </c>
      <c r="L39" s="77">
        <f>2300*80/2000</f>
        <v>92</v>
      </c>
      <c r="M39" s="76"/>
      <c r="N39" s="78">
        <f t="shared" si="0"/>
        <v>685.70749999999998</v>
      </c>
      <c r="O39" s="79">
        <f t="shared" si="1"/>
        <v>617.34249999999997</v>
      </c>
      <c r="P39" s="68"/>
      <c r="Q39" s="75"/>
      <c r="R39" s="75"/>
    </row>
    <row r="40" spans="1:18" s="29" customFormat="1" ht="12.95" customHeight="1">
      <c r="A40" s="23" t="s">
        <v>89</v>
      </c>
      <c r="B40" s="78">
        <f>9357*85/2000</f>
        <v>397.67250000000001</v>
      </c>
      <c r="C40" s="79">
        <f>10943*85/2000</f>
        <v>465.07749999999999</v>
      </c>
      <c r="D40" s="78"/>
      <c r="E40" s="78">
        <f>4500*67/2000</f>
        <v>150.75</v>
      </c>
      <c r="F40" s="80" t="s">
        <v>107</v>
      </c>
      <c r="G40" s="78"/>
      <c r="H40" s="81" t="s">
        <v>108</v>
      </c>
      <c r="I40" s="81" t="s">
        <v>108</v>
      </c>
      <c r="J40" s="78"/>
      <c r="K40" s="78">
        <f>3312*80/2000</f>
        <v>132.47999999999999</v>
      </c>
      <c r="L40" s="79">
        <f>2288*80/2000</f>
        <v>91.52</v>
      </c>
      <c r="M40" s="78"/>
      <c r="N40" s="78">
        <f t="shared" si="0"/>
        <v>680.90250000000003</v>
      </c>
      <c r="O40" s="79">
        <f t="shared" si="1"/>
        <v>556.59749999999997</v>
      </c>
      <c r="P40" s="82"/>
      <c r="Q40" s="83"/>
      <c r="R40" s="83"/>
    </row>
    <row r="41" spans="1:18" s="27" customFormat="1" ht="12.95" customHeight="1">
      <c r="A41" s="23" t="s">
        <v>91</v>
      </c>
      <c r="B41" s="78">
        <f>8379*85/2000</f>
        <v>356.10750000000002</v>
      </c>
      <c r="C41" s="79">
        <f>11371*85/2000</f>
        <v>483.26749999999998</v>
      </c>
      <c r="D41" s="78"/>
      <c r="E41" s="78">
        <f>4310*80/2000</f>
        <v>172.4</v>
      </c>
      <c r="F41" s="80" t="s">
        <v>107</v>
      </c>
      <c r="G41" s="78"/>
      <c r="H41" s="81" t="s">
        <v>108</v>
      </c>
      <c r="I41" s="81" t="s">
        <v>108</v>
      </c>
      <c r="J41" s="78"/>
      <c r="K41" s="78">
        <f>3395*80/2000</f>
        <v>135.80000000000001</v>
      </c>
      <c r="L41" s="79">
        <f>2905*80/2000</f>
        <v>116.2</v>
      </c>
      <c r="M41" s="78"/>
      <c r="N41" s="78">
        <f t="shared" si="0"/>
        <v>664.30750000000012</v>
      </c>
      <c r="O41" s="79">
        <f t="shared" si="1"/>
        <v>599.46749999999997</v>
      </c>
      <c r="P41" s="84"/>
      <c r="Q41" s="85"/>
      <c r="R41" s="85"/>
    </row>
    <row r="42" spans="1:18" s="27" customFormat="1" ht="3" customHeight="1">
      <c r="A42" s="23"/>
      <c r="B42" s="78"/>
      <c r="C42" s="79"/>
      <c r="D42" s="78"/>
      <c r="E42" s="78"/>
      <c r="F42" s="86"/>
      <c r="G42" s="78"/>
      <c r="H42" s="81"/>
      <c r="I42" s="81"/>
      <c r="J42" s="78"/>
      <c r="K42" s="78"/>
      <c r="L42" s="79"/>
      <c r="M42" s="78"/>
      <c r="N42" s="78"/>
      <c r="O42" s="79"/>
      <c r="P42" s="84"/>
      <c r="Q42" s="85"/>
      <c r="R42" s="85"/>
    </row>
    <row r="43" spans="1:18" s="27" customFormat="1" ht="12.95" customHeight="1">
      <c r="A43" s="23" t="s">
        <v>92</v>
      </c>
      <c r="B43" s="78">
        <f>7929*85/2000</f>
        <v>336.98250000000002</v>
      </c>
      <c r="C43" s="79">
        <f>10921*85/2000</f>
        <v>464.14249999999998</v>
      </c>
      <c r="D43" s="78"/>
      <c r="E43" s="78">
        <f>4000*80/2000</f>
        <v>160</v>
      </c>
      <c r="F43" s="80" t="s">
        <v>107</v>
      </c>
      <c r="G43" s="78"/>
      <c r="H43" s="81" t="s">
        <v>108</v>
      </c>
      <c r="I43" s="81" t="s">
        <v>108</v>
      </c>
      <c r="J43" s="78"/>
      <c r="K43" s="78">
        <f>2600*80/2000</f>
        <v>104</v>
      </c>
      <c r="L43" s="79">
        <f>2200*80/2000</f>
        <v>88</v>
      </c>
      <c r="M43" s="78"/>
      <c r="N43" s="78">
        <f t="shared" ref="N43:O45" si="2">SUM(K43,E43,B43)</f>
        <v>600.98250000000007</v>
      </c>
      <c r="O43" s="79">
        <f>SUM(L43,C43)</f>
        <v>552.14249999999993</v>
      </c>
      <c r="P43" s="84"/>
      <c r="Q43" s="85"/>
      <c r="R43" s="85"/>
    </row>
    <row r="44" spans="1:18" s="27" customFormat="1" ht="10.15" customHeight="1">
      <c r="A44" s="23" t="s">
        <v>93</v>
      </c>
      <c r="B44" s="78">
        <f>7743*85/2000</f>
        <v>329.07749999999999</v>
      </c>
      <c r="C44" s="79">
        <f>10607*85/2000</f>
        <v>450.79750000000001</v>
      </c>
      <c r="D44" s="78"/>
      <c r="E44" s="78">
        <f>3880*80/2000</f>
        <v>155.19999999999999</v>
      </c>
      <c r="F44" s="405">
        <f>620*80/2000</f>
        <v>24.8</v>
      </c>
      <c r="G44" s="78">
        <f t="shared" ref="G44" si="3">3880*80/2000</f>
        <v>155.19999999999999</v>
      </c>
      <c r="H44" s="81" t="s">
        <v>108</v>
      </c>
      <c r="I44" s="81" t="s">
        <v>108</v>
      </c>
      <c r="J44" s="78"/>
      <c r="K44" s="78">
        <f>2987*80/2000</f>
        <v>119.48</v>
      </c>
      <c r="L44" s="79">
        <f>3113*80/2000</f>
        <v>124.52</v>
      </c>
      <c r="M44" s="78"/>
      <c r="N44" s="78">
        <f t="shared" si="2"/>
        <v>603.75749999999994</v>
      </c>
      <c r="O44" s="79">
        <f>SUM(L44,F44,C44)</f>
        <v>600.11750000000006</v>
      </c>
      <c r="P44" s="84"/>
      <c r="Q44" s="85"/>
      <c r="R44" s="85"/>
    </row>
    <row r="45" spans="1:18" s="27" customFormat="1" ht="10.15" customHeight="1">
      <c r="A45" s="23" t="s">
        <v>94</v>
      </c>
      <c r="B45" s="78">
        <f>6690*85/2000</f>
        <v>284.32499999999999</v>
      </c>
      <c r="C45" s="79">
        <f>8960*85/2000</f>
        <v>380.8</v>
      </c>
      <c r="D45" s="78"/>
      <c r="E45" s="78">
        <f>3315*80/2000</f>
        <v>132.6</v>
      </c>
      <c r="F45" s="79">
        <f>535*80/2000</f>
        <v>21.4</v>
      </c>
      <c r="G45" s="78"/>
      <c r="H45" s="81" t="s">
        <v>108</v>
      </c>
      <c r="I45" s="81" t="s">
        <v>108</v>
      </c>
      <c r="J45" s="78"/>
      <c r="K45" s="78">
        <f>2806*80/2000</f>
        <v>112.24</v>
      </c>
      <c r="L45" s="79">
        <f>2894*80/2000</f>
        <v>115.76</v>
      </c>
      <c r="M45" s="78"/>
      <c r="N45" s="78">
        <f t="shared" si="2"/>
        <v>529.16499999999996</v>
      </c>
      <c r="O45" s="79">
        <f t="shared" si="2"/>
        <v>517.96</v>
      </c>
      <c r="P45" s="84"/>
      <c r="Q45" s="85"/>
      <c r="R45" s="85"/>
    </row>
    <row r="46" spans="1:18" s="27" customFormat="1" ht="10.15" customHeight="1">
      <c r="A46" s="23" t="s">
        <v>95</v>
      </c>
      <c r="B46" s="78">
        <f>5708*85/2000</f>
        <v>242.59</v>
      </c>
      <c r="C46" s="79">
        <f>7192*85/2000</f>
        <v>305.66000000000003</v>
      </c>
      <c r="D46" s="78"/>
      <c r="E46" s="78">
        <f>3600*80/2000</f>
        <v>144</v>
      </c>
      <c r="F46" s="79">
        <f>1200*80/2000</f>
        <v>48</v>
      </c>
      <c r="G46" s="78"/>
      <c r="H46" s="81" t="s">
        <v>108</v>
      </c>
      <c r="I46" s="81" t="s">
        <v>108</v>
      </c>
      <c r="J46" s="78"/>
      <c r="K46" s="78">
        <f>2887*80/2000</f>
        <v>115.48</v>
      </c>
      <c r="L46" s="79">
        <f>1363*80/2000</f>
        <v>54.52</v>
      </c>
      <c r="M46" s="78"/>
      <c r="N46" s="78">
        <f>SUM(K46,E46,B46)</f>
        <v>502.07000000000005</v>
      </c>
      <c r="O46" s="79">
        <f>SUM(L46,F46,C46)</f>
        <v>408.18000000000006</v>
      </c>
      <c r="P46" s="84"/>
      <c r="Q46" s="85"/>
      <c r="R46" s="85"/>
    </row>
    <row r="47" spans="1:18" s="27" customFormat="1" ht="10.15" customHeight="1">
      <c r="A47" s="23" t="s">
        <v>290</v>
      </c>
      <c r="B47" s="78">
        <f>4946*85/2000</f>
        <v>210.20500000000001</v>
      </c>
      <c r="C47" s="79">
        <f>5854*85/2000</f>
        <v>248.79499999999999</v>
      </c>
      <c r="D47" s="78"/>
      <c r="E47" s="78">
        <f>3160*80/2000</f>
        <v>126.4</v>
      </c>
      <c r="F47" s="79">
        <f>640*80/2000</f>
        <v>25.6</v>
      </c>
      <c r="G47" s="78"/>
      <c r="H47" s="81" t="s">
        <v>108</v>
      </c>
      <c r="I47" s="81" t="s">
        <v>108</v>
      </c>
      <c r="J47" s="78"/>
      <c r="K47" s="78">
        <f>2500*80/2000</f>
        <v>100</v>
      </c>
      <c r="L47" s="79">
        <f>2300*80/2000</f>
        <v>92</v>
      </c>
      <c r="M47" s="78"/>
      <c r="N47" s="78">
        <v>436</v>
      </c>
      <c r="O47" s="79">
        <v>367</v>
      </c>
      <c r="P47" s="84"/>
      <c r="Q47" s="85"/>
      <c r="R47" s="85"/>
    </row>
    <row r="48" spans="1:18" s="27" customFormat="1" ht="10.15" customHeight="1">
      <c r="A48" s="23" t="s">
        <v>299</v>
      </c>
      <c r="B48" s="78">
        <f>3537*85/2000</f>
        <v>150.32249999999999</v>
      </c>
      <c r="C48" s="79">
        <f>4223*85/2000</f>
        <v>179.47749999999999</v>
      </c>
      <c r="D48" s="78"/>
      <c r="E48" s="78">
        <f>3500*80/2000</f>
        <v>140</v>
      </c>
      <c r="F48" s="79">
        <f>900*80/2000</f>
        <v>36</v>
      </c>
      <c r="G48" s="78"/>
      <c r="H48" s="81" t="s">
        <v>108</v>
      </c>
      <c r="I48" s="81" t="s">
        <v>108</v>
      </c>
      <c r="J48" s="78"/>
      <c r="K48" s="78">
        <f>2800*80/2000</f>
        <v>112</v>
      </c>
      <c r="L48" s="79">
        <f>2000*80/2000</f>
        <v>80</v>
      </c>
      <c r="M48" s="78"/>
      <c r="N48" s="78">
        <v>402</v>
      </c>
      <c r="O48" s="79">
        <v>296</v>
      </c>
      <c r="P48" s="84"/>
      <c r="Q48" s="85"/>
      <c r="R48" s="85"/>
    </row>
    <row r="49" spans="1:18" s="27" customFormat="1" ht="10.15" customHeight="1">
      <c r="A49" s="23" t="s">
        <v>313</v>
      </c>
      <c r="B49" s="78">
        <f>1744*85/2000</f>
        <v>74.12</v>
      </c>
      <c r="C49" s="79">
        <f>2136*85/2000</f>
        <v>90.78</v>
      </c>
      <c r="D49" s="78"/>
      <c r="E49" s="78">
        <f>2800*80/2000</f>
        <v>112</v>
      </c>
      <c r="F49" s="79">
        <f>1000*80/2000</f>
        <v>40</v>
      </c>
      <c r="G49" s="78"/>
      <c r="H49" s="81" t="s">
        <v>108</v>
      </c>
      <c r="I49" s="81" t="s">
        <v>108</v>
      </c>
      <c r="J49" s="78"/>
      <c r="K49" s="78">
        <f>2800*80/2000</f>
        <v>112</v>
      </c>
      <c r="L49" s="79">
        <f>2000*80/2000</f>
        <v>80</v>
      </c>
      <c r="M49" s="78"/>
      <c r="N49" s="78">
        <v>298</v>
      </c>
      <c r="O49" s="79">
        <v>211</v>
      </c>
      <c r="P49" s="84"/>
      <c r="Q49" s="85"/>
      <c r="R49" s="85"/>
    </row>
    <row r="50" spans="1:18" s="27" customFormat="1" ht="10.15" customHeight="1">
      <c r="A50" s="87" t="s">
        <v>320</v>
      </c>
      <c r="B50" s="88">
        <f>1921*85/2000</f>
        <v>81.642499999999998</v>
      </c>
      <c r="C50" s="89">
        <f>2589*85/2000</f>
        <v>110.0325</v>
      </c>
      <c r="D50" s="88"/>
      <c r="E50" s="88">
        <f>2600*80/2000</f>
        <v>104</v>
      </c>
      <c r="F50" s="89">
        <f>600*80/2000</f>
        <v>24</v>
      </c>
      <c r="G50" s="88"/>
      <c r="H50" s="90" t="s">
        <v>108</v>
      </c>
      <c r="I50" s="90" t="s">
        <v>108</v>
      </c>
      <c r="J50" s="88"/>
      <c r="K50" s="88">
        <f>2400*80/2000</f>
        <v>96</v>
      </c>
      <c r="L50" s="89">
        <f>3700*80/2000</f>
        <v>148</v>
      </c>
      <c r="M50" s="88"/>
      <c r="N50" s="88">
        <v>282</v>
      </c>
      <c r="O50" s="89">
        <v>282</v>
      </c>
      <c r="P50" s="475"/>
      <c r="Q50" s="475"/>
      <c r="R50" s="85"/>
    </row>
    <row r="51" spans="1:18">
      <c r="A51" s="34" t="s">
        <v>109</v>
      </c>
      <c r="B51" s="91"/>
      <c r="C51" s="77"/>
      <c r="D51" s="76"/>
      <c r="E51" s="76"/>
      <c r="F51" s="92"/>
      <c r="G51" s="76"/>
      <c r="H51" s="93"/>
      <c r="I51" s="94"/>
      <c r="J51" s="76"/>
      <c r="K51" s="76"/>
      <c r="L51" s="77"/>
      <c r="M51" s="76"/>
      <c r="N51" s="76"/>
      <c r="O51" s="77"/>
      <c r="P51" s="68"/>
      <c r="Q51" s="75"/>
      <c r="R51" s="75"/>
    </row>
    <row r="52" spans="1:18">
      <c r="A52" s="95" t="s">
        <v>110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68"/>
      <c r="Q52" s="75"/>
      <c r="R52" s="75"/>
    </row>
    <row r="53" spans="1:18">
      <c r="A53" s="97" t="s">
        <v>111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68"/>
      <c r="Q53" s="75"/>
      <c r="R53" s="75"/>
    </row>
    <row r="54" spans="1:18">
      <c r="A54" s="39" t="s">
        <v>112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68"/>
      <c r="Q54" s="75"/>
      <c r="R54" s="75"/>
    </row>
    <row r="55" spans="1:18">
      <c r="A55" s="39" t="s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8"/>
    </row>
    <row r="56" spans="1:18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</row>
    <row r="57" spans="1:18" ht="8.1" customHeight="1">
      <c r="A57" s="99"/>
    </row>
  </sheetData>
  <pageMargins left="0.66700000000000004" right="0.66700000000000004" top="0.66700000000000004" bottom="0.72" header="0" footer="0"/>
  <pageSetup firstPageNumber="73" orientation="portrait" useFirstPageNumber="1" r:id="rId1"/>
  <headerFooter alignWithMargins="0"/>
  <ignoredErrors>
    <ignoredError sqref="K12:L12 F38:F43 K11:L11 K18 L18:L19" numberStoredAsText="1"/>
    <ignoredError sqref="E32:E38" formula="1"/>
    <ignoredError sqref="F44" numberStoredAsText="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58"/>
  <sheetViews>
    <sheetView showGridLines="0" zoomScaleNormal="100" zoomScaleSheetLayoutView="100" workbookViewId="0">
      <pane xSplit="1" ySplit="5" topLeftCell="B11" activePane="bottomRight" state="frozen"/>
      <selection pane="topRight" activeCell="B1" sqref="B1"/>
      <selection pane="bottomLeft" activeCell="A6" sqref="A6"/>
      <selection pane="bottomRight" activeCell="A56" sqref="A56"/>
    </sheetView>
  </sheetViews>
  <sheetFormatPr defaultColWidth="9.7109375" defaultRowHeight="12"/>
  <cols>
    <col min="1" max="1" width="9.140625" customWidth="1"/>
    <col min="2" max="2" width="5.5703125" customWidth="1"/>
    <col min="3" max="3" width="6.42578125" customWidth="1"/>
    <col min="4" max="4" width="5.5703125" customWidth="1"/>
    <col min="5" max="5" width="0.5703125" customWidth="1"/>
    <col min="6" max="6" width="5.5703125" customWidth="1"/>
    <col min="7" max="7" width="6.42578125" customWidth="1"/>
    <col min="8" max="8" width="5.5703125" customWidth="1"/>
    <col min="9" max="9" width="0.5703125" customWidth="1"/>
    <col min="10" max="10" width="5.5703125" customWidth="1"/>
    <col min="11" max="11" width="6.42578125" customWidth="1"/>
    <col min="12" max="12" width="5.5703125" customWidth="1"/>
    <col min="13" max="13" width="0.5703125" customWidth="1"/>
    <col min="14" max="14" width="5.5703125" customWidth="1"/>
    <col min="15" max="15" width="6.42578125" customWidth="1"/>
    <col min="16" max="16" width="5.5703125" customWidth="1"/>
    <col min="17" max="17" width="0.5703125" customWidth="1"/>
    <col min="18" max="18" width="5.5703125" customWidth="1"/>
    <col min="19" max="19" width="6.42578125" customWidth="1"/>
    <col min="20" max="20" width="5.5703125" customWidth="1"/>
  </cols>
  <sheetData>
    <row r="1" spans="1:20" ht="10.9" customHeight="1">
      <c r="A1" s="1" t="s">
        <v>113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0.9" customHeight="1">
      <c r="A2" s="100"/>
      <c r="B2" s="101" t="s">
        <v>1</v>
      </c>
      <c r="C2" s="102"/>
      <c r="D2" s="101"/>
      <c r="E2" s="14"/>
      <c r="F2" s="6" t="s">
        <v>2</v>
      </c>
      <c r="G2" s="6"/>
      <c r="H2" s="6"/>
      <c r="I2" s="47"/>
      <c r="J2" s="6" t="s">
        <v>3</v>
      </c>
      <c r="K2" s="102"/>
      <c r="L2" s="6"/>
      <c r="M2" s="14"/>
      <c r="N2" s="6" t="s">
        <v>4</v>
      </c>
      <c r="O2" s="102"/>
      <c r="P2" s="6"/>
      <c r="Q2" s="14"/>
      <c r="R2" s="6" t="s">
        <v>5</v>
      </c>
      <c r="S2" s="6"/>
      <c r="T2" s="6"/>
    </row>
    <row r="3" spans="1:20" ht="12" customHeight="1">
      <c r="A3" s="5" t="s">
        <v>57</v>
      </c>
      <c r="B3" s="10"/>
      <c r="C3" s="10" t="s">
        <v>114</v>
      </c>
      <c r="D3" s="10"/>
      <c r="E3" s="14"/>
      <c r="F3" s="10"/>
      <c r="G3" s="10" t="s">
        <v>114</v>
      </c>
      <c r="H3" s="10"/>
      <c r="I3" s="14"/>
      <c r="J3" s="10"/>
      <c r="K3" s="10" t="s">
        <v>114</v>
      </c>
      <c r="L3" s="10"/>
      <c r="M3" s="14"/>
      <c r="N3" s="10"/>
      <c r="O3" s="10" t="s">
        <v>114</v>
      </c>
      <c r="P3" s="10"/>
      <c r="Q3" s="14"/>
      <c r="R3" s="10"/>
      <c r="S3" s="10" t="s">
        <v>114</v>
      </c>
      <c r="T3" s="10"/>
    </row>
    <row r="4" spans="1:20" ht="10.9" customHeight="1">
      <c r="A4" s="103"/>
      <c r="B4" s="104" t="s">
        <v>101</v>
      </c>
      <c r="C4" s="9" t="s">
        <v>115</v>
      </c>
      <c r="D4" s="9" t="s">
        <v>116</v>
      </c>
      <c r="E4" s="1"/>
      <c r="F4" s="104" t="s">
        <v>101</v>
      </c>
      <c r="G4" s="9" t="s">
        <v>115</v>
      </c>
      <c r="H4" s="9" t="s">
        <v>116</v>
      </c>
      <c r="I4" s="1"/>
      <c r="J4" s="104" t="s">
        <v>101</v>
      </c>
      <c r="K4" s="9" t="s">
        <v>115</v>
      </c>
      <c r="L4" s="9" t="s">
        <v>116</v>
      </c>
      <c r="M4" s="1"/>
      <c r="N4" s="104" t="s">
        <v>101</v>
      </c>
      <c r="O4" s="9" t="s">
        <v>115</v>
      </c>
      <c r="P4" s="9" t="s">
        <v>116</v>
      </c>
      <c r="Q4" s="1"/>
      <c r="R4" s="104" t="s">
        <v>101</v>
      </c>
      <c r="S4" s="9" t="s">
        <v>115</v>
      </c>
      <c r="T4" s="9" t="s">
        <v>116</v>
      </c>
    </row>
    <row r="5" spans="1:20" ht="3.95" customHeight="1">
      <c r="A5" s="59"/>
      <c r="B5" s="105"/>
      <c r="C5" s="10"/>
      <c r="D5" s="10"/>
      <c r="E5" s="18"/>
      <c r="F5" s="105"/>
      <c r="G5" s="10"/>
      <c r="H5" s="10"/>
      <c r="I5" s="18"/>
      <c r="J5" s="105"/>
      <c r="K5" s="10"/>
      <c r="L5" s="10"/>
      <c r="M5" s="18"/>
      <c r="N5" s="105"/>
      <c r="O5" s="10"/>
      <c r="P5" s="10"/>
      <c r="Q5" s="18"/>
      <c r="R5" s="105"/>
      <c r="S5" s="10"/>
      <c r="T5" s="10"/>
    </row>
    <row r="6" spans="1:20" ht="12.95" customHeight="1">
      <c r="A6" s="4"/>
      <c r="B6" s="46" t="s">
        <v>117</v>
      </c>
      <c r="C6" s="47"/>
      <c r="D6" s="47"/>
      <c r="E6" s="47"/>
      <c r="F6" s="47"/>
      <c r="G6" s="47"/>
      <c r="H6" s="47"/>
      <c r="I6" s="47"/>
      <c r="J6" s="70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ht="3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0.5" customHeight="1">
      <c r="A8" s="14" t="s">
        <v>60</v>
      </c>
      <c r="B8" s="106">
        <v>5.25</v>
      </c>
      <c r="C8" s="107">
        <v>2.76</v>
      </c>
      <c r="D8" s="106">
        <v>3.6</v>
      </c>
      <c r="E8" s="108"/>
      <c r="F8" s="106">
        <v>6.34</v>
      </c>
      <c r="G8" s="109">
        <v>-0.45</v>
      </c>
      <c r="H8" s="106">
        <v>3.33</v>
      </c>
      <c r="I8" s="108"/>
      <c r="J8" s="106">
        <v>3.7</v>
      </c>
      <c r="K8" s="107">
        <v>2.31</v>
      </c>
      <c r="L8" s="110">
        <v>3.27</v>
      </c>
      <c r="M8" s="111"/>
      <c r="N8" s="110">
        <v>4.91</v>
      </c>
      <c r="O8" s="107">
        <v>-0.2</v>
      </c>
      <c r="P8" s="110">
        <v>2.72</v>
      </c>
      <c r="Q8" s="111"/>
      <c r="R8" s="110">
        <v>5.15</v>
      </c>
      <c r="S8" s="107">
        <v>2.36</v>
      </c>
      <c r="T8" s="110">
        <v>3.5</v>
      </c>
    </row>
    <row r="9" spans="1:20" ht="10.5" customHeight="1">
      <c r="A9" s="14" t="s">
        <v>61</v>
      </c>
      <c r="B9" s="106">
        <v>4.4800000000000004</v>
      </c>
      <c r="C9" s="107">
        <v>0.82</v>
      </c>
      <c r="D9" s="106">
        <v>2.09</v>
      </c>
      <c r="E9" s="108"/>
      <c r="F9" s="106">
        <v>3.95</v>
      </c>
      <c r="G9" s="109">
        <v>-1.31</v>
      </c>
      <c r="H9" s="106">
        <v>1.85</v>
      </c>
      <c r="I9" s="108"/>
      <c r="J9" s="106">
        <v>2.73</v>
      </c>
      <c r="K9" s="107">
        <v>0.98</v>
      </c>
      <c r="L9" s="110">
        <v>1.89</v>
      </c>
      <c r="M9" s="111"/>
      <c r="N9" s="110">
        <v>3.66</v>
      </c>
      <c r="O9" s="107">
        <v>-1.28</v>
      </c>
      <c r="P9" s="110">
        <v>1.01</v>
      </c>
      <c r="Q9" s="111"/>
      <c r="R9" s="110">
        <v>3.94</v>
      </c>
      <c r="S9" s="107">
        <v>0.66</v>
      </c>
      <c r="T9" s="110">
        <v>1.99</v>
      </c>
    </row>
    <row r="10" spans="1:20" ht="10.5" customHeight="1">
      <c r="A10" s="14" t="s">
        <v>62</v>
      </c>
      <c r="B10" s="106">
        <v>3.61</v>
      </c>
      <c r="C10" s="107">
        <v>0.52</v>
      </c>
      <c r="D10" s="106">
        <v>1.96</v>
      </c>
      <c r="E10" s="108"/>
      <c r="F10" s="106">
        <v>4.05</v>
      </c>
      <c r="G10" s="109">
        <v>-1.31</v>
      </c>
      <c r="H10" s="106">
        <v>1.94</v>
      </c>
      <c r="I10" s="108"/>
      <c r="J10" s="106">
        <v>1.75</v>
      </c>
      <c r="K10" s="107">
        <v>0.14000000000000001</v>
      </c>
      <c r="L10" s="110">
        <v>1.26</v>
      </c>
      <c r="M10" s="111"/>
      <c r="N10" s="110">
        <v>2.73</v>
      </c>
      <c r="O10" s="107">
        <v>-1.32</v>
      </c>
      <c r="P10" s="110">
        <v>1.1100000000000001</v>
      </c>
      <c r="Q10" s="111"/>
      <c r="R10" s="110">
        <v>3.18</v>
      </c>
      <c r="S10" s="107">
        <v>0.22</v>
      </c>
      <c r="T10" s="110">
        <v>1.79</v>
      </c>
    </row>
    <row r="11" spans="1:20" ht="10.5" customHeight="1">
      <c r="A11" s="14" t="s">
        <v>63</v>
      </c>
      <c r="B11" s="106">
        <v>4.1900000000000004</v>
      </c>
      <c r="C11" s="107">
        <v>1.7</v>
      </c>
      <c r="D11" s="106">
        <v>2.72</v>
      </c>
      <c r="E11" s="108"/>
      <c r="F11" s="106">
        <v>5.3</v>
      </c>
      <c r="G11" s="109">
        <v>-1.53</v>
      </c>
      <c r="H11" s="106">
        <v>2.83</v>
      </c>
      <c r="I11" s="108"/>
      <c r="J11" s="106">
        <v>2.2000000000000002</v>
      </c>
      <c r="K11" s="107">
        <v>0.24</v>
      </c>
      <c r="L11" s="110">
        <v>1.99</v>
      </c>
      <c r="M11" s="111"/>
      <c r="N11" s="110">
        <v>4.34</v>
      </c>
      <c r="O11" s="107">
        <v>-1.52</v>
      </c>
      <c r="P11" s="110">
        <v>2.46</v>
      </c>
      <c r="Q11" s="111"/>
      <c r="R11" s="110">
        <v>4.1399999999999997</v>
      </c>
      <c r="S11" s="107">
        <v>1.37</v>
      </c>
      <c r="T11" s="110">
        <v>2.68</v>
      </c>
    </row>
    <row r="12" spans="1:20" ht="12.95" customHeight="1">
      <c r="A12" s="14" t="s">
        <v>64</v>
      </c>
      <c r="B12" s="106">
        <v>5.62</v>
      </c>
      <c r="C12" s="107">
        <v>2.66</v>
      </c>
      <c r="D12" s="106">
        <v>3.67</v>
      </c>
      <c r="E12" s="108"/>
      <c r="F12" s="106">
        <v>8.19</v>
      </c>
      <c r="G12" s="109">
        <v>-0.45</v>
      </c>
      <c r="H12" s="106">
        <v>5.64</v>
      </c>
      <c r="I12" s="108"/>
      <c r="J12" s="112" t="s">
        <v>118</v>
      </c>
      <c r="K12" s="112" t="s">
        <v>118</v>
      </c>
      <c r="L12" s="112" t="s">
        <v>118</v>
      </c>
      <c r="M12" s="111"/>
      <c r="N12" s="110">
        <v>6.64</v>
      </c>
      <c r="O12" s="107">
        <v>-0.38</v>
      </c>
      <c r="P12" s="110">
        <v>4.1900000000000004</v>
      </c>
      <c r="Q12" s="111"/>
      <c r="R12" s="110">
        <v>6.27</v>
      </c>
      <c r="S12" s="107">
        <v>2.38</v>
      </c>
      <c r="T12" s="110">
        <v>3.95</v>
      </c>
    </row>
    <row r="13" spans="1:20" ht="10.5" customHeight="1">
      <c r="A13" s="14" t="s">
        <v>65</v>
      </c>
      <c r="B13" s="106">
        <v>5.19</v>
      </c>
      <c r="C13" s="107">
        <v>3.29</v>
      </c>
      <c r="D13" s="106">
        <v>4.09</v>
      </c>
      <c r="E13" s="108"/>
      <c r="F13" s="106">
        <v>8.74</v>
      </c>
      <c r="G13" s="109">
        <v>-0.76</v>
      </c>
      <c r="H13" s="106">
        <v>5.93</v>
      </c>
      <c r="I13" s="108"/>
      <c r="J13" s="106">
        <v>8.89</v>
      </c>
      <c r="K13" s="107">
        <v>3.5</v>
      </c>
      <c r="L13" s="110">
        <v>8.4</v>
      </c>
      <c r="M13" s="111"/>
      <c r="N13" s="110">
        <v>5.66</v>
      </c>
      <c r="O13" s="107">
        <v>-0.79</v>
      </c>
      <c r="P13" s="110">
        <v>3.36</v>
      </c>
      <c r="Q13" s="111"/>
      <c r="R13" s="110">
        <v>5.85</v>
      </c>
      <c r="S13" s="107">
        <v>2.94</v>
      </c>
      <c r="T13" s="110">
        <v>4.29</v>
      </c>
    </row>
    <row r="14" spans="1:20" ht="3" customHeight="1">
      <c r="A14" s="14"/>
      <c r="B14" s="106"/>
      <c r="C14" s="107"/>
      <c r="D14" s="106"/>
      <c r="E14" s="108"/>
      <c r="F14" s="106"/>
      <c r="G14" s="109"/>
      <c r="H14" s="106"/>
      <c r="I14" s="108"/>
      <c r="J14" s="106"/>
      <c r="K14" s="107"/>
      <c r="L14" s="110"/>
      <c r="M14" s="111"/>
      <c r="N14" s="110"/>
      <c r="O14" s="107"/>
      <c r="P14" s="110"/>
      <c r="Q14" s="111"/>
      <c r="R14" s="110"/>
      <c r="S14" s="107"/>
      <c r="T14" s="110"/>
    </row>
    <row r="15" spans="1:20" ht="10.5" customHeight="1">
      <c r="A15" s="14" t="s">
        <v>66</v>
      </c>
      <c r="B15" s="106">
        <v>5.89</v>
      </c>
      <c r="C15" s="107">
        <v>4.32</v>
      </c>
      <c r="D15" s="106">
        <v>4.9800000000000004</v>
      </c>
      <c r="E15" s="108"/>
      <c r="F15" s="106">
        <v>7.71</v>
      </c>
      <c r="G15" s="109">
        <v>-0.64</v>
      </c>
      <c r="H15" s="106">
        <v>4.62</v>
      </c>
      <c r="I15" s="108"/>
      <c r="J15" s="106">
        <v>7.47</v>
      </c>
      <c r="K15" s="107">
        <v>3.4</v>
      </c>
      <c r="L15" s="110">
        <v>6.69</v>
      </c>
      <c r="M15" s="111"/>
      <c r="N15" s="110">
        <v>5.96</v>
      </c>
      <c r="O15" s="107">
        <v>-0.64</v>
      </c>
      <c r="P15" s="110">
        <v>3.54</v>
      </c>
      <c r="Q15" s="111"/>
      <c r="R15" s="110">
        <v>6.27</v>
      </c>
      <c r="S15" s="107">
        <v>3.79</v>
      </c>
      <c r="T15" s="110">
        <v>4.9400000000000004</v>
      </c>
    </row>
    <row r="16" spans="1:20" ht="10.5" customHeight="1">
      <c r="A16" s="14" t="s">
        <v>67</v>
      </c>
      <c r="B16" s="106">
        <v>6.85</v>
      </c>
      <c r="C16" s="107">
        <v>4.6100000000000003</v>
      </c>
      <c r="D16" s="106">
        <v>5.57</v>
      </c>
      <c r="E16" s="108"/>
      <c r="F16" s="106">
        <v>7.43</v>
      </c>
      <c r="G16" s="109">
        <v>-0.41</v>
      </c>
      <c r="H16" s="106">
        <v>4.76</v>
      </c>
      <c r="I16" s="108"/>
      <c r="J16" s="106">
        <v>6.61</v>
      </c>
      <c r="K16" s="107">
        <v>3.32</v>
      </c>
      <c r="L16" s="110">
        <v>5.73</v>
      </c>
      <c r="M16" s="111"/>
      <c r="N16" s="110">
        <v>4.58</v>
      </c>
      <c r="O16" s="107">
        <v>-0.44</v>
      </c>
      <c r="P16" s="110">
        <v>2.91</v>
      </c>
      <c r="Q16" s="111"/>
      <c r="R16" s="110">
        <v>6.84</v>
      </c>
      <c r="S16" s="107">
        <v>4.16</v>
      </c>
      <c r="T16" s="110">
        <v>5.43</v>
      </c>
    </row>
    <row r="17" spans="1:20" ht="10.5" customHeight="1">
      <c r="A17" s="14" t="s">
        <v>105</v>
      </c>
      <c r="B17" s="106">
        <v>6.03</v>
      </c>
      <c r="C17" s="107">
        <v>3.24</v>
      </c>
      <c r="D17" s="106">
        <v>4.45</v>
      </c>
      <c r="E17" s="108"/>
      <c r="F17" s="106">
        <v>7.33</v>
      </c>
      <c r="G17" s="109">
        <v>-1.54</v>
      </c>
      <c r="H17" s="106">
        <v>4.55</v>
      </c>
      <c r="I17" s="108"/>
      <c r="J17" s="106">
        <v>5.0599999999999996</v>
      </c>
      <c r="K17" s="107">
        <v>0.56999999999999995</v>
      </c>
      <c r="L17" s="110">
        <v>4.21</v>
      </c>
      <c r="M17" s="111"/>
      <c r="N17" s="110">
        <v>4.76</v>
      </c>
      <c r="O17" s="107">
        <v>-1.57</v>
      </c>
      <c r="P17" s="110">
        <v>2.76</v>
      </c>
      <c r="Q17" s="111"/>
      <c r="R17" s="110">
        <v>6.05</v>
      </c>
      <c r="S17" s="107">
        <v>2.84</v>
      </c>
      <c r="T17" s="110">
        <v>4.41</v>
      </c>
    </row>
    <row r="18" spans="1:20" ht="10.5" customHeight="1">
      <c r="A18" s="14" t="s">
        <v>69</v>
      </c>
      <c r="B18" s="106">
        <v>10</v>
      </c>
      <c r="C18" s="107">
        <v>3.06</v>
      </c>
      <c r="D18" s="106">
        <v>5.65</v>
      </c>
      <c r="E18" s="108"/>
      <c r="F18" s="106">
        <v>10.49</v>
      </c>
      <c r="G18" s="109">
        <v>-1.1299999999999999</v>
      </c>
      <c r="H18" s="106">
        <v>6.28</v>
      </c>
      <c r="I18" s="108"/>
      <c r="J18" s="106">
        <v>7.34</v>
      </c>
      <c r="K18" s="107">
        <v>0.57999999999999996</v>
      </c>
      <c r="L18" s="110">
        <v>6</v>
      </c>
      <c r="M18" s="111"/>
      <c r="N18" s="110">
        <v>11.35</v>
      </c>
      <c r="O18" s="107">
        <v>-1.31</v>
      </c>
      <c r="P18" s="110">
        <v>8.27</v>
      </c>
      <c r="Q18" s="111"/>
      <c r="R18" s="110">
        <v>10</v>
      </c>
      <c r="S18" s="107">
        <v>2.5299999999999998</v>
      </c>
      <c r="T18" s="110">
        <v>5.86</v>
      </c>
    </row>
    <row r="19" spans="1:20" ht="12.95" customHeight="1">
      <c r="A19" s="14" t="s">
        <v>70</v>
      </c>
      <c r="B19" s="106">
        <v>8.83</v>
      </c>
      <c r="C19" s="107">
        <v>2.08</v>
      </c>
      <c r="D19" s="106">
        <v>5.66</v>
      </c>
      <c r="E19" s="108"/>
      <c r="F19" s="106">
        <v>8.42</v>
      </c>
      <c r="G19" s="109">
        <v>-1.68</v>
      </c>
      <c r="H19" s="106">
        <v>4.87</v>
      </c>
      <c r="I19" s="108"/>
      <c r="J19" s="112" t="s">
        <v>119</v>
      </c>
      <c r="K19" s="107">
        <v>0.6</v>
      </c>
      <c r="L19" s="112" t="s">
        <v>119</v>
      </c>
      <c r="M19" s="111"/>
      <c r="N19" s="110">
        <v>8.01</v>
      </c>
      <c r="O19" s="113">
        <v>-1.69</v>
      </c>
      <c r="P19" s="110">
        <v>5.15</v>
      </c>
      <c r="Q19" s="111"/>
      <c r="R19" s="110">
        <v>8.74</v>
      </c>
      <c r="S19" s="107">
        <v>1.65</v>
      </c>
      <c r="T19" s="110">
        <v>5.55</v>
      </c>
    </row>
    <row r="20" spans="1:20" ht="10.5" customHeight="1">
      <c r="A20" s="14" t="s">
        <v>71</v>
      </c>
      <c r="B20" s="108">
        <v>8.69</v>
      </c>
      <c r="C20" s="107">
        <v>4.2</v>
      </c>
      <c r="D20" s="108">
        <v>6.62</v>
      </c>
      <c r="E20" s="108"/>
      <c r="F20" s="106">
        <v>7.4</v>
      </c>
      <c r="G20" s="109">
        <v>-0.92</v>
      </c>
      <c r="H20" s="106">
        <v>4.3899999999999997</v>
      </c>
      <c r="I20" s="108"/>
      <c r="J20" s="106">
        <v>13.52</v>
      </c>
      <c r="K20" s="107">
        <v>0.61</v>
      </c>
      <c r="L20" s="110">
        <v>13.52</v>
      </c>
      <c r="M20" s="111"/>
      <c r="N20" s="110">
        <v>6.03</v>
      </c>
      <c r="O20" s="107">
        <v>-1.04</v>
      </c>
      <c r="P20" s="110">
        <v>4.1100000000000003</v>
      </c>
      <c r="Q20" s="111"/>
      <c r="R20" s="110">
        <v>8.34</v>
      </c>
      <c r="S20" s="107">
        <v>3.44</v>
      </c>
      <c r="T20" s="110">
        <v>6.2</v>
      </c>
    </row>
    <row r="21" spans="1:20" ht="3" customHeight="1">
      <c r="A21" s="14"/>
      <c r="B21" s="108"/>
      <c r="C21" s="107"/>
      <c r="D21" s="108"/>
      <c r="E21" s="108"/>
      <c r="F21" s="106"/>
      <c r="G21" s="109"/>
      <c r="H21" s="106"/>
      <c r="I21" s="108"/>
      <c r="J21" s="106"/>
      <c r="K21" s="107"/>
      <c r="L21" s="110"/>
      <c r="M21" s="111"/>
      <c r="N21" s="110"/>
      <c r="O21" s="107"/>
      <c r="P21" s="110"/>
      <c r="Q21" s="111"/>
      <c r="R21" s="110"/>
      <c r="S21" s="107"/>
      <c r="T21" s="110"/>
    </row>
    <row r="22" spans="1:20" ht="10.5" customHeight="1">
      <c r="A22" s="14" t="s">
        <v>72</v>
      </c>
      <c r="B22" s="106">
        <v>4.8600000000000003</v>
      </c>
      <c r="C22" s="107">
        <v>1.06</v>
      </c>
      <c r="D22" s="106">
        <v>2.66</v>
      </c>
      <c r="E22" s="108"/>
      <c r="F22" s="106">
        <v>6.35</v>
      </c>
      <c r="G22" s="109">
        <v>-2.13</v>
      </c>
      <c r="H22" s="106">
        <v>3.11</v>
      </c>
      <c r="I22" s="108"/>
      <c r="J22" s="106">
        <v>6.57</v>
      </c>
      <c r="K22" s="107">
        <v>0.62</v>
      </c>
      <c r="L22" s="110">
        <v>5.1100000000000003</v>
      </c>
      <c r="M22" s="111"/>
      <c r="N22" s="110">
        <v>3.38</v>
      </c>
      <c r="O22" s="107">
        <v>-1.78</v>
      </c>
      <c r="P22" s="110">
        <v>1.81</v>
      </c>
      <c r="Q22" s="111"/>
      <c r="R22" s="110">
        <v>5.0999999999999996</v>
      </c>
      <c r="S22" s="107">
        <v>0.77</v>
      </c>
      <c r="T22" s="110">
        <v>2.75</v>
      </c>
    </row>
    <row r="23" spans="1:20" ht="10.5" customHeight="1">
      <c r="A23" s="14" t="s">
        <v>73</v>
      </c>
      <c r="B23" s="106">
        <v>5.52</v>
      </c>
      <c r="C23" s="107">
        <v>1.51</v>
      </c>
      <c r="D23" s="106">
        <v>3.28</v>
      </c>
      <c r="E23" s="108"/>
      <c r="F23" s="106">
        <v>6.74</v>
      </c>
      <c r="G23" s="109">
        <v>-1.59</v>
      </c>
      <c r="H23" s="106">
        <v>3.86</v>
      </c>
      <c r="I23" s="108"/>
      <c r="J23" s="106">
        <v>5.0199999999999996</v>
      </c>
      <c r="K23" s="107">
        <v>1.02</v>
      </c>
      <c r="L23" s="110">
        <v>3.89</v>
      </c>
      <c r="M23" s="111"/>
      <c r="N23" s="110">
        <v>2.97</v>
      </c>
      <c r="O23" s="107">
        <v>-1.75</v>
      </c>
      <c r="P23" s="110">
        <v>1.3</v>
      </c>
      <c r="Q23" s="111"/>
      <c r="R23" s="110">
        <v>5.61</v>
      </c>
      <c r="S23" s="107">
        <v>1.21</v>
      </c>
      <c r="T23" s="110">
        <v>3.33</v>
      </c>
    </row>
    <row r="24" spans="1:20" ht="10.5" customHeight="1">
      <c r="A24" s="14" t="s">
        <v>74</v>
      </c>
      <c r="B24" s="106">
        <v>4</v>
      </c>
      <c r="C24" s="107">
        <v>0.83</v>
      </c>
      <c r="D24" s="106">
        <v>2.09</v>
      </c>
      <c r="E24" s="108"/>
      <c r="F24" s="106">
        <v>7.17</v>
      </c>
      <c r="G24" s="109">
        <v>-2.37</v>
      </c>
      <c r="H24" s="106">
        <v>3.7</v>
      </c>
      <c r="I24" s="108"/>
      <c r="J24" s="106">
        <v>3.18</v>
      </c>
      <c r="K24" s="107">
        <v>0.54</v>
      </c>
      <c r="L24" s="110">
        <v>2.36</v>
      </c>
      <c r="M24" s="111"/>
      <c r="N24" s="110">
        <v>4.0199999999999996</v>
      </c>
      <c r="O24" s="107">
        <v>-2.38</v>
      </c>
      <c r="P24" s="110">
        <v>3.62</v>
      </c>
      <c r="Q24" s="111"/>
      <c r="R24" s="110">
        <v>4.4000000000000004</v>
      </c>
      <c r="S24" s="107">
        <v>0.59</v>
      </c>
      <c r="T24" s="110">
        <v>2.2999999999999998</v>
      </c>
    </row>
    <row r="25" spans="1:20" ht="10.5" customHeight="1">
      <c r="A25" s="18" t="s">
        <v>75</v>
      </c>
      <c r="B25" s="114">
        <v>3.71</v>
      </c>
      <c r="C25" s="115">
        <v>0.56000000000000005</v>
      </c>
      <c r="D25" s="114">
        <v>1.93</v>
      </c>
      <c r="E25" s="116"/>
      <c r="F25" s="114">
        <v>7.02</v>
      </c>
      <c r="G25" s="117">
        <v>-2.17</v>
      </c>
      <c r="H25" s="114">
        <v>4.6399999999999997</v>
      </c>
      <c r="I25" s="116"/>
      <c r="J25" s="114">
        <v>5.22</v>
      </c>
      <c r="K25" s="115">
        <v>0.66</v>
      </c>
      <c r="L25" s="118">
        <v>3.69</v>
      </c>
      <c r="M25" s="119"/>
      <c r="N25" s="118">
        <v>4.12</v>
      </c>
      <c r="O25" s="115">
        <v>-2.2200000000000002</v>
      </c>
      <c r="P25" s="110">
        <v>1.76</v>
      </c>
      <c r="Q25" s="119"/>
      <c r="R25" s="118">
        <v>4.3600000000000003</v>
      </c>
      <c r="S25" s="115">
        <v>0.39</v>
      </c>
      <c r="T25" s="118">
        <v>2.3199999999999998</v>
      </c>
    </row>
    <row r="26" spans="1:20" ht="10.5" customHeight="1">
      <c r="A26" s="22" t="s">
        <v>76</v>
      </c>
      <c r="B26" s="114">
        <v>3.74</v>
      </c>
      <c r="C26" s="115">
        <v>-0.01</v>
      </c>
      <c r="D26" s="114">
        <v>1.55</v>
      </c>
      <c r="E26" s="116"/>
      <c r="F26" s="114">
        <v>6.82</v>
      </c>
      <c r="G26" s="117">
        <v>-2.13</v>
      </c>
      <c r="H26" s="114">
        <v>4.4800000000000004</v>
      </c>
      <c r="I26" s="116"/>
      <c r="J26" s="114">
        <v>4.1500000000000004</v>
      </c>
      <c r="K26" s="115">
        <v>0.4</v>
      </c>
      <c r="L26" s="118">
        <v>3.03</v>
      </c>
      <c r="M26" s="119"/>
      <c r="N26" s="118">
        <v>4.12</v>
      </c>
      <c r="O26" s="115">
        <v>-2.36</v>
      </c>
      <c r="P26" s="118">
        <v>1.04</v>
      </c>
      <c r="Q26" s="119"/>
      <c r="R26" s="118">
        <v>4.25</v>
      </c>
      <c r="S26" s="115">
        <v>-0.11</v>
      </c>
      <c r="T26" s="118">
        <v>1.93</v>
      </c>
    </row>
    <row r="27" spans="1:20" ht="10.5" customHeight="1">
      <c r="A27" s="22" t="s">
        <v>77</v>
      </c>
      <c r="B27" s="114">
        <v>3.42</v>
      </c>
      <c r="C27" s="115">
        <v>-0.33</v>
      </c>
      <c r="D27" s="114">
        <v>1.27</v>
      </c>
      <c r="E27" s="116"/>
      <c r="F27" s="114">
        <v>10.32</v>
      </c>
      <c r="G27" s="117">
        <v>-2.2000000000000002</v>
      </c>
      <c r="H27" s="114">
        <v>6.48</v>
      </c>
      <c r="I27" s="116"/>
      <c r="J27" s="114">
        <v>4.75</v>
      </c>
      <c r="K27" s="115">
        <v>0.4</v>
      </c>
      <c r="L27" s="118">
        <v>3.57</v>
      </c>
      <c r="M27" s="119"/>
      <c r="N27" s="118">
        <v>5.82</v>
      </c>
      <c r="O27" s="115">
        <v>-2.2000000000000002</v>
      </c>
      <c r="P27" s="118">
        <v>2.73</v>
      </c>
      <c r="Q27" s="119"/>
      <c r="R27" s="118">
        <v>4.6399999999999997</v>
      </c>
      <c r="S27" s="115">
        <v>-0.43</v>
      </c>
      <c r="T27" s="118">
        <v>2</v>
      </c>
    </row>
    <row r="28" spans="1:20" ht="3" customHeight="1">
      <c r="A28" s="22"/>
      <c r="B28" s="114"/>
      <c r="C28" s="115"/>
      <c r="D28" s="114"/>
      <c r="E28" s="116"/>
      <c r="F28" s="114"/>
      <c r="G28" s="117"/>
      <c r="H28" s="114"/>
      <c r="I28" s="116"/>
      <c r="J28" s="114"/>
      <c r="K28" s="115"/>
      <c r="L28" s="118"/>
      <c r="M28" s="119"/>
      <c r="N28" s="118"/>
      <c r="O28" s="115"/>
      <c r="P28" s="118"/>
      <c r="Q28" s="119"/>
      <c r="R28" s="118"/>
      <c r="S28" s="115"/>
      <c r="T28" s="118"/>
    </row>
    <row r="29" spans="1:20" ht="10.5" customHeight="1">
      <c r="A29" s="22" t="s">
        <v>78</v>
      </c>
      <c r="B29" s="114">
        <v>5.04</v>
      </c>
      <c r="C29" s="115">
        <v>0.3</v>
      </c>
      <c r="D29" s="114">
        <v>2.2999999999999998</v>
      </c>
      <c r="E29" s="116"/>
      <c r="F29" s="114">
        <v>9.7100000000000009</v>
      </c>
      <c r="G29" s="117">
        <v>-2.23</v>
      </c>
      <c r="H29" s="114">
        <v>8.6300000000000008</v>
      </c>
      <c r="I29" s="116"/>
      <c r="J29" s="114">
        <v>6.75</v>
      </c>
      <c r="K29" s="115">
        <v>0.4</v>
      </c>
      <c r="L29" s="118">
        <v>4.6500000000000004</v>
      </c>
      <c r="M29" s="119"/>
      <c r="N29" s="118">
        <v>6.91</v>
      </c>
      <c r="O29" s="115">
        <v>-2.31</v>
      </c>
      <c r="P29" s="118">
        <v>4.17</v>
      </c>
      <c r="Q29" s="119"/>
      <c r="R29" s="118">
        <v>6.12</v>
      </c>
      <c r="S29" s="115">
        <v>0.24</v>
      </c>
      <c r="T29" s="118">
        <v>3.17</v>
      </c>
    </row>
    <row r="30" spans="1:20" ht="10.5" customHeight="1">
      <c r="A30" s="22" t="s">
        <v>79</v>
      </c>
      <c r="B30" s="114">
        <v>6.52</v>
      </c>
      <c r="C30" s="115">
        <v>1.98</v>
      </c>
      <c r="D30" s="114">
        <v>3.53</v>
      </c>
      <c r="E30" s="116"/>
      <c r="F30" s="114">
        <v>7.45</v>
      </c>
      <c r="G30" s="117">
        <v>-2.8</v>
      </c>
      <c r="H30" s="114">
        <v>6.03</v>
      </c>
      <c r="I30" s="116"/>
      <c r="J30" s="114">
        <v>7.75</v>
      </c>
      <c r="K30" s="115">
        <v>0.3</v>
      </c>
      <c r="L30" s="118">
        <v>5.16</v>
      </c>
      <c r="M30" s="119"/>
      <c r="N30" s="118">
        <v>4.25</v>
      </c>
      <c r="O30" s="115">
        <v>-2.8</v>
      </c>
      <c r="P30" s="118">
        <v>0.05</v>
      </c>
      <c r="Q30" s="119"/>
      <c r="R30" s="118">
        <v>6.84</v>
      </c>
      <c r="S30" s="115">
        <v>1.77</v>
      </c>
      <c r="T30" s="118">
        <v>3.87</v>
      </c>
    </row>
    <row r="31" spans="1:20" ht="10.5" customHeight="1">
      <c r="A31" s="22" t="s">
        <v>80</v>
      </c>
      <c r="B31" s="114">
        <v>4.8099999999999996</v>
      </c>
      <c r="C31" s="115">
        <v>0.59</v>
      </c>
      <c r="D31" s="114">
        <v>2.19</v>
      </c>
      <c r="E31" s="116"/>
      <c r="F31" s="114">
        <v>8.09</v>
      </c>
      <c r="G31" s="117">
        <v>-2.42</v>
      </c>
      <c r="H31" s="114">
        <v>6.59</v>
      </c>
      <c r="I31" s="116"/>
      <c r="J31" s="114">
        <v>3.15</v>
      </c>
      <c r="K31" s="115">
        <v>-0.5</v>
      </c>
      <c r="L31" s="118">
        <v>1.56</v>
      </c>
      <c r="M31" s="119"/>
      <c r="N31" s="118">
        <v>4.49</v>
      </c>
      <c r="O31" s="115">
        <v>-2.42</v>
      </c>
      <c r="P31" s="118">
        <v>3.24</v>
      </c>
      <c r="Q31" s="119"/>
      <c r="R31" s="118">
        <v>5.0999999999999996</v>
      </c>
      <c r="S31" s="115">
        <v>0.42</v>
      </c>
      <c r="T31" s="118">
        <v>2.5</v>
      </c>
    </row>
    <row r="32" spans="1:20" ht="10.5" customHeight="1">
      <c r="A32" s="22" t="s">
        <v>81</v>
      </c>
      <c r="B32" s="114">
        <v>5.25</v>
      </c>
      <c r="C32" s="115">
        <v>0.56000000000000005</v>
      </c>
      <c r="D32" s="114">
        <v>2.31</v>
      </c>
      <c r="E32" s="116"/>
      <c r="F32" s="114">
        <v>7.13</v>
      </c>
      <c r="G32" s="117">
        <v>-2.4700000000000002</v>
      </c>
      <c r="H32" s="114">
        <v>5.83</v>
      </c>
      <c r="I32" s="116"/>
      <c r="J32" s="114">
        <v>4.45</v>
      </c>
      <c r="K32" s="115">
        <v>-0.5</v>
      </c>
      <c r="L32" s="118">
        <v>2.77</v>
      </c>
      <c r="M32" s="119"/>
      <c r="N32" s="118">
        <v>4.82</v>
      </c>
      <c r="O32" s="115">
        <v>-2.48</v>
      </c>
      <c r="P32" s="118">
        <v>4.5</v>
      </c>
      <c r="Q32" s="119"/>
      <c r="R32" s="118">
        <v>5.43</v>
      </c>
      <c r="S32" s="115">
        <v>0.44</v>
      </c>
      <c r="T32" s="118">
        <v>2.64</v>
      </c>
    </row>
    <row r="33" spans="1:21" ht="10.5" customHeight="1">
      <c r="A33" s="22" t="s">
        <v>82</v>
      </c>
      <c r="B33" s="114">
        <v>5.63</v>
      </c>
      <c r="C33" s="115">
        <v>0.28999999999999998</v>
      </c>
      <c r="D33" s="114">
        <v>2.44</v>
      </c>
      <c r="E33" s="116"/>
      <c r="F33" s="114">
        <v>10.96</v>
      </c>
      <c r="G33" s="117">
        <v>-2.52</v>
      </c>
      <c r="H33" s="114">
        <v>9.2799999999999994</v>
      </c>
      <c r="I33" s="116"/>
      <c r="J33" s="114">
        <v>4.1399999999999997</v>
      </c>
      <c r="K33" s="115">
        <v>-0.32</v>
      </c>
      <c r="L33" s="118">
        <v>2.2999999999999998</v>
      </c>
      <c r="M33" s="119"/>
      <c r="N33" s="118">
        <v>5.85</v>
      </c>
      <c r="O33" s="115">
        <v>-2.5299999999999998</v>
      </c>
      <c r="P33" s="118">
        <v>5.46</v>
      </c>
      <c r="Q33" s="119"/>
      <c r="R33" s="118">
        <v>6.33</v>
      </c>
      <c r="S33" s="115">
        <v>0.18</v>
      </c>
      <c r="T33" s="118">
        <v>3.03</v>
      </c>
    </row>
    <row r="34" spans="1:21" ht="10.5" customHeight="1">
      <c r="A34" s="18" t="s">
        <v>83</v>
      </c>
      <c r="B34" s="114">
        <v>7.32</v>
      </c>
      <c r="C34" s="115">
        <v>0.6</v>
      </c>
      <c r="D34" s="114">
        <v>3.33</v>
      </c>
      <c r="E34" s="116"/>
      <c r="F34" s="114">
        <v>8.85</v>
      </c>
      <c r="G34" s="117">
        <v>-3.01</v>
      </c>
      <c r="H34" s="114">
        <v>7.42</v>
      </c>
      <c r="I34" s="116"/>
      <c r="J34" s="114">
        <v>4.84</v>
      </c>
      <c r="K34" s="115">
        <v>-0.17</v>
      </c>
      <c r="L34" s="118">
        <v>2.83</v>
      </c>
      <c r="M34" s="119"/>
      <c r="N34" s="118">
        <v>4.75</v>
      </c>
      <c r="O34" s="126" t="s">
        <v>122</v>
      </c>
      <c r="P34" s="118">
        <v>4.75</v>
      </c>
      <c r="Q34" s="119"/>
      <c r="R34" s="118">
        <v>7.23</v>
      </c>
      <c r="S34" s="115">
        <v>0.46</v>
      </c>
      <c r="T34" s="118">
        <v>3.66</v>
      </c>
      <c r="U34" s="59"/>
    </row>
    <row r="35" spans="1:21" ht="4.5" customHeight="1">
      <c r="A35" s="22"/>
      <c r="B35" s="114"/>
      <c r="C35" s="115"/>
      <c r="D35" s="114"/>
      <c r="E35" s="116"/>
      <c r="F35" s="114"/>
      <c r="G35" s="117"/>
      <c r="H35" s="114"/>
      <c r="I35" s="116"/>
      <c r="J35" s="114"/>
      <c r="K35" s="115"/>
      <c r="L35" s="118"/>
      <c r="M35" s="119"/>
      <c r="N35" s="118"/>
      <c r="O35" s="115"/>
      <c r="P35" s="118"/>
      <c r="Q35" s="119"/>
      <c r="R35" s="118"/>
      <c r="S35" s="115"/>
      <c r="T35" s="118"/>
    </row>
    <row r="36" spans="1:21" ht="10.5" customHeight="1">
      <c r="A36" s="18" t="s">
        <v>84</v>
      </c>
      <c r="B36" s="114">
        <v>19.510000000000002</v>
      </c>
      <c r="C36" s="115">
        <v>5.13</v>
      </c>
      <c r="D36" s="114">
        <v>13.47</v>
      </c>
      <c r="E36" s="116"/>
      <c r="F36" s="114">
        <v>15.52</v>
      </c>
      <c r="G36" s="117">
        <v>-3.08</v>
      </c>
      <c r="H36" s="114">
        <v>13.39</v>
      </c>
      <c r="I36" s="116"/>
      <c r="J36" s="114">
        <v>22.02</v>
      </c>
      <c r="K36" s="115">
        <v>0.06</v>
      </c>
      <c r="L36" s="118">
        <v>10.46</v>
      </c>
      <c r="M36" s="119"/>
      <c r="N36" s="118">
        <v>10.119999999999999</v>
      </c>
      <c r="O36" s="126" t="s">
        <v>122</v>
      </c>
      <c r="P36" s="118">
        <v>10.119999999999999</v>
      </c>
      <c r="Q36" s="119"/>
      <c r="R36" s="118">
        <v>18.79</v>
      </c>
      <c r="S36" s="115">
        <v>2.83</v>
      </c>
      <c r="T36" s="118">
        <v>12.65</v>
      </c>
    </row>
    <row r="37" spans="1:21" ht="10.5" customHeight="1">
      <c r="A37" s="18" t="s">
        <v>85</v>
      </c>
      <c r="B37" s="114">
        <v>13.96</v>
      </c>
      <c r="C37" s="115">
        <v>4.29</v>
      </c>
      <c r="D37" s="114">
        <v>7.75</v>
      </c>
      <c r="E37" s="116"/>
      <c r="F37" s="114">
        <v>12.18</v>
      </c>
      <c r="G37" s="117">
        <v>-3.15</v>
      </c>
      <c r="H37" s="114">
        <v>10.39</v>
      </c>
      <c r="I37" s="116"/>
      <c r="J37" s="114">
        <v>16.5</v>
      </c>
      <c r="K37" s="115">
        <v>2.15</v>
      </c>
      <c r="L37" s="118">
        <v>10.98</v>
      </c>
      <c r="M37" s="119"/>
      <c r="N37" s="118">
        <v>10.68</v>
      </c>
      <c r="O37" s="126" t="s">
        <v>122</v>
      </c>
      <c r="P37" s="118">
        <v>10.68</v>
      </c>
      <c r="Q37" s="119"/>
      <c r="R37" s="118">
        <v>13.96</v>
      </c>
      <c r="S37" s="115">
        <v>3.74</v>
      </c>
      <c r="T37" s="118">
        <v>8.74</v>
      </c>
    </row>
    <row r="38" spans="1:21" ht="10.5" customHeight="1">
      <c r="A38" s="18" t="s">
        <v>86</v>
      </c>
      <c r="B38" s="114">
        <v>9.51</v>
      </c>
      <c r="C38" s="115">
        <v>0.99</v>
      </c>
      <c r="D38" s="114">
        <v>4.42</v>
      </c>
      <c r="E38" s="116"/>
      <c r="F38" s="114">
        <v>11.14</v>
      </c>
      <c r="G38" s="117">
        <v>-3.22</v>
      </c>
      <c r="H38" s="114">
        <v>9.31</v>
      </c>
      <c r="I38" s="116"/>
      <c r="J38" s="114">
        <v>10.57</v>
      </c>
      <c r="K38" s="115">
        <v>0.9</v>
      </c>
      <c r="L38" s="118">
        <v>5.62</v>
      </c>
      <c r="M38" s="119"/>
      <c r="N38" s="118">
        <v>8.14</v>
      </c>
      <c r="O38" s="126" t="s">
        <v>122</v>
      </c>
      <c r="P38" s="118">
        <v>8.14</v>
      </c>
      <c r="Q38" s="119"/>
      <c r="R38" s="118">
        <v>10.029999999999999</v>
      </c>
      <c r="S38" s="115">
        <v>0.86</v>
      </c>
      <c r="T38" s="118">
        <v>5.19</v>
      </c>
    </row>
    <row r="39" spans="1:21" ht="10.5" customHeight="1">
      <c r="A39" s="18" t="s">
        <v>87</v>
      </c>
      <c r="B39" s="114">
        <v>10.11</v>
      </c>
      <c r="C39" s="115">
        <v>0.63</v>
      </c>
      <c r="D39" s="114">
        <v>4.42</v>
      </c>
      <c r="E39" s="116"/>
      <c r="F39" s="114">
        <v>6.2</v>
      </c>
      <c r="G39" s="115" t="s">
        <v>120</v>
      </c>
      <c r="H39" s="114">
        <v>6.2</v>
      </c>
      <c r="I39" s="116"/>
      <c r="J39" s="114">
        <v>10.64</v>
      </c>
      <c r="K39" s="115">
        <v>-0.55000000000000004</v>
      </c>
      <c r="L39" s="118">
        <v>5.6</v>
      </c>
      <c r="M39" s="119"/>
      <c r="N39" s="118">
        <v>5.7</v>
      </c>
      <c r="O39" s="126" t="s">
        <v>122</v>
      </c>
      <c r="P39" s="118">
        <v>5.7</v>
      </c>
      <c r="Q39" s="119"/>
      <c r="R39" s="118">
        <v>9.2899999999999991</v>
      </c>
      <c r="S39" s="115">
        <v>0.47</v>
      </c>
      <c r="T39" s="118">
        <v>4.8</v>
      </c>
    </row>
    <row r="40" spans="1:21" s="27" customFormat="1" ht="10.5" customHeight="1">
      <c r="A40" s="23" t="s">
        <v>88</v>
      </c>
      <c r="B40" s="121">
        <v>8.17</v>
      </c>
      <c r="C40" s="122">
        <v>0.52</v>
      </c>
      <c r="D40" s="121">
        <v>3.81</v>
      </c>
      <c r="E40" s="123"/>
      <c r="F40" s="121">
        <v>5.85</v>
      </c>
      <c r="G40" s="122" t="s">
        <v>120</v>
      </c>
      <c r="H40" s="121">
        <v>5.85</v>
      </c>
      <c r="I40" s="123"/>
      <c r="J40" s="121">
        <v>9.5</v>
      </c>
      <c r="K40" s="122">
        <v>0.25</v>
      </c>
      <c r="L40" s="124">
        <v>5.63</v>
      </c>
      <c r="M40" s="125"/>
      <c r="N40" s="126" t="s">
        <v>121</v>
      </c>
      <c r="O40" s="126" t="s">
        <v>122</v>
      </c>
      <c r="P40" s="126" t="s">
        <v>121</v>
      </c>
      <c r="Q40" s="125"/>
      <c r="R40" s="124">
        <v>7.87</v>
      </c>
      <c r="S40" s="122">
        <v>0.48</v>
      </c>
      <c r="T40" s="124">
        <v>4.37</v>
      </c>
    </row>
    <row r="41" spans="1:21" s="29" customFormat="1" ht="10.5" customHeight="1">
      <c r="A41" s="23" t="s">
        <v>89</v>
      </c>
      <c r="B41" s="121">
        <v>13.18</v>
      </c>
      <c r="C41" s="122">
        <v>2.62</v>
      </c>
      <c r="D41" s="121">
        <v>7.49</v>
      </c>
      <c r="E41" s="123"/>
      <c r="F41" s="121">
        <v>4.4000000000000004</v>
      </c>
      <c r="G41" s="122" t="s">
        <v>120</v>
      </c>
      <c r="H41" s="121">
        <v>4.4000000000000004</v>
      </c>
      <c r="I41" s="123"/>
      <c r="J41" s="121">
        <v>14.05</v>
      </c>
      <c r="K41" s="122">
        <v>0.2</v>
      </c>
      <c r="L41" s="124">
        <v>8.39</v>
      </c>
      <c r="M41" s="125"/>
      <c r="N41" s="126" t="s">
        <v>122</v>
      </c>
      <c r="O41" s="126" t="s">
        <v>122</v>
      </c>
      <c r="P41" s="126" t="s">
        <v>122</v>
      </c>
      <c r="Q41" s="125"/>
      <c r="R41" s="124">
        <v>11.41</v>
      </c>
      <c r="S41" s="122">
        <v>2.23</v>
      </c>
      <c r="T41" s="124">
        <v>7.28</v>
      </c>
    </row>
    <row r="42" spans="1:21" s="29" customFormat="1" ht="10.5" customHeight="1">
      <c r="A42" s="23" t="s">
        <v>91</v>
      </c>
      <c r="B42" s="121">
        <v>10.99</v>
      </c>
      <c r="C42" s="122">
        <v>3.58</v>
      </c>
      <c r="D42" s="121">
        <v>6.72</v>
      </c>
      <c r="E42" s="123"/>
      <c r="F42" s="121">
        <v>9.3000000000000007</v>
      </c>
      <c r="G42" s="122" t="s">
        <v>120</v>
      </c>
      <c r="H42" s="121">
        <v>9.3000000000000007</v>
      </c>
      <c r="I42" s="123"/>
      <c r="J42" s="121">
        <v>12.45</v>
      </c>
      <c r="K42" s="122">
        <v>0.2</v>
      </c>
      <c r="L42" s="124">
        <v>6.8</v>
      </c>
      <c r="M42" s="125"/>
      <c r="N42" s="126" t="s">
        <v>122</v>
      </c>
      <c r="O42" s="126" t="s">
        <v>122</v>
      </c>
      <c r="P42" s="126" t="s">
        <v>122</v>
      </c>
      <c r="Q42" s="125"/>
      <c r="R42" s="124">
        <v>10.85</v>
      </c>
      <c r="S42" s="122">
        <v>2.92</v>
      </c>
      <c r="T42" s="124">
        <v>7.09</v>
      </c>
    </row>
    <row r="43" spans="1:21" s="29" customFormat="1" ht="3" customHeight="1">
      <c r="A43" s="23"/>
      <c r="B43" s="121"/>
      <c r="C43" s="122"/>
      <c r="D43" s="121"/>
      <c r="E43" s="123"/>
      <c r="F43" s="121"/>
      <c r="G43" s="122"/>
      <c r="H43" s="121"/>
      <c r="I43" s="123"/>
      <c r="J43" s="121"/>
      <c r="K43" s="122"/>
      <c r="L43" s="124"/>
      <c r="M43" s="125"/>
      <c r="N43" s="126"/>
      <c r="O43" s="122"/>
      <c r="P43" s="126"/>
      <c r="Q43" s="125"/>
      <c r="R43" s="124"/>
      <c r="S43" s="122"/>
      <c r="T43" s="124"/>
    </row>
    <row r="44" spans="1:21" s="29" customFormat="1" ht="10.5" customHeight="1">
      <c r="A44" s="23" t="s">
        <v>92</v>
      </c>
      <c r="B44" s="121">
        <v>10.64</v>
      </c>
      <c r="C44" s="122">
        <v>4.66</v>
      </c>
      <c r="D44" s="121">
        <v>7.17</v>
      </c>
      <c r="E44" s="123"/>
      <c r="F44" s="121">
        <v>11.83</v>
      </c>
      <c r="G44" s="122" t="s">
        <v>120</v>
      </c>
      <c r="H44" s="121">
        <v>11.83</v>
      </c>
      <c r="I44" s="123"/>
      <c r="J44" s="121">
        <v>11.15</v>
      </c>
      <c r="K44" s="122">
        <v>0.2</v>
      </c>
      <c r="L44" s="124">
        <v>6.13</v>
      </c>
      <c r="M44" s="125"/>
      <c r="N44" s="126" t="s">
        <v>122</v>
      </c>
      <c r="O44" s="126" t="s">
        <v>122</v>
      </c>
      <c r="P44" s="126" t="s">
        <v>122</v>
      </c>
      <c r="Q44" s="125"/>
      <c r="R44" s="124">
        <v>11.04</v>
      </c>
      <c r="S44" s="122">
        <v>3.95</v>
      </c>
      <c r="T44" s="124">
        <v>7.65</v>
      </c>
    </row>
    <row r="45" spans="1:21" s="29" customFormat="1" ht="10.5" customHeight="1">
      <c r="A45" s="23" t="s">
        <v>93</v>
      </c>
      <c r="B45" s="121">
        <v>11</v>
      </c>
      <c r="C45" s="122">
        <v>3.16</v>
      </c>
      <c r="D45" s="121">
        <v>6.47</v>
      </c>
      <c r="E45" s="123"/>
      <c r="F45" s="121">
        <v>7.96</v>
      </c>
      <c r="G45" s="122" t="s">
        <v>120</v>
      </c>
      <c r="H45" s="121">
        <v>7.96</v>
      </c>
      <c r="I45" s="123"/>
      <c r="J45" s="121">
        <v>11.12</v>
      </c>
      <c r="K45" s="122">
        <v>0.17</v>
      </c>
      <c r="L45" s="124">
        <v>5.56</v>
      </c>
      <c r="M45" s="125"/>
      <c r="N45" s="126" t="s">
        <v>122</v>
      </c>
      <c r="O45" s="126" t="s">
        <v>122</v>
      </c>
      <c r="P45" s="126" t="s">
        <v>122</v>
      </c>
      <c r="Q45" s="125"/>
      <c r="R45" s="124">
        <v>10.15</v>
      </c>
      <c r="S45" s="122">
        <v>2.5099999999999998</v>
      </c>
      <c r="T45" s="124">
        <v>6.51</v>
      </c>
    </row>
    <row r="46" spans="1:21" s="29" customFormat="1" ht="10.5" customHeight="1">
      <c r="A46" s="23" t="s">
        <v>94</v>
      </c>
      <c r="B46" s="121">
        <v>12.2</v>
      </c>
      <c r="C46" s="122">
        <v>3.3</v>
      </c>
      <c r="D46" s="121">
        <v>7.1</v>
      </c>
      <c r="E46" s="123"/>
      <c r="F46" s="126" t="s">
        <v>121</v>
      </c>
      <c r="G46" s="126" t="s">
        <v>121</v>
      </c>
      <c r="H46" s="121">
        <v>7.91</v>
      </c>
      <c r="I46" s="123"/>
      <c r="J46" s="126" t="s">
        <v>121</v>
      </c>
      <c r="K46" s="126" t="s">
        <v>121</v>
      </c>
      <c r="L46" s="124">
        <v>7.25</v>
      </c>
      <c r="M46" s="125"/>
      <c r="N46" s="126" t="s">
        <v>122</v>
      </c>
      <c r="O46" s="126" t="s">
        <v>122</v>
      </c>
      <c r="P46" s="126" t="s">
        <v>122</v>
      </c>
      <c r="Q46" s="125"/>
      <c r="R46" s="124">
        <v>11.95</v>
      </c>
      <c r="S46" s="122">
        <v>2.46</v>
      </c>
      <c r="T46" s="124">
        <v>7.25</v>
      </c>
    </row>
    <row r="47" spans="1:21" s="27" customFormat="1" ht="10.5" customHeight="1">
      <c r="A47" s="23" t="s">
        <v>95</v>
      </c>
      <c r="B47" s="121">
        <v>12.02</v>
      </c>
      <c r="C47" s="122">
        <v>3.47</v>
      </c>
      <c r="D47" s="121">
        <v>7.25</v>
      </c>
      <c r="E47" s="123"/>
      <c r="F47" s="126" t="s">
        <v>121</v>
      </c>
      <c r="G47" s="126" t="s">
        <v>121</v>
      </c>
      <c r="H47" s="121">
        <v>7.91</v>
      </c>
      <c r="I47" s="123"/>
      <c r="J47" s="126" t="s">
        <v>121</v>
      </c>
      <c r="K47" s="126" t="s">
        <v>121</v>
      </c>
      <c r="L47" s="124">
        <v>7.51</v>
      </c>
      <c r="M47" s="125"/>
      <c r="N47" s="126" t="s">
        <v>122</v>
      </c>
      <c r="O47" s="126" t="s">
        <v>122</v>
      </c>
      <c r="P47" s="126" t="s">
        <v>122</v>
      </c>
      <c r="Q47" s="125"/>
      <c r="R47" s="124">
        <v>11.81</v>
      </c>
      <c r="S47" s="122">
        <v>2.06</v>
      </c>
      <c r="T47" s="124">
        <v>7.44</v>
      </c>
      <c r="U47" s="133"/>
    </row>
    <row r="48" spans="1:21" s="27" customFormat="1" ht="10.5" customHeight="1">
      <c r="A48" s="23" t="s">
        <v>290</v>
      </c>
      <c r="B48" s="121">
        <v>14.84</v>
      </c>
      <c r="C48" s="122">
        <v>5.55</v>
      </c>
      <c r="D48" s="121">
        <v>9.8000000000000007</v>
      </c>
      <c r="E48" s="123"/>
      <c r="F48" s="126" t="s">
        <v>121</v>
      </c>
      <c r="G48" s="126" t="s">
        <v>121</v>
      </c>
      <c r="H48" s="121">
        <v>15.27</v>
      </c>
      <c r="I48" s="123"/>
      <c r="J48" s="126" t="s">
        <v>121</v>
      </c>
      <c r="K48" s="126" t="s">
        <v>121</v>
      </c>
      <c r="L48" s="124">
        <v>8.9700000000000006</v>
      </c>
      <c r="M48" s="125"/>
      <c r="N48" s="126" t="s">
        <v>122</v>
      </c>
      <c r="O48" s="126" t="s">
        <v>122</v>
      </c>
      <c r="P48" s="126" t="s">
        <v>122</v>
      </c>
      <c r="Q48" s="125"/>
      <c r="R48" s="124">
        <v>16.63</v>
      </c>
      <c r="S48" s="122">
        <v>3.51</v>
      </c>
      <c r="T48" s="124">
        <v>10.64</v>
      </c>
      <c r="U48" s="133"/>
    </row>
    <row r="49" spans="1:21" s="27" customFormat="1" ht="10.5" customHeight="1">
      <c r="A49" s="23" t="s">
        <v>299</v>
      </c>
      <c r="B49" s="121">
        <v>16.29</v>
      </c>
      <c r="C49" s="122">
        <v>6.6</v>
      </c>
      <c r="D49" s="121">
        <v>11.02</v>
      </c>
      <c r="E49" s="123"/>
      <c r="F49" s="126" t="s">
        <v>121</v>
      </c>
      <c r="G49" s="126" t="s">
        <v>121</v>
      </c>
      <c r="H49" s="121">
        <v>16.37</v>
      </c>
      <c r="I49" s="123"/>
      <c r="J49" s="126" t="s">
        <v>121</v>
      </c>
      <c r="K49" s="126" t="s">
        <v>121</v>
      </c>
      <c r="L49" s="124">
        <v>11.43</v>
      </c>
      <c r="M49" s="125"/>
      <c r="N49" s="126" t="s">
        <v>122</v>
      </c>
      <c r="O49" s="126" t="s">
        <v>122</v>
      </c>
      <c r="P49" s="126" t="s">
        <v>122</v>
      </c>
      <c r="Q49" s="125"/>
      <c r="R49" s="124">
        <v>18.829999999999998</v>
      </c>
      <c r="S49" s="122">
        <v>3.84</v>
      </c>
      <c r="T49" s="124">
        <v>12.48</v>
      </c>
      <c r="U49" s="133"/>
    </row>
    <row r="50" spans="1:21" s="27" customFormat="1" ht="10.5" customHeight="1">
      <c r="A50" s="23" t="s">
        <v>313</v>
      </c>
      <c r="B50" s="121">
        <v>23.95</v>
      </c>
      <c r="C50" s="122">
        <v>8.81</v>
      </c>
      <c r="D50" s="121">
        <v>15.61</v>
      </c>
      <c r="E50" s="123"/>
      <c r="F50" s="126" t="s">
        <v>121</v>
      </c>
      <c r="G50" s="126" t="s">
        <v>121</v>
      </c>
      <c r="H50" s="121">
        <v>15.57</v>
      </c>
      <c r="I50" s="123"/>
      <c r="J50" s="126" t="s">
        <v>121</v>
      </c>
      <c r="K50" s="126" t="s">
        <v>121</v>
      </c>
      <c r="L50" s="124">
        <v>12.01</v>
      </c>
      <c r="M50" s="125"/>
      <c r="N50" s="126" t="s">
        <v>122</v>
      </c>
      <c r="O50" s="126" t="s">
        <v>122</v>
      </c>
      <c r="P50" s="126" t="s">
        <v>122</v>
      </c>
      <c r="Q50" s="125"/>
      <c r="R50" s="124">
        <v>21.67</v>
      </c>
      <c r="S50" s="122">
        <v>3.73</v>
      </c>
      <c r="T50" s="124">
        <v>14.24</v>
      </c>
      <c r="U50" s="133"/>
    </row>
    <row r="51" spans="1:21" s="27" customFormat="1" ht="10.5" customHeight="1">
      <c r="A51" s="87" t="s">
        <v>320</v>
      </c>
      <c r="B51" s="127">
        <v>23.42</v>
      </c>
      <c r="C51" s="128">
        <v>10.039999999999999</v>
      </c>
      <c r="D51" s="127">
        <v>15.74</v>
      </c>
      <c r="E51" s="129"/>
      <c r="F51" s="130" t="s">
        <v>121</v>
      </c>
      <c r="G51" s="130" t="s">
        <v>121</v>
      </c>
      <c r="H51" s="127">
        <v>14.76</v>
      </c>
      <c r="I51" s="129"/>
      <c r="J51" s="130" t="s">
        <v>121</v>
      </c>
      <c r="K51" s="130" t="s">
        <v>121</v>
      </c>
      <c r="L51" s="131">
        <v>9.17</v>
      </c>
      <c r="M51" s="132"/>
      <c r="N51" s="130" t="s">
        <v>122</v>
      </c>
      <c r="O51" s="130" t="s">
        <v>122</v>
      </c>
      <c r="P51" s="130" t="s">
        <v>122</v>
      </c>
      <c r="Q51" s="132"/>
      <c r="R51" s="131">
        <v>21.5</v>
      </c>
      <c r="S51" s="128">
        <v>3.85</v>
      </c>
      <c r="T51" s="131">
        <v>12.67</v>
      </c>
      <c r="U51" s="133"/>
    </row>
    <row r="52" spans="1:21" ht="11.1" customHeight="1">
      <c r="A52" s="95" t="s">
        <v>123</v>
      </c>
      <c r="B52" s="114"/>
      <c r="C52" s="115"/>
      <c r="D52" s="114"/>
      <c r="E52" s="116"/>
      <c r="F52" s="114"/>
      <c r="G52" s="117"/>
      <c r="H52" s="114"/>
      <c r="I52" s="116"/>
      <c r="J52" s="114"/>
      <c r="K52" s="115"/>
      <c r="L52" s="118"/>
      <c r="M52" s="119"/>
      <c r="N52" s="118"/>
      <c r="O52" s="115"/>
      <c r="P52" s="118"/>
      <c r="Q52" s="119"/>
      <c r="R52" s="118"/>
      <c r="S52" s="115"/>
      <c r="T52" s="118"/>
    </row>
    <row r="53" spans="1:21" ht="11.1" customHeight="1">
      <c r="A53" s="97" t="s">
        <v>124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1" ht="11.1" customHeight="1">
      <c r="A54" s="97" t="s">
        <v>125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1" ht="12" customHeight="1">
      <c r="A55" s="97" t="s">
        <v>126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1" ht="11.1" customHeight="1">
      <c r="A56" s="39" t="s">
        <v>326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1" ht="11.1" customHeight="1">
      <c r="A57" s="39" t="s">
        <v>127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1">
      <c r="A58" s="40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</row>
  </sheetData>
  <pageMargins left="0.66700000000000004" right="0.66700000000000004" top="0.66700000000000004" bottom="0.72" header="0" footer="0"/>
  <pageSetup firstPageNumber="74" orientation="portrait" useFirstPageNumber="1" r:id="rId1"/>
  <headerFooter alignWithMargins="0"/>
  <ignoredErrors>
    <ignoredError sqref="J12:L12 J19:L1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44"/>
  <sheetViews>
    <sheetView showGridLines="0" view="pageBreakPreview" zoomScale="60" zoomScaleNormal="100" workbookViewId="0">
      <selection activeCell="A43" sqref="A43"/>
    </sheetView>
  </sheetViews>
  <sheetFormatPr defaultColWidth="9.7109375" defaultRowHeight="12"/>
  <cols>
    <col min="1" max="1" width="8.7109375" customWidth="1"/>
    <col min="2" max="13" width="7.7109375" customWidth="1"/>
  </cols>
  <sheetData>
    <row r="1" spans="1:13" ht="13.15" customHeight="1">
      <c r="A1" s="1" t="s">
        <v>294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3.15" customHeight="1">
      <c r="A2" s="1" t="s">
        <v>128</v>
      </c>
      <c r="B2" s="9" t="s">
        <v>129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140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0.9" customHeight="1">
      <c r="A4" s="4"/>
      <c r="B4" s="46" t="s">
        <v>141</v>
      </c>
      <c r="C4" s="47"/>
      <c r="D4" s="47"/>
      <c r="E4" s="47"/>
      <c r="F4" s="47"/>
      <c r="G4" s="70"/>
      <c r="H4" s="47"/>
      <c r="I4" s="47"/>
      <c r="J4" s="47"/>
      <c r="K4" s="47"/>
      <c r="L4" s="47"/>
      <c r="M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0.5" customHeight="1">
      <c r="A6" s="14" t="s">
        <v>14</v>
      </c>
      <c r="B6" s="134">
        <v>2.75</v>
      </c>
      <c r="C6" s="134">
        <v>1.83</v>
      </c>
      <c r="D6" s="134">
        <v>2.19</v>
      </c>
      <c r="E6" s="134">
        <v>1.91</v>
      </c>
      <c r="F6" s="134">
        <v>1.79</v>
      </c>
      <c r="G6" s="134">
        <v>2.46</v>
      </c>
      <c r="H6" s="134">
        <v>3.19</v>
      </c>
      <c r="I6" s="134">
        <v>4.45</v>
      </c>
      <c r="J6" s="134">
        <v>0.87</v>
      </c>
      <c r="K6" s="134" t="s">
        <v>120</v>
      </c>
      <c r="L6" s="134" t="s">
        <v>120</v>
      </c>
      <c r="M6" s="134">
        <v>4.84</v>
      </c>
    </row>
    <row r="7" spans="1:13" ht="10.5" customHeight="1">
      <c r="A7" s="14" t="s">
        <v>15</v>
      </c>
      <c r="B7" s="134">
        <v>2.5099999999999998</v>
      </c>
      <c r="C7" s="134">
        <v>0.14000000000000001</v>
      </c>
      <c r="D7" s="134">
        <v>1.73</v>
      </c>
      <c r="E7" s="134">
        <v>0.63</v>
      </c>
      <c r="F7" s="134">
        <v>0.62</v>
      </c>
      <c r="G7" s="134">
        <v>0.38</v>
      </c>
      <c r="H7" s="134">
        <v>0.48</v>
      </c>
      <c r="I7" s="134">
        <v>0.87</v>
      </c>
      <c r="J7" s="134">
        <v>1.29</v>
      </c>
      <c r="K7" s="134" t="s">
        <v>120</v>
      </c>
      <c r="L7" s="134" t="s">
        <v>120</v>
      </c>
      <c r="M7" s="134">
        <v>2.54</v>
      </c>
    </row>
    <row r="8" spans="1:13" ht="10.5" customHeight="1">
      <c r="A8" s="14" t="s">
        <v>16</v>
      </c>
      <c r="B8" s="134">
        <v>1.47</v>
      </c>
      <c r="C8" s="134">
        <v>0.92</v>
      </c>
      <c r="D8" s="134">
        <v>0.91</v>
      </c>
      <c r="E8" s="134">
        <v>0.55000000000000004</v>
      </c>
      <c r="F8" s="134">
        <v>0.47</v>
      </c>
      <c r="G8" s="134">
        <v>0.5</v>
      </c>
      <c r="H8" s="134">
        <v>1</v>
      </c>
      <c r="I8" s="134">
        <v>1.81</v>
      </c>
      <c r="J8" s="134">
        <v>1.17</v>
      </c>
      <c r="K8" s="134" t="s">
        <v>120</v>
      </c>
      <c r="L8" s="134" t="s">
        <v>120</v>
      </c>
      <c r="M8" s="134" t="s">
        <v>120</v>
      </c>
    </row>
    <row r="9" spans="1:13" ht="10.5" customHeight="1">
      <c r="A9" s="14" t="s">
        <v>17</v>
      </c>
      <c r="B9" s="134">
        <v>1.86</v>
      </c>
      <c r="C9" s="134">
        <v>1.8</v>
      </c>
      <c r="D9" s="134">
        <v>2.54</v>
      </c>
      <c r="E9" s="134">
        <v>2.4700000000000002</v>
      </c>
      <c r="F9" s="134">
        <v>2.59</v>
      </c>
      <c r="G9" s="134">
        <v>2.71</v>
      </c>
      <c r="H9" s="134">
        <v>3.04</v>
      </c>
      <c r="I9" s="134">
        <v>1.85</v>
      </c>
      <c r="J9" s="134" t="s">
        <v>120</v>
      </c>
      <c r="K9" s="134" t="s">
        <v>120</v>
      </c>
      <c r="L9" s="134" t="s">
        <v>120</v>
      </c>
      <c r="M9" s="134">
        <v>2.34</v>
      </c>
    </row>
    <row r="10" spans="1:13" ht="10.5" customHeight="1">
      <c r="A10" s="14" t="s">
        <v>18</v>
      </c>
      <c r="B10" s="134">
        <v>4.9400000000000004</v>
      </c>
      <c r="C10" s="134">
        <v>5.87</v>
      </c>
      <c r="D10" s="134">
        <v>5.97</v>
      </c>
      <c r="E10" s="134">
        <v>5.55</v>
      </c>
      <c r="F10" s="134">
        <v>3.9</v>
      </c>
      <c r="G10" s="134">
        <v>2.5</v>
      </c>
      <c r="H10" s="134">
        <v>3.11</v>
      </c>
      <c r="I10" s="134">
        <v>2.88</v>
      </c>
      <c r="J10" s="134" t="s">
        <v>120</v>
      </c>
      <c r="K10" s="134" t="s">
        <v>120</v>
      </c>
      <c r="L10" s="134">
        <v>6.09</v>
      </c>
      <c r="M10" s="134">
        <v>4.5999999999999996</v>
      </c>
    </row>
    <row r="11" spans="1:13" ht="10.5" customHeight="1">
      <c r="A11" s="14" t="s">
        <v>19</v>
      </c>
      <c r="B11" s="134">
        <v>4.84</v>
      </c>
      <c r="C11" s="134">
        <v>4.67</v>
      </c>
      <c r="D11" s="134">
        <v>3.86</v>
      </c>
      <c r="E11" s="134">
        <v>3.27</v>
      </c>
      <c r="F11" s="134">
        <v>2.1800000000000002</v>
      </c>
      <c r="G11" s="134">
        <v>2.42</v>
      </c>
      <c r="H11" s="134">
        <v>3</v>
      </c>
      <c r="I11" s="134">
        <v>1.47</v>
      </c>
      <c r="J11" s="134" t="s">
        <v>120</v>
      </c>
      <c r="K11" s="134" t="s">
        <v>120</v>
      </c>
      <c r="L11" s="134">
        <v>12.08</v>
      </c>
      <c r="M11" s="134">
        <v>5.85</v>
      </c>
    </row>
    <row r="12" spans="1:13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13" ht="10.5" customHeight="1">
      <c r="A13" s="14" t="s">
        <v>20</v>
      </c>
      <c r="B13" s="134">
        <v>5.29</v>
      </c>
      <c r="C13" s="134">
        <v>3.55</v>
      </c>
      <c r="D13" s="134">
        <v>3.45</v>
      </c>
      <c r="E13" s="134">
        <v>2.78</v>
      </c>
      <c r="F13" s="134">
        <v>1.69</v>
      </c>
      <c r="G13" s="134">
        <v>0.95</v>
      </c>
      <c r="H13" s="134">
        <v>3.36</v>
      </c>
      <c r="I13" s="134">
        <v>3.27</v>
      </c>
      <c r="J13" s="134">
        <v>0.95</v>
      </c>
      <c r="K13" s="134" t="s">
        <v>120</v>
      </c>
      <c r="L13" s="134" t="s">
        <v>120</v>
      </c>
      <c r="M13" s="134">
        <v>6.44</v>
      </c>
    </row>
    <row r="14" spans="1:13" ht="10.5" customHeight="1">
      <c r="A14" s="14" t="s">
        <v>21</v>
      </c>
      <c r="B14" s="134">
        <v>3.91</v>
      </c>
      <c r="C14" s="134">
        <v>4.01</v>
      </c>
      <c r="D14" s="134">
        <v>3.93</v>
      </c>
      <c r="E14" s="134">
        <v>2.84</v>
      </c>
      <c r="F14" s="134">
        <v>2.2400000000000002</v>
      </c>
      <c r="G14" s="134">
        <v>2.62</v>
      </c>
      <c r="H14" s="134">
        <v>3.08</v>
      </c>
      <c r="I14" s="134">
        <v>2.4300000000000002</v>
      </c>
      <c r="J14" s="134">
        <v>-0.17</v>
      </c>
      <c r="K14" s="134" t="s">
        <v>120</v>
      </c>
      <c r="L14" s="134" t="s">
        <v>120</v>
      </c>
      <c r="M14" s="134">
        <v>5.8</v>
      </c>
    </row>
    <row r="15" spans="1:13" ht="10.5" customHeight="1">
      <c r="A15" s="14" t="s">
        <v>142</v>
      </c>
      <c r="B15" s="134">
        <v>2.41</v>
      </c>
      <c r="C15" s="134">
        <v>3.12</v>
      </c>
      <c r="D15" s="134">
        <v>2.2000000000000002</v>
      </c>
      <c r="E15" s="134">
        <v>1.74</v>
      </c>
      <c r="F15" s="134">
        <v>2.63</v>
      </c>
      <c r="G15" s="134">
        <v>2.4900000000000002</v>
      </c>
      <c r="H15" s="134">
        <v>2.7</v>
      </c>
      <c r="I15" s="134">
        <v>2.42</v>
      </c>
      <c r="J15" s="134">
        <v>-0.96</v>
      </c>
      <c r="K15" s="134" t="s">
        <v>120</v>
      </c>
      <c r="L15" s="134">
        <v>10.75</v>
      </c>
      <c r="M15" s="134">
        <v>5.58</v>
      </c>
    </row>
    <row r="16" spans="1:13" ht="10.5" customHeight="1">
      <c r="A16" s="14" t="s">
        <v>143</v>
      </c>
      <c r="B16" s="134">
        <v>3.55</v>
      </c>
      <c r="C16" s="134">
        <v>3.81</v>
      </c>
      <c r="D16" s="134">
        <v>7.45</v>
      </c>
      <c r="E16" s="134">
        <v>8.85</v>
      </c>
      <c r="F16" s="134">
        <v>10.82</v>
      </c>
      <c r="G16" s="134">
        <v>8.98</v>
      </c>
      <c r="H16" s="134">
        <v>6.55</v>
      </c>
      <c r="I16" s="134">
        <v>3.24</v>
      </c>
      <c r="J16" s="134" t="s">
        <v>120</v>
      </c>
      <c r="K16" s="134" t="s">
        <v>120</v>
      </c>
      <c r="L16" s="134" t="s">
        <v>120</v>
      </c>
      <c r="M16" s="134">
        <v>3.45</v>
      </c>
    </row>
    <row r="17" spans="1:13" ht="10.5" customHeight="1">
      <c r="A17" s="14" t="s">
        <v>144</v>
      </c>
      <c r="B17" s="135">
        <v>5.1100000000000003</v>
      </c>
      <c r="C17" s="135">
        <v>4.76</v>
      </c>
      <c r="D17" s="134">
        <v>6.1</v>
      </c>
      <c r="E17" s="135">
        <v>6.89</v>
      </c>
      <c r="F17" s="135">
        <v>7.82</v>
      </c>
      <c r="G17" s="135">
        <v>5.41</v>
      </c>
      <c r="H17" s="135">
        <v>4.74</v>
      </c>
      <c r="I17" s="135">
        <v>4.82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3" ht="10.5" customHeight="1">
      <c r="A18" s="14" t="s">
        <v>25</v>
      </c>
      <c r="B18" s="134">
        <v>3.66</v>
      </c>
      <c r="C18" s="134">
        <v>3.72</v>
      </c>
      <c r="D18" s="134">
        <v>3.96</v>
      </c>
      <c r="E18" s="134">
        <v>3.84</v>
      </c>
      <c r="F18" s="134">
        <v>3.89</v>
      </c>
      <c r="G18" s="134">
        <v>4.4000000000000004</v>
      </c>
      <c r="H18" s="134">
        <v>4.29</v>
      </c>
      <c r="I18" s="134">
        <v>4.24</v>
      </c>
      <c r="J18" s="134">
        <v>3.35</v>
      </c>
      <c r="K18" s="134" t="s">
        <v>120</v>
      </c>
      <c r="L18" s="134" t="s">
        <v>120</v>
      </c>
      <c r="M18" s="134">
        <v>8.4600000000000009</v>
      </c>
    </row>
    <row r="19" spans="1:13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3" ht="10.5" customHeight="1">
      <c r="A20" s="14" t="s">
        <v>26</v>
      </c>
      <c r="B20" s="135">
        <v>3.95</v>
      </c>
      <c r="C20" s="135">
        <v>3.86</v>
      </c>
      <c r="D20" s="135">
        <v>4.07</v>
      </c>
      <c r="E20" s="135">
        <v>3.55</v>
      </c>
      <c r="F20" s="135">
        <v>2.2799999999999998</v>
      </c>
      <c r="G20" s="134">
        <v>2.4300000000000002</v>
      </c>
      <c r="H20" s="134">
        <v>0.27</v>
      </c>
      <c r="I20" s="136">
        <v>0.6</v>
      </c>
      <c r="J20" s="134">
        <v>0.99</v>
      </c>
      <c r="K20" s="134">
        <v>1.5</v>
      </c>
      <c r="L20" s="134" t="s">
        <v>120</v>
      </c>
      <c r="M20" s="134">
        <v>1.87</v>
      </c>
    </row>
    <row r="21" spans="1:13" ht="10.5" customHeight="1">
      <c r="A21" s="14" t="s">
        <v>27</v>
      </c>
      <c r="B21" s="135">
        <v>3.41</v>
      </c>
      <c r="C21" s="135">
        <v>2.82</v>
      </c>
      <c r="D21" s="135">
        <v>2.52</v>
      </c>
      <c r="E21" s="135">
        <v>2.68</v>
      </c>
      <c r="F21" s="135">
        <v>1.81</v>
      </c>
      <c r="G21" s="134">
        <v>0.45</v>
      </c>
      <c r="H21" s="134">
        <v>1.28</v>
      </c>
      <c r="I21" s="134">
        <v>0.84</v>
      </c>
      <c r="J21" s="134">
        <v>1.02</v>
      </c>
      <c r="K21" s="134" t="s">
        <v>120</v>
      </c>
      <c r="L21" s="134" t="s">
        <v>120</v>
      </c>
      <c r="M21" s="134">
        <v>2.62</v>
      </c>
    </row>
    <row r="22" spans="1:13" ht="10.5" customHeight="1">
      <c r="A22" s="14" t="s">
        <v>28</v>
      </c>
      <c r="B22" s="135">
        <v>3.92</v>
      </c>
      <c r="C22" s="135">
        <v>3.02</v>
      </c>
      <c r="D22" s="135">
        <v>2.1</v>
      </c>
      <c r="E22" s="135">
        <v>3.52</v>
      </c>
      <c r="F22" s="135">
        <v>3.2</v>
      </c>
      <c r="G22" s="134">
        <v>1.07</v>
      </c>
      <c r="H22" s="134">
        <v>3.91</v>
      </c>
      <c r="I22" s="134">
        <v>4.78</v>
      </c>
      <c r="J22" s="134">
        <v>-4</v>
      </c>
      <c r="K22" s="134" t="s">
        <v>120</v>
      </c>
      <c r="L22" s="134">
        <v>13.42</v>
      </c>
      <c r="M22" s="135">
        <v>6.42</v>
      </c>
    </row>
    <row r="23" spans="1:13" ht="10.5" customHeight="1">
      <c r="A23" s="18" t="s">
        <v>30</v>
      </c>
      <c r="B23" s="137">
        <v>3.72</v>
      </c>
      <c r="C23" s="137">
        <v>3.85</v>
      </c>
      <c r="D23" s="120">
        <v>3.14</v>
      </c>
      <c r="E23" s="120">
        <v>3.35</v>
      </c>
      <c r="F23" s="120">
        <v>1.39</v>
      </c>
      <c r="G23" s="120">
        <v>1.52</v>
      </c>
      <c r="H23" s="120">
        <v>1.32</v>
      </c>
      <c r="I23" s="120">
        <v>2.91</v>
      </c>
      <c r="J23" s="120">
        <v>-3.13</v>
      </c>
      <c r="K23" s="134" t="s">
        <v>120</v>
      </c>
      <c r="L23" s="138">
        <v>13.62</v>
      </c>
      <c r="M23" s="138">
        <v>7.24</v>
      </c>
    </row>
    <row r="24" spans="1:13" ht="10.5" customHeight="1">
      <c r="A24" s="22" t="s">
        <v>31</v>
      </c>
      <c r="B24" s="137">
        <v>5.82</v>
      </c>
      <c r="C24" s="139">
        <v>5.12</v>
      </c>
      <c r="D24" s="138">
        <v>2.4900000000000002</v>
      </c>
      <c r="E24" s="138">
        <v>3.38</v>
      </c>
      <c r="F24" s="138">
        <v>2.2799999999999998</v>
      </c>
      <c r="G24" s="138">
        <v>1.51</v>
      </c>
      <c r="H24" s="120">
        <v>0.56999999999999995</v>
      </c>
      <c r="I24" s="138">
        <v>0.28999999999999998</v>
      </c>
      <c r="J24" s="138">
        <v>1.28</v>
      </c>
      <c r="K24" s="134" t="s">
        <v>120</v>
      </c>
      <c r="L24" s="134" t="s">
        <v>120</v>
      </c>
      <c r="M24" s="134" t="s">
        <v>120</v>
      </c>
    </row>
    <row r="25" spans="1:13" ht="10.5" customHeight="1">
      <c r="A25" s="22" t="s">
        <v>32</v>
      </c>
      <c r="B25" s="137">
        <v>1.72</v>
      </c>
      <c r="C25" s="137">
        <v>1.27</v>
      </c>
      <c r="D25" s="138">
        <v>2.16</v>
      </c>
      <c r="E25" s="138">
        <v>3.02</v>
      </c>
      <c r="F25" s="138">
        <v>1.99</v>
      </c>
      <c r="G25" s="138">
        <v>2.34</v>
      </c>
      <c r="H25" s="120">
        <v>2.86</v>
      </c>
      <c r="I25" s="138">
        <v>3.18</v>
      </c>
      <c r="J25" s="138">
        <v>2.36</v>
      </c>
      <c r="K25" s="134" t="s">
        <v>120</v>
      </c>
      <c r="L25" s="134" t="s">
        <v>120</v>
      </c>
      <c r="M25" s="134" t="s">
        <v>120</v>
      </c>
    </row>
    <row r="26" spans="1:13" ht="3" customHeight="1">
      <c r="A26" s="22"/>
      <c r="B26" s="137"/>
      <c r="C26" s="137"/>
      <c r="D26" s="138"/>
      <c r="E26" s="138"/>
      <c r="F26" s="138"/>
      <c r="G26" s="138"/>
      <c r="H26" s="120"/>
      <c r="I26" s="138"/>
      <c r="J26" s="138"/>
      <c r="K26" s="134"/>
      <c r="L26" s="134"/>
      <c r="M26" s="134"/>
    </row>
    <row r="27" spans="1:13" ht="10.5" customHeight="1">
      <c r="A27" s="22" t="s">
        <v>33</v>
      </c>
      <c r="B27" s="120" t="s">
        <v>120</v>
      </c>
      <c r="C27" s="120">
        <v>3.79</v>
      </c>
      <c r="D27" s="138">
        <v>2.58</v>
      </c>
      <c r="E27" s="138">
        <v>1.88</v>
      </c>
      <c r="F27" s="138">
        <v>3.03</v>
      </c>
      <c r="G27" s="138">
        <v>2.59</v>
      </c>
      <c r="H27" s="120">
        <v>5.54</v>
      </c>
      <c r="I27" s="138">
        <v>3.71</v>
      </c>
      <c r="J27" s="138">
        <v>5.72</v>
      </c>
      <c r="K27" s="120" t="s">
        <v>120</v>
      </c>
      <c r="L27" s="120" t="s">
        <v>120</v>
      </c>
      <c r="M27" s="134" t="s">
        <v>120</v>
      </c>
    </row>
    <row r="28" spans="1:13" ht="10.5" customHeight="1">
      <c r="A28" s="22" t="s">
        <v>34</v>
      </c>
      <c r="B28" s="120" t="s">
        <v>120</v>
      </c>
      <c r="C28" s="120">
        <v>4.37</v>
      </c>
      <c r="D28" s="138">
        <v>2.59</v>
      </c>
      <c r="E28" s="138">
        <v>2.04</v>
      </c>
      <c r="F28" s="138">
        <v>2.25</v>
      </c>
      <c r="G28" s="138">
        <v>0.73</v>
      </c>
      <c r="H28" s="120">
        <v>-0.02</v>
      </c>
      <c r="I28" s="138">
        <v>-0.45</v>
      </c>
      <c r="J28" s="138">
        <v>0.16</v>
      </c>
      <c r="K28" s="120" t="s">
        <v>120</v>
      </c>
      <c r="L28" s="120" t="s">
        <v>120</v>
      </c>
      <c r="M28" s="120" t="s">
        <v>120</v>
      </c>
    </row>
    <row r="29" spans="1:13" ht="10.5" customHeight="1">
      <c r="A29" s="22" t="s">
        <v>35</v>
      </c>
      <c r="B29" s="120">
        <v>2.39</v>
      </c>
      <c r="C29" s="120">
        <v>3.12</v>
      </c>
      <c r="D29" s="138">
        <v>2.91</v>
      </c>
      <c r="E29" s="138">
        <v>1.56</v>
      </c>
      <c r="F29" s="138">
        <v>4.2699999999999996</v>
      </c>
      <c r="G29" s="138">
        <v>4.83</v>
      </c>
      <c r="H29" s="120">
        <v>3.57</v>
      </c>
      <c r="I29" s="138">
        <v>3.27</v>
      </c>
      <c r="J29" s="120" t="s">
        <v>120</v>
      </c>
      <c r="K29" s="120" t="s">
        <v>120</v>
      </c>
      <c r="L29" s="120" t="s">
        <v>120</v>
      </c>
      <c r="M29" s="120" t="s">
        <v>120</v>
      </c>
    </row>
    <row r="30" spans="1:13" ht="10.5" customHeight="1">
      <c r="A30" s="22" t="s">
        <v>36</v>
      </c>
      <c r="B30" s="120">
        <v>4.6100000000000003</v>
      </c>
      <c r="C30" s="120">
        <v>5.62</v>
      </c>
      <c r="D30" s="138">
        <v>4.6100000000000003</v>
      </c>
      <c r="E30" s="138">
        <v>4.0199999999999996</v>
      </c>
      <c r="F30" s="138">
        <v>3.62</v>
      </c>
      <c r="G30" s="138">
        <v>1.36</v>
      </c>
      <c r="H30" s="120">
        <v>5.24</v>
      </c>
      <c r="I30" s="138">
        <v>3.62</v>
      </c>
      <c r="J30" s="120" t="s">
        <v>120</v>
      </c>
      <c r="K30" s="120" t="s">
        <v>120</v>
      </c>
      <c r="L30" s="120" t="s">
        <v>120</v>
      </c>
      <c r="M30" s="120" t="s">
        <v>120</v>
      </c>
    </row>
    <row r="31" spans="1:13" ht="10.5" customHeight="1">
      <c r="A31" s="22" t="s">
        <v>37</v>
      </c>
      <c r="B31" s="120">
        <v>4.95</v>
      </c>
      <c r="C31" s="120">
        <v>5.05</v>
      </c>
      <c r="D31" s="138">
        <v>4.05</v>
      </c>
      <c r="E31" s="138">
        <v>4.6500000000000004</v>
      </c>
      <c r="F31" s="138">
        <v>4.25</v>
      </c>
      <c r="G31" s="138">
        <v>6.25</v>
      </c>
      <c r="H31" s="120">
        <v>5.59</v>
      </c>
      <c r="I31" s="120" t="s">
        <v>120</v>
      </c>
      <c r="J31" s="120" t="s">
        <v>120</v>
      </c>
      <c r="K31" s="120" t="s">
        <v>120</v>
      </c>
      <c r="L31" s="120" t="s">
        <v>120</v>
      </c>
      <c r="M31" s="120">
        <v>8.0500000000000007</v>
      </c>
    </row>
    <row r="32" spans="1:13" ht="10.5" customHeight="1">
      <c r="A32" s="18" t="s">
        <v>38</v>
      </c>
      <c r="B32" s="120">
        <v>2.75</v>
      </c>
      <c r="C32" s="120">
        <v>3.75</v>
      </c>
      <c r="D32" s="138">
        <v>4.55</v>
      </c>
      <c r="E32" s="138">
        <v>3.85</v>
      </c>
      <c r="F32" s="138">
        <v>3.35</v>
      </c>
      <c r="G32" s="138">
        <v>3.95</v>
      </c>
      <c r="H32" s="120">
        <v>5.65</v>
      </c>
      <c r="I32" s="120" t="s">
        <v>120</v>
      </c>
      <c r="J32" s="120" t="s">
        <v>120</v>
      </c>
      <c r="K32" s="120" t="s">
        <v>120</v>
      </c>
      <c r="L32" s="120" t="s">
        <v>120</v>
      </c>
      <c r="M32" s="120" t="s">
        <v>120</v>
      </c>
    </row>
    <row r="33" spans="1:13" ht="4.5" customHeight="1">
      <c r="A33" s="22"/>
      <c r="B33" s="120"/>
      <c r="C33" s="120"/>
      <c r="D33" s="138"/>
      <c r="E33" s="138"/>
      <c r="F33" s="138"/>
      <c r="G33" s="138"/>
      <c r="H33" s="120"/>
      <c r="I33" s="120"/>
      <c r="J33" s="120"/>
      <c r="K33" s="120"/>
      <c r="L33" s="120"/>
      <c r="M33" s="120"/>
    </row>
    <row r="34" spans="1:13" ht="10.5" customHeight="1">
      <c r="A34" s="18" t="s">
        <v>39</v>
      </c>
      <c r="B34" s="120" t="s">
        <v>120</v>
      </c>
      <c r="C34" s="120">
        <v>15.42</v>
      </c>
      <c r="D34" s="120">
        <v>9.82</v>
      </c>
      <c r="E34" s="138">
        <v>3.52</v>
      </c>
      <c r="F34" s="138">
        <v>9.6199999999999992</v>
      </c>
      <c r="G34" s="138">
        <v>10.62</v>
      </c>
      <c r="H34" s="138">
        <v>11.02</v>
      </c>
      <c r="I34" s="120" t="s">
        <v>120</v>
      </c>
      <c r="J34" s="120" t="s">
        <v>120</v>
      </c>
      <c r="K34" s="120" t="s">
        <v>120</v>
      </c>
      <c r="L34" s="120" t="s">
        <v>120</v>
      </c>
      <c r="M34" s="120" t="s">
        <v>120</v>
      </c>
    </row>
    <row r="35" spans="1:13" ht="10.5" customHeight="1">
      <c r="A35" s="18" t="s">
        <v>40</v>
      </c>
      <c r="B35" s="120">
        <v>11.28</v>
      </c>
      <c r="C35" s="120">
        <v>10.28</v>
      </c>
      <c r="D35" s="120">
        <v>12.88</v>
      </c>
      <c r="E35" s="138">
        <v>9.98</v>
      </c>
      <c r="F35" s="138">
        <v>5.68</v>
      </c>
      <c r="G35" s="138">
        <v>12.58</v>
      </c>
      <c r="H35" s="138">
        <v>10.78</v>
      </c>
      <c r="I35" s="120">
        <v>10.78</v>
      </c>
      <c r="J35" s="120" t="s">
        <v>120</v>
      </c>
      <c r="K35" s="120" t="s">
        <v>120</v>
      </c>
      <c r="L35" s="120" t="s">
        <v>120</v>
      </c>
      <c r="M35" s="120" t="s">
        <v>120</v>
      </c>
    </row>
    <row r="36" spans="1:13" ht="10.5" customHeight="1">
      <c r="A36" s="18" t="s">
        <v>41</v>
      </c>
      <c r="B36" s="120">
        <v>11.94</v>
      </c>
      <c r="C36" s="120">
        <v>12.84</v>
      </c>
      <c r="D36" s="120">
        <v>7.64</v>
      </c>
      <c r="E36" s="138">
        <v>5.64</v>
      </c>
      <c r="F36" s="138" t="s">
        <v>120</v>
      </c>
      <c r="G36" s="138" t="s">
        <v>120</v>
      </c>
      <c r="H36" s="138" t="s">
        <v>120</v>
      </c>
      <c r="I36" s="120" t="s">
        <v>120</v>
      </c>
      <c r="J36" s="120" t="s">
        <v>120</v>
      </c>
      <c r="K36" s="120" t="s">
        <v>120</v>
      </c>
      <c r="L36" s="120" t="s">
        <v>120</v>
      </c>
      <c r="M36" s="120" t="s">
        <v>120</v>
      </c>
    </row>
    <row r="37" spans="1:13" ht="10.5" customHeight="1">
      <c r="A37" s="18" t="s">
        <v>42</v>
      </c>
      <c r="B37" s="120">
        <v>5.5</v>
      </c>
      <c r="C37" s="120">
        <v>6.7</v>
      </c>
      <c r="D37" s="120">
        <v>5.2</v>
      </c>
      <c r="E37" s="138" t="s">
        <v>120</v>
      </c>
      <c r="F37" s="138" t="s">
        <v>120</v>
      </c>
      <c r="G37" s="138">
        <v>5.2</v>
      </c>
      <c r="H37" s="138">
        <v>5.6</v>
      </c>
      <c r="I37" s="120" t="s">
        <v>120</v>
      </c>
      <c r="J37" s="120" t="s">
        <v>120</v>
      </c>
      <c r="K37" s="120" t="s">
        <v>120</v>
      </c>
      <c r="L37" s="120" t="s">
        <v>120</v>
      </c>
      <c r="M37" s="120" t="s">
        <v>120</v>
      </c>
    </row>
    <row r="38" spans="1:13" ht="10.5" customHeight="1">
      <c r="A38" s="18" t="s">
        <v>43</v>
      </c>
      <c r="B38" s="138" t="s">
        <v>120</v>
      </c>
      <c r="C38" s="138" t="s">
        <v>120</v>
      </c>
      <c r="D38" s="138" t="s">
        <v>120</v>
      </c>
      <c r="E38" s="138" t="s">
        <v>120</v>
      </c>
      <c r="F38" s="138" t="s">
        <v>120</v>
      </c>
      <c r="G38" s="138" t="s">
        <v>120</v>
      </c>
      <c r="H38" s="138" t="s">
        <v>120</v>
      </c>
      <c r="I38" s="138" t="s">
        <v>120</v>
      </c>
      <c r="J38" s="120" t="s">
        <v>120</v>
      </c>
      <c r="K38" s="120" t="s">
        <v>120</v>
      </c>
      <c r="L38" s="120" t="s">
        <v>120</v>
      </c>
      <c r="M38" s="120" t="s">
        <v>120</v>
      </c>
    </row>
    <row r="39" spans="1:13" s="59" customFormat="1" ht="10.5" customHeight="1">
      <c r="A39" s="18" t="s">
        <v>44</v>
      </c>
      <c r="B39" s="138" t="s">
        <v>120</v>
      </c>
      <c r="C39" s="138" t="s">
        <v>120</v>
      </c>
      <c r="D39" s="138" t="s">
        <v>120</v>
      </c>
      <c r="E39" s="138" t="s">
        <v>120</v>
      </c>
      <c r="F39" s="138" t="s">
        <v>120</v>
      </c>
      <c r="G39" s="138" t="s">
        <v>120</v>
      </c>
      <c r="H39" s="138" t="s">
        <v>120</v>
      </c>
      <c r="I39" s="138" t="s">
        <v>120</v>
      </c>
      <c r="J39" s="138" t="s">
        <v>120</v>
      </c>
      <c r="K39" s="138" t="s">
        <v>120</v>
      </c>
      <c r="L39" s="138" t="s">
        <v>120</v>
      </c>
      <c r="M39" s="120" t="s">
        <v>120</v>
      </c>
    </row>
    <row r="40" spans="1:13" s="59" customFormat="1" ht="10.5" customHeight="1">
      <c r="A40" s="18" t="s">
        <v>46</v>
      </c>
      <c r="B40" s="138" t="s">
        <v>120</v>
      </c>
      <c r="C40" s="138" t="s">
        <v>120</v>
      </c>
      <c r="D40" s="138" t="s">
        <v>120</v>
      </c>
      <c r="E40" s="138" t="s">
        <v>120</v>
      </c>
      <c r="F40" s="138" t="s">
        <v>120</v>
      </c>
      <c r="G40" s="138" t="s">
        <v>120</v>
      </c>
      <c r="H40" s="138" t="s">
        <v>120</v>
      </c>
      <c r="I40" s="138" t="s">
        <v>120</v>
      </c>
      <c r="J40" s="138" t="s">
        <v>120</v>
      </c>
      <c r="K40" s="138" t="s">
        <v>120</v>
      </c>
      <c r="L40" s="138" t="s">
        <v>120</v>
      </c>
      <c r="M40" s="120" t="s">
        <v>120</v>
      </c>
    </row>
    <row r="41" spans="1:13" ht="10.5" customHeight="1">
      <c r="A41" s="140" t="s">
        <v>47</v>
      </c>
      <c r="B41" s="141" t="s">
        <v>120</v>
      </c>
      <c r="C41" s="141" t="s">
        <v>120</v>
      </c>
      <c r="D41" s="141" t="s">
        <v>120</v>
      </c>
      <c r="E41" s="141" t="s">
        <v>120</v>
      </c>
      <c r="F41" s="141" t="s">
        <v>120</v>
      </c>
      <c r="G41" s="141" t="s">
        <v>120</v>
      </c>
      <c r="H41" s="141" t="s">
        <v>120</v>
      </c>
      <c r="I41" s="141" t="s">
        <v>120</v>
      </c>
      <c r="J41" s="141" t="s">
        <v>120</v>
      </c>
      <c r="K41" s="141" t="s">
        <v>120</v>
      </c>
      <c r="L41" s="141" t="s">
        <v>120</v>
      </c>
      <c r="M41" s="142" t="s">
        <v>120</v>
      </c>
    </row>
    <row r="42" spans="1:13">
      <c r="A42" s="97" t="s">
        <v>315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3.15" customHeight="1">
      <c r="A43" s="39" t="s">
        <v>127</v>
      </c>
      <c r="B43" s="4"/>
      <c r="C43" s="4"/>
      <c r="D43" s="4"/>
      <c r="E43" s="4"/>
      <c r="F43" s="4"/>
      <c r="G43" s="4"/>
      <c r="H43" s="4"/>
      <c r="I43" s="4"/>
      <c r="J43" s="143"/>
      <c r="K43" s="143"/>
      <c r="L43" s="143"/>
      <c r="M43" s="143"/>
    </row>
    <row r="44" spans="1:13">
      <c r="J44" s="144"/>
      <c r="K44" s="144"/>
      <c r="L44" s="144"/>
      <c r="M44" s="144"/>
    </row>
  </sheetData>
  <pageMargins left="0.66700000000000004" right="0.66700000000000004" top="0.66700000000000004" bottom="0.72" header="0" footer="0"/>
  <pageSetup firstPageNumber="75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55"/>
  <sheetViews>
    <sheetView showGridLines="0" view="pageBreakPreview" zoomScale="60" zoomScaleNormal="100" workbookViewId="0">
      <selection activeCell="R34" sqref="R34"/>
    </sheetView>
  </sheetViews>
  <sheetFormatPr defaultColWidth="9.7109375" defaultRowHeight="12"/>
  <cols>
    <col min="1" max="1" width="8.85546875" customWidth="1"/>
    <col min="2" max="13" width="7.7109375" customWidth="1"/>
  </cols>
  <sheetData>
    <row r="1" spans="1:13">
      <c r="A1" s="1" t="s">
        <v>145</v>
      </c>
      <c r="B1" s="3"/>
      <c r="C1" s="3"/>
      <c r="D1" s="3"/>
      <c r="E1" s="3"/>
      <c r="F1" s="3"/>
      <c r="G1" s="3"/>
      <c r="H1" s="3"/>
      <c r="I1" s="3"/>
      <c r="J1" s="3"/>
      <c r="K1" s="3"/>
      <c r="L1" s="103"/>
      <c r="M1" s="103"/>
    </row>
    <row r="2" spans="1:13">
      <c r="A2" s="1" t="s">
        <v>128</v>
      </c>
      <c r="B2" s="9" t="s">
        <v>129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140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146</v>
      </c>
      <c r="C4" s="47"/>
      <c r="D4" s="47"/>
      <c r="E4" s="70"/>
      <c r="F4" s="47"/>
      <c r="G4" s="47"/>
      <c r="H4" s="47"/>
      <c r="I4" s="47"/>
      <c r="J4" s="47"/>
      <c r="K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3" ht="10.5" customHeight="1">
      <c r="A6" s="14" t="s">
        <v>14</v>
      </c>
      <c r="B6" s="145">
        <v>3.19</v>
      </c>
      <c r="C6" s="134">
        <v>3.44</v>
      </c>
      <c r="D6" s="134">
        <v>2.65</v>
      </c>
      <c r="E6" s="134">
        <v>2.5499999999999998</v>
      </c>
      <c r="F6" s="134">
        <v>2.79</v>
      </c>
      <c r="G6" s="134">
        <v>2.98</v>
      </c>
      <c r="H6" s="134">
        <v>2.76</v>
      </c>
      <c r="I6" s="134">
        <v>3.57</v>
      </c>
      <c r="J6" s="134">
        <v>4.29</v>
      </c>
      <c r="K6" s="134">
        <v>3.07</v>
      </c>
      <c r="L6" s="134">
        <v>5.69</v>
      </c>
      <c r="M6" s="134">
        <v>3.17</v>
      </c>
    </row>
    <row r="7" spans="1:13" ht="10.5" customHeight="1">
      <c r="A7" s="14" t="s">
        <v>15</v>
      </c>
      <c r="B7" s="145">
        <v>3.78</v>
      </c>
      <c r="C7" s="134">
        <v>4.8</v>
      </c>
      <c r="D7" s="134">
        <v>3.64</v>
      </c>
      <c r="E7" s="134">
        <v>2.1800000000000002</v>
      </c>
      <c r="F7" s="134">
        <v>1.1499999999999999</v>
      </c>
      <c r="G7" s="134">
        <v>1.05</v>
      </c>
      <c r="H7" s="134">
        <v>1.28</v>
      </c>
      <c r="I7" s="134">
        <v>1.47</v>
      </c>
      <c r="J7" s="134">
        <v>3.4</v>
      </c>
      <c r="K7" s="134">
        <v>1.42</v>
      </c>
      <c r="L7" s="134">
        <v>1.48</v>
      </c>
      <c r="M7" s="134">
        <v>1.74</v>
      </c>
    </row>
    <row r="8" spans="1:13" ht="10.5" customHeight="1">
      <c r="A8" s="14" t="s">
        <v>16</v>
      </c>
      <c r="B8" s="145">
        <v>1.97</v>
      </c>
      <c r="C8" s="134">
        <v>1.46</v>
      </c>
      <c r="D8" s="134">
        <v>1.1200000000000001</v>
      </c>
      <c r="E8" s="134">
        <v>0.9</v>
      </c>
      <c r="F8" s="134">
        <v>1.2</v>
      </c>
      <c r="G8" s="134">
        <v>1.05</v>
      </c>
      <c r="H8" s="134">
        <v>1.49</v>
      </c>
      <c r="I8" s="134">
        <v>1.96</v>
      </c>
      <c r="J8" s="134">
        <v>2.4700000000000002</v>
      </c>
      <c r="K8" s="134">
        <v>2.76</v>
      </c>
      <c r="L8" s="134">
        <v>2.58</v>
      </c>
      <c r="M8" s="134">
        <v>3.31</v>
      </c>
    </row>
    <row r="9" spans="1:13" ht="10.5" customHeight="1">
      <c r="A9" s="14" t="s">
        <v>17</v>
      </c>
      <c r="B9" s="145">
        <v>3.36</v>
      </c>
      <c r="C9" s="134">
        <v>3.59</v>
      </c>
      <c r="D9" s="134">
        <v>4.08</v>
      </c>
      <c r="E9" s="134">
        <v>3.93</v>
      </c>
      <c r="F9" s="134">
        <v>2.59</v>
      </c>
      <c r="G9" s="134">
        <v>2.5</v>
      </c>
      <c r="H9" s="134">
        <v>3.13</v>
      </c>
      <c r="I9" s="134">
        <v>2.2999999999999998</v>
      </c>
      <c r="J9" s="134">
        <v>2.44</v>
      </c>
      <c r="K9" s="134">
        <v>2.4700000000000002</v>
      </c>
      <c r="L9" s="134">
        <v>3.42</v>
      </c>
      <c r="M9" s="134">
        <v>3.89</v>
      </c>
    </row>
    <row r="10" spans="1:13" ht="10.5" customHeight="1">
      <c r="A10" s="14" t="s">
        <v>18</v>
      </c>
      <c r="B10" s="145">
        <v>7.5</v>
      </c>
      <c r="C10" s="134">
        <v>7.74</v>
      </c>
      <c r="D10" s="134">
        <v>7.52</v>
      </c>
      <c r="E10" s="134">
        <v>5.38</v>
      </c>
      <c r="F10" s="134">
        <v>5.35</v>
      </c>
      <c r="G10" s="134">
        <v>2.9</v>
      </c>
      <c r="H10" s="134">
        <v>4.82</v>
      </c>
      <c r="I10" s="134">
        <v>4.93</v>
      </c>
      <c r="J10" s="134">
        <v>6.22</v>
      </c>
      <c r="K10" s="134">
        <v>5.8</v>
      </c>
      <c r="L10" s="134">
        <v>7.64</v>
      </c>
      <c r="M10" s="134">
        <v>4.37</v>
      </c>
    </row>
    <row r="11" spans="1:13" ht="10.5" customHeight="1">
      <c r="A11" s="14" t="s">
        <v>19</v>
      </c>
      <c r="B11" s="145">
        <v>9.61</v>
      </c>
      <c r="C11" s="134">
        <v>8.06</v>
      </c>
      <c r="D11" s="134">
        <v>8.0399999999999991</v>
      </c>
      <c r="E11" s="134">
        <v>5.97</v>
      </c>
      <c r="F11" s="134">
        <v>6.13</v>
      </c>
      <c r="G11" s="134">
        <v>3.33</v>
      </c>
      <c r="H11" s="134">
        <v>4.1100000000000003</v>
      </c>
      <c r="I11" s="134">
        <v>6.76</v>
      </c>
      <c r="J11" s="134">
        <v>6.03</v>
      </c>
      <c r="K11" s="134">
        <v>6.14</v>
      </c>
      <c r="L11" s="134">
        <v>8.0500000000000007</v>
      </c>
      <c r="M11" s="146" t="s">
        <v>147</v>
      </c>
    </row>
    <row r="12" spans="1:13" ht="3" customHeight="1">
      <c r="A12" s="14"/>
      <c r="B12" s="145"/>
      <c r="C12" s="134"/>
      <c r="D12" s="134"/>
      <c r="E12" s="134"/>
      <c r="F12" s="134"/>
      <c r="G12" s="134"/>
      <c r="H12" s="134"/>
      <c r="I12" s="134"/>
      <c r="J12" s="134"/>
      <c r="K12" s="134"/>
    </row>
    <row r="13" spans="1:13" ht="10.5" customHeight="1">
      <c r="A13" s="14" t="s">
        <v>20</v>
      </c>
      <c r="B13" s="145">
        <v>6.2</v>
      </c>
      <c r="C13" s="134">
        <v>5.4</v>
      </c>
      <c r="D13" s="134">
        <v>5.66</v>
      </c>
      <c r="E13" s="134">
        <v>4.53</v>
      </c>
      <c r="F13" s="134">
        <v>4.41</v>
      </c>
      <c r="G13" s="134">
        <v>3.6</v>
      </c>
      <c r="H13" s="134">
        <v>4.13</v>
      </c>
      <c r="I13" s="134">
        <v>4.59</v>
      </c>
      <c r="J13" s="134">
        <v>5.53</v>
      </c>
      <c r="K13" s="134">
        <v>4.3</v>
      </c>
      <c r="L13" s="134">
        <v>4.47</v>
      </c>
      <c r="M13" s="134">
        <v>5.32</v>
      </c>
    </row>
    <row r="14" spans="1:13" ht="10.5" customHeight="1">
      <c r="A14" s="14" t="s">
        <v>21</v>
      </c>
      <c r="B14" s="145">
        <v>8.58</v>
      </c>
      <c r="C14" s="134">
        <v>6.24</v>
      </c>
      <c r="D14" s="134">
        <v>5.84</v>
      </c>
      <c r="E14" s="134">
        <v>5.51</v>
      </c>
      <c r="F14" s="134">
        <v>4.07</v>
      </c>
      <c r="G14" s="134">
        <v>3.39</v>
      </c>
      <c r="H14" s="134">
        <v>3.71</v>
      </c>
      <c r="I14" s="134">
        <v>3.97</v>
      </c>
      <c r="J14" s="134">
        <v>5.01</v>
      </c>
      <c r="K14" s="134">
        <v>5.46</v>
      </c>
      <c r="L14" s="134">
        <v>5.26</v>
      </c>
      <c r="M14" s="134">
        <v>5.32</v>
      </c>
    </row>
    <row r="15" spans="1:13" ht="10.5" customHeight="1">
      <c r="A15" s="14" t="s">
        <v>142</v>
      </c>
      <c r="B15" s="145">
        <v>5.62</v>
      </c>
      <c r="C15" s="134">
        <v>6.33</v>
      </c>
      <c r="D15" s="134">
        <v>5.2</v>
      </c>
      <c r="E15" s="134">
        <v>2.4700000000000002</v>
      </c>
      <c r="F15" s="134">
        <v>2.58</v>
      </c>
      <c r="G15" s="134">
        <v>2.96</v>
      </c>
      <c r="H15" s="134">
        <v>2.85</v>
      </c>
      <c r="I15" s="134">
        <v>3.58</v>
      </c>
      <c r="J15" s="134">
        <v>5.52</v>
      </c>
      <c r="K15" s="134">
        <v>6.26</v>
      </c>
      <c r="L15" s="134">
        <v>7.43</v>
      </c>
      <c r="M15" s="134">
        <v>6.76</v>
      </c>
    </row>
    <row r="16" spans="1:13" ht="10.5" customHeight="1">
      <c r="A16" s="14" t="s">
        <v>143</v>
      </c>
      <c r="B16" s="145">
        <v>7.19</v>
      </c>
      <c r="C16" s="134">
        <v>5.97</v>
      </c>
      <c r="D16" s="134">
        <v>10</v>
      </c>
      <c r="E16" s="134">
        <v>8.07</v>
      </c>
      <c r="F16" s="134">
        <v>8.85</v>
      </c>
      <c r="G16" s="134">
        <v>7.6</v>
      </c>
      <c r="H16" s="134">
        <v>7.74</v>
      </c>
      <c r="I16" s="134">
        <v>8.0399999999999991</v>
      </c>
      <c r="J16" s="134">
        <v>5.63</v>
      </c>
      <c r="K16" s="134">
        <v>3.17</v>
      </c>
      <c r="L16" s="134">
        <v>1.03</v>
      </c>
      <c r="M16" s="134">
        <v>1.57</v>
      </c>
    </row>
    <row r="17" spans="1:13" ht="10.5" customHeight="1">
      <c r="A17" s="14" t="s">
        <v>144</v>
      </c>
      <c r="B17" s="145">
        <v>6.05</v>
      </c>
      <c r="C17" s="134">
        <v>7.81</v>
      </c>
      <c r="D17" s="134">
        <v>8.42</v>
      </c>
      <c r="E17" s="134">
        <v>5.68</v>
      </c>
      <c r="F17" s="134">
        <v>6.03</v>
      </c>
      <c r="G17" s="134">
        <v>5.46</v>
      </c>
      <c r="H17" s="134">
        <v>4.5</v>
      </c>
      <c r="I17" s="134">
        <v>5.88</v>
      </c>
      <c r="J17" s="134">
        <v>5.07</v>
      </c>
      <c r="K17" s="134">
        <v>3.88</v>
      </c>
      <c r="L17" s="134">
        <v>1.59</v>
      </c>
      <c r="M17" s="134">
        <v>1.71</v>
      </c>
    </row>
    <row r="18" spans="1:13" ht="10.5" customHeight="1">
      <c r="A18" s="14" t="s">
        <v>25</v>
      </c>
      <c r="B18" s="145">
        <v>6.85</v>
      </c>
      <c r="C18" s="134">
        <v>7.13</v>
      </c>
      <c r="D18" s="134">
        <v>5.46</v>
      </c>
      <c r="E18" s="134">
        <v>4.2</v>
      </c>
      <c r="F18" s="134">
        <v>4.3499999999999996</v>
      </c>
      <c r="G18" s="134">
        <v>4.33</v>
      </c>
      <c r="H18" s="134">
        <v>4.17</v>
      </c>
      <c r="I18" s="134">
        <v>4.7</v>
      </c>
      <c r="J18" s="134">
        <v>4.08</v>
      </c>
      <c r="K18" s="134">
        <v>3.91</v>
      </c>
      <c r="L18" s="134">
        <v>4.3899999999999997</v>
      </c>
      <c r="M18" s="134">
        <v>4.12</v>
      </c>
    </row>
    <row r="19" spans="1:13" ht="3" customHeight="1">
      <c r="A19" s="14"/>
      <c r="B19" s="145"/>
      <c r="C19" s="134"/>
      <c r="D19" s="134"/>
      <c r="E19" s="134"/>
      <c r="F19" s="134"/>
      <c r="G19" s="134"/>
      <c r="H19" s="134"/>
      <c r="I19" s="134"/>
      <c r="J19" s="134"/>
      <c r="K19" s="134"/>
    </row>
    <row r="20" spans="1:13" ht="10.5" customHeight="1">
      <c r="A20" s="14" t="s">
        <v>26</v>
      </c>
      <c r="B20" s="145">
        <v>8.3800000000000008</v>
      </c>
      <c r="C20" s="134">
        <v>6.27</v>
      </c>
      <c r="D20" s="134">
        <v>5.34</v>
      </c>
      <c r="E20" s="134">
        <v>3.26</v>
      </c>
      <c r="F20" s="134">
        <v>2.15</v>
      </c>
      <c r="G20" s="134">
        <v>1.24</v>
      </c>
      <c r="H20" s="134">
        <v>0.62</v>
      </c>
      <c r="I20" s="134">
        <v>2.38</v>
      </c>
      <c r="J20" s="134">
        <v>4.5</v>
      </c>
      <c r="K20" s="134">
        <v>3.5</v>
      </c>
      <c r="L20" s="134">
        <v>9.89</v>
      </c>
      <c r="M20" s="134">
        <v>7.81</v>
      </c>
    </row>
    <row r="21" spans="1:13" ht="10.5" customHeight="1">
      <c r="A21" s="14" t="s">
        <v>27</v>
      </c>
      <c r="B21" s="145">
        <v>7.97</v>
      </c>
      <c r="C21" s="134">
        <v>4.92</v>
      </c>
      <c r="D21" s="134">
        <v>4.55</v>
      </c>
      <c r="E21" s="134">
        <v>2.33</v>
      </c>
      <c r="F21" s="134">
        <v>1.92</v>
      </c>
      <c r="G21" s="134">
        <v>1.91</v>
      </c>
      <c r="H21" s="134">
        <v>2.82</v>
      </c>
      <c r="I21" s="134">
        <v>3.77</v>
      </c>
      <c r="J21" s="134">
        <v>4.63</v>
      </c>
      <c r="K21" s="134">
        <v>3.94</v>
      </c>
      <c r="L21" s="147">
        <v>5.61</v>
      </c>
      <c r="M21" s="136">
        <v>2.0299999999999998</v>
      </c>
    </row>
    <row r="22" spans="1:13" ht="10.5" customHeight="1">
      <c r="A22" s="14" t="s">
        <v>28</v>
      </c>
      <c r="B22" s="145">
        <v>5.96</v>
      </c>
      <c r="C22" s="135">
        <v>4.3600000000000003</v>
      </c>
      <c r="D22" s="135">
        <v>4.9400000000000004</v>
      </c>
      <c r="E22" s="135">
        <v>1.82</v>
      </c>
      <c r="F22" s="135">
        <v>1.5</v>
      </c>
      <c r="G22" s="135">
        <v>2.15</v>
      </c>
      <c r="H22" s="135">
        <v>1.8</v>
      </c>
      <c r="I22" s="135">
        <v>3.75</v>
      </c>
      <c r="J22" s="134">
        <v>3.24</v>
      </c>
      <c r="K22" s="135">
        <v>5.72</v>
      </c>
      <c r="L22" s="137">
        <v>4.5599999999999996</v>
      </c>
      <c r="M22" s="120">
        <v>8.2100000000000009</v>
      </c>
    </row>
    <row r="23" spans="1:13" ht="10.5" customHeight="1">
      <c r="A23" s="18" t="s">
        <v>30</v>
      </c>
      <c r="B23" s="138">
        <v>10.199999999999999</v>
      </c>
      <c r="C23" s="137">
        <v>7.35</v>
      </c>
      <c r="D23" s="137">
        <v>4.5199999999999996</v>
      </c>
      <c r="E23" s="137">
        <v>3.98</v>
      </c>
      <c r="F23" s="137">
        <v>2.63</v>
      </c>
      <c r="G23" s="137">
        <v>2.4700000000000002</v>
      </c>
      <c r="H23" s="137">
        <v>5.37</v>
      </c>
      <c r="I23" s="137">
        <v>4.54</v>
      </c>
      <c r="J23" s="120">
        <v>3.11</v>
      </c>
      <c r="K23" s="137">
        <v>4.38</v>
      </c>
      <c r="L23" s="139">
        <v>8.02</v>
      </c>
      <c r="M23" s="138">
        <v>10.06</v>
      </c>
    </row>
    <row r="24" spans="1:13" ht="10.5" customHeight="1">
      <c r="A24" s="22" t="s">
        <v>31</v>
      </c>
      <c r="B24" s="138">
        <v>10.87</v>
      </c>
      <c r="C24" s="139">
        <v>9.4600000000000009</v>
      </c>
      <c r="D24" s="137">
        <v>6.77</v>
      </c>
      <c r="E24" s="139">
        <v>4.43</v>
      </c>
      <c r="F24" s="139">
        <v>2.62</v>
      </c>
      <c r="G24" s="139">
        <v>2.29</v>
      </c>
      <c r="H24" s="139">
        <v>2.0299999999999998</v>
      </c>
      <c r="I24" s="137">
        <v>4.8099999999999996</v>
      </c>
      <c r="J24" s="120">
        <v>6.81</v>
      </c>
      <c r="K24" s="137">
        <v>3.81</v>
      </c>
      <c r="L24" s="139">
        <v>3.56</v>
      </c>
      <c r="M24" s="138">
        <v>1.76</v>
      </c>
    </row>
    <row r="25" spans="1:13" ht="10.5" customHeight="1">
      <c r="A25" s="22" t="s">
        <v>32</v>
      </c>
      <c r="B25" s="138">
        <v>3.97</v>
      </c>
      <c r="C25" s="139">
        <v>6.29</v>
      </c>
      <c r="D25" s="137">
        <v>6.16</v>
      </c>
      <c r="E25" s="139">
        <v>3.64</v>
      </c>
      <c r="F25" s="139">
        <v>3.38</v>
      </c>
      <c r="G25" s="139">
        <v>3.22</v>
      </c>
      <c r="H25" s="139">
        <v>3.3</v>
      </c>
      <c r="I25" s="137">
        <v>4.68</v>
      </c>
      <c r="J25" s="120">
        <v>6.73</v>
      </c>
      <c r="K25" s="137">
        <v>8.92</v>
      </c>
      <c r="L25" s="139">
        <v>13.49</v>
      </c>
      <c r="M25" s="138">
        <v>13.86</v>
      </c>
    </row>
    <row r="26" spans="1:13" ht="3" customHeight="1">
      <c r="A26" s="22"/>
      <c r="B26" s="138"/>
      <c r="C26" s="139"/>
      <c r="D26" s="137"/>
      <c r="E26" s="139"/>
      <c r="F26" s="139"/>
      <c r="G26" s="139"/>
      <c r="H26" s="139"/>
      <c r="I26" s="137"/>
      <c r="J26" s="120"/>
      <c r="K26" s="137"/>
    </row>
    <row r="27" spans="1:13" ht="10.5" customHeight="1">
      <c r="A27" s="22" t="s">
        <v>33</v>
      </c>
      <c r="B27" s="138">
        <v>11.7</v>
      </c>
      <c r="C27" s="139">
        <v>10.94</v>
      </c>
      <c r="D27" s="137">
        <v>11.18</v>
      </c>
      <c r="E27" s="139">
        <v>7.15</v>
      </c>
      <c r="F27" s="139">
        <v>5.48</v>
      </c>
      <c r="G27" s="139">
        <v>3.84</v>
      </c>
      <c r="H27" s="139">
        <v>10.02</v>
      </c>
      <c r="I27" s="137">
        <v>11.98</v>
      </c>
      <c r="J27" s="120">
        <v>9.83</v>
      </c>
      <c r="K27" s="137">
        <v>6.18</v>
      </c>
      <c r="L27" s="139">
        <v>3.7</v>
      </c>
      <c r="M27" s="138">
        <v>5.14</v>
      </c>
    </row>
    <row r="28" spans="1:13" ht="10.5" customHeight="1">
      <c r="A28" s="22" t="s">
        <v>34</v>
      </c>
      <c r="B28" s="138">
        <v>9.7200000000000006</v>
      </c>
      <c r="C28" s="139">
        <v>9.8800000000000008</v>
      </c>
      <c r="D28" s="137">
        <v>9.1</v>
      </c>
      <c r="E28" s="139">
        <v>7.55</v>
      </c>
      <c r="F28" s="139">
        <v>6.23</v>
      </c>
      <c r="G28" s="139">
        <v>4.4800000000000004</v>
      </c>
      <c r="H28" s="139">
        <v>4.99</v>
      </c>
      <c r="I28" s="137">
        <v>6.6</v>
      </c>
      <c r="J28" s="120">
        <v>5.59</v>
      </c>
      <c r="K28" s="137">
        <v>4.6500000000000004</v>
      </c>
      <c r="L28" s="139">
        <v>6.2</v>
      </c>
      <c r="M28" s="138">
        <v>6.92</v>
      </c>
    </row>
    <row r="29" spans="1:13" ht="10.5" customHeight="1">
      <c r="A29" s="22" t="s">
        <v>35</v>
      </c>
      <c r="B29" s="139">
        <v>7.91</v>
      </c>
      <c r="C29" s="137">
        <v>8.41</v>
      </c>
      <c r="D29" s="139">
        <v>7.93</v>
      </c>
      <c r="E29" s="139">
        <v>6.48</v>
      </c>
      <c r="F29" s="139">
        <v>7.19</v>
      </c>
      <c r="G29" s="139">
        <v>6.51</v>
      </c>
      <c r="H29" s="137">
        <v>8</v>
      </c>
      <c r="I29" s="120">
        <v>7.17</v>
      </c>
      <c r="J29" s="137">
        <v>6.1</v>
      </c>
      <c r="K29" s="137">
        <v>4.9800000000000004</v>
      </c>
      <c r="L29" s="139">
        <v>6.88</v>
      </c>
      <c r="M29" s="138">
        <v>5.95</v>
      </c>
    </row>
    <row r="30" spans="1:13" ht="10.5" customHeight="1">
      <c r="A30" s="22" t="s">
        <v>36</v>
      </c>
      <c r="B30" s="138">
        <v>6.86</v>
      </c>
      <c r="C30" s="139">
        <v>8.1199999999999992</v>
      </c>
      <c r="D30" s="137">
        <v>7.43</v>
      </c>
      <c r="E30" s="139">
        <v>7.43</v>
      </c>
      <c r="F30" s="139">
        <v>3.56</v>
      </c>
      <c r="G30" s="139">
        <v>4.59</v>
      </c>
      <c r="H30" s="139">
        <v>6.01</v>
      </c>
      <c r="I30" s="137">
        <v>6.35</v>
      </c>
      <c r="J30" s="120">
        <v>6.28</v>
      </c>
      <c r="K30" s="137">
        <v>5.28</v>
      </c>
      <c r="L30" s="139">
        <v>5.23</v>
      </c>
      <c r="M30" s="138">
        <v>5.26</v>
      </c>
    </row>
    <row r="31" spans="1:13" ht="10.5" customHeight="1">
      <c r="A31" s="22" t="s">
        <v>37</v>
      </c>
      <c r="B31" s="138">
        <v>9.9499999999999993</v>
      </c>
      <c r="C31" s="139">
        <v>11.11</v>
      </c>
      <c r="D31" s="137">
        <v>8.43</v>
      </c>
      <c r="E31" s="139">
        <v>7.63</v>
      </c>
      <c r="F31" s="139">
        <v>5.08</v>
      </c>
      <c r="G31" s="139">
        <v>7.93</v>
      </c>
      <c r="H31" s="139">
        <v>9.99</v>
      </c>
      <c r="I31" s="137">
        <v>11.21</v>
      </c>
      <c r="J31" s="120">
        <v>8.83</v>
      </c>
      <c r="K31" s="137">
        <v>7.03</v>
      </c>
      <c r="L31" s="139">
        <v>13.85</v>
      </c>
      <c r="M31" s="138">
        <v>10.18</v>
      </c>
    </row>
    <row r="32" spans="1:13" ht="10.5" customHeight="1">
      <c r="A32" s="18" t="s">
        <v>38</v>
      </c>
      <c r="B32" s="138">
        <v>7.01</v>
      </c>
      <c r="C32" s="139">
        <v>6.68</v>
      </c>
      <c r="D32" s="137">
        <v>6.57</v>
      </c>
      <c r="E32" s="139">
        <v>5.87</v>
      </c>
      <c r="F32" s="139">
        <v>2.71</v>
      </c>
      <c r="G32" s="139">
        <v>5.1100000000000003</v>
      </c>
      <c r="H32" s="139">
        <v>7.13</v>
      </c>
      <c r="I32" s="137">
        <v>7.01</v>
      </c>
      <c r="J32" s="120">
        <v>6.21</v>
      </c>
      <c r="K32" s="137">
        <v>5.84</v>
      </c>
      <c r="L32" s="120">
        <v>13.02</v>
      </c>
      <c r="M32" s="120">
        <v>9.07</v>
      </c>
    </row>
    <row r="33" spans="1:15" ht="4.5" customHeight="1">
      <c r="A33" s="22"/>
      <c r="B33" s="138"/>
      <c r="C33" s="139"/>
      <c r="D33" s="137"/>
      <c r="E33" s="139"/>
      <c r="F33" s="139"/>
      <c r="G33" s="139"/>
      <c r="H33" s="139"/>
      <c r="I33" s="137"/>
      <c r="J33" s="120"/>
      <c r="K33" s="137"/>
      <c r="L33" s="139"/>
      <c r="M33" s="138"/>
    </row>
    <row r="34" spans="1:15" ht="10.5" customHeight="1">
      <c r="A34" s="18" t="s">
        <v>39</v>
      </c>
      <c r="B34" s="139">
        <v>10.57</v>
      </c>
      <c r="C34" s="138">
        <v>9.59</v>
      </c>
      <c r="D34" s="138">
        <v>10.54</v>
      </c>
      <c r="E34" s="139">
        <v>10.31</v>
      </c>
      <c r="F34" s="137">
        <v>8.77</v>
      </c>
      <c r="G34" s="139">
        <v>17.510000000000002</v>
      </c>
      <c r="H34" s="139">
        <v>15.95</v>
      </c>
      <c r="I34" s="139">
        <v>15.33</v>
      </c>
      <c r="J34" s="139">
        <v>13.83</v>
      </c>
      <c r="K34" s="137">
        <v>10.93</v>
      </c>
      <c r="L34" s="120">
        <v>16.77</v>
      </c>
      <c r="M34" s="120">
        <v>12.35</v>
      </c>
    </row>
    <row r="35" spans="1:15" ht="10.5" customHeight="1">
      <c r="A35" s="18" t="s">
        <v>40</v>
      </c>
      <c r="B35" s="139">
        <v>7.91</v>
      </c>
      <c r="C35" s="138">
        <v>7.33</v>
      </c>
      <c r="D35" s="138">
        <v>7.32</v>
      </c>
      <c r="E35" s="139">
        <v>6.7</v>
      </c>
      <c r="F35" s="137">
        <v>5.81</v>
      </c>
      <c r="G35" s="139">
        <v>10.84</v>
      </c>
      <c r="H35" s="139">
        <v>13.42</v>
      </c>
      <c r="I35" s="139">
        <v>10.98</v>
      </c>
      <c r="J35" s="139">
        <v>11.07</v>
      </c>
      <c r="K35" s="137">
        <v>10.18</v>
      </c>
      <c r="L35" s="120">
        <v>11.38</v>
      </c>
      <c r="M35" s="120">
        <v>12.21</v>
      </c>
      <c r="O35" t="s">
        <v>29</v>
      </c>
    </row>
    <row r="36" spans="1:15" ht="10.5" customHeight="1">
      <c r="A36" s="18" t="s">
        <v>148</v>
      </c>
      <c r="B36" s="139">
        <v>8.82</v>
      </c>
      <c r="C36" s="138">
        <v>11.96</v>
      </c>
      <c r="D36" s="138">
        <v>11.02</v>
      </c>
      <c r="E36" s="139">
        <v>11.88</v>
      </c>
      <c r="F36" s="137">
        <v>4.25</v>
      </c>
      <c r="G36" s="139">
        <v>7.78</v>
      </c>
      <c r="H36" s="139">
        <v>10.07</v>
      </c>
      <c r="I36" s="139">
        <v>9.98</v>
      </c>
      <c r="J36" s="139">
        <v>8.9499999999999993</v>
      </c>
      <c r="K36" s="137">
        <v>7.62</v>
      </c>
      <c r="L36" s="137">
        <v>8.5500000000000007</v>
      </c>
      <c r="M36" s="148">
        <v>9.31</v>
      </c>
    </row>
    <row r="37" spans="1:15" ht="10.5" customHeight="1">
      <c r="A37" s="18" t="s">
        <v>42</v>
      </c>
      <c r="B37" s="139">
        <v>6.2</v>
      </c>
      <c r="C37" s="138">
        <v>7</v>
      </c>
      <c r="D37" s="138">
        <v>6.3</v>
      </c>
      <c r="E37" s="139">
        <v>6.7</v>
      </c>
      <c r="F37" s="137">
        <v>3.2</v>
      </c>
      <c r="G37" s="139">
        <v>8.1</v>
      </c>
      <c r="H37" s="139">
        <v>9</v>
      </c>
      <c r="I37" s="139">
        <v>6.5</v>
      </c>
      <c r="J37" s="139">
        <v>5.4</v>
      </c>
      <c r="K37" s="137">
        <v>3.5</v>
      </c>
      <c r="L37" s="137">
        <v>5.5</v>
      </c>
      <c r="M37" s="148">
        <v>5.9</v>
      </c>
    </row>
    <row r="38" spans="1:15" ht="10.5" customHeight="1">
      <c r="A38" s="18" t="s">
        <v>43</v>
      </c>
      <c r="B38" s="139">
        <v>1.65</v>
      </c>
      <c r="C38" s="138">
        <v>2.65</v>
      </c>
      <c r="D38" s="138">
        <v>4.3499999999999996</v>
      </c>
      <c r="E38" s="139">
        <v>4.45</v>
      </c>
      <c r="F38" s="137">
        <v>2.0499999999999998</v>
      </c>
      <c r="G38" s="139">
        <v>7.95</v>
      </c>
      <c r="H38" s="139">
        <v>6.55</v>
      </c>
      <c r="I38" s="139">
        <v>7.05</v>
      </c>
      <c r="J38" s="139">
        <v>6.05</v>
      </c>
      <c r="K38" s="137">
        <v>5.05</v>
      </c>
      <c r="L38" s="137">
        <v>6.55</v>
      </c>
      <c r="M38" s="148">
        <v>2.5499999999999998</v>
      </c>
    </row>
    <row r="39" spans="1:15" s="59" customFormat="1" ht="10.5" customHeight="1">
      <c r="A39" s="18" t="s">
        <v>44</v>
      </c>
      <c r="B39" s="139">
        <v>4.3</v>
      </c>
      <c r="C39" s="138">
        <v>6.4</v>
      </c>
      <c r="D39" s="138">
        <v>0.4</v>
      </c>
      <c r="E39" s="139">
        <v>3.9</v>
      </c>
      <c r="F39" s="137">
        <v>8.3000000000000007</v>
      </c>
      <c r="G39" s="139">
        <v>5.9</v>
      </c>
      <c r="H39" s="139">
        <v>5.7</v>
      </c>
      <c r="I39" s="139">
        <v>5.4</v>
      </c>
      <c r="J39" s="139">
        <v>4.0999999999999996</v>
      </c>
      <c r="K39" s="137">
        <v>2.7</v>
      </c>
      <c r="L39" s="137">
        <v>4.7</v>
      </c>
      <c r="M39" s="148">
        <v>1.1000000000000001</v>
      </c>
    </row>
    <row r="40" spans="1:15" s="59" customFormat="1" ht="10.5" customHeight="1">
      <c r="A40" s="18" t="s">
        <v>46</v>
      </c>
      <c r="B40" s="139">
        <v>7.6</v>
      </c>
      <c r="C40" s="138">
        <v>9.6</v>
      </c>
      <c r="D40" s="138">
        <v>12.3</v>
      </c>
      <c r="E40" s="139">
        <v>4.3</v>
      </c>
      <c r="F40" s="137">
        <v>8.5</v>
      </c>
      <c r="G40" s="139">
        <v>12.5</v>
      </c>
      <c r="H40" s="139">
        <v>10.4</v>
      </c>
      <c r="I40" s="139">
        <v>9.5</v>
      </c>
      <c r="J40" s="139">
        <v>8.1999999999999993</v>
      </c>
      <c r="K40" s="137">
        <v>7.1</v>
      </c>
      <c r="L40" s="137">
        <v>9.5</v>
      </c>
      <c r="M40" s="148">
        <v>7</v>
      </c>
    </row>
    <row r="41" spans="1:15" s="59" customFormat="1" ht="3" customHeight="1">
      <c r="A41" s="18"/>
      <c r="B41" s="139"/>
      <c r="C41" s="138"/>
      <c r="D41" s="138"/>
      <c r="E41" s="139"/>
      <c r="F41" s="137"/>
      <c r="G41" s="139"/>
      <c r="H41" s="139"/>
      <c r="I41" s="139"/>
      <c r="J41" s="139"/>
      <c r="K41" s="137"/>
      <c r="L41" s="137"/>
      <c r="M41" s="148"/>
    </row>
    <row r="42" spans="1:15" s="59" customFormat="1" ht="10.5" customHeight="1">
      <c r="A42" s="18" t="s">
        <v>47</v>
      </c>
      <c r="B42" s="139">
        <v>3.43</v>
      </c>
      <c r="C42" s="138">
        <v>5.83</v>
      </c>
      <c r="D42" s="138">
        <v>7.63</v>
      </c>
      <c r="E42" s="139">
        <v>8.5299999999999994</v>
      </c>
      <c r="F42" s="137">
        <v>11.63</v>
      </c>
      <c r="G42" s="139">
        <v>13.23</v>
      </c>
      <c r="H42" s="139">
        <v>13.83</v>
      </c>
      <c r="I42" s="139">
        <v>15.43</v>
      </c>
      <c r="J42" s="139">
        <v>13.23</v>
      </c>
      <c r="K42" s="137">
        <v>10.33</v>
      </c>
      <c r="L42" s="137">
        <v>10.130000000000001</v>
      </c>
      <c r="M42" s="148">
        <v>9.1300000000000008</v>
      </c>
    </row>
    <row r="43" spans="1:15" s="59" customFormat="1" ht="10.5" customHeight="1">
      <c r="A43" s="18" t="s">
        <v>48</v>
      </c>
      <c r="B43" s="139">
        <v>9.76</v>
      </c>
      <c r="C43" s="138">
        <v>2.36</v>
      </c>
      <c r="D43" s="138">
        <v>7.86</v>
      </c>
      <c r="E43" s="139">
        <v>11.66</v>
      </c>
      <c r="F43" s="137">
        <v>5.56</v>
      </c>
      <c r="G43" s="139">
        <v>12.46</v>
      </c>
      <c r="H43" s="139">
        <v>8.26</v>
      </c>
      <c r="I43" s="139">
        <v>8.76</v>
      </c>
      <c r="J43" s="139">
        <v>6.66</v>
      </c>
      <c r="K43" s="137">
        <v>6.36</v>
      </c>
      <c r="L43" s="137">
        <v>8.76</v>
      </c>
      <c r="M43" s="148">
        <v>7.96</v>
      </c>
    </row>
    <row r="44" spans="1:15" s="59" customFormat="1" ht="10.5" customHeight="1">
      <c r="A44" s="22" t="s">
        <v>51</v>
      </c>
      <c r="B44" s="139">
        <v>6.29</v>
      </c>
      <c r="C44" s="138">
        <v>7.7</v>
      </c>
      <c r="D44" s="138">
        <v>6.88</v>
      </c>
      <c r="E44" s="139">
        <v>8.25</v>
      </c>
      <c r="F44" s="137">
        <v>8.23</v>
      </c>
      <c r="G44" s="139">
        <v>9.23</v>
      </c>
      <c r="H44" s="139">
        <v>6.9</v>
      </c>
      <c r="I44" s="139">
        <v>6.62</v>
      </c>
      <c r="J44" s="139">
        <v>7.88</v>
      </c>
      <c r="K44" s="137">
        <v>8.0500000000000007</v>
      </c>
      <c r="L44" s="137">
        <v>13.1</v>
      </c>
      <c r="M44" s="148">
        <v>12.51</v>
      </c>
    </row>
    <row r="45" spans="1:15" ht="10.5" customHeight="1">
      <c r="A45" s="22" t="s">
        <v>52</v>
      </c>
      <c r="B45" s="139">
        <v>10.63</v>
      </c>
      <c r="C45" s="138">
        <v>14.95</v>
      </c>
      <c r="D45" s="138">
        <v>12.38</v>
      </c>
      <c r="E45" s="139">
        <v>6.98</v>
      </c>
      <c r="F45" s="137">
        <v>7.81</v>
      </c>
      <c r="G45" s="139">
        <v>8.82</v>
      </c>
      <c r="H45" s="139">
        <v>6.11</v>
      </c>
      <c r="I45" s="139">
        <v>8.9600000000000009</v>
      </c>
      <c r="J45" s="139">
        <v>5.77</v>
      </c>
      <c r="K45" s="137">
        <v>5.63</v>
      </c>
      <c r="L45" s="409">
        <v>7.55</v>
      </c>
      <c r="M45" s="409">
        <v>5.99</v>
      </c>
      <c r="N45" s="59"/>
    </row>
    <row r="46" spans="1:15" ht="10.5" customHeight="1">
      <c r="A46" s="22" t="s">
        <v>291</v>
      </c>
      <c r="B46" s="139">
        <v>16.170000000000002</v>
      </c>
      <c r="C46" s="138">
        <v>18.16</v>
      </c>
      <c r="D46" s="138">
        <v>17.07</v>
      </c>
      <c r="E46" s="139">
        <v>15.17</v>
      </c>
      <c r="F46" s="137">
        <v>14.25</v>
      </c>
      <c r="G46" s="139">
        <v>13.77</v>
      </c>
      <c r="H46" s="139">
        <v>15.43</v>
      </c>
      <c r="I46" s="139">
        <v>13.99</v>
      </c>
      <c r="J46" s="139">
        <v>15.03</v>
      </c>
      <c r="K46" s="137">
        <v>14.78</v>
      </c>
      <c r="L46" s="415" t="s">
        <v>300</v>
      </c>
      <c r="M46" s="415">
        <v>24.12</v>
      </c>
    </row>
    <row r="47" spans="1:15" ht="10.5" customHeight="1">
      <c r="A47" s="22" t="s">
        <v>298</v>
      </c>
      <c r="B47" s="139">
        <v>20.93</v>
      </c>
      <c r="C47" s="138">
        <v>20.43</v>
      </c>
      <c r="D47" s="138">
        <v>17.73</v>
      </c>
      <c r="E47" s="139">
        <v>16.57</v>
      </c>
      <c r="F47" s="137">
        <v>15.62</v>
      </c>
      <c r="G47" s="139">
        <v>13.38</v>
      </c>
      <c r="H47" s="139">
        <v>16.68</v>
      </c>
      <c r="I47" s="139">
        <v>15.47</v>
      </c>
      <c r="J47" s="139">
        <v>14.28</v>
      </c>
      <c r="K47" s="137">
        <v>14.71</v>
      </c>
      <c r="L47" s="415">
        <v>15.05</v>
      </c>
      <c r="M47" s="415">
        <v>18.079999999999998</v>
      </c>
    </row>
    <row r="48" spans="1:15" ht="10.5" customHeight="1">
      <c r="A48" s="22" t="s">
        <v>312</v>
      </c>
      <c r="B48" s="139">
        <v>20.94</v>
      </c>
      <c r="C48" s="138">
        <v>20.84</v>
      </c>
      <c r="D48" s="138">
        <v>22.24</v>
      </c>
      <c r="E48" s="139">
        <v>19.059999999999999</v>
      </c>
      <c r="F48" s="137">
        <v>17.82</v>
      </c>
      <c r="G48" s="139">
        <v>18.12</v>
      </c>
      <c r="H48" s="139">
        <v>16.98</v>
      </c>
      <c r="I48" s="139">
        <v>14.35</v>
      </c>
      <c r="J48" s="139">
        <v>13.34</v>
      </c>
      <c r="K48" s="477">
        <v>9.57</v>
      </c>
      <c r="L48" s="415">
        <v>14.8</v>
      </c>
      <c r="M48" s="415">
        <v>14.48</v>
      </c>
    </row>
    <row r="49" spans="1:14" ht="10.5" customHeight="1">
      <c r="A49" s="149" t="s">
        <v>319</v>
      </c>
      <c r="B49" s="150">
        <v>21.14</v>
      </c>
      <c r="C49" s="141">
        <v>21.74</v>
      </c>
      <c r="D49" s="141">
        <v>20.14</v>
      </c>
      <c r="E49" s="150">
        <v>17.62</v>
      </c>
      <c r="F49" s="151">
        <v>13.12</v>
      </c>
      <c r="G49" s="150">
        <v>13.92</v>
      </c>
      <c r="H49" s="150">
        <v>14.02</v>
      </c>
      <c r="I49" s="150">
        <v>11.92</v>
      </c>
      <c r="J49" s="150">
        <v>11.34</v>
      </c>
      <c r="K49" s="478">
        <v>5.81</v>
      </c>
      <c r="L49" s="408"/>
      <c r="M49" s="408"/>
    </row>
    <row r="50" spans="1:14">
      <c r="A50" s="39" t="s">
        <v>149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4">
      <c r="A51" s="39" t="s">
        <v>150</v>
      </c>
      <c r="B51" s="98"/>
      <c r="C51" s="98"/>
      <c r="D51" s="98"/>
      <c r="E51" s="98"/>
      <c r="F51" s="98"/>
      <c r="G51" s="98"/>
      <c r="H51" s="152"/>
      <c r="I51" s="152"/>
      <c r="J51" s="152"/>
      <c r="K51" s="152"/>
    </row>
    <row r="52" spans="1:14">
      <c r="A52" s="39" t="s">
        <v>127</v>
      </c>
    </row>
    <row r="55" spans="1:14"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</row>
  </sheetData>
  <pageMargins left="0.66700000000000004" right="0.66700000000000004" top="0.66700000000000004" bottom="0.72" header="0" footer="0"/>
  <pageSetup firstPageNumber="76" orientation="portrait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52"/>
  <sheetViews>
    <sheetView showGridLines="0" view="pageBreakPreview" zoomScale="60" zoomScaleNormal="100" workbookViewId="0">
      <pane xSplit="1" ySplit="4" topLeftCell="B10" activePane="bottomRight" state="frozen"/>
      <selection pane="topRight" activeCell="B1" sqref="B1"/>
      <selection pane="bottomLeft" activeCell="A5" sqref="A5"/>
      <selection pane="bottomRight"/>
    </sheetView>
  </sheetViews>
  <sheetFormatPr defaultColWidth="9.7109375" defaultRowHeight="12"/>
  <cols>
    <col min="1" max="1" width="8.5703125" customWidth="1"/>
    <col min="2" max="13" width="7.7109375" customWidth="1"/>
  </cols>
  <sheetData>
    <row r="1" spans="1:13">
      <c r="A1" s="1" t="s">
        <v>151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03"/>
    </row>
    <row r="2" spans="1:13">
      <c r="A2" s="1" t="s">
        <v>128</v>
      </c>
      <c r="B2" s="9" t="s">
        <v>140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141</v>
      </c>
      <c r="C4" s="47"/>
      <c r="D4" s="47"/>
      <c r="E4" s="47"/>
      <c r="F4" s="70"/>
      <c r="G4" s="47"/>
      <c r="H4" s="47"/>
      <c r="I4" s="47"/>
      <c r="J4" s="47"/>
      <c r="K4" s="47"/>
      <c r="L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53">
        <v>4.13</v>
      </c>
      <c r="C6" s="153">
        <v>3.3</v>
      </c>
      <c r="D6" s="153">
        <v>3.25</v>
      </c>
      <c r="E6" s="153">
        <v>3.23</v>
      </c>
      <c r="F6" s="153">
        <v>3.31</v>
      </c>
      <c r="G6" s="153">
        <v>3.61</v>
      </c>
      <c r="H6" s="145">
        <v>4.46</v>
      </c>
      <c r="I6" s="145">
        <v>5.34</v>
      </c>
      <c r="J6" s="145">
        <v>6.09</v>
      </c>
      <c r="K6" s="134" t="s">
        <v>120</v>
      </c>
      <c r="L6" s="134" t="s">
        <v>120</v>
      </c>
      <c r="M6" s="134" t="s">
        <v>120</v>
      </c>
    </row>
    <row r="7" spans="1:13" ht="10.5" customHeight="1">
      <c r="A7" s="14" t="s">
        <v>15</v>
      </c>
      <c r="B7" s="153">
        <v>4.2699999999999996</v>
      </c>
      <c r="C7" s="153">
        <v>2.48</v>
      </c>
      <c r="D7" s="153">
        <v>2.36</v>
      </c>
      <c r="E7" s="153">
        <v>1.86</v>
      </c>
      <c r="F7" s="153">
        <v>1.59</v>
      </c>
      <c r="G7" s="153">
        <v>1.5</v>
      </c>
      <c r="H7" s="145">
        <v>2.4300000000000002</v>
      </c>
      <c r="I7" s="145">
        <v>3.22</v>
      </c>
      <c r="J7" s="134" t="s">
        <v>120</v>
      </c>
      <c r="K7" s="134" t="s">
        <v>120</v>
      </c>
      <c r="L7" s="134" t="s">
        <v>120</v>
      </c>
      <c r="M7" s="145">
        <v>3.59</v>
      </c>
    </row>
    <row r="8" spans="1:13" ht="10.5" customHeight="1">
      <c r="A8" s="14" t="s">
        <v>16</v>
      </c>
      <c r="B8" s="153">
        <v>2.63</v>
      </c>
      <c r="C8" s="153">
        <v>1.87</v>
      </c>
      <c r="D8" s="153">
        <v>1.9</v>
      </c>
      <c r="E8" s="153">
        <v>1.66</v>
      </c>
      <c r="F8" s="153">
        <v>1.43</v>
      </c>
      <c r="G8" s="153">
        <v>1.72</v>
      </c>
      <c r="H8" s="145">
        <v>2.36</v>
      </c>
      <c r="I8" s="145">
        <v>2.75</v>
      </c>
      <c r="J8" s="134" t="s">
        <v>120</v>
      </c>
      <c r="K8" s="134" t="s">
        <v>120</v>
      </c>
      <c r="L8" s="134" t="s">
        <v>120</v>
      </c>
      <c r="M8" s="134" t="s">
        <v>120</v>
      </c>
    </row>
    <row r="9" spans="1:13" ht="10.5" customHeight="1">
      <c r="A9" s="14" t="s">
        <v>17</v>
      </c>
      <c r="B9" s="153">
        <v>3.78</v>
      </c>
      <c r="C9" s="153">
        <v>2.1800000000000002</v>
      </c>
      <c r="D9" s="153">
        <v>1.99</v>
      </c>
      <c r="E9" s="153">
        <v>2.59</v>
      </c>
      <c r="F9" s="153">
        <v>2.2400000000000002</v>
      </c>
      <c r="G9" s="153">
        <v>2.76</v>
      </c>
      <c r="H9" s="145">
        <v>3.62</v>
      </c>
      <c r="I9" s="145">
        <v>3.84</v>
      </c>
      <c r="J9" s="145">
        <v>4.04</v>
      </c>
      <c r="K9" s="134" t="s">
        <v>120</v>
      </c>
      <c r="L9" s="134" t="s">
        <v>120</v>
      </c>
      <c r="M9" s="134" t="s">
        <v>120</v>
      </c>
    </row>
    <row r="10" spans="1:13" ht="10.5" customHeight="1">
      <c r="A10" s="14" t="s">
        <v>18</v>
      </c>
      <c r="B10" s="153">
        <v>4.5999999999999996</v>
      </c>
      <c r="C10" s="153">
        <v>4.0999999999999996</v>
      </c>
      <c r="D10" s="153">
        <v>3.95</v>
      </c>
      <c r="E10" s="153">
        <v>3.87</v>
      </c>
      <c r="F10" s="153">
        <v>3.49</v>
      </c>
      <c r="G10" s="153">
        <v>3.22</v>
      </c>
      <c r="H10" s="145">
        <v>3.71</v>
      </c>
      <c r="I10" s="145">
        <v>4.1500000000000004</v>
      </c>
      <c r="J10" s="134" t="s">
        <v>120</v>
      </c>
      <c r="K10" s="134" t="s">
        <v>120</v>
      </c>
      <c r="L10" s="134" t="s">
        <v>120</v>
      </c>
      <c r="M10" s="134" t="s">
        <v>120</v>
      </c>
    </row>
    <row r="11" spans="1:13" ht="10.5" customHeight="1">
      <c r="A11" s="14" t="s">
        <v>19</v>
      </c>
      <c r="B11" s="153">
        <v>4.6900000000000004</v>
      </c>
      <c r="C11" s="153">
        <v>3.58</v>
      </c>
      <c r="D11" s="153">
        <v>3.78</v>
      </c>
      <c r="E11" s="153">
        <v>3.86</v>
      </c>
      <c r="F11" s="153">
        <v>3.89</v>
      </c>
      <c r="G11" s="153">
        <v>4.04</v>
      </c>
      <c r="H11" s="145">
        <v>4.71</v>
      </c>
      <c r="I11" s="145">
        <v>5.64</v>
      </c>
      <c r="J11" s="145">
        <v>7.24</v>
      </c>
      <c r="K11" s="134" t="s">
        <v>120</v>
      </c>
      <c r="L11" s="134" t="s">
        <v>120</v>
      </c>
      <c r="M11" s="134" t="s">
        <v>120</v>
      </c>
    </row>
    <row r="12" spans="1:13" ht="3" customHeight="1">
      <c r="A12" s="14"/>
      <c r="B12" s="153"/>
      <c r="C12" s="153"/>
      <c r="D12" s="153"/>
      <c r="E12" s="153"/>
      <c r="F12" s="153"/>
      <c r="G12" s="153"/>
      <c r="H12" s="145"/>
      <c r="I12" s="145"/>
      <c r="J12" s="145"/>
      <c r="K12" s="134"/>
      <c r="L12" s="134"/>
      <c r="M12" s="134" t="s">
        <v>120</v>
      </c>
    </row>
    <row r="13" spans="1:13" ht="10.5" customHeight="1">
      <c r="A13" s="14" t="s">
        <v>20</v>
      </c>
      <c r="B13" s="134" t="s">
        <v>120</v>
      </c>
      <c r="C13" s="153">
        <v>7.14</v>
      </c>
      <c r="D13" s="153">
        <v>4.6399999999999997</v>
      </c>
      <c r="E13" s="153">
        <v>4.6900000000000004</v>
      </c>
      <c r="F13" s="153">
        <v>4.72</v>
      </c>
      <c r="G13" s="153">
        <v>4.67</v>
      </c>
      <c r="H13" s="145">
        <v>4.87</v>
      </c>
      <c r="I13" s="145">
        <v>5.22</v>
      </c>
      <c r="J13" s="145">
        <v>6.24</v>
      </c>
      <c r="K13" s="134" t="s">
        <v>120</v>
      </c>
      <c r="L13" s="134" t="s">
        <v>120</v>
      </c>
      <c r="M13" s="134" t="s">
        <v>120</v>
      </c>
    </row>
    <row r="14" spans="1:13" ht="10.5" customHeight="1">
      <c r="A14" s="14" t="s">
        <v>21</v>
      </c>
      <c r="B14" s="153">
        <v>9.17</v>
      </c>
      <c r="C14" s="153">
        <v>6.23</v>
      </c>
      <c r="D14" s="153">
        <v>5.79</v>
      </c>
      <c r="E14" s="153">
        <v>5.58</v>
      </c>
      <c r="F14" s="153">
        <v>5.5</v>
      </c>
      <c r="G14" s="153">
        <v>5.19</v>
      </c>
      <c r="H14" s="145">
        <v>5.2</v>
      </c>
      <c r="I14" s="145">
        <v>5.12</v>
      </c>
      <c r="J14" s="134" t="s">
        <v>120</v>
      </c>
      <c r="K14" s="134" t="s">
        <v>120</v>
      </c>
      <c r="L14" s="134" t="s">
        <v>120</v>
      </c>
      <c r="M14" s="134" t="s">
        <v>120</v>
      </c>
    </row>
    <row r="15" spans="1:13" ht="10.5" customHeight="1">
      <c r="A15" s="14" t="s">
        <v>142</v>
      </c>
      <c r="B15" s="153">
        <v>7.78</v>
      </c>
      <c r="C15" s="153">
        <v>5.26</v>
      </c>
      <c r="D15" s="153">
        <v>4.47</v>
      </c>
      <c r="E15" s="153">
        <v>4.47</v>
      </c>
      <c r="F15" s="153">
        <v>4.1399999999999997</v>
      </c>
      <c r="G15" s="153">
        <v>4</v>
      </c>
      <c r="H15" s="145">
        <v>4.45</v>
      </c>
      <c r="I15" s="145">
        <v>4.6900000000000004</v>
      </c>
      <c r="J15" s="134" t="s">
        <v>120</v>
      </c>
      <c r="K15" s="134" t="s">
        <v>120</v>
      </c>
      <c r="L15" s="134" t="s">
        <v>120</v>
      </c>
      <c r="M15" s="134">
        <v>7.54</v>
      </c>
    </row>
    <row r="16" spans="1:13" ht="10.5" customHeight="1">
      <c r="A16" s="14" t="s">
        <v>143</v>
      </c>
      <c r="B16" s="153">
        <v>6.01</v>
      </c>
      <c r="C16" s="153">
        <v>5.68</v>
      </c>
      <c r="D16" s="153">
        <v>6.9</v>
      </c>
      <c r="E16" s="153">
        <v>4.87</v>
      </c>
      <c r="F16" s="153">
        <v>4.84</v>
      </c>
      <c r="G16" s="153">
        <v>6.57</v>
      </c>
      <c r="H16" s="145">
        <v>6.04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>
        <v>7.66</v>
      </c>
    </row>
    <row r="17" spans="1:14" ht="10.5" customHeight="1">
      <c r="A17" s="14" t="s">
        <v>144</v>
      </c>
      <c r="B17" s="153">
        <v>7.17</v>
      </c>
      <c r="C17" s="153">
        <v>6.35</v>
      </c>
      <c r="D17" s="153">
        <v>5.34</v>
      </c>
      <c r="E17" s="153">
        <v>5.71</v>
      </c>
      <c r="F17" s="153">
        <v>4.7300000000000004</v>
      </c>
      <c r="G17" s="153">
        <v>5.72</v>
      </c>
      <c r="H17" s="145">
        <v>5.88</v>
      </c>
      <c r="I17" s="145">
        <v>4.72</v>
      </c>
      <c r="J17" s="134" t="s">
        <v>120</v>
      </c>
      <c r="K17" s="134" t="s">
        <v>120</v>
      </c>
      <c r="L17" s="134" t="s">
        <v>120</v>
      </c>
      <c r="M17" s="134">
        <v>9.19</v>
      </c>
    </row>
    <row r="18" spans="1:14" ht="10.5" customHeight="1">
      <c r="A18" s="14" t="s">
        <v>25</v>
      </c>
      <c r="B18" s="153">
        <v>6.67</v>
      </c>
      <c r="C18" s="153">
        <v>6.55</v>
      </c>
      <c r="D18" s="153">
        <v>6.15</v>
      </c>
      <c r="E18" s="153">
        <v>6.04</v>
      </c>
      <c r="F18" s="153">
        <v>6.22</v>
      </c>
      <c r="G18" s="153">
        <v>7.23</v>
      </c>
      <c r="H18" s="145">
        <v>8.14</v>
      </c>
      <c r="I18" s="134" t="s">
        <v>120</v>
      </c>
      <c r="J18" s="134" t="s">
        <v>120</v>
      </c>
      <c r="K18" s="134" t="s">
        <v>120</v>
      </c>
      <c r="L18" s="134" t="s">
        <v>120</v>
      </c>
      <c r="M18" s="134" t="s">
        <v>120</v>
      </c>
    </row>
    <row r="19" spans="1:14" ht="3" customHeight="1">
      <c r="A19" s="14"/>
      <c r="B19" s="153"/>
      <c r="C19" s="153"/>
      <c r="D19" s="153"/>
      <c r="E19" s="153"/>
      <c r="F19" s="153"/>
      <c r="G19" s="153"/>
      <c r="H19" s="145"/>
      <c r="I19" s="134"/>
      <c r="J19" s="134"/>
      <c r="K19" s="134"/>
      <c r="L19" s="134"/>
      <c r="M19" s="134" t="s">
        <v>120</v>
      </c>
    </row>
    <row r="20" spans="1:14" ht="10.5" customHeight="1">
      <c r="A20" s="14" t="s">
        <v>26</v>
      </c>
      <c r="B20" s="153">
        <v>6.28</v>
      </c>
      <c r="C20" s="153">
        <v>4.24</v>
      </c>
      <c r="D20" s="153">
        <v>3.78</v>
      </c>
      <c r="E20" s="153">
        <v>2.77</v>
      </c>
      <c r="F20" s="153">
        <v>2.66</v>
      </c>
      <c r="G20" s="153">
        <v>1.81</v>
      </c>
      <c r="H20" s="145">
        <v>2.1</v>
      </c>
      <c r="I20" s="145">
        <v>1.6</v>
      </c>
      <c r="J20" s="145">
        <v>1.5</v>
      </c>
      <c r="K20" s="134" t="s">
        <v>120</v>
      </c>
      <c r="L20" s="134" t="s">
        <v>120</v>
      </c>
      <c r="M20" s="134" t="s">
        <v>120</v>
      </c>
    </row>
    <row r="21" spans="1:14" ht="10.5" customHeight="1">
      <c r="A21" s="14" t="s">
        <v>27</v>
      </c>
      <c r="B21" s="153">
        <v>7.55</v>
      </c>
      <c r="C21" s="153">
        <v>4.8099999999999996</v>
      </c>
      <c r="D21" s="153">
        <v>3.72</v>
      </c>
      <c r="E21" s="153">
        <v>3.44</v>
      </c>
      <c r="F21" s="153">
        <v>3.12</v>
      </c>
      <c r="G21" s="153">
        <v>2.87</v>
      </c>
      <c r="H21" s="145">
        <v>2.65</v>
      </c>
      <c r="I21" s="145">
        <v>1.35</v>
      </c>
      <c r="J21" s="145">
        <v>1.41</v>
      </c>
      <c r="K21" s="134" t="s">
        <v>120</v>
      </c>
      <c r="L21" s="134" t="s">
        <v>120</v>
      </c>
      <c r="M21" s="136">
        <v>7</v>
      </c>
      <c r="N21" s="154"/>
    </row>
    <row r="22" spans="1:14" ht="10.5" customHeight="1">
      <c r="A22" s="14" t="s">
        <v>28</v>
      </c>
      <c r="B22" s="153">
        <v>4.3899999999999997</v>
      </c>
      <c r="C22" s="153">
        <v>2.0699999999999998</v>
      </c>
      <c r="D22" s="153">
        <v>1.77</v>
      </c>
      <c r="E22" s="153">
        <v>2.12</v>
      </c>
      <c r="F22" s="153">
        <v>2.02</v>
      </c>
      <c r="G22" s="153">
        <v>1.77</v>
      </c>
      <c r="H22" s="155">
        <v>1.32</v>
      </c>
      <c r="I22" s="155">
        <v>1.05</v>
      </c>
      <c r="J22" s="134" t="s">
        <v>120</v>
      </c>
      <c r="K22" s="134" t="s">
        <v>120</v>
      </c>
      <c r="L22" s="134" t="s">
        <v>120</v>
      </c>
      <c r="M22" s="134" t="s">
        <v>120</v>
      </c>
    </row>
    <row r="23" spans="1:14" ht="10.5" customHeight="1">
      <c r="A23" s="18" t="s">
        <v>30</v>
      </c>
      <c r="B23" s="156">
        <v>4.78</v>
      </c>
      <c r="C23" s="156">
        <v>2.2000000000000002</v>
      </c>
      <c r="D23" s="156">
        <v>1.49</v>
      </c>
      <c r="E23" s="156">
        <v>1.69</v>
      </c>
      <c r="F23" s="156">
        <v>1.68</v>
      </c>
      <c r="G23" s="156">
        <v>1.56</v>
      </c>
      <c r="H23" s="138">
        <v>2.0699999999999998</v>
      </c>
      <c r="I23" s="157">
        <v>2.29</v>
      </c>
      <c r="J23" s="134" t="s">
        <v>120</v>
      </c>
      <c r="K23" s="134" t="s">
        <v>120</v>
      </c>
      <c r="L23" s="134" t="s">
        <v>120</v>
      </c>
      <c r="M23" s="134" t="s">
        <v>120</v>
      </c>
    </row>
    <row r="24" spans="1:14" ht="10.5" customHeight="1">
      <c r="A24" s="22" t="s">
        <v>31</v>
      </c>
      <c r="B24" s="156">
        <v>5.24</v>
      </c>
      <c r="C24" s="156">
        <v>2.75</v>
      </c>
      <c r="D24" s="156">
        <v>1.94</v>
      </c>
      <c r="E24" s="156">
        <v>1.99</v>
      </c>
      <c r="F24" s="156">
        <v>1.52</v>
      </c>
      <c r="G24" s="157">
        <v>1.05</v>
      </c>
      <c r="H24" s="138">
        <v>0.9</v>
      </c>
      <c r="I24" s="157">
        <v>0.53</v>
      </c>
      <c r="J24" s="157">
        <v>1.42</v>
      </c>
      <c r="K24" s="134" t="s">
        <v>120</v>
      </c>
      <c r="L24" s="134" t="s">
        <v>120</v>
      </c>
      <c r="M24" s="134" t="s">
        <v>120</v>
      </c>
    </row>
    <row r="25" spans="1:14" ht="10.5" customHeight="1">
      <c r="A25" s="22" t="s">
        <v>32</v>
      </c>
      <c r="B25" s="156">
        <v>3.65</v>
      </c>
      <c r="C25" s="156">
        <v>1.93</v>
      </c>
      <c r="D25" s="156">
        <v>2.1</v>
      </c>
      <c r="E25" s="156">
        <v>1.53</v>
      </c>
      <c r="F25" s="157">
        <v>1.19</v>
      </c>
      <c r="G25" s="157">
        <v>0.7</v>
      </c>
      <c r="H25" s="138">
        <v>0.65</v>
      </c>
      <c r="I25" s="157">
        <v>0.34</v>
      </c>
      <c r="J25" s="120" t="s">
        <v>120</v>
      </c>
      <c r="K25" s="120" t="s">
        <v>120</v>
      </c>
      <c r="L25" s="120" t="s">
        <v>120</v>
      </c>
      <c r="M25" s="134" t="s">
        <v>120</v>
      </c>
    </row>
    <row r="26" spans="1:14" ht="3" customHeight="1">
      <c r="A26" s="22"/>
      <c r="B26" s="156"/>
      <c r="C26" s="156"/>
      <c r="D26" s="156"/>
      <c r="E26" s="156"/>
      <c r="F26" s="157"/>
      <c r="G26" s="157"/>
      <c r="H26" s="138"/>
      <c r="I26" s="157"/>
      <c r="J26" s="120"/>
      <c r="K26" s="120"/>
      <c r="L26" s="120"/>
      <c r="M26" s="134" t="s">
        <v>120</v>
      </c>
    </row>
    <row r="27" spans="1:14" ht="10.5" customHeight="1">
      <c r="A27" s="22" t="s">
        <v>33</v>
      </c>
      <c r="B27" s="156">
        <v>4.53</v>
      </c>
      <c r="C27" s="156">
        <v>2.91</v>
      </c>
      <c r="D27" s="156">
        <v>2.31</v>
      </c>
      <c r="E27" s="156">
        <v>2.35</v>
      </c>
      <c r="F27" s="157">
        <v>2.02</v>
      </c>
      <c r="G27" s="157">
        <v>1.82</v>
      </c>
      <c r="H27" s="138">
        <v>2.08</v>
      </c>
      <c r="I27" s="157">
        <v>2.12</v>
      </c>
      <c r="J27" s="120" t="s">
        <v>120</v>
      </c>
      <c r="K27" s="120" t="s">
        <v>120</v>
      </c>
      <c r="L27" s="120" t="s">
        <v>120</v>
      </c>
      <c r="M27" s="134" t="s">
        <v>120</v>
      </c>
    </row>
    <row r="28" spans="1:14" ht="10.5" customHeight="1">
      <c r="A28" s="22" t="s">
        <v>34</v>
      </c>
      <c r="B28" s="156">
        <v>7.09</v>
      </c>
      <c r="C28" s="156">
        <v>4.2699999999999996</v>
      </c>
      <c r="D28" s="156">
        <v>4.3</v>
      </c>
      <c r="E28" s="156">
        <v>4.3600000000000003</v>
      </c>
      <c r="F28" s="157">
        <v>3.76</v>
      </c>
      <c r="G28" s="157">
        <v>3.18</v>
      </c>
      <c r="H28" s="138">
        <v>2.8</v>
      </c>
      <c r="I28" s="157">
        <v>2.27</v>
      </c>
      <c r="J28" s="120">
        <v>1.68</v>
      </c>
      <c r="K28" s="120" t="s">
        <v>120</v>
      </c>
      <c r="L28" s="120" t="s">
        <v>120</v>
      </c>
      <c r="M28" s="134" t="s">
        <v>120</v>
      </c>
    </row>
    <row r="29" spans="1:14" ht="10.5" customHeight="1">
      <c r="A29" s="22" t="s">
        <v>35</v>
      </c>
      <c r="B29" s="156">
        <v>4.8899999999999997</v>
      </c>
      <c r="C29" s="156">
        <v>2.94</v>
      </c>
      <c r="D29" s="156">
        <v>2.44</v>
      </c>
      <c r="E29" s="156">
        <v>2.2999999999999998</v>
      </c>
      <c r="F29" s="157">
        <v>2.38</v>
      </c>
      <c r="G29" s="157">
        <v>1.98</v>
      </c>
      <c r="H29" s="138">
        <v>1.65</v>
      </c>
      <c r="I29" s="157">
        <v>1.44</v>
      </c>
      <c r="J29" s="120">
        <v>1.61</v>
      </c>
      <c r="K29" s="120" t="s">
        <v>120</v>
      </c>
      <c r="L29" s="120" t="s">
        <v>120</v>
      </c>
      <c r="M29" s="134" t="s">
        <v>120</v>
      </c>
    </row>
    <row r="30" spans="1:14" s="59" customFormat="1" ht="10.5" customHeight="1">
      <c r="A30" s="22" t="s">
        <v>36</v>
      </c>
      <c r="B30" s="156">
        <v>6.46</v>
      </c>
      <c r="C30" s="156">
        <v>3.64</v>
      </c>
      <c r="D30" s="156">
        <v>2.69</v>
      </c>
      <c r="E30" s="156">
        <v>2.76</v>
      </c>
      <c r="F30" s="157">
        <v>2.1</v>
      </c>
      <c r="G30" s="157">
        <v>1.85</v>
      </c>
      <c r="H30" s="138">
        <v>1.61</v>
      </c>
      <c r="I30" s="157">
        <v>1.37</v>
      </c>
      <c r="J30" s="120" t="s">
        <v>120</v>
      </c>
      <c r="K30" s="120" t="s">
        <v>120</v>
      </c>
      <c r="L30" s="120" t="s">
        <v>120</v>
      </c>
      <c r="M30" s="134" t="s">
        <v>120</v>
      </c>
    </row>
    <row r="31" spans="1:14" s="59" customFormat="1" ht="10.5" customHeight="1">
      <c r="A31" s="22" t="s">
        <v>37</v>
      </c>
      <c r="B31" s="156">
        <v>5.37</v>
      </c>
      <c r="C31" s="156">
        <v>3.61</v>
      </c>
      <c r="D31" s="156">
        <v>2.67</v>
      </c>
      <c r="E31" s="156">
        <v>2.42</v>
      </c>
      <c r="F31" s="157">
        <v>2.1800000000000002</v>
      </c>
      <c r="G31" s="157">
        <v>1.8</v>
      </c>
      <c r="H31" s="138">
        <v>1.37</v>
      </c>
      <c r="I31" s="157">
        <v>1.24</v>
      </c>
      <c r="J31" s="120" t="s">
        <v>120</v>
      </c>
      <c r="K31" s="120" t="s">
        <v>120</v>
      </c>
      <c r="L31" s="120" t="s">
        <v>120</v>
      </c>
      <c r="M31" s="134" t="s">
        <v>120</v>
      </c>
    </row>
    <row r="32" spans="1:14" s="59" customFormat="1" ht="10.5" customHeight="1">
      <c r="A32" s="18" t="s">
        <v>38</v>
      </c>
      <c r="B32" s="156">
        <v>7.02</v>
      </c>
      <c r="C32" s="156">
        <v>4.54</v>
      </c>
      <c r="D32" s="156">
        <v>3.95</v>
      </c>
      <c r="E32" s="156">
        <v>3.37</v>
      </c>
      <c r="F32" s="157">
        <v>3.15</v>
      </c>
      <c r="G32" s="157">
        <v>2.81</v>
      </c>
      <c r="H32" s="138">
        <v>2.19</v>
      </c>
      <c r="I32" s="157">
        <v>2.42</v>
      </c>
      <c r="J32" s="120" t="s">
        <v>120</v>
      </c>
      <c r="K32" s="120" t="s">
        <v>120</v>
      </c>
      <c r="L32" s="120" t="s">
        <v>120</v>
      </c>
      <c r="M32" s="134" t="s">
        <v>120</v>
      </c>
    </row>
    <row r="33" spans="1:13" s="59" customFormat="1" ht="4.5" customHeight="1">
      <c r="A33" s="22"/>
      <c r="B33" s="156"/>
      <c r="C33" s="156"/>
      <c r="D33" s="156"/>
      <c r="E33" s="156"/>
      <c r="F33" s="157"/>
      <c r="G33" s="157"/>
      <c r="H33" s="138"/>
      <c r="I33" s="157"/>
      <c r="J33" s="120"/>
      <c r="K33" s="120"/>
      <c r="L33" s="120"/>
      <c r="M33" s="134" t="s">
        <v>120</v>
      </c>
    </row>
    <row r="34" spans="1:13" s="59" customFormat="1" ht="10.5" customHeight="1">
      <c r="A34" s="18" t="s">
        <v>39</v>
      </c>
      <c r="B34" s="156">
        <v>15.23</v>
      </c>
      <c r="C34" s="156">
        <v>16.21</v>
      </c>
      <c r="D34" s="156">
        <v>14.48</v>
      </c>
      <c r="E34" s="156">
        <v>14.84</v>
      </c>
      <c r="F34" s="157">
        <v>12.91</v>
      </c>
      <c r="G34" s="157">
        <v>11.29</v>
      </c>
      <c r="H34" s="138">
        <v>10.79</v>
      </c>
      <c r="I34" s="157">
        <v>10.82</v>
      </c>
      <c r="J34" s="120" t="s">
        <v>120</v>
      </c>
      <c r="K34" s="120" t="s">
        <v>120</v>
      </c>
      <c r="L34" s="120" t="s">
        <v>120</v>
      </c>
      <c r="M34" s="134" t="s">
        <v>120</v>
      </c>
    </row>
    <row r="35" spans="1:13" s="59" customFormat="1" ht="10.5" customHeight="1">
      <c r="A35" s="18" t="s">
        <v>40</v>
      </c>
      <c r="B35" s="156">
        <v>7.81</v>
      </c>
      <c r="C35" s="156">
        <v>6.88</v>
      </c>
      <c r="D35" s="156">
        <v>8.7799999999999994</v>
      </c>
      <c r="E35" s="156">
        <v>9.98</v>
      </c>
      <c r="F35" s="157">
        <v>8.82</v>
      </c>
      <c r="G35" s="157">
        <v>6.8</v>
      </c>
      <c r="H35" s="138">
        <v>5.81</v>
      </c>
      <c r="I35" s="157">
        <v>3.47</v>
      </c>
      <c r="J35" s="120" t="s">
        <v>120</v>
      </c>
      <c r="K35" s="120" t="s">
        <v>120</v>
      </c>
      <c r="L35" s="120" t="s">
        <v>120</v>
      </c>
      <c r="M35" s="134" t="s">
        <v>120</v>
      </c>
    </row>
    <row r="36" spans="1:13" s="59" customFormat="1" ht="10.5" customHeight="1">
      <c r="A36" s="18" t="s">
        <v>41</v>
      </c>
      <c r="B36" s="156">
        <v>11.41</v>
      </c>
      <c r="C36" s="156">
        <v>8.17</v>
      </c>
      <c r="D36" s="156">
        <v>7.01</v>
      </c>
      <c r="E36" s="156">
        <v>5.48</v>
      </c>
      <c r="F36" s="157">
        <v>3.77</v>
      </c>
      <c r="G36" s="157">
        <v>3.01</v>
      </c>
      <c r="H36" s="138">
        <v>2.2999999999999998</v>
      </c>
      <c r="I36" s="157">
        <v>3.09</v>
      </c>
      <c r="J36" s="120" t="s">
        <v>120</v>
      </c>
      <c r="K36" s="120" t="s">
        <v>120</v>
      </c>
      <c r="L36" s="120" t="s">
        <v>120</v>
      </c>
      <c r="M36" s="134" t="s">
        <v>120</v>
      </c>
    </row>
    <row r="37" spans="1:13" s="59" customFormat="1" ht="10.5" customHeight="1">
      <c r="A37" s="18" t="s">
        <v>42</v>
      </c>
      <c r="B37" s="120" t="s">
        <v>120</v>
      </c>
      <c r="C37" s="156">
        <v>10.74</v>
      </c>
      <c r="D37" s="156">
        <v>6.44</v>
      </c>
      <c r="E37" s="156">
        <v>5.18</v>
      </c>
      <c r="F37" s="156">
        <v>3.58</v>
      </c>
      <c r="G37" s="157">
        <v>2.91</v>
      </c>
      <c r="H37" s="157">
        <v>2.33</v>
      </c>
      <c r="I37" s="138">
        <v>3.07</v>
      </c>
      <c r="J37" s="120" t="s">
        <v>120</v>
      </c>
      <c r="K37" s="120" t="s">
        <v>120</v>
      </c>
      <c r="L37" s="120" t="s">
        <v>120</v>
      </c>
      <c r="M37" s="134" t="s">
        <v>120</v>
      </c>
    </row>
    <row r="38" spans="1:13" s="59" customFormat="1" ht="10.5" customHeight="1">
      <c r="A38" s="18" t="s">
        <v>43</v>
      </c>
      <c r="B38" s="120">
        <v>11.86</v>
      </c>
      <c r="C38" s="156">
        <v>4.7699999999999996</v>
      </c>
      <c r="D38" s="156">
        <v>3.75</v>
      </c>
      <c r="E38" s="156">
        <v>3.6</v>
      </c>
      <c r="F38" s="156">
        <v>3.49</v>
      </c>
      <c r="G38" s="157">
        <v>3.36</v>
      </c>
      <c r="H38" s="157">
        <v>1.95</v>
      </c>
      <c r="I38" s="120" t="s">
        <v>120</v>
      </c>
      <c r="J38" s="120" t="s">
        <v>120</v>
      </c>
      <c r="K38" s="120" t="s">
        <v>120</v>
      </c>
      <c r="L38" s="120" t="s">
        <v>120</v>
      </c>
      <c r="M38" s="134" t="s">
        <v>120</v>
      </c>
    </row>
    <row r="39" spans="1:13" s="59" customFormat="1" ht="10.5" customHeight="1">
      <c r="A39" s="18" t="s">
        <v>44</v>
      </c>
      <c r="B39" s="120">
        <v>18.059999999999999</v>
      </c>
      <c r="C39" s="156">
        <v>10.61</v>
      </c>
      <c r="D39" s="156">
        <v>9.18</v>
      </c>
      <c r="E39" s="156">
        <v>8.3800000000000008</v>
      </c>
      <c r="F39" s="156">
        <v>6.56</v>
      </c>
      <c r="G39" s="157">
        <v>5.88</v>
      </c>
      <c r="H39" s="157">
        <v>4.54</v>
      </c>
      <c r="I39" s="120">
        <v>4.68</v>
      </c>
      <c r="J39" s="120" t="s">
        <v>120</v>
      </c>
      <c r="K39" s="120" t="s">
        <v>120</v>
      </c>
      <c r="L39" s="120" t="s">
        <v>120</v>
      </c>
      <c r="M39" s="120" t="s">
        <v>120</v>
      </c>
    </row>
    <row r="40" spans="1:13" s="59" customFormat="1" ht="10.5" customHeight="1">
      <c r="A40" s="18" t="s">
        <v>46</v>
      </c>
      <c r="B40" s="120">
        <v>10.09</v>
      </c>
      <c r="C40" s="156">
        <v>12.55</v>
      </c>
      <c r="D40" s="156">
        <v>8.24</v>
      </c>
      <c r="E40" s="156">
        <v>6.43</v>
      </c>
      <c r="F40" s="156">
        <v>6.34</v>
      </c>
      <c r="G40" s="157">
        <v>5.64</v>
      </c>
      <c r="H40" s="157">
        <v>4.54</v>
      </c>
      <c r="I40" s="120">
        <v>4.8099999999999996</v>
      </c>
      <c r="J40" s="120" t="s">
        <v>120</v>
      </c>
      <c r="K40" s="120" t="s">
        <v>120</v>
      </c>
      <c r="L40" s="120" t="s">
        <v>120</v>
      </c>
      <c r="M40" s="120" t="s">
        <v>120</v>
      </c>
    </row>
    <row r="41" spans="1:13" s="59" customFormat="1" ht="3" customHeight="1">
      <c r="A41" s="18"/>
      <c r="B41" s="120"/>
      <c r="C41" s="156"/>
      <c r="D41" s="156"/>
      <c r="E41" s="156"/>
      <c r="F41" s="156"/>
      <c r="G41" s="157"/>
      <c r="H41" s="157"/>
      <c r="I41" s="120"/>
      <c r="J41" s="120"/>
      <c r="K41" s="120"/>
      <c r="L41" s="120"/>
      <c r="M41" s="120"/>
    </row>
    <row r="42" spans="1:13" s="59" customFormat="1" ht="10.5" customHeight="1">
      <c r="A42" s="18" t="s">
        <v>47</v>
      </c>
      <c r="B42" s="120">
        <v>8.91</v>
      </c>
      <c r="C42" s="156">
        <v>8.06</v>
      </c>
      <c r="D42" s="156">
        <v>7.48</v>
      </c>
      <c r="E42" s="156">
        <v>7.15</v>
      </c>
      <c r="F42" s="156">
        <v>6.73</v>
      </c>
      <c r="G42" s="157">
        <v>6.54</v>
      </c>
      <c r="H42" s="138" t="s">
        <v>152</v>
      </c>
      <c r="I42" s="120" t="s">
        <v>120</v>
      </c>
      <c r="J42" s="120" t="s">
        <v>120</v>
      </c>
      <c r="K42" s="120" t="s">
        <v>120</v>
      </c>
      <c r="L42" s="120" t="s">
        <v>120</v>
      </c>
      <c r="M42" s="120" t="s">
        <v>120</v>
      </c>
    </row>
    <row r="43" spans="1:13" s="59" customFormat="1" ht="10.5" customHeight="1">
      <c r="A43" s="18" t="s">
        <v>48</v>
      </c>
      <c r="B43" s="120">
        <v>12.85</v>
      </c>
      <c r="C43" s="156">
        <v>8.16</v>
      </c>
      <c r="D43" s="156">
        <v>7.99</v>
      </c>
      <c r="E43" s="156">
        <v>7.45</v>
      </c>
      <c r="F43" s="156">
        <v>5.48</v>
      </c>
      <c r="G43" s="157">
        <v>4.66</v>
      </c>
      <c r="H43" s="138">
        <v>4.1500000000000004</v>
      </c>
      <c r="I43" s="120" t="s">
        <v>120</v>
      </c>
      <c r="J43" s="120" t="s">
        <v>120</v>
      </c>
      <c r="K43" s="120" t="s">
        <v>120</v>
      </c>
      <c r="L43" s="120" t="s">
        <v>120</v>
      </c>
      <c r="M43" s="120" t="s">
        <v>120</v>
      </c>
    </row>
    <row r="44" spans="1:13" s="59" customFormat="1" ht="10.5" customHeight="1">
      <c r="A44" s="22" t="s">
        <v>51</v>
      </c>
      <c r="B44" s="120" t="s">
        <v>120</v>
      </c>
      <c r="C44" s="156">
        <v>9.0500000000000007</v>
      </c>
      <c r="D44" s="156">
        <v>8.1300000000000008</v>
      </c>
      <c r="E44" s="156">
        <v>7.95</v>
      </c>
      <c r="F44" s="156">
        <v>6.47</v>
      </c>
      <c r="G44" s="157">
        <v>6.04</v>
      </c>
      <c r="H44" s="138">
        <v>5.32</v>
      </c>
      <c r="I44" s="120" t="s">
        <v>120</v>
      </c>
      <c r="J44" s="120" t="s">
        <v>120</v>
      </c>
      <c r="K44" s="120" t="s">
        <v>120</v>
      </c>
      <c r="L44" s="120" t="s">
        <v>120</v>
      </c>
      <c r="M44" s="120" t="s">
        <v>120</v>
      </c>
    </row>
    <row r="45" spans="1:13" s="59" customFormat="1" ht="10.5" customHeight="1">
      <c r="A45" s="22" t="s">
        <v>52</v>
      </c>
      <c r="B45" s="120">
        <v>12.34</v>
      </c>
      <c r="C45" s="156">
        <v>9.98</v>
      </c>
      <c r="D45" s="156">
        <v>9.15</v>
      </c>
      <c r="E45" s="156">
        <v>7.17</v>
      </c>
      <c r="F45" s="156">
        <v>6.21</v>
      </c>
      <c r="G45" s="157">
        <v>5.73</v>
      </c>
      <c r="H45" s="120">
        <v>4.57</v>
      </c>
      <c r="I45" s="120" t="s">
        <v>120</v>
      </c>
      <c r="J45" s="120" t="s">
        <v>120</v>
      </c>
      <c r="K45" s="120" t="s">
        <v>120</v>
      </c>
      <c r="L45" s="120" t="s">
        <v>120</v>
      </c>
      <c r="M45" s="120" t="s">
        <v>120</v>
      </c>
    </row>
    <row r="46" spans="1:13" s="59" customFormat="1" ht="10.5" customHeight="1">
      <c r="A46" s="22" t="s">
        <v>291</v>
      </c>
      <c r="B46" s="120">
        <v>14.29</v>
      </c>
      <c r="C46" s="156">
        <v>13.2</v>
      </c>
      <c r="D46" s="156">
        <v>10.63</v>
      </c>
      <c r="E46" s="156">
        <v>9.8000000000000007</v>
      </c>
      <c r="F46" s="156">
        <v>8.33</v>
      </c>
      <c r="G46" s="157">
        <v>7.76</v>
      </c>
      <c r="H46" s="120">
        <v>10.85</v>
      </c>
      <c r="I46" s="120" t="s">
        <v>120</v>
      </c>
      <c r="J46" s="120" t="s">
        <v>120</v>
      </c>
      <c r="K46" s="120" t="s">
        <v>120</v>
      </c>
      <c r="L46" s="120" t="s">
        <v>120</v>
      </c>
      <c r="M46" s="120" t="s">
        <v>120</v>
      </c>
    </row>
    <row r="47" spans="1:13" s="59" customFormat="1" ht="10.5" customHeight="1">
      <c r="A47" s="22" t="s">
        <v>298</v>
      </c>
      <c r="B47" s="120">
        <v>19.55</v>
      </c>
      <c r="C47" s="156">
        <v>12.4</v>
      </c>
      <c r="D47" s="156">
        <v>10.91</v>
      </c>
      <c r="E47" s="156">
        <v>10.41</v>
      </c>
      <c r="F47" s="156">
        <v>9.94</v>
      </c>
      <c r="G47" s="157">
        <v>9.85</v>
      </c>
      <c r="H47" s="120">
        <v>7.55</v>
      </c>
      <c r="I47" s="120" t="s">
        <v>120</v>
      </c>
      <c r="J47" s="120" t="s">
        <v>120</v>
      </c>
      <c r="K47" s="120" t="s">
        <v>120</v>
      </c>
      <c r="L47" s="120" t="s">
        <v>120</v>
      </c>
      <c r="M47" s="120" t="s">
        <v>120</v>
      </c>
    </row>
    <row r="48" spans="1:13" s="59" customFormat="1" ht="10.5" customHeight="1">
      <c r="A48" s="22" t="s">
        <v>312</v>
      </c>
      <c r="B48" s="120">
        <v>22.65</v>
      </c>
      <c r="C48" s="156">
        <v>18.940000000000001</v>
      </c>
      <c r="D48" s="156">
        <v>14.54</v>
      </c>
      <c r="E48" s="156">
        <v>14.4</v>
      </c>
      <c r="F48" s="156">
        <v>14.48</v>
      </c>
      <c r="G48" s="157">
        <v>14.68</v>
      </c>
      <c r="H48" s="120" t="s">
        <v>120</v>
      </c>
      <c r="I48" s="120" t="s">
        <v>120</v>
      </c>
      <c r="J48" s="120" t="s">
        <v>120</v>
      </c>
      <c r="K48" s="120" t="s">
        <v>120</v>
      </c>
      <c r="L48" s="120" t="s">
        <v>120</v>
      </c>
      <c r="M48" s="120" t="s">
        <v>120</v>
      </c>
    </row>
    <row r="49" spans="1:13" s="59" customFormat="1" ht="10.5" customHeight="1">
      <c r="A49" s="149" t="s">
        <v>319</v>
      </c>
      <c r="B49" s="142">
        <v>13</v>
      </c>
      <c r="C49" s="158">
        <v>13.08</v>
      </c>
      <c r="D49" s="158">
        <v>13.9</v>
      </c>
      <c r="E49" s="158">
        <v>14.45</v>
      </c>
      <c r="F49" s="158">
        <v>14.6</v>
      </c>
      <c r="G49" s="159">
        <v>12.16</v>
      </c>
      <c r="H49" s="142">
        <v>10.89</v>
      </c>
      <c r="I49" s="142" t="s">
        <v>120</v>
      </c>
      <c r="J49" s="142" t="s">
        <v>120</v>
      </c>
      <c r="K49" s="142" t="s">
        <v>120</v>
      </c>
      <c r="L49" s="142" t="s">
        <v>120</v>
      </c>
      <c r="M49" s="142"/>
    </row>
    <row r="50" spans="1:13" ht="12" customHeight="1">
      <c r="A50" s="34" t="s">
        <v>305</v>
      </c>
      <c r="B50" s="40"/>
      <c r="C50" s="40"/>
      <c r="D50" s="40"/>
      <c r="E50" s="40"/>
      <c r="F50" s="40"/>
      <c r="G50" s="40"/>
      <c r="H50" s="40"/>
      <c r="I50" s="40"/>
      <c r="J50" s="4"/>
      <c r="K50" s="4"/>
      <c r="L50" s="4"/>
    </row>
    <row r="51" spans="1:13" ht="12" customHeight="1">
      <c r="A51" s="39" t="s">
        <v>99</v>
      </c>
      <c r="B51" s="40"/>
      <c r="C51" s="40"/>
      <c r="D51" s="40"/>
      <c r="E51" s="40"/>
      <c r="F51" s="40"/>
      <c r="G51" s="40"/>
      <c r="H51" s="40"/>
      <c r="I51" s="470"/>
      <c r="J51" s="143"/>
      <c r="K51" s="143"/>
      <c r="L51" s="143"/>
    </row>
    <row r="52" spans="1:13">
      <c r="A52" s="40"/>
      <c r="B52" s="98"/>
      <c r="C52" s="98"/>
      <c r="D52" s="98"/>
      <c r="E52" s="98"/>
      <c r="F52" s="98"/>
      <c r="G52" s="98"/>
      <c r="H52" s="98"/>
      <c r="I52" s="152"/>
      <c r="J52" s="152"/>
      <c r="K52" s="152"/>
      <c r="L52" s="152"/>
    </row>
  </sheetData>
  <pageMargins left="0.66700000000000004" right="0.66700000000000004" top="0.66700000000000004" bottom="0.72" header="0" footer="0"/>
  <pageSetup firstPageNumber="77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9"/>
  <sheetViews>
    <sheetView showGridLines="0" view="pageBreakPreview" zoomScale="60" zoomScaleNormal="100" workbookViewId="0">
      <selection activeCell="I49" sqref="I49"/>
    </sheetView>
  </sheetViews>
  <sheetFormatPr defaultColWidth="9.7109375" defaultRowHeight="12"/>
  <cols>
    <col min="1" max="1" width="8.5703125" customWidth="1"/>
    <col min="2" max="12" width="7.7109375" customWidth="1"/>
    <col min="13" max="13" width="7.85546875" customWidth="1"/>
  </cols>
  <sheetData>
    <row r="1" spans="1:13">
      <c r="A1" s="160" t="s">
        <v>153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13">
      <c r="A2" s="1" t="s">
        <v>128</v>
      </c>
      <c r="B2" s="9" t="s">
        <v>140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141</v>
      </c>
      <c r="C4" s="47"/>
      <c r="D4" s="47"/>
      <c r="E4" s="47"/>
      <c r="F4" s="47"/>
      <c r="G4" s="70"/>
      <c r="H4" s="47"/>
      <c r="I4" s="47"/>
      <c r="J4" s="47"/>
      <c r="K4" s="47"/>
      <c r="L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34">
        <v>4.57</v>
      </c>
      <c r="C6" s="134">
        <v>3.66</v>
      </c>
      <c r="D6" s="134">
        <v>2.99</v>
      </c>
      <c r="E6" s="134">
        <v>2.71</v>
      </c>
      <c r="F6" s="134">
        <v>3.09</v>
      </c>
      <c r="G6" s="134">
        <v>3.36</v>
      </c>
      <c r="H6" s="134">
        <v>3.44</v>
      </c>
      <c r="I6" s="134" t="s">
        <v>120</v>
      </c>
      <c r="J6" s="134" t="s">
        <v>120</v>
      </c>
      <c r="K6" s="134" t="s">
        <v>120</v>
      </c>
      <c r="L6" s="134" t="s">
        <v>120</v>
      </c>
      <c r="M6" s="134" t="s">
        <v>120</v>
      </c>
    </row>
    <row r="7" spans="1:13" ht="10.5" customHeight="1">
      <c r="A7" s="14" t="s">
        <v>15</v>
      </c>
      <c r="B7" s="134">
        <v>4.75</v>
      </c>
      <c r="C7" s="134">
        <v>2.98</v>
      </c>
      <c r="D7" s="134">
        <v>2.11</v>
      </c>
      <c r="E7" s="134">
        <v>1.68</v>
      </c>
      <c r="F7" s="134">
        <v>1.92</v>
      </c>
      <c r="G7" s="134">
        <v>1.32</v>
      </c>
      <c r="H7" s="134">
        <v>1.04</v>
      </c>
      <c r="I7" s="134">
        <v>0.92</v>
      </c>
      <c r="J7" s="134">
        <v>0.82</v>
      </c>
      <c r="K7" s="134" t="s">
        <v>120</v>
      </c>
      <c r="L7" s="134" t="s">
        <v>120</v>
      </c>
      <c r="M7" s="134" t="s">
        <v>120</v>
      </c>
    </row>
    <row r="8" spans="1:13" ht="10.5" customHeight="1">
      <c r="A8" s="14" t="s">
        <v>16</v>
      </c>
      <c r="B8" s="134">
        <v>2.97</v>
      </c>
      <c r="C8" s="134">
        <v>2.2599999999999998</v>
      </c>
      <c r="D8" s="134">
        <v>2.33</v>
      </c>
      <c r="E8" s="134">
        <v>0.94</v>
      </c>
      <c r="F8" s="134">
        <v>0.72</v>
      </c>
      <c r="G8" s="134">
        <v>0.59</v>
      </c>
      <c r="H8" s="134">
        <v>0.56000000000000005</v>
      </c>
      <c r="I8" s="134">
        <v>0.95</v>
      </c>
      <c r="J8" s="134">
        <v>0.55000000000000004</v>
      </c>
      <c r="K8" s="134" t="s">
        <v>120</v>
      </c>
      <c r="L8" s="134" t="s">
        <v>120</v>
      </c>
      <c r="M8" s="134" t="s">
        <v>120</v>
      </c>
    </row>
    <row r="9" spans="1:13" ht="10.5" customHeight="1">
      <c r="A9" s="14" t="s">
        <v>17</v>
      </c>
      <c r="B9" s="134" t="s">
        <v>120</v>
      </c>
      <c r="C9" s="153">
        <v>2.5</v>
      </c>
      <c r="D9" s="153">
        <v>2.13</v>
      </c>
      <c r="E9" s="145">
        <v>2.12</v>
      </c>
      <c r="F9" s="145">
        <v>0.52</v>
      </c>
      <c r="G9" s="134" t="s">
        <v>120</v>
      </c>
      <c r="H9" s="134" t="s">
        <v>120</v>
      </c>
      <c r="I9" s="134" t="s">
        <v>120</v>
      </c>
      <c r="J9" s="134" t="s">
        <v>120</v>
      </c>
      <c r="K9" s="134" t="s">
        <v>120</v>
      </c>
      <c r="L9" s="134" t="s">
        <v>120</v>
      </c>
      <c r="M9" s="134" t="s">
        <v>120</v>
      </c>
    </row>
    <row r="10" spans="1:13" ht="10.5" customHeight="1">
      <c r="A10" s="14" t="s">
        <v>18</v>
      </c>
      <c r="B10" s="134" t="s">
        <v>120</v>
      </c>
      <c r="C10" s="153">
        <v>8.6999999999999993</v>
      </c>
      <c r="D10" s="153">
        <v>7.9</v>
      </c>
      <c r="E10" s="145">
        <v>5.92</v>
      </c>
      <c r="F10" s="134" t="s">
        <v>120</v>
      </c>
      <c r="G10" s="134" t="s">
        <v>120</v>
      </c>
      <c r="H10" s="134" t="s">
        <v>120</v>
      </c>
      <c r="I10" s="134" t="s">
        <v>120</v>
      </c>
      <c r="J10" s="134" t="s">
        <v>120</v>
      </c>
      <c r="K10" s="134" t="s">
        <v>120</v>
      </c>
      <c r="L10" s="134" t="s">
        <v>120</v>
      </c>
      <c r="M10" s="134" t="s">
        <v>120</v>
      </c>
    </row>
    <row r="11" spans="1:13" ht="10.5" customHeight="1">
      <c r="A11" s="14" t="s">
        <v>19</v>
      </c>
      <c r="B11" s="134" t="s">
        <v>120</v>
      </c>
      <c r="C11" s="153">
        <v>8.6999999999999993</v>
      </c>
      <c r="D11" s="153">
        <v>7.9</v>
      </c>
      <c r="E11" s="145">
        <v>5.92</v>
      </c>
      <c r="F11" s="134" t="s">
        <v>120</v>
      </c>
      <c r="G11" s="134" t="s">
        <v>120</v>
      </c>
      <c r="H11" s="134" t="s">
        <v>120</v>
      </c>
      <c r="I11" s="134" t="s">
        <v>120</v>
      </c>
      <c r="J11" s="134" t="s">
        <v>120</v>
      </c>
      <c r="K11" s="134" t="s">
        <v>120</v>
      </c>
      <c r="L11" s="134" t="s">
        <v>120</v>
      </c>
      <c r="M11" s="134" t="s">
        <v>120</v>
      </c>
    </row>
    <row r="12" spans="1:13" ht="3" customHeight="1">
      <c r="A12" s="14"/>
      <c r="B12" s="134"/>
      <c r="C12" s="153"/>
      <c r="D12" s="153"/>
      <c r="E12" s="145"/>
      <c r="F12" s="134"/>
      <c r="G12" s="134"/>
      <c r="H12" s="134"/>
      <c r="I12" s="134"/>
      <c r="J12" s="134"/>
      <c r="K12" s="134"/>
      <c r="L12" s="134"/>
      <c r="M12" s="134"/>
    </row>
    <row r="13" spans="1:13" ht="10.5" customHeight="1">
      <c r="A13" s="14" t="s">
        <v>20</v>
      </c>
      <c r="B13" s="134">
        <v>10.17</v>
      </c>
      <c r="C13" s="153">
        <v>9.9700000000000006</v>
      </c>
      <c r="D13" s="153">
        <v>8.74</v>
      </c>
      <c r="E13" s="134">
        <v>5.39</v>
      </c>
      <c r="F13" s="134">
        <v>5.12</v>
      </c>
      <c r="G13" s="134">
        <v>5.69</v>
      </c>
      <c r="H13" s="134">
        <v>4.47</v>
      </c>
      <c r="I13" s="134">
        <v>7</v>
      </c>
      <c r="J13" s="134" t="s">
        <v>120</v>
      </c>
      <c r="K13" s="134" t="s">
        <v>120</v>
      </c>
      <c r="L13" s="134" t="s">
        <v>120</v>
      </c>
      <c r="M13" s="134" t="s">
        <v>120</v>
      </c>
    </row>
    <row r="14" spans="1:13" ht="10.5" customHeight="1">
      <c r="A14" s="14" t="s">
        <v>21</v>
      </c>
      <c r="B14" s="134">
        <v>9.69</v>
      </c>
      <c r="C14" s="153">
        <v>8.9</v>
      </c>
      <c r="D14" s="153">
        <v>7.68</v>
      </c>
      <c r="E14" s="134">
        <v>5.5</v>
      </c>
      <c r="F14" s="134">
        <v>4.92</v>
      </c>
      <c r="G14" s="134">
        <v>4.08</v>
      </c>
      <c r="H14" s="134">
        <v>3.93</v>
      </c>
      <c r="I14" s="134">
        <v>4.05</v>
      </c>
      <c r="J14" s="134" t="s">
        <v>120</v>
      </c>
      <c r="K14" s="134" t="s">
        <v>120</v>
      </c>
      <c r="L14" s="134" t="s">
        <v>120</v>
      </c>
      <c r="M14" s="134" t="s">
        <v>120</v>
      </c>
    </row>
    <row r="15" spans="1:13" ht="10.5" customHeight="1">
      <c r="A15" s="14" t="s">
        <v>142</v>
      </c>
      <c r="B15" s="134">
        <v>7.51</v>
      </c>
      <c r="C15" s="153">
        <v>7.36</v>
      </c>
      <c r="D15" s="153">
        <v>6.15</v>
      </c>
      <c r="E15" s="134">
        <v>3.95</v>
      </c>
      <c r="F15" s="134">
        <v>3.02</v>
      </c>
      <c r="G15" s="134">
        <v>1.98</v>
      </c>
      <c r="H15" s="134">
        <v>2.34</v>
      </c>
      <c r="I15" s="134">
        <v>3.18</v>
      </c>
      <c r="J15" s="134" t="s">
        <v>120</v>
      </c>
      <c r="K15" s="134" t="s">
        <v>120</v>
      </c>
      <c r="L15" s="134" t="s">
        <v>120</v>
      </c>
      <c r="M15" s="134" t="s">
        <v>120</v>
      </c>
    </row>
    <row r="16" spans="1:13" ht="10.5" customHeight="1">
      <c r="A16" s="14" t="s">
        <v>143</v>
      </c>
      <c r="B16" s="134">
        <v>7.88</v>
      </c>
      <c r="C16" s="153">
        <v>7.13</v>
      </c>
      <c r="D16" s="153">
        <v>5.39</v>
      </c>
      <c r="E16" s="134">
        <v>3.55</v>
      </c>
      <c r="F16" s="134" t="s">
        <v>120</v>
      </c>
      <c r="G16" s="134" t="s">
        <v>120</v>
      </c>
      <c r="H16" s="134" t="s">
        <v>120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 t="s">
        <v>120</v>
      </c>
    </row>
    <row r="17" spans="1:15" ht="10.5" customHeight="1">
      <c r="A17" s="14" t="s">
        <v>144</v>
      </c>
      <c r="B17" s="134" t="s">
        <v>120</v>
      </c>
      <c r="C17" s="134" t="s">
        <v>120</v>
      </c>
      <c r="D17" s="134" t="s">
        <v>120</v>
      </c>
      <c r="E17" s="134" t="s">
        <v>120</v>
      </c>
      <c r="F17" s="134" t="s">
        <v>120</v>
      </c>
      <c r="G17" s="134" t="s">
        <v>120</v>
      </c>
      <c r="H17" s="134" t="s">
        <v>120</v>
      </c>
      <c r="I17" s="134" t="s">
        <v>120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5" ht="10.5" customHeight="1">
      <c r="A18" s="14" t="s">
        <v>25</v>
      </c>
      <c r="B18" s="134" t="s">
        <v>120</v>
      </c>
      <c r="C18" s="153">
        <v>12.8</v>
      </c>
      <c r="D18" s="153">
        <v>14</v>
      </c>
      <c r="E18" s="134">
        <v>14</v>
      </c>
      <c r="F18" s="134" t="s">
        <v>120</v>
      </c>
      <c r="G18" s="134" t="s">
        <v>120</v>
      </c>
      <c r="H18" s="134" t="s">
        <v>120</v>
      </c>
      <c r="I18" s="134" t="s">
        <v>120</v>
      </c>
      <c r="J18" s="134" t="s">
        <v>120</v>
      </c>
      <c r="K18" s="134" t="s">
        <v>120</v>
      </c>
      <c r="L18" s="134" t="s">
        <v>120</v>
      </c>
      <c r="M18" s="134" t="s">
        <v>120</v>
      </c>
    </row>
    <row r="19" spans="1:15" ht="3" customHeight="1">
      <c r="A19" s="14"/>
      <c r="B19" s="134"/>
      <c r="C19" s="153"/>
      <c r="D19" s="153"/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5" ht="10.5" customHeight="1">
      <c r="A20" s="14" t="s">
        <v>26</v>
      </c>
      <c r="B20" s="134" t="s">
        <v>120</v>
      </c>
      <c r="C20" s="153">
        <v>10.64</v>
      </c>
      <c r="D20" s="153">
        <v>10.48</v>
      </c>
      <c r="E20" s="134">
        <v>5.99</v>
      </c>
      <c r="F20" s="134">
        <v>4.9400000000000004</v>
      </c>
      <c r="G20" s="134">
        <v>3.29</v>
      </c>
      <c r="H20" s="134">
        <v>3.24</v>
      </c>
      <c r="I20" s="134">
        <v>2.0699999999999998</v>
      </c>
      <c r="J20" s="134" t="s">
        <v>120</v>
      </c>
      <c r="K20" s="134" t="s">
        <v>120</v>
      </c>
      <c r="L20" s="134" t="s">
        <v>120</v>
      </c>
      <c r="M20" s="134" t="s">
        <v>120</v>
      </c>
    </row>
    <row r="21" spans="1:15" ht="10.5" customHeight="1">
      <c r="A21" s="14" t="s">
        <v>27</v>
      </c>
      <c r="B21" s="134">
        <v>9.18</v>
      </c>
      <c r="C21" s="153">
        <v>6.75</v>
      </c>
      <c r="D21" s="153">
        <v>5.55</v>
      </c>
      <c r="E21" s="134">
        <v>3.1</v>
      </c>
      <c r="F21" s="134">
        <v>2.15</v>
      </c>
      <c r="G21" s="134">
        <v>2.15</v>
      </c>
      <c r="H21" s="134">
        <v>1.91</v>
      </c>
      <c r="I21" s="134">
        <v>1.46</v>
      </c>
      <c r="J21" s="134" t="s">
        <v>120</v>
      </c>
      <c r="K21" s="134" t="s">
        <v>120</v>
      </c>
      <c r="L21" s="134" t="s">
        <v>120</v>
      </c>
      <c r="M21" s="134" t="s">
        <v>120</v>
      </c>
      <c r="N21" s="154"/>
      <c r="O21" s="154"/>
    </row>
    <row r="22" spans="1:15" ht="10.5" customHeight="1">
      <c r="A22" s="14" t="s">
        <v>28</v>
      </c>
      <c r="B22" s="134">
        <v>6.44</v>
      </c>
      <c r="C22" s="153">
        <v>3.12</v>
      </c>
      <c r="D22" s="153">
        <v>2.67</v>
      </c>
      <c r="E22" s="134">
        <v>2.34</v>
      </c>
      <c r="F22" s="134">
        <v>2.14</v>
      </c>
      <c r="G22" s="134">
        <v>2.02</v>
      </c>
      <c r="H22" s="134">
        <v>1.33</v>
      </c>
      <c r="I22" s="134">
        <v>0.87</v>
      </c>
      <c r="J22" s="134" t="s">
        <v>120</v>
      </c>
      <c r="K22" s="134" t="s">
        <v>120</v>
      </c>
      <c r="L22" s="134" t="s">
        <v>120</v>
      </c>
      <c r="M22" s="134" t="s">
        <v>120</v>
      </c>
    </row>
    <row r="23" spans="1:15" ht="10.5" customHeight="1">
      <c r="A23" s="18" t="s">
        <v>30</v>
      </c>
      <c r="B23" s="138">
        <v>9.8000000000000007</v>
      </c>
      <c r="C23" s="161">
        <v>5.62</v>
      </c>
      <c r="D23" s="161">
        <v>3.82</v>
      </c>
      <c r="E23" s="138">
        <v>3.75</v>
      </c>
      <c r="F23" s="138">
        <v>2.65</v>
      </c>
      <c r="G23" s="138">
        <v>2.3199999999999998</v>
      </c>
      <c r="H23" s="138">
        <v>2.14</v>
      </c>
      <c r="I23" s="138">
        <v>2.0699999999999998</v>
      </c>
      <c r="J23" s="134" t="s">
        <v>120</v>
      </c>
      <c r="K23" s="134" t="s">
        <v>120</v>
      </c>
      <c r="L23" s="134" t="s">
        <v>120</v>
      </c>
      <c r="M23" s="134" t="s">
        <v>120</v>
      </c>
    </row>
    <row r="24" spans="1:15" ht="10.5" customHeight="1">
      <c r="A24" s="22" t="s">
        <v>31</v>
      </c>
      <c r="B24" s="138">
        <v>5.85</v>
      </c>
      <c r="C24" s="120">
        <v>3.92</v>
      </c>
      <c r="D24" s="156">
        <v>3.52</v>
      </c>
      <c r="E24" s="138">
        <v>2.85</v>
      </c>
      <c r="F24" s="138">
        <v>2.15</v>
      </c>
      <c r="G24" s="138">
        <v>2.16</v>
      </c>
      <c r="H24" s="138">
        <v>2.17</v>
      </c>
      <c r="I24" s="138">
        <v>1.77</v>
      </c>
      <c r="J24" s="134" t="s">
        <v>120</v>
      </c>
      <c r="K24" s="134" t="s">
        <v>120</v>
      </c>
      <c r="L24" s="134" t="s">
        <v>120</v>
      </c>
      <c r="M24" s="120" t="s">
        <v>120</v>
      </c>
    </row>
    <row r="25" spans="1:15" ht="10.5" customHeight="1">
      <c r="A25" s="22" t="s">
        <v>32</v>
      </c>
      <c r="B25" s="120">
        <v>5.92</v>
      </c>
      <c r="C25" s="161">
        <v>4.67</v>
      </c>
      <c r="D25" s="157">
        <v>3.69</v>
      </c>
      <c r="E25" s="138">
        <v>3.05</v>
      </c>
      <c r="F25" s="138">
        <v>3.56</v>
      </c>
      <c r="G25" s="138">
        <v>2.8</v>
      </c>
      <c r="H25" s="138">
        <v>3.13</v>
      </c>
      <c r="I25" s="138">
        <v>2.88</v>
      </c>
      <c r="J25" s="120" t="s">
        <v>120</v>
      </c>
      <c r="K25" s="120" t="s">
        <v>120</v>
      </c>
      <c r="L25" s="120" t="s">
        <v>120</v>
      </c>
      <c r="M25" s="120" t="s">
        <v>120</v>
      </c>
    </row>
    <row r="26" spans="1:15" ht="3" customHeight="1">
      <c r="A26" s="22"/>
      <c r="B26" s="120"/>
      <c r="C26" s="161"/>
      <c r="D26" s="157"/>
      <c r="E26" s="138"/>
      <c r="F26" s="138"/>
      <c r="G26" s="138"/>
      <c r="H26" s="138"/>
      <c r="I26" s="138"/>
      <c r="J26" s="120"/>
      <c r="K26" s="120"/>
      <c r="L26" s="120"/>
    </row>
    <row r="27" spans="1:15" ht="10.5" customHeight="1">
      <c r="A27" s="22" t="s">
        <v>33</v>
      </c>
      <c r="B27" s="120">
        <v>11.63</v>
      </c>
      <c r="C27" s="161">
        <v>8.0399999999999991</v>
      </c>
      <c r="D27" s="157">
        <v>6.54</v>
      </c>
      <c r="E27" s="138">
        <v>4.1900000000000004</v>
      </c>
      <c r="F27" s="138">
        <v>3.63</v>
      </c>
      <c r="G27" s="138">
        <v>2.78</v>
      </c>
      <c r="H27" s="138">
        <v>2.83</v>
      </c>
      <c r="I27" s="138">
        <v>2.72</v>
      </c>
      <c r="J27" s="120" t="s">
        <v>120</v>
      </c>
      <c r="K27" s="120" t="s">
        <v>120</v>
      </c>
      <c r="L27" s="120" t="s">
        <v>120</v>
      </c>
      <c r="M27" s="120" t="s">
        <v>120</v>
      </c>
    </row>
    <row r="28" spans="1:15" ht="10.5" customHeight="1">
      <c r="A28" s="22" t="s">
        <v>34</v>
      </c>
      <c r="B28" s="120">
        <v>11.94</v>
      </c>
      <c r="C28" s="161">
        <v>8.6300000000000008</v>
      </c>
      <c r="D28" s="157">
        <v>5.14</v>
      </c>
      <c r="E28" s="138">
        <v>4.72</v>
      </c>
      <c r="F28" s="138">
        <v>3.6</v>
      </c>
      <c r="G28" s="138">
        <v>3.99</v>
      </c>
      <c r="H28" s="138">
        <v>2.66</v>
      </c>
      <c r="I28" s="138">
        <v>2.21</v>
      </c>
      <c r="J28" s="120" t="s">
        <v>120</v>
      </c>
      <c r="K28" s="120" t="s">
        <v>120</v>
      </c>
      <c r="L28" s="120" t="s">
        <v>120</v>
      </c>
      <c r="M28" s="120">
        <v>5.35</v>
      </c>
    </row>
    <row r="29" spans="1:15" ht="10.5" customHeight="1">
      <c r="A29" s="22" t="s">
        <v>35</v>
      </c>
      <c r="B29" s="161">
        <v>4.2699999999999996</v>
      </c>
      <c r="C29" s="157">
        <v>3.84</v>
      </c>
      <c r="D29" s="138">
        <v>2</v>
      </c>
      <c r="E29" s="138">
        <v>1.52</v>
      </c>
      <c r="F29" s="138">
        <v>1.06</v>
      </c>
      <c r="G29" s="138">
        <v>0.87</v>
      </c>
      <c r="H29" s="138">
        <v>0.48</v>
      </c>
      <c r="I29" s="138">
        <v>0.19</v>
      </c>
      <c r="J29" s="120">
        <v>0.49</v>
      </c>
      <c r="K29" s="120" t="s">
        <v>120</v>
      </c>
      <c r="L29" s="120" t="s">
        <v>120</v>
      </c>
      <c r="M29" s="120" t="s">
        <v>120</v>
      </c>
    </row>
    <row r="30" spans="1:15" ht="10.5" customHeight="1">
      <c r="A30" s="22" t="s">
        <v>36</v>
      </c>
      <c r="B30" s="120">
        <v>10.89</v>
      </c>
      <c r="C30" s="161">
        <v>5.98</v>
      </c>
      <c r="D30" s="138">
        <v>4.99</v>
      </c>
      <c r="E30" s="138">
        <v>2.38</v>
      </c>
      <c r="F30" s="138">
        <v>1.95</v>
      </c>
      <c r="G30" s="138">
        <v>0.75</v>
      </c>
      <c r="H30" s="138">
        <v>1.1299999999999999</v>
      </c>
      <c r="I30" s="138">
        <v>0.84</v>
      </c>
      <c r="J30" s="120">
        <v>0.56999999999999995</v>
      </c>
      <c r="K30" s="120" t="s">
        <v>120</v>
      </c>
      <c r="L30" s="120" t="s">
        <v>120</v>
      </c>
      <c r="M30" s="120" t="s">
        <v>120</v>
      </c>
    </row>
    <row r="31" spans="1:15" ht="10.5" customHeight="1">
      <c r="A31" s="22" t="s">
        <v>37</v>
      </c>
      <c r="B31" s="120">
        <v>8.3800000000000008</v>
      </c>
      <c r="C31" s="161">
        <v>3.44</v>
      </c>
      <c r="D31" s="138">
        <v>1.77</v>
      </c>
      <c r="E31" s="138">
        <v>1.64</v>
      </c>
      <c r="F31" s="138">
        <v>1.1599999999999999</v>
      </c>
      <c r="G31" s="138">
        <v>1.35</v>
      </c>
      <c r="H31" s="138">
        <v>1.47</v>
      </c>
      <c r="I31" s="138">
        <v>3.52</v>
      </c>
      <c r="J31" s="120" t="s">
        <v>120</v>
      </c>
      <c r="K31" s="120" t="s">
        <v>120</v>
      </c>
      <c r="L31" s="120" t="s">
        <v>120</v>
      </c>
      <c r="M31" s="120" t="s">
        <v>120</v>
      </c>
    </row>
    <row r="32" spans="1:15" ht="10.5" customHeight="1">
      <c r="A32" s="18" t="s">
        <v>38</v>
      </c>
      <c r="B32" s="120">
        <v>8.5500000000000007</v>
      </c>
      <c r="C32" s="161">
        <v>4.74</v>
      </c>
      <c r="D32" s="138">
        <v>3.66</v>
      </c>
      <c r="E32" s="138">
        <v>2.37</v>
      </c>
      <c r="F32" s="138">
        <v>1.89</v>
      </c>
      <c r="G32" s="138">
        <v>1.75</v>
      </c>
      <c r="H32" s="138">
        <v>1.81</v>
      </c>
      <c r="I32" s="138">
        <v>1.39</v>
      </c>
      <c r="J32" s="120" t="s">
        <v>120</v>
      </c>
      <c r="K32" s="120" t="s">
        <v>120</v>
      </c>
      <c r="L32" s="120" t="s">
        <v>120</v>
      </c>
      <c r="M32" s="120" t="s">
        <v>120</v>
      </c>
    </row>
    <row r="33" spans="1:13" ht="5.25" customHeight="1">
      <c r="A33" s="22"/>
      <c r="B33" s="120"/>
      <c r="C33" s="161"/>
      <c r="D33" s="138"/>
      <c r="E33" s="138"/>
      <c r="F33" s="138"/>
      <c r="G33" s="138"/>
      <c r="H33" s="138"/>
      <c r="I33" s="138"/>
      <c r="J33" s="120"/>
      <c r="K33" s="120"/>
      <c r="L33" s="120"/>
      <c r="M33" s="120"/>
    </row>
    <row r="34" spans="1:13" ht="10.5" customHeight="1">
      <c r="A34" s="18" t="s">
        <v>39</v>
      </c>
      <c r="B34" s="120">
        <v>28.17</v>
      </c>
      <c r="C34" s="161">
        <v>19</v>
      </c>
      <c r="D34" s="138">
        <v>15.83</v>
      </c>
      <c r="E34" s="138">
        <v>12.95</v>
      </c>
      <c r="F34" s="138">
        <v>10.48</v>
      </c>
      <c r="G34" s="138">
        <v>8.2799999999999994</v>
      </c>
      <c r="H34" s="138">
        <v>6.52</v>
      </c>
      <c r="I34" s="138">
        <v>6.58</v>
      </c>
      <c r="J34" s="120" t="s">
        <v>120</v>
      </c>
      <c r="K34" s="120" t="s">
        <v>120</v>
      </c>
      <c r="L34" s="120" t="s">
        <v>120</v>
      </c>
      <c r="M34" s="120" t="s">
        <v>120</v>
      </c>
    </row>
    <row r="35" spans="1:13" ht="10.5" customHeight="1">
      <c r="A35" s="18" t="s">
        <v>40</v>
      </c>
      <c r="B35" s="120">
        <v>23.8</v>
      </c>
      <c r="C35" s="161">
        <v>16.149999999999999</v>
      </c>
      <c r="D35" s="138">
        <v>13.21</v>
      </c>
      <c r="E35" s="138">
        <v>10.97</v>
      </c>
      <c r="F35" s="138">
        <v>9.32</v>
      </c>
      <c r="G35" s="138">
        <v>9.4700000000000006</v>
      </c>
      <c r="H35" s="138">
        <v>8.83</v>
      </c>
      <c r="I35" s="138">
        <v>9.76</v>
      </c>
      <c r="J35" s="120" t="s">
        <v>120</v>
      </c>
      <c r="K35" s="120" t="s">
        <v>120</v>
      </c>
      <c r="L35" s="120" t="s">
        <v>120</v>
      </c>
      <c r="M35" s="120" t="s">
        <v>120</v>
      </c>
    </row>
    <row r="36" spans="1:13" ht="10.5" customHeight="1">
      <c r="A36" s="18" t="s">
        <v>41</v>
      </c>
      <c r="B36" s="120">
        <v>27.47</v>
      </c>
      <c r="C36" s="161">
        <v>10.25</v>
      </c>
      <c r="D36" s="138">
        <v>9.0299999999999994</v>
      </c>
      <c r="E36" s="138">
        <v>5.97</v>
      </c>
      <c r="F36" s="138">
        <v>5.75</v>
      </c>
      <c r="G36" s="138">
        <v>4.8499999999999996</v>
      </c>
      <c r="H36" s="138">
        <v>3.26</v>
      </c>
      <c r="I36" s="138">
        <v>4.16</v>
      </c>
      <c r="J36" s="120" t="s">
        <v>120</v>
      </c>
      <c r="K36" s="120" t="s">
        <v>120</v>
      </c>
      <c r="L36" s="120" t="s">
        <v>120</v>
      </c>
      <c r="M36" s="120" t="s">
        <v>120</v>
      </c>
    </row>
    <row r="37" spans="1:13" ht="10.5" customHeight="1">
      <c r="A37" s="18" t="s">
        <v>42</v>
      </c>
      <c r="B37" s="120">
        <v>16.89</v>
      </c>
      <c r="C37" s="161">
        <v>10.08</v>
      </c>
      <c r="D37" s="138">
        <v>6.49</v>
      </c>
      <c r="E37" s="138">
        <v>5.43</v>
      </c>
      <c r="F37" s="138">
        <v>5.7</v>
      </c>
      <c r="G37" s="138">
        <v>4.12</v>
      </c>
      <c r="H37" s="138">
        <v>3.71</v>
      </c>
      <c r="I37" s="120">
        <v>3.67</v>
      </c>
      <c r="J37" s="120" t="s">
        <v>120</v>
      </c>
      <c r="K37" s="120" t="s">
        <v>120</v>
      </c>
      <c r="L37" s="120" t="s">
        <v>120</v>
      </c>
      <c r="M37" s="120" t="s">
        <v>120</v>
      </c>
    </row>
    <row r="38" spans="1:13" ht="10.5" customHeight="1">
      <c r="A38" s="18" t="s">
        <v>43</v>
      </c>
      <c r="B38" s="120">
        <v>12.72</v>
      </c>
      <c r="C38" s="161">
        <v>8.64</v>
      </c>
      <c r="D38" s="138">
        <v>8.14</v>
      </c>
      <c r="E38" s="138">
        <v>6.21</v>
      </c>
      <c r="F38" s="138">
        <v>4.8099999999999996</v>
      </c>
      <c r="G38" s="138">
        <v>4.99</v>
      </c>
      <c r="H38" s="138">
        <v>3.9</v>
      </c>
      <c r="I38" s="120">
        <v>3.75</v>
      </c>
      <c r="J38" s="120" t="s">
        <v>120</v>
      </c>
      <c r="K38" s="120" t="s">
        <v>120</v>
      </c>
      <c r="L38" s="120" t="s">
        <v>120</v>
      </c>
      <c r="M38" s="120" t="s">
        <v>120</v>
      </c>
    </row>
    <row r="39" spans="1:13" s="59" customFormat="1" ht="10.5" customHeight="1">
      <c r="A39" s="18" t="s">
        <v>44</v>
      </c>
      <c r="B39" s="120" t="s">
        <v>120</v>
      </c>
      <c r="C39" s="161">
        <v>12.65</v>
      </c>
      <c r="D39" s="138">
        <v>8.98</v>
      </c>
      <c r="E39" s="138">
        <v>13.71</v>
      </c>
      <c r="F39" s="138">
        <v>11.56</v>
      </c>
      <c r="G39" s="138">
        <v>6.53</v>
      </c>
      <c r="H39" s="138">
        <v>3.3</v>
      </c>
      <c r="I39" s="120">
        <v>3.89</v>
      </c>
      <c r="J39" s="120" t="s">
        <v>120</v>
      </c>
      <c r="K39" s="120" t="s">
        <v>120</v>
      </c>
      <c r="L39" s="120" t="s">
        <v>120</v>
      </c>
      <c r="M39" s="120" t="s">
        <v>120</v>
      </c>
    </row>
    <row r="40" spans="1:13" s="59" customFormat="1" ht="10.5" customHeight="1">
      <c r="A40" s="18" t="s">
        <v>46</v>
      </c>
      <c r="B40" s="120">
        <v>9.6199999999999992</v>
      </c>
      <c r="C40" s="161">
        <v>12.63</v>
      </c>
      <c r="D40" s="138">
        <v>7.04</v>
      </c>
      <c r="E40" s="138">
        <v>6.12</v>
      </c>
      <c r="F40" s="138">
        <v>5.66</v>
      </c>
      <c r="G40" s="138">
        <v>5.91</v>
      </c>
      <c r="H40" s="138">
        <v>4.91</v>
      </c>
      <c r="I40" s="120" t="s">
        <v>120</v>
      </c>
      <c r="J40" s="120" t="s">
        <v>120</v>
      </c>
      <c r="K40" s="120" t="s">
        <v>120</v>
      </c>
      <c r="L40" s="120" t="s">
        <v>120</v>
      </c>
      <c r="M40" s="120" t="s">
        <v>120</v>
      </c>
    </row>
    <row r="41" spans="1:13" s="59" customFormat="1" ht="3" customHeight="1">
      <c r="A41" s="18"/>
      <c r="B41" s="120"/>
      <c r="C41" s="161"/>
      <c r="D41" s="138"/>
      <c r="E41" s="138"/>
      <c r="F41" s="138"/>
      <c r="G41" s="138"/>
      <c r="H41" s="138"/>
      <c r="I41" s="120"/>
      <c r="J41" s="120"/>
      <c r="K41" s="120"/>
      <c r="L41" s="120"/>
      <c r="M41" s="120"/>
    </row>
    <row r="42" spans="1:13" s="59" customFormat="1" ht="10.5" customHeight="1">
      <c r="A42" s="18" t="s">
        <v>47</v>
      </c>
      <c r="B42" s="120">
        <v>14.79</v>
      </c>
      <c r="C42" s="161">
        <v>7.25</v>
      </c>
      <c r="D42" s="138">
        <v>5.51</v>
      </c>
      <c r="E42" s="138">
        <v>5.73</v>
      </c>
      <c r="F42" s="138">
        <v>6.29</v>
      </c>
      <c r="G42" s="138">
        <v>6.55</v>
      </c>
      <c r="H42" s="138">
        <v>3.09</v>
      </c>
      <c r="I42" s="120" t="s">
        <v>120</v>
      </c>
      <c r="J42" s="120" t="s">
        <v>120</v>
      </c>
      <c r="K42" s="120" t="s">
        <v>120</v>
      </c>
      <c r="L42" s="120" t="s">
        <v>120</v>
      </c>
      <c r="M42" s="120" t="s">
        <v>120</v>
      </c>
    </row>
    <row r="43" spans="1:13" s="59" customFormat="1" ht="10.5" customHeight="1">
      <c r="A43" s="18" t="s">
        <v>48</v>
      </c>
      <c r="B43" s="120">
        <v>19.22</v>
      </c>
      <c r="C43" s="161">
        <v>13.83</v>
      </c>
      <c r="D43" s="138">
        <v>12.07</v>
      </c>
      <c r="E43" s="138">
        <v>10.71</v>
      </c>
      <c r="F43" s="138">
        <v>6.49</v>
      </c>
      <c r="G43" s="138">
        <v>5.58</v>
      </c>
      <c r="H43" s="138">
        <v>1.1200000000000001</v>
      </c>
      <c r="I43" s="120" t="s">
        <v>120</v>
      </c>
      <c r="J43" s="120" t="s">
        <v>120</v>
      </c>
      <c r="K43" s="120" t="s">
        <v>120</v>
      </c>
      <c r="L43" s="120" t="s">
        <v>120</v>
      </c>
      <c r="M43" s="120" t="s">
        <v>120</v>
      </c>
    </row>
    <row r="44" spans="1:13" s="59" customFormat="1" ht="10.5" customHeight="1">
      <c r="A44" s="22" t="s">
        <v>51</v>
      </c>
      <c r="B44" s="120">
        <v>20.100000000000001</v>
      </c>
      <c r="C44" s="161">
        <v>14.81</v>
      </c>
      <c r="D44" s="138">
        <v>12.8</v>
      </c>
      <c r="E44" s="138">
        <v>9.17</v>
      </c>
      <c r="F44" s="138">
        <v>5.13</v>
      </c>
      <c r="G44" s="138">
        <v>4.95</v>
      </c>
      <c r="H44" s="138">
        <v>3.88</v>
      </c>
      <c r="I44" s="120">
        <v>4.07</v>
      </c>
      <c r="J44" s="120" t="s">
        <v>120</v>
      </c>
      <c r="K44" s="120" t="s">
        <v>120</v>
      </c>
      <c r="L44" s="120" t="s">
        <v>120</v>
      </c>
      <c r="M44" s="120" t="s">
        <v>120</v>
      </c>
    </row>
    <row r="45" spans="1:13" ht="10.5" customHeight="1">
      <c r="A45" s="22" t="s">
        <v>52</v>
      </c>
      <c r="B45" s="120">
        <v>13.9</v>
      </c>
      <c r="C45" s="161">
        <v>10.67</v>
      </c>
      <c r="D45" s="138">
        <v>8.4499999999999993</v>
      </c>
      <c r="E45" s="138">
        <v>7.8</v>
      </c>
      <c r="F45" s="138">
        <v>6.56</v>
      </c>
      <c r="G45" s="138">
        <v>5.49</v>
      </c>
      <c r="H45" s="138">
        <v>5.53</v>
      </c>
      <c r="I45" s="120">
        <v>3.01</v>
      </c>
      <c r="J45" s="120" t="s">
        <v>120</v>
      </c>
      <c r="K45" s="120" t="s">
        <v>120</v>
      </c>
      <c r="L45" s="120" t="s">
        <v>120</v>
      </c>
      <c r="M45" s="120" t="s">
        <v>120</v>
      </c>
    </row>
    <row r="46" spans="1:13" ht="10.5" customHeight="1">
      <c r="A46" s="22" t="s">
        <v>291</v>
      </c>
      <c r="B46" s="120">
        <v>19</v>
      </c>
      <c r="C46" s="161">
        <v>13.72</v>
      </c>
      <c r="D46" s="138">
        <v>9.5299999999999994</v>
      </c>
      <c r="E46" s="138">
        <v>8.18</v>
      </c>
      <c r="F46" s="138">
        <v>7.2</v>
      </c>
      <c r="G46" s="138">
        <v>7.43</v>
      </c>
      <c r="H46" s="138">
        <v>7.3</v>
      </c>
      <c r="I46" s="120" t="s">
        <v>120</v>
      </c>
      <c r="J46" s="120" t="s">
        <v>120</v>
      </c>
      <c r="K46" s="120" t="s">
        <v>120</v>
      </c>
      <c r="L46" s="120" t="s">
        <v>120</v>
      </c>
      <c r="M46" s="120" t="s">
        <v>120</v>
      </c>
    </row>
    <row r="47" spans="1:13" ht="10.5" customHeight="1">
      <c r="A47" s="22" t="s">
        <v>298</v>
      </c>
      <c r="B47" s="120">
        <v>26.55</v>
      </c>
      <c r="C47" s="161">
        <v>15.9</v>
      </c>
      <c r="D47" s="138">
        <v>12.46</v>
      </c>
      <c r="E47" s="138">
        <v>9.9700000000000006</v>
      </c>
      <c r="F47" s="138">
        <v>8.08</v>
      </c>
      <c r="G47" s="138">
        <v>9</v>
      </c>
      <c r="H47" s="138">
        <v>9.09</v>
      </c>
      <c r="I47" s="120" t="s">
        <v>120</v>
      </c>
      <c r="J47" s="120" t="s">
        <v>120</v>
      </c>
      <c r="K47" s="120" t="s">
        <v>120</v>
      </c>
      <c r="L47" s="120" t="s">
        <v>120</v>
      </c>
      <c r="M47" s="120" t="s">
        <v>120</v>
      </c>
    </row>
    <row r="48" spans="1:13" ht="10.5" customHeight="1">
      <c r="A48" s="22" t="s">
        <v>312</v>
      </c>
      <c r="B48" s="120">
        <v>27.65</v>
      </c>
      <c r="C48" s="161">
        <v>17.96</v>
      </c>
      <c r="D48" s="138">
        <v>12.22</v>
      </c>
      <c r="E48" s="138">
        <v>12.39</v>
      </c>
      <c r="F48" s="138">
        <v>9.98</v>
      </c>
      <c r="G48" s="138">
        <v>8.8699999999999992</v>
      </c>
      <c r="H48" s="138">
        <v>8.75</v>
      </c>
      <c r="I48" s="120" t="s">
        <v>120</v>
      </c>
      <c r="J48" s="120" t="s">
        <v>120</v>
      </c>
      <c r="K48" s="120" t="s">
        <v>120</v>
      </c>
      <c r="L48" s="120" t="s">
        <v>120</v>
      </c>
      <c r="M48" s="120" t="s">
        <v>120</v>
      </c>
    </row>
    <row r="49" spans="1:13" ht="10.5" customHeight="1">
      <c r="A49" s="149" t="s">
        <v>319</v>
      </c>
      <c r="B49" s="142" t="s">
        <v>120</v>
      </c>
      <c r="C49" s="162">
        <v>16.84</v>
      </c>
      <c r="D49" s="141">
        <v>13.47</v>
      </c>
      <c r="E49" s="141">
        <v>10.73</v>
      </c>
      <c r="F49" s="141">
        <v>9.0500000000000007</v>
      </c>
      <c r="G49" s="141">
        <v>6.63</v>
      </c>
      <c r="H49" s="141">
        <v>6.92</v>
      </c>
      <c r="I49" s="142" t="s">
        <v>321</v>
      </c>
      <c r="J49" s="142" t="s">
        <v>120</v>
      </c>
      <c r="K49" s="142" t="s">
        <v>120</v>
      </c>
      <c r="L49" s="142" t="s">
        <v>120</v>
      </c>
      <c r="M49" s="142"/>
    </row>
    <row r="50" spans="1:13" ht="12" customHeight="1">
      <c r="A50" s="39" t="s">
        <v>322</v>
      </c>
      <c r="B50" s="40"/>
      <c r="C50" s="40"/>
      <c r="D50" s="40"/>
      <c r="E50" s="40"/>
      <c r="F50" s="40"/>
      <c r="G50" s="40"/>
      <c r="H50" s="40"/>
      <c r="I50" s="4"/>
      <c r="J50" s="4"/>
      <c r="K50" s="4"/>
      <c r="L50" s="4"/>
    </row>
    <row r="51" spans="1:13" ht="12" customHeight="1">
      <c r="A51" s="39" t="s">
        <v>127</v>
      </c>
      <c r="B51" s="40"/>
      <c r="C51" s="40"/>
      <c r="D51" s="40"/>
      <c r="E51" s="40"/>
      <c r="F51" s="40"/>
      <c r="G51" s="40"/>
      <c r="H51" s="40"/>
      <c r="I51" s="4"/>
      <c r="J51" s="143"/>
      <c r="K51" s="143"/>
      <c r="L51" s="143"/>
      <c r="M51" s="143"/>
    </row>
    <row r="52" spans="1:13">
      <c r="A52" s="40"/>
      <c r="B52" s="98"/>
      <c r="C52" s="98"/>
      <c r="D52" s="98"/>
      <c r="E52" s="98"/>
      <c r="F52" s="98"/>
      <c r="G52" s="98"/>
      <c r="H52" s="98"/>
      <c r="I52" s="98"/>
      <c r="J52" s="152"/>
      <c r="K52" s="152"/>
      <c r="L52" s="152"/>
      <c r="M52" s="152"/>
    </row>
    <row r="54" spans="1:13"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</row>
    <row r="55" spans="1:13">
      <c r="B55" s="186"/>
      <c r="C55" s="186"/>
      <c r="D55" s="186"/>
      <c r="E55" s="186"/>
      <c r="F55" s="186"/>
      <c r="G55" s="186"/>
      <c r="H55" s="186"/>
      <c r="I55" s="186"/>
      <c r="J55" s="186"/>
      <c r="K55" s="410"/>
      <c r="L55" s="186"/>
      <c r="M55" s="186"/>
    </row>
    <row r="56" spans="1:13"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</row>
    <row r="57" spans="1:13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</row>
    <row r="58" spans="1:13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</row>
    <row r="59" spans="1:13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</row>
  </sheetData>
  <pageMargins left="0.66700000000000004" right="0.66700000000000004" top="0.66700000000000004" bottom="0.72" header="0" footer="0"/>
  <pageSetup firstPageNumber="78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47</vt:i4>
      </vt:variant>
    </vt:vector>
  </HeadingPairs>
  <TitlesOfParts>
    <vt:vector size="78" baseType="lpstr">
      <vt:lpstr>Content</vt:lpstr>
      <vt:lpstr>tabc1</vt:lpstr>
      <vt:lpstr>tabc2</vt:lpstr>
      <vt:lpstr>tabc3</vt:lpstr>
      <vt:lpstr>tabc4</vt:lpstr>
      <vt:lpstr>tabc5</vt:lpstr>
      <vt:lpstr>tabc6</vt:lpstr>
      <vt:lpstr>tabc7</vt:lpstr>
      <vt:lpstr>tabc8</vt:lpstr>
      <vt:lpstr>tabc9</vt:lpstr>
      <vt:lpstr>tabc10</vt:lpstr>
      <vt:lpstr>tabc11</vt:lpstr>
      <vt:lpstr>tabc12</vt:lpstr>
      <vt:lpstr>tabc13</vt:lpstr>
      <vt:lpstr>tabc14</vt:lpstr>
      <vt:lpstr>tabc15</vt:lpstr>
      <vt:lpstr>tabc16</vt:lpstr>
      <vt:lpstr>tabc17</vt:lpstr>
      <vt:lpstr>tabc18</vt:lpstr>
      <vt:lpstr>tabc19</vt:lpstr>
      <vt:lpstr>tabc20</vt:lpstr>
      <vt:lpstr>tabc21</vt:lpstr>
      <vt:lpstr>tabc22</vt:lpstr>
      <vt:lpstr>tabc23</vt:lpstr>
      <vt:lpstr>tabc24</vt:lpstr>
      <vt:lpstr>tabc25</vt:lpstr>
      <vt:lpstr>tabc26</vt:lpstr>
      <vt:lpstr>tabc27</vt:lpstr>
      <vt:lpstr>tabc28</vt:lpstr>
      <vt:lpstr>tabc29</vt:lpstr>
      <vt:lpstr>tabc30</vt:lpstr>
      <vt:lpstr>Content!Print_Area</vt:lpstr>
      <vt:lpstr>tabc1!Print_Area</vt:lpstr>
      <vt:lpstr>tabc10!Print_Area</vt:lpstr>
      <vt:lpstr>tabc11!Print_Area</vt:lpstr>
      <vt:lpstr>tabc12!Print_Area</vt:lpstr>
      <vt:lpstr>tabc13!Print_Area</vt:lpstr>
      <vt:lpstr>tabc15!Print_Area</vt:lpstr>
      <vt:lpstr>tabc16!Print_Area</vt:lpstr>
      <vt:lpstr>tabc17!Print_Area</vt:lpstr>
      <vt:lpstr>tabc18!Print_Area</vt:lpstr>
      <vt:lpstr>tabc19!Print_Area</vt:lpstr>
      <vt:lpstr>tabc2!Print_Area</vt:lpstr>
      <vt:lpstr>tabc20!Print_Area</vt:lpstr>
      <vt:lpstr>tabc21!Print_Area</vt:lpstr>
      <vt:lpstr>tabc3!Print_Area</vt:lpstr>
      <vt:lpstr>tabc4!Print_Area</vt:lpstr>
      <vt:lpstr>tabc5!Print_Area</vt:lpstr>
      <vt:lpstr>tabc6!Print_Area</vt:lpstr>
      <vt:lpstr>tabc7!Print_Area</vt:lpstr>
      <vt:lpstr>tabc1!Print_Area_MI</vt:lpstr>
      <vt:lpstr>tabc10!Print_Area_MI</vt:lpstr>
      <vt:lpstr>tabc11!Print_Area_MI</vt:lpstr>
      <vt:lpstr>tabc13!Print_Area_MI</vt:lpstr>
      <vt:lpstr>tabc14!Print_Area_MI</vt:lpstr>
      <vt:lpstr>tabc15!Print_Area_MI</vt:lpstr>
      <vt:lpstr>tabc16!Print_Area_MI</vt:lpstr>
      <vt:lpstr>tabc17!Print_Area_MI</vt:lpstr>
      <vt:lpstr>tabc18!Print_Area_MI</vt:lpstr>
      <vt:lpstr>tabc19!Print_Area_MI</vt:lpstr>
      <vt:lpstr>tabc2!Print_Area_MI</vt:lpstr>
      <vt:lpstr>tabc20!Print_Area_MI</vt:lpstr>
      <vt:lpstr>tabc21!Print_Area_MI</vt:lpstr>
      <vt:lpstr>tabc22!Print_Area_MI</vt:lpstr>
      <vt:lpstr>tabc23!Print_Area_MI</vt:lpstr>
      <vt:lpstr>tabc24!Print_Area_MI</vt:lpstr>
      <vt:lpstr>tabc25!Print_Area_MI</vt:lpstr>
      <vt:lpstr>tabc26!Print_Area_MI</vt:lpstr>
      <vt:lpstr>tabc27!Print_Area_MI</vt:lpstr>
      <vt:lpstr>tabc28!Print_Area_MI</vt:lpstr>
      <vt:lpstr>tabc29!Print_Area_MI</vt:lpstr>
      <vt:lpstr>tabc3!Print_Area_MI</vt:lpstr>
      <vt:lpstr>tabc4!Print_Area_MI</vt:lpstr>
      <vt:lpstr>tabc5!Print_Area_MI</vt:lpstr>
      <vt:lpstr>tabc6!Print_Area_MI</vt:lpstr>
      <vt:lpstr>tabc7!Print_Area_MI</vt:lpstr>
      <vt:lpstr>tabc8!Print_Area_MI</vt:lpstr>
      <vt:lpstr>tabc9!Print_Area_MI</vt:lpstr>
    </vt:vector>
  </TitlesOfParts>
  <Company>ERS\USDA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Citrus Fruit: Production, bearing acreage, yield per acre, equivalent-on-tree returns, and juice stock, pack, and movement</dc:title>
  <dc:subject>Agricultural Economics</dc:subject>
  <dc:creator>Agnes.Perez@usda.gov;TRAVIS.MINOR@usda.gov</dc:creator>
  <cp:keywords>Citrus, production, fresh, processed, total, oranges, lemons, limes, tangerines, grower price, equivalent on tree returns, Grapefruit, bearing acreage, yield per acre, Florida, California, Texas, Arizona, United States, orange juice, grapefruit juice, yield, grower price, Economics; Economic Research Service; ERS; U.S. Department of Agriculture; USDA</cp:keywords>
  <cp:lastModifiedBy>helpdesk</cp:lastModifiedBy>
  <cp:lastPrinted>2015-10-28T19:43:48Z</cp:lastPrinted>
  <dcterms:created xsi:type="dcterms:W3CDTF">2013-11-15T19:53:11Z</dcterms:created>
  <dcterms:modified xsi:type="dcterms:W3CDTF">2019-10-28T17:21:18Z</dcterms:modified>
</cp:coreProperties>
</file>